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20250410_不足公告期の納品物\"/>
    </mc:Choice>
  </mc:AlternateContent>
  <xr:revisionPtr revIDLastSave="0" documentId="13_ncr:1_{66BEA594-5EDC-43E4-9152-0D0639F012D4}" xr6:coauthVersionLast="47" xr6:coauthVersionMax="47" xr10:uidLastSave="{00000000-0000-0000-0000-000000000000}"/>
  <bookViews>
    <workbookView xWindow="4695" yWindow="2535" windowWidth="26220" windowHeight="13215" xr2:uid="{00000000-000D-0000-FFFF-FFFF00000000}"/>
  </bookViews>
  <sheets>
    <sheet name="1905th" sheetId="2" r:id="rId1"/>
  </sheets>
  <definedNames>
    <definedName name="_xlnm._FilterDatabase" localSheetId="0" hidden="1">'1905th'!$A$1:$I$1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</calcChain>
</file>

<file path=xl/sharedStrings.xml><?xml version="1.0" encoding="utf-8"?>
<sst xmlns="http://schemas.openxmlformats.org/spreadsheetml/2006/main" count="11769" uniqueCount="5793">
  <si>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</si>
  <si>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</si>
  <si>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</si>
  <si>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</si>
  <si>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</si>
  <si>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</si>
  <si>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</si>
  <si>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</si>
  <si>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</si>
  <si>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</si>
  <si>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1905</t>
  </si>
  <si>
    <t>顾玉红</t>
  </si>
  <si>
    <t>赣义</t>
  </si>
  <si>
    <t>舍得酒业股份有限公司</t>
  </si>
  <si>
    <t>华夏舍得</t>
  </si>
  <si>
    <t>内蒙古紫衣餐饮有限公司</t>
  </si>
  <si>
    <t>噢亿噢亿</t>
  </si>
  <si>
    <t>张凯鹏</t>
  </si>
  <si>
    <t>空蜜</t>
  </si>
  <si>
    <t>松溪县万通百年蔗蔬菜专业合作社</t>
  </si>
  <si>
    <t>万前</t>
  </si>
  <si>
    <t>姜浩然</t>
  </si>
  <si>
    <t>凤云山</t>
  </si>
  <si>
    <t>江西省极热科技集团有限公司</t>
  </si>
  <si>
    <t>极热人</t>
  </si>
  <si>
    <t>杭州涌金贸易有限公司</t>
  </si>
  <si>
    <t>VLABTOO</t>
  </si>
  <si>
    <t>河南忆醉饮餐饮管理有限公司</t>
  </si>
  <si>
    <t>HIPLAKE</t>
  </si>
  <si>
    <t>丁怡广</t>
  </si>
  <si>
    <t>怡海仲情酒贰号</t>
  </si>
  <si>
    <t>周四红</t>
  </si>
  <si>
    <t>木兰雨</t>
  </si>
  <si>
    <t>怡海仲情仲义</t>
  </si>
  <si>
    <t>丰都县成渝酒厂</t>
  </si>
  <si>
    <t>二仙传说</t>
  </si>
  <si>
    <t>辽宁隆欣农业科技有限公司</t>
  </si>
  <si>
    <t>祥河川州</t>
  </si>
  <si>
    <t>四川省宜宾市荔枝绿酒业有限公司</t>
  </si>
  <si>
    <t>竹五韵</t>
  </si>
  <si>
    <t>李自秀</t>
  </si>
  <si>
    <t>汐缘泉</t>
  </si>
  <si>
    <t>富风食品有限公司</t>
  </si>
  <si>
    <t>享畔</t>
  </si>
  <si>
    <t>廊坊临空资产运营管理有限公司</t>
  </si>
  <si>
    <t>廊洽时光</t>
  </si>
  <si>
    <t>李胜</t>
  </si>
  <si>
    <t>御遗堂</t>
  </si>
  <si>
    <t>合隆防爆电气有限公司</t>
  </si>
  <si>
    <t>HEXLON</t>
  </si>
  <si>
    <t>四川桃义团教育咨询有限公司</t>
  </si>
  <si>
    <t>桃义团</t>
  </si>
  <si>
    <t>海南荣利源投资有限公司</t>
  </si>
  <si>
    <t>荣利源</t>
  </si>
  <si>
    <t>重庆京弘贝农业发展有限公司</t>
  </si>
  <si>
    <t>百物甚</t>
  </si>
  <si>
    <t>曹晋菘</t>
  </si>
  <si>
    <t>晋同学</t>
  </si>
  <si>
    <t>毛高飞</t>
  </si>
  <si>
    <t>青城志</t>
  </si>
  <si>
    <t>上海秀航科技有限公司</t>
  </si>
  <si>
    <t>井之秀</t>
  </si>
  <si>
    <t>贵州省仁怀市三槐堂酒业销售有限公司</t>
  </si>
  <si>
    <t>金庄品悦</t>
  </si>
  <si>
    <t>贵州国稷酒业有限公司</t>
  </si>
  <si>
    <t>嚞时</t>
  </si>
  <si>
    <t>张永琼</t>
  </si>
  <si>
    <t>毛聚</t>
  </si>
  <si>
    <t>惠州市百果香农业科技有限公司</t>
  </si>
  <si>
    <t>云涧葡谷</t>
  </si>
  <si>
    <t>青龙满族自治县捞福来餐饮服务有限公司</t>
  </si>
  <si>
    <t>挠财来</t>
  </si>
  <si>
    <t>泰安市盛夏餐饮管理有限公司</t>
  </si>
  <si>
    <t>图形</t>
  </si>
  <si>
    <t>四川熊之源商贸有限公司</t>
  </si>
  <si>
    <t>熊之源</t>
  </si>
  <si>
    <t>杨楠</t>
  </si>
  <si>
    <t>旭仙</t>
  </si>
  <si>
    <t>王学全</t>
  </si>
  <si>
    <t>盘上</t>
  </si>
  <si>
    <t>山西怡亚通秘造供应链有限公司</t>
  </si>
  <si>
    <t>肆贰幺捌</t>
  </si>
  <si>
    <t>李宝刚</t>
  </si>
  <si>
    <t>华无界</t>
  </si>
  <si>
    <t>东莞市赖酱酒业有限公司</t>
  </si>
  <si>
    <t>甩顶</t>
  </si>
  <si>
    <t>曾伟明</t>
  </si>
  <si>
    <t>聚忘忧</t>
  </si>
  <si>
    <t>语源创意设计温州有限公司</t>
  </si>
  <si>
    <t>寅座</t>
  </si>
  <si>
    <t>廖艳阳</t>
  </si>
  <si>
    <t>执年 酒</t>
  </si>
  <si>
    <t>程玉平</t>
  </si>
  <si>
    <t>葚美思</t>
  </si>
  <si>
    <t>贵州董酒股份有限公司</t>
  </si>
  <si>
    <t>佰草先生</t>
  </si>
  <si>
    <t>青春密码抗衰老科技(北京)有限公司</t>
  </si>
  <si>
    <t>星际文明</t>
  </si>
  <si>
    <t>蔡钰梵</t>
  </si>
  <si>
    <t>甲甲好</t>
  </si>
  <si>
    <t>霍尔果斯路顺进出口贸易有限公司</t>
  </si>
  <si>
    <t>LA PARAPHARMACIE</t>
  </si>
  <si>
    <t>刘友华</t>
  </si>
  <si>
    <t>清坪浪</t>
  </si>
  <si>
    <t>贵州满锡贸易有限公司</t>
  </si>
  <si>
    <t>满锡</t>
  </si>
  <si>
    <t>张王飞</t>
  </si>
  <si>
    <t>岳罡商贸 YUEGANG TRADE</t>
  </si>
  <si>
    <t>贵州泓尊商贸有限责任公司</t>
  </si>
  <si>
    <t>清樽酉苑·贤</t>
  </si>
  <si>
    <t>天台聚缘坊酒业有限公司</t>
  </si>
  <si>
    <t>怡醉幸福</t>
  </si>
  <si>
    <t>/</t>
  </si>
  <si>
    <t>沈阳劲凰商贸有限公司</t>
  </si>
  <si>
    <t>蒲河</t>
  </si>
  <si>
    <t>海宁市百合春天大酒店有限公司</t>
  </si>
  <si>
    <t>非非红</t>
  </si>
  <si>
    <t>屏边云田农业有限公司</t>
  </si>
  <si>
    <t>信谷云田</t>
  </si>
  <si>
    <t>肖苹妹</t>
  </si>
  <si>
    <t>小绍灯</t>
  </si>
  <si>
    <t>寇婷</t>
  </si>
  <si>
    <t>秘养萃</t>
  </si>
  <si>
    <t>戚文顺</t>
  </si>
  <si>
    <t>神绵</t>
  </si>
  <si>
    <t>赵良波</t>
  </si>
  <si>
    <t>领作</t>
  </si>
  <si>
    <t>方耐凤</t>
  </si>
  <si>
    <t>江苏绿港现代农业发展股份有限公司</t>
  </si>
  <si>
    <t>蔬益通</t>
  </si>
  <si>
    <t>嵊州市成业建设有限公司</t>
  </si>
  <si>
    <t>嵊山嵊水</t>
  </si>
  <si>
    <t>四川上古居仕文化传媒有限责任公司</t>
  </si>
  <si>
    <t>上古居仕</t>
  </si>
  <si>
    <t>哈尔滨淘粮农业信息服务有限公司</t>
  </si>
  <si>
    <t>响泉雪谷</t>
  </si>
  <si>
    <t>贵州省仁怀市茅台镇大唐酒业有限公司</t>
  </si>
  <si>
    <t>天下大唐</t>
  </si>
  <si>
    <t>河南青柚文化传播有限公司</t>
  </si>
  <si>
    <t>季禧堂</t>
  </si>
  <si>
    <t>刘峰</t>
  </si>
  <si>
    <t>安喜洞庭春色</t>
  </si>
  <si>
    <t>一阳生集团有限公司</t>
  </si>
  <si>
    <t>研美泰</t>
  </si>
  <si>
    <t>于留洋</t>
  </si>
  <si>
    <t>荣亼誉</t>
  </si>
  <si>
    <t>朝洛门</t>
  </si>
  <si>
    <t>梅词</t>
  </si>
  <si>
    <t>张瑞</t>
  </si>
  <si>
    <t>奈氏西兰</t>
  </si>
  <si>
    <t>熊庆友</t>
  </si>
  <si>
    <t>卧天地</t>
  </si>
  <si>
    <t>谷海翔</t>
  </si>
  <si>
    <t>赤鼎河</t>
  </si>
  <si>
    <t>赤醇河</t>
  </si>
  <si>
    <t>厦门惠馨酒业有限公司</t>
  </si>
  <si>
    <t>闽汉醇</t>
  </si>
  <si>
    <t>河南嘉合祥盛工程咨询有限公司</t>
  </si>
  <si>
    <t>溱水桥</t>
  </si>
  <si>
    <t>四川容之新企业管理集团有限公司</t>
  </si>
  <si>
    <t>堂余印庆</t>
  </si>
  <si>
    <t>无锡市三象生物科技有限公司</t>
  </si>
  <si>
    <t>邳曲古</t>
  </si>
  <si>
    <t>诺金酒业(深圳)有限公司</t>
  </si>
  <si>
    <t>劤钻</t>
  </si>
  <si>
    <t>胡志明</t>
  </si>
  <si>
    <t>大福盛世贡</t>
  </si>
  <si>
    <t>东方精品(北京)文化传播有限公司</t>
  </si>
  <si>
    <t>汝南县天中山酒行</t>
  </si>
  <si>
    <t>黑西施</t>
  </si>
  <si>
    <t>何梦圆</t>
  </si>
  <si>
    <t>古贡铭</t>
  </si>
  <si>
    <t>古酣铭</t>
  </si>
  <si>
    <t>中藜优科(翁牛特旗)科技有限公司</t>
  </si>
  <si>
    <t>UINOA</t>
  </si>
  <si>
    <t>童飞跃</t>
  </si>
  <si>
    <t>湘食道</t>
  </si>
  <si>
    <t>申博麟</t>
  </si>
  <si>
    <t>陇盅醉</t>
  </si>
  <si>
    <t>麦卡伦酒厂</t>
  </si>
  <si>
    <t>麦卡伦臻彩系列</t>
  </si>
  <si>
    <t>陈秀芝</t>
  </si>
  <si>
    <t>鲤工</t>
  </si>
  <si>
    <t>高雅线圈制品有限公司</t>
  </si>
  <si>
    <t>STORE 759</t>
  </si>
  <si>
    <t>蒋恩喜</t>
  </si>
  <si>
    <t>商才</t>
  </si>
  <si>
    <t>山东康桥实业有限公司</t>
  </si>
  <si>
    <t>HERCTER</t>
  </si>
  <si>
    <t>张志鹏</t>
  </si>
  <si>
    <t>晋泙潭</t>
  </si>
  <si>
    <t>贝乐斯标识有限公司</t>
  </si>
  <si>
    <t>KINGSBURY</t>
  </si>
  <si>
    <t>海南泰和屯电子商务有限公司</t>
  </si>
  <si>
    <t>泰和屯</t>
  </si>
  <si>
    <t>东莞市玛锐镨磁电科技有限公司</t>
  </si>
  <si>
    <t>非恭</t>
  </si>
  <si>
    <t>贵酒集团有限公司</t>
  </si>
  <si>
    <t>东方豪</t>
  </si>
  <si>
    <t>贾芳芳</t>
  </si>
  <si>
    <t>炎黄赞</t>
  </si>
  <si>
    <t>张正亮</t>
  </si>
  <si>
    <t>诺言忠道</t>
  </si>
  <si>
    <t>青岛伍酒汇酒行有限公司</t>
  </si>
  <si>
    <t>清悠然</t>
  </si>
  <si>
    <t>梁彩焕</t>
  </si>
  <si>
    <t>广中龙</t>
  </si>
  <si>
    <t>重庆凯嘉工程机械设备租赁有限公司</t>
  </si>
  <si>
    <t>青禾五千酿</t>
  </si>
  <si>
    <t>富锦市福顺食品有限责任公司</t>
  </si>
  <si>
    <t>黑土部落</t>
  </si>
  <si>
    <t>唐洪娇</t>
  </si>
  <si>
    <t>鲅霸</t>
  </si>
  <si>
    <t>贵州省仁怀市茅台镇衡昌烧坊酿酒有限公司</t>
  </si>
  <si>
    <t>衡昌龙醇</t>
  </si>
  <si>
    <t>高辉</t>
  </si>
  <si>
    <t>清雨风</t>
  </si>
  <si>
    <t>淮安梦玮商贸有限公司</t>
  </si>
  <si>
    <t>梦玮</t>
  </si>
  <si>
    <t>李佳</t>
  </si>
  <si>
    <t>泸量</t>
  </si>
  <si>
    <t>厦门三味轩食品有限公司</t>
  </si>
  <si>
    <t>青奇力</t>
  </si>
  <si>
    <t>陈雪婷</t>
  </si>
  <si>
    <t>刘海欢</t>
  </si>
  <si>
    <t>御兆</t>
  </si>
  <si>
    <t>西安斑马文化旅游有限公司</t>
  </si>
  <si>
    <t>斑马亲亲乐园 ZEBRA PARENT-CHILD PARK</t>
  </si>
  <si>
    <t>冉长飞</t>
  </si>
  <si>
    <t>佬粮人</t>
  </si>
  <si>
    <t>郑州贺盛旺酒业有限公司</t>
  </si>
  <si>
    <t>贺盛旺</t>
  </si>
  <si>
    <t>刘燕丽</t>
  </si>
  <si>
    <t>妙手李白</t>
  </si>
  <si>
    <t>厦门喜舟健康管理有限责任公司</t>
  </si>
  <si>
    <t>白依红人</t>
  </si>
  <si>
    <t>李翔</t>
  </si>
  <si>
    <t>坪头仙</t>
  </si>
  <si>
    <t>深圳市九霄酒业有限公司</t>
  </si>
  <si>
    <t>BNL GOLFS</t>
  </si>
  <si>
    <t>贵州谋攻记酒业有限公司</t>
  </si>
  <si>
    <t>商传记</t>
  </si>
  <si>
    <t>合肥万嘉食品科技有限公司</t>
  </si>
  <si>
    <t>店师傅</t>
  </si>
  <si>
    <t>泉州市洛江区双阳仁英吉商贸行</t>
  </si>
  <si>
    <t>乐绵</t>
  </si>
  <si>
    <t>俞恬</t>
  </si>
  <si>
    <t>大师泰</t>
  </si>
  <si>
    <t>福州犇牛酒业有限公司</t>
  </si>
  <si>
    <t>灏运牛</t>
  </si>
  <si>
    <t>李艳平</t>
  </si>
  <si>
    <t>德润源麟洲府</t>
  </si>
  <si>
    <t>贵州省仁怀市油隆酒业有限公司</t>
  </si>
  <si>
    <t>油隆坊</t>
  </si>
  <si>
    <t>深圳市东游记文化传播有限公司</t>
  </si>
  <si>
    <t>兮</t>
  </si>
  <si>
    <t>潘新雷</t>
  </si>
  <si>
    <t>瑞芝昇</t>
  </si>
  <si>
    <t>李辉</t>
  </si>
  <si>
    <t>李潇洒健康</t>
  </si>
  <si>
    <t>贵州祥云酱娄山酒业有限公司</t>
  </si>
  <si>
    <t>雁卉坊</t>
  </si>
  <si>
    <t>中国国联集团有限公司</t>
  </si>
  <si>
    <t>韵界</t>
  </si>
  <si>
    <t>分宜电厂螺蛳小镇商业服务有限公司</t>
  </si>
  <si>
    <t>哈螺妹</t>
  </si>
  <si>
    <t>秦皇岛胜美利安商贸有限公司</t>
  </si>
  <si>
    <t>赫兰金典</t>
  </si>
  <si>
    <t>赫兰之巅</t>
  </si>
  <si>
    <t>胡慧新</t>
  </si>
  <si>
    <t>李爱兵</t>
  </si>
  <si>
    <t>全家禧</t>
  </si>
  <si>
    <t>北京清美紫荆设计院有限公司</t>
  </si>
  <si>
    <t>昆明桃贝商贸有限公司</t>
  </si>
  <si>
    <t>雅悠润</t>
  </si>
  <si>
    <t>胡程</t>
  </si>
  <si>
    <t>醉福昌</t>
  </si>
  <si>
    <t>成都巨拓农业有限公司</t>
  </si>
  <si>
    <t>逸幸斋</t>
  </si>
  <si>
    <t>福建怡生工贸有限公司</t>
  </si>
  <si>
    <t>怡留香</t>
  </si>
  <si>
    <t>贵州国锦宏诚控股(集团)有限责任公司</t>
  </si>
  <si>
    <t>锦贵水</t>
  </si>
  <si>
    <t>曾棕福</t>
  </si>
  <si>
    <t>福尊玺</t>
  </si>
  <si>
    <t>山西杏花晋玉坊酒业有限公司</t>
  </si>
  <si>
    <t>广东爱华仕箱包集团有限公司</t>
  </si>
  <si>
    <t>OIWAS</t>
  </si>
  <si>
    <t>莫扬新</t>
  </si>
  <si>
    <t>禾花礼</t>
  </si>
  <si>
    <t>中通快递股份有限公司</t>
  </si>
  <si>
    <t>中通</t>
  </si>
  <si>
    <t>董彧</t>
  </si>
  <si>
    <t>李祖祥</t>
  </si>
  <si>
    <t>赤峰市海兴酒厂</t>
  </si>
  <si>
    <t>大辽御</t>
  </si>
  <si>
    <t>厦门海舒商贸有限公司</t>
  </si>
  <si>
    <t>猪角 PORK RICE</t>
  </si>
  <si>
    <t>鄂尔多斯市王田生物科技有限公司</t>
  </si>
  <si>
    <t>天戈</t>
  </si>
  <si>
    <t>贵州佳沃品牌运营有限公司</t>
  </si>
  <si>
    <t>鸡鸣三省</t>
  </si>
  <si>
    <t>苏州商盟企业家俱乐部</t>
  </si>
  <si>
    <t>商盟桥</t>
  </si>
  <si>
    <t>苏理想</t>
  </si>
  <si>
    <t>酒岁情</t>
  </si>
  <si>
    <t>康宇</t>
  </si>
  <si>
    <t>小浆令</t>
  </si>
  <si>
    <t>甘肃杜五酒业有限公司</t>
  </si>
  <si>
    <t>杜五醇</t>
  </si>
  <si>
    <t>孙金朝</t>
  </si>
  <si>
    <t>亖金樽御鼎</t>
  </si>
  <si>
    <t>株式会社麹醇堂</t>
  </si>
  <si>
    <t>麹醇堂百岁酒</t>
  </si>
  <si>
    <t>陈海涛</t>
  </si>
  <si>
    <t>武天子</t>
  </si>
  <si>
    <t>厦门贡健药业有限公司</t>
  </si>
  <si>
    <t>自谋</t>
  </si>
  <si>
    <t>秦小云</t>
  </si>
  <si>
    <t>皇后堡 QUEENSBOW</t>
  </si>
  <si>
    <t>北京京味楼餐饮管理有限公司</t>
  </si>
  <si>
    <t>福和四世同堂</t>
  </si>
  <si>
    <t>寇立柱</t>
  </si>
  <si>
    <t>王泥子池</t>
  </si>
  <si>
    <t>邢政</t>
  </si>
  <si>
    <t>邢九里</t>
  </si>
  <si>
    <t>涡阳县金谷井酒业有限公司</t>
  </si>
  <si>
    <t>涡缘掼蛋</t>
  </si>
  <si>
    <t>祁沃林</t>
  </si>
  <si>
    <t>清淳都韵</t>
  </si>
  <si>
    <t>山西杏花酒业集团股份有限公司</t>
  </si>
  <si>
    <t>重情厚意</t>
  </si>
  <si>
    <t>赵婉辰</t>
  </si>
  <si>
    <t>姑洗</t>
  </si>
  <si>
    <t>北京隆兴号方庄酒厂有限公司</t>
  </si>
  <si>
    <t>方庄</t>
  </si>
  <si>
    <t>江西煦华酒业有限公司</t>
  </si>
  <si>
    <t>黄垦</t>
  </si>
  <si>
    <t>上饶银行股份有限公司</t>
  </si>
  <si>
    <t>上饶银行 BANK OF SHANGRAO</t>
  </si>
  <si>
    <t>江苏省苏洋酿酒有限公司</t>
  </si>
  <si>
    <t>久阳健</t>
  </si>
  <si>
    <t>潘道银</t>
  </si>
  <si>
    <t>潘宗亲酒</t>
  </si>
  <si>
    <t>成都点赞科技有限公司</t>
  </si>
  <si>
    <t>拿幸</t>
  </si>
  <si>
    <t>肖余</t>
  </si>
  <si>
    <t>回贮酒铺</t>
  </si>
  <si>
    <t>吴家权</t>
  </si>
  <si>
    <t>翘垓</t>
  </si>
  <si>
    <t>李发明</t>
  </si>
  <si>
    <t>芍花御</t>
  </si>
  <si>
    <t>保定金谷酒业有限公司</t>
  </si>
  <si>
    <t>京海兰</t>
  </si>
  <si>
    <t>贵州天地恒酒业有限公司</t>
  </si>
  <si>
    <t>问君</t>
  </si>
  <si>
    <t>萧小强</t>
  </si>
  <si>
    <t>观龙门</t>
  </si>
  <si>
    <t>孟娟</t>
  </si>
  <si>
    <t>芝厚</t>
  </si>
  <si>
    <t>延边嘉燕国际贸易有限公司</t>
  </si>
  <si>
    <t>鞠纯鞺</t>
  </si>
  <si>
    <t>广州体饮饮料有限公司</t>
  </si>
  <si>
    <t>凤龄酒</t>
  </si>
  <si>
    <t>台州市帅龙贸易股份有限公司</t>
  </si>
  <si>
    <t>神厨爸</t>
  </si>
  <si>
    <t>上海筑睦网络科技有限公司</t>
  </si>
  <si>
    <t>LTP</t>
  </si>
  <si>
    <t>高德举</t>
  </si>
  <si>
    <t>盛琪</t>
  </si>
  <si>
    <t>合肥灵云品牌管理有限公司</t>
  </si>
  <si>
    <t>童恒春</t>
  </si>
  <si>
    <t>林名钊</t>
  </si>
  <si>
    <t>闽珠</t>
  </si>
  <si>
    <t>河南酒卫红文化传媒中心(个人独资)</t>
  </si>
  <si>
    <t>黄展成</t>
  </si>
  <si>
    <t>瓦状元</t>
  </si>
  <si>
    <t>壹米(南京)文化科技有限公司</t>
  </si>
  <si>
    <t>气贽</t>
  </si>
  <si>
    <t>马相菊</t>
  </si>
  <si>
    <t>荆赋</t>
  </si>
  <si>
    <t>山西百年青瓷老酒坊酒业有限公司</t>
  </si>
  <si>
    <t>杏方粮</t>
  </si>
  <si>
    <t>海口龙华欣月拾光食品经营部</t>
  </si>
  <si>
    <t>吟渠酒坊</t>
  </si>
  <si>
    <t>辽宁宝晟实业发展(集团)有限公司</t>
  </si>
  <si>
    <t>徐新权</t>
  </si>
  <si>
    <t>三月青</t>
  </si>
  <si>
    <t>丁传民</t>
  </si>
  <si>
    <t>近乡</t>
  </si>
  <si>
    <t>山西杏花鑫元酒业有限公司</t>
  </si>
  <si>
    <t>宁乡匠子商贸有限公司</t>
  </si>
  <si>
    <t>妃姊</t>
  </si>
  <si>
    <t>贵州匠台酒业集团股份有限公司</t>
  </si>
  <si>
    <t>匠台匠王台</t>
  </si>
  <si>
    <t>刘云</t>
  </si>
  <si>
    <t>州毛贡</t>
  </si>
  <si>
    <t>贵州省仁怀市君典酒业有限公司</t>
  </si>
  <si>
    <t>贵州旺多多商贸有限责任公司</t>
  </si>
  <si>
    <t>小凉妹</t>
  </si>
  <si>
    <t>养真元健康管理(广东)集团有限公司</t>
  </si>
  <si>
    <t>八味小养</t>
  </si>
  <si>
    <t>济南瑜小然供应链管理有限公司</t>
  </si>
  <si>
    <t>思柏尔</t>
  </si>
  <si>
    <t>李彦彪</t>
  </si>
  <si>
    <t>沫格</t>
  </si>
  <si>
    <t>赵明英</t>
  </si>
  <si>
    <t>衡滔</t>
  </si>
  <si>
    <t>青岛酒巢网络科技有限公司</t>
  </si>
  <si>
    <t>白矖</t>
  </si>
  <si>
    <t>冯雨阳</t>
  </si>
  <si>
    <t>华鼎禧</t>
  </si>
  <si>
    <t>木生毕方</t>
  </si>
  <si>
    <t>赵家莹</t>
  </si>
  <si>
    <t>红鸿福</t>
  </si>
  <si>
    <t>福建太尔集团股份有限公司</t>
  </si>
  <si>
    <t>VLIKE</t>
  </si>
  <si>
    <t>钟金晖</t>
  </si>
  <si>
    <t>御鹿道</t>
  </si>
  <si>
    <t>长葛市龙振商贸有限公司</t>
  </si>
  <si>
    <t>龙溪郡</t>
  </si>
  <si>
    <t>青岛颂千露酒水有限公司</t>
  </si>
  <si>
    <t>锡江湖</t>
  </si>
  <si>
    <t>山西太和永康科技有限公司</t>
  </si>
  <si>
    <t>蔬益满满</t>
  </si>
  <si>
    <t>宜宾酒之源生态酒业研发有限公司</t>
  </si>
  <si>
    <t>苗篮</t>
  </si>
  <si>
    <t>益阳景民药业股份有限公司</t>
  </si>
  <si>
    <t>徐菲然</t>
  </si>
  <si>
    <t>上海麒麒隆文化传播有限公司</t>
  </si>
  <si>
    <t>麒麒隆猿山</t>
  </si>
  <si>
    <t>河南润辉生态农业开发有限公司</t>
  </si>
  <si>
    <t>天目山半拉井</t>
  </si>
  <si>
    <t>亿杯盛</t>
  </si>
  <si>
    <t>杨桢琦</t>
  </si>
  <si>
    <t>金石库</t>
  </si>
  <si>
    <t>贵州裕贡古老酒业有限公司</t>
  </si>
  <si>
    <t>相待</t>
  </si>
  <si>
    <t>回忆想</t>
  </si>
  <si>
    <t>俏度</t>
  </si>
  <si>
    <t>何经龙</t>
  </si>
  <si>
    <t>麦力达 MAYLIDA</t>
  </si>
  <si>
    <t>茅礼科技集团有限公司</t>
  </si>
  <si>
    <t>铁盖鳄</t>
  </si>
  <si>
    <t>阜南县矿盛酒业厂</t>
  </si>
  <si>
    <t>矿盛</t>
  </si>
  <si>
    <t>和康媛</t>
  </si>
  <si>
    <t>和小媛</t>
  </si>
  <si>
    <t>孙昊烨</t>
  </si>
  <si>
    <t>鸥自在</t>
  </si>
  <si>
    <t>上海华丰食品有限公司</t>
  </si>
  <si>
    <t>梅香醉月</t>
  </si>
  <si>
    <t>广州龙之梦文化传播有限公司</t>
  </si>
  <si>
    <t>吖啰耶</t>
  </si>
  <si>
    <t>西安昆仑雪制冷设备有限公司</t>
  </si>
  <si>
    <t>紫祁</t>
  </si>
  <si>
    <t>云南态洲餐饮有限公司</t>
  </si>
  <si>
    <t>态庭</t>
  </si>
  <si>
    <t>刘静怡</t>
  </si>
  <si>
    <t>三餐四时</t>
  </si>
  <si>
    <t>宁德市蕉城区岚姑娘农业专业合作社</t>
  </si>
  <si>
    <t>岚姑娘</t>
  </si>
  <si>
    <t>曾舒荣</t>
  </si>
  <si>
    <t>句鉴</t>
  </si>
  <si>
    <t>四川云泽天下软件科技有限公司</t>
  </si>
  <si>
    <t>叁衫绘 慢生活+文创坊·每一座城市的温度</t>
  </si>
  <si>
    <t>贵州三力制药股份有限公司</t>
  </si>
  <si>
    <t>开开侠</t>
  </si>
  <si>
    <t>温菊</t>
  </si>
  <si>
    <t>礼甸</t>
  </si>
  <si>
    <t>宁波市明怀智能科技有限公司</t>
  </si>
  <si>
    <t>双苑湾</t>
  </si>
  <si>
    <t>中东云科技集团有限公司</t>
  </si>
  <si>
    <t>葛志明</t>
  </si>
  <si>
    <t>葛葛吉祥</t>
  </si>
  <si>
    <t>四川国派酒业有限公司</t>
  </si>
  <si>
    <t>麓鸣洞</t>
  </si>
  <si>
    <t>四川活出精彩酒业有限公司</t>
  </si>
  <si>
    <t>问宙</t>
  </si>
  <si>
    <t>内蒙古云中酒业有限责任公司</t>
  </si>
  <si>
    <t>北京漫味绿洲餐饮管理有限公司</t>
  </si>
  <si>
    <t>漫味绿洲</t>
  </si>
  <si>
    <t>网易(杭州)网络有限公司</t>
  </si>
  <si>
    <t>EGGY PARTY</t>
  </si>
  <si>
    <t>河南闹乐网络科技有限公司</t>
  </si>
  <si>
    <t>云潭</t>
  </si>
  <si>
    <t>益凤堂供应链(中山)有限公司</t>
  </si>
  <si>
    <t>有本堂</t>
  </si>
  <si>
    <t>贵州省仁怀市泽臻酒业有限公司</t>
  </si>
  <si>
    <t>汉臻重要人</t>
  </si>
  <si>
    <t>符酉万签(北京)控股发展有限公司</t>
  </si>
  <si>
    <t>LOOK YOOO</t>
  </si>
  <si>
    <t>张建</t>
  </si>
  <si>
    <t>鲁班石</t>
  </si>
  <si>
    <t>王吉虎</t>
  </si>
  <si>
    <t>王吉虎 酒</t>
  </si>
  <si>
    <t>湖北汉粮液酒业有限公司</t>
  </si>
  <si>
    <t>金浆汉粮液</t>
  </si>
  <si>
    <t>贵州仁义天下文化传媒有限公司</t>
  </si>
  <si>
    <t>仁义天下</t>
  </si>
  <si>
    <t>金帝食品有限公司</t>
  </si>
  <si>
    <t>美滋滋</t>
  </si>
  <si>
    <t>贵州宝洞酒业有限公司</t>
  </si>
  <si>
    <t>宝硐</t>
  </si>
  <si>
    <t>董建茵</t>
  </si>
  <si>
    <t>仙坛山</t>
  </si>
  <si>
    <t>中国三农供销控股集团有限公司</t>
  </si>
  <si>
    <t>文山阿玛农业发展有限公司</t>
  </si>
  <si>
    <t>陈勇之</t>
  </si>
  <si>
    <t>骁泽</t>
  </si>
  <si>
    <t>河北兆隆实业集团有限公司</t>
  </si>
  <si>
    <t>兆隆实业 ZHAOLONG INDUSTRIAL</t>
  </si>
  <si>
    <t>罗兴祥</t>
  </si>
  <si>
    <t>翠祥</t>
  </si>
  <si>
    <t>邱龙伟</t>
  </si>
  <si>
    <t>汉龙怡</t>
  </si>
  <si>
    <t>安徽穆医堂电子商务有限公司</t>
  </si>
  <si>
    <t>穆一堂</t>
  </si>
  <si>
    <t>湖南竹芝实业有限责任公司</t>
  </si>
  <si>
    <t>笋香飞锅</t>
  </si>
  <si>
    <t>游牧族投资(深圳)有限公司</t>
  </si>
  <si>
    <t>小白过过</t>
  </si>
  <si>
    <t>谭凤龙</t>
  </si>
  <si>
    <t>岫乡源</t>
  </si>
  <si>
    <t>山东三角洲孤岛酒业有限公司</t>
  </si>
  <si>
    <t>醉兰潭</t>
  </si>
  <si>
    <t>黄文龙</t>
  </si>
  <si>
    <t>恒禾氿</t>
  </si>
  <si>
    <t>常发宗藏</t>
  </si>
  <si>
    <t>王法壮</t>
  </si>
  <si>
    <t>绿春县沁灵茶业有限公司</t>
  </si>
  <si>
    <t>松东壹号</t>
  </si>
  <si>
    <t>陈文欣</t>
  </si>
  <si>
    <t>SENIOR CHEN</t>
  </si>
  <si>
    <t>重庆瓶子星球酒业集团有限公司</t>
  </si>
  <si>
    <t>热烈</t>
  </si>
  <si>
    <t>澳大利亚麦克酒业有限公司</t>
  </si>
  <si>
    <t>MILLON</t>
  </si>
  <si>
    <t>义乌市韵炅电子商务商行</t>
  </si>
  <si>
    <t>甘樽</t>
  </si>
  <si>
    <t>刘婕</t>
  </si>
  <si>
    <t>十二沧</t>
  </si>
  <si>
    <t>北京天安门国际旅行社有限公司</t>
  </si>
  <si>
    <t>卓越</t>
  </si>
  <si>
    <t>卓和记</t>
  </si>
  <si>
    <t>海南阳麦投资有限公司</t>
  </si>
  <si>
    <t>潘族窑藏</t>
  </si>
  <si>
    <t>石贵峰</t>
  </si>
  <si>
    <t>绿恒益</t>
  </si>
  <si>
    <t>四川省成都市云天酒业有限公司</t>
  </si>
  <si>
    <t>翰墨江湖</t>
  </si>
  <si>
    <t>天津福多多生物科技发展有限公司</t>
  </si>
  <si>
    <t>仲景娴</t>
  </si>
  <si>
    <t>齐俊宁</t>
  </si>
  <si>
    <t>宁宵</t>
  </si>
  <si>
    <t>上海萃可品牌管理有限公司</t>
  </si>
  <si>
    <t>协畅源</t>
  </si>
  <si>
    <t>青岛明月安欣营养科技有限公司</t>
  </si>
  <si>
    <t>明月安欣 BRIGHT MOON ANXIN</t>
  </si>
  <si>
    <t>黄山市三祈生物医药科技有限公司</t>
  </si>
  <si>
    <t>新安医圣</t>
  </si>
  <si>
    <t>杭州叶华酒业有限公司</t>
  </si>
  <si>
    <t>吾爱零</t>
  </si>
  <si>
    <t>武汉新合蛋仔煌生物科技有限公司</t>
  </si>
  <si>
    <t>新合蛋仔煌生物</t>
  </si>
  <si>
    <t>泰瑞斯安吉国际有限公司</t>
  </si>
  <si>
    <t>梯际</t>
  </si>
  <si>
    <t>深圳市探索家工业设计有限公司</t>
  </si>
  <si>
    <t>洛冰狐</t>
  </si>
  <si>
    <t>田云召</t>
  </si>
  <si>
    <t>豫碗居</t>
  </si>
  <si>
    <t>裕碗居</t>
  </si>
  <si>
    <t>郑文花</t>
  </si>
  <si>
    <t>璞宇花</t>
  </si>
  <si>
    <t>深圳市姜子牙酒业有限公司</t>
  </si>
  <si>
    <t>满船1号</t>
  </si>
  <si>
    <t>乔书安</t>
  </si>
  <si>
    <t>京泊</t>
  </si>
  <si>
    <t>孟明涛</t>
  </si>
  <si>
    <t>牧汣池</t>
  </si>
  <si>
    <t>胡艳辉</t>
  </si>
  <si>
    <t>观纯</t>
  </si>
  <si>
    <t>贵州虹楚传媒有限责任公司</t>
  </si>
  <si>
    <t>虹楚酒</t>
  </si>
  <si>
    <t>深圳威赞国际贸易有限公司</t>
  </si>
  <si>
    <t>英伦世嘉</t>
  </si>
  <si>
    <t>田新勇</t>
  </si>
  <si>
    <t>川花令</t>
  </si>
  <si>
    <t>中易医学研究院(厦门)有限公司</t>
  </si>
  <si>
    <t>点导点</t>
  </si>
  <si>
    <t>怡清舒</t>
  </si>
  <si>
    <t>纪小琴</t>
  </si>
  <si>
    <t>山边红</t>
  </si>
  <si>
    <t>史超</t>
  </si>
  <si>
    <t>绥芬河市恒佳进出口贸易有限公司</t>
  </si>
  <si>
    <t>BAHTEPA</t>
  </si>
  <si>
    <t>刘凤兰</t>
  </si>
  <si>
    <t>娄氏元养</t>
  </si>
  <si>
    <t>广州平行线国际文化艺术有限公司</t>
  </si>
  <si>
    <t>老篷</t>
  </si>
  <si>
    <t>铜陵恒古拉莓茶科技有限公司</t>
  </si>
  <si>
    <t>恒古拉</t>
  </si>
  <si>
    <t>元林祥</t>
  </si>
  <si>
    <t>逍窈</t>
  </si>
  <si>
    <t>九贺</t>
  </si>
  <si>
    <t>重庆江小白品牌管理有限公司</t>
  </si>
  <si>
    <t>直见</t>
  </si>
  <si>
    <t>蔡志伟</t>
  </si>
  <si>
    <t>乐金城</t>
  </si>
  <si>
    <t>上海酒好这杯供应链管理有限公司</t>
  </si>
  <si>
    <t>索奈斯公牛</t>
  </si>
  <si>
    <t>李鑫</t>
  </si>
  <si>
    <t>VMAO</t>
  </si>
  <si>
    <t>贵州名公酒业有限公司</t>
  </si>
  <si>
    <t>名公巨贤</t>
  </si>
  <si>
    <t>大连和硕科技发展有限公司</t>
  </si>
  <si>
    <t>搏连</t>
  </si>
  <si>
    <t>御九象(北京)科技有限公司</t>
  </si>
  <si>
    <t>舍得珍酿</t>
  </si>
  <si>
    <t>四川有缘酒电子商务有限公司</t>
  </si>
  <si>
    <t>浅白醺</t>
  </si>
  <si>
    <t>绍兴市王阳明研究会</t>
  </si>
  <si>
    <t>美桥湾</t>
  </si>
  <si>
    <t>刘升</t>
  </si>
  <si>
    <t>淳化县果业服务中心</t>
  </si>
  <si>
    <t>山西国鋆晟博企业管理发展有限公司</t>
  </si>
  <si>
    <t>云远清</t>
  </si>
  <si>
    <t>北京季季精彩文化科技有限公司</t>
  </si>
  <si>
    <t>艺冰泉</t>
  </si>
  <si>
    <t>姚鹏</t>
  </si>
  <si>
    <t>翁乐源</t>
  </si>
  <si>
    <t>宋承龙</t>
  </si>
  <si>
    <t>朴素道</t>
  </si>
  <si>
    <t>珙泉</t>
  </si>
  <si>
    <t>蔬生益</t>
  </si>
  <si>
    <t>信士达商业有限公司</t>
  </si>
  <si>
    <t>优乐惠 UEHUI</t>
  </si>
  <si>
    <t>四川晨禾电机制造有限公司</t>
  </si>
  <si>
    <t>巨灵</t>
  </si>
  <si>
    <t>上海逅麦贸易有限公司</t>
  </si>
  <si>
    <t>LPLQ</t>
  </si>
  <si>
    <t>湖南新磨氏品牌管理有限公司</t>
  </si>
  <si>
    <t>旺松</t>
  </si>
  <si>
    <t>许万春</t>
  </si>
  <si>
    <t>艺难忘</t>
  </si>
  <si>
    <t>东营集智创想品牌设计有限公司</t>
  </si>
  <si>
    <t>捚耀敬贽</t>
  </si>
  <si>
    <t>武模一</t>
  </si>
  <si>
    <t>熙春阳</t>
  </si>
  <si>
    <t>贵州省仁怀市九实酒业有限公司</t>
  </si>
  <si>
    <t>酉视野</t>
  </si>
  <si>
    <t>衢州市博特化工有限公司</t>
  </si>
  <si>
    <t>合因元</t>
  </si>
  <si>
    <t>万古梦</t>
  </si>
  <si>
    <t>杨银</t>
  </si>
  <si>
    <t>陇客酒</t>
  </si>
  <si>
    <t>高新温泉黄玲通城纯粮酒店</t>
  </si>
  <si>
    <t>老镇爹爹</t>
  </si>
  <si>
    <t>谭龙海</t>
  </si>
  <si>
    <t>帝皇山河</t>
  </si>
  <si>
    <t>河南共创会商业运营管理有限公司</t>
  </si>
  <si>
    <t>板儿砖兄弟</t>
  </si>
  <si>
    <t>贵州京谭酒业有限责任公司</t>
  </si>
  <si>
    <t>九味蜀</t>
  </si>
  <si>
    <t>合肥禾之航餐饮管理有限公司</t>
  </si>
  <si>
    <t>喜望淮</t>
  </si>
  <si>
    <t>成都耍豆哥供应链管理有限公司</t>
  </si>
  <si>
    <t>耍豆哥</t>
  </si>
  <si>
    <t>程斌</t>
  </si>
  <si>
    <t>矜亦福</t>
  </si>
  <si>
    <t>蒙特盖酿酒有限公司</t>
  </si>
  <si>
    <t>凯珊禧年</t>
  </si>
  <si>
    <t>易易特生物科技(上海)有限公司</t>
  </si>
  <si>
    <t>星月缔特泥</t>
  </si>
  <si>
    <t>贵州乡韵旅游文化有限公司</t>
  </si>
  <si>
    <t>卿宴</t>
  </si>
  <si>
    <t>湖南传递幸福科技有限公司</t>
  </si>
  <si>
    <t>XKA</t>
  </si>
  <si>
    <t>贵州省仁怀市茅台镇酒神酒厂</t>
  </si>
  <si>
    <t>酒神匠工</t>
  </si>
  <si>
    <t>河南双连壶酒业有限公司</t>
  </si>
  <si>
    <t>北丐</t>
  </si>
  <si>
    <t>湖北农员外生态农业有限公司</t>
  </si>
  <si>
    <t>农员外</t>
  </si>
  <si>
    <t>山西康园泰农业股份有限公司</t>
  </si>
  <si>
    <t>古绛三红</t>
  </si>
  <si>
    <t>京品赋</t>
  </si>
  <si>
    <t>卜燕平</t>
  </si>
  <si>
    <t>粱仙泓</t>
  </si>
  <si>
    <t>珙泉鱼竹人家</t>
  </si>
  <si>
    <t>谷味姚</t>
  </si>
  <si>
    <t>鄂州市彤晴万商贸有限公司</t>
  </si>
  <si>
    <t>佶愔</t>
  </si>
  <si>
    <t>上饶银行</t>
  </si>
  <si>
    <t>江苏冰奇灵企业管理有限公司</t>
  </si>
  <si>
    <t>冰奇灵</t>
  </si>
  <si>
    <t>武汉市相羽电子商务有限公司</t>
  </si>
  <si>
    <t>洛疆颂</t>
  </si>
  <si>
    <t>浅白一笑温</t>
  </si>
  <si>
    <t>王鑫垚</t>
  </si>
  <si>
    <t>金动</t>
  </si>
  <si>
    <t>应义锋</t>
  </si>
  <si>
    <t>地方潭</t>
  </si>
  <si>
    <t>云南长源餐饮管理有限公司</t>
  </si>
  <si>
    <t>云阿蛮</t>
  </si>
  <si>
    <t>山东迪巧生物科技有限公司</t>
  </si>
  <si>
    <t>淡雅红宝坊</t>
  </si>
  <si>
    <t>汕尾市圣然文旅有限公司</t>
  </si>
  <si>
    <t>汕海香阁</t>
  </si>
  <si>
    <t>贵州赖茅酒业有限公司</t>
  </si>
  <si>
    <t>岁酝天和</t>
  </si>
  <si>
    <t>河北冀约科技有限公司</t>
  </si>
  <si>
    <t>冀约</t>
  </si>
  <si>
    <t>段明发</t>
  </si>
  <si>
    <t>食神探</t>
  </si>
  <si>
    <t>刘功好</t>
  </si>
  <si>
    <t>钓福仙</t>
  </si>
  <si>
    <t>刘晔</t>
  </si>
  <si>
    <t>活力彩虹</t>
  </si>
  <si>
    <t>彭志云</t>
  </si>
  <si>
    <t>庞台</t>
  </si>
  <si>
    <t>王政备</t>
  </si>
  <si>
    <t>雩泉春</t>
  </si>
  <si>
    <t>中华龙酒业(来凤)有限公司</t>
  </si>
  <si>
    <t>鄂飞龙</t>
  </si>
  <si>
    <t>纪梵雅(云南)生物科技有限公司</t>
  </si>
  <si>
    <t>星艺风</t>
  </si>
  <si>
    <t>张垚</t>
  </si>
  <si>
    <t>华龙恒青</t>
  </si>
  <si>
    <t>广州影子科技有限公司</t>
  </si>
  <si>
    <t>万得厨膳音</t>
  </si>
  <si>
    <t>川龙令</t>
  </si>
  <si>
    <t>河南嘉贝斯商贸有限公司</t>
  </si>
  <si>
    <t>嘉贝斯</t>
  </si>
  <si>
    <t>怡霜露</t>
  </si>
  <si>
    <t>杨磊科</t>
  </si>
  <si>
    <t>WOCHENG</t>
  </si>
  <si>
    <t>佘锦亮</t>
  </si>
  <si>
    <t>谢自</t>
  </si>
  <si>
    <t>刘玉霞</t>
  </si>
  <si>
    <t>神图典藏</t>
  </si>
  <si>
    <t>吴承蔓</t>
  </si>
  <si>
    <t>佬岷源</t>
  </si>
  <si>
    <t>鄂尔多斯市久久酒业有限责任公司</t>
  </si>
  <si>
    <t>朴之液大有可为</t>
  </si>
  <si>
    <t>贵州传承人酒业有限公司仁怀分公司</t>
  </si>
  <si>
    <t>青宁未智</t>
  </si>
  <si>
    <t>深藏不露(上海)品牌管理有限公司</t>
  </si>
  <si>
    <t>七武海果真</t>
  </si>
  <si>
    <t>厦门龄澜合伙企业(有限合伙)</t>
  </si>
  <si>
    <t>MMSEE</t>
  </si>
  <si>
    <t>贵州省仁怀市醉一回酒业销售有限公司</t>
  </si>
  <si>
    <t>酌酕</t>
  </si>
  <si>
    <t>青岛弘瑞健康管理有限公司</t>
  </si>
  <si>
    <t>YIMUFANGHUA</t>
  </si>
  <si>
    <t>德国野格啤酒(中国)有限公司</t>
  </si>
  <si>
    <t>力动X宝乐</t>
  </si>
  <si>
    <t>盛高建</t>
  </si>
  <si>
    <t>庆师翁</t>
  </si>
  <si>
    <t>狄希文化传播(定州)有限公司</t>
  </si>
  <si>
    <t>狄千日</t>
  </si>
  <si>
    <t>吴威</t>
  </si>
  <si>
    <t>粮仓巷</t>
  </si>
  <si>
    <t>淮诗坊</t>
  </si>
  <si>
    <t>河南礼道粮油有限公司</t>
  </si>
  <si>
    <t>十八里红天时</t>
  </si>
  <si>
    <t>山西融科农林科技有限公司</t>
  </si>
  <si>
    <t>洞观壁藏</t>
  </si>
  <si>
    <t>石丽娜</t>
  </si>
  <si>
    <t>宴香来</t>
  </si>
  <si>
    <t>河南锦坛餐饮管理有限公司</t>
  </si>
  <si>
    <t>无忧阿姨</t>
  </si>
  <si>
    <t>宁波东利文化传媒有限公司</t>
  </si>
  <si>
    <t>东利盈图</t>
  </si>
  <si>
    <t>泉州市洛江区双阳东芳吉商贸行</t>
  </si>
  <si>
    <t>丰心</t>
  </si>
  <si>
    <t>仪陇县安旭梅花鹿养殖家庭农场</t>
  </si>
  <si>
    <t>德乡鹿</t>
  </si>
  <si>
    <t>河北存辉商贸有限公司</t>
  </si>
  <si>
    <t>五方盈</t>
  </si>
  <si>
    <t>德中双元科创发展(安徽)有限公司</t>
  </si>
  <si>
    <t>筠麓</t>
  </si>
  <si>
    <t>甘肃韵盛合房地产开发有限公司</t>
  </si>
  <si>
    <t>嘉韵名和</t>
  </si>
  <si>
    <t>吐鲁番市玖鑫源商贸有限公司</t>
  </si>
  <si>
    <t>马姐有礼</t>
  </si>
  <si>
    <t>忻州市拾陆拾柒商贸有限公司</t>
  </si>
  <si>
    <t>西大人</t>
  </si>
  <si>
    <t>池州市泉杏灵峰文化旅游发展有限公司</t>
  </si>
  <si>
    <t>马小伢</t>
  </si>
  <si>
    <t>泸州老窖股份有限公司</t>
  </si>
  <si>
    <t>逸彩韵和</t>
  </si>
  <si>
    <t>台州市汉邦美术馆</t>
  </si>
  <si>
    <t>香见浙里</t>
  </si>
  <si>
    <t>钱嘉诚</t>
  </si>
  <si>
    <t>得仙儿</t>
  </si>
  <si>
    <t>种百平</t>
  </si>
  <si>
    <t>罗曼汀</t>
  </si>
  <si>
    <t>东莞市虎门酉言酒类商行</t>
  </si>
  <si>
    <t>杭州恒达酒业有限公司</t>
  </si>
  <si>
    <t>澹洲一点劲</t>
  </si>
  <si>
    <t>四川新源华泽酒业有限公司</t>
  </si>
  <si>
    <t>颐清雅</t>
  </si>
  <si>
    <t>福建省安溪荣毅茶叶有限公司</t>
  </si>
  <si>
    <t>小憩亭苑</t>
  </si>
  <si>
    <t>上海五指数字科技集团有限公司</t>
  </si>
  <si>
    <t>心灵一号尚道</t>
  </si>
  <si>
    <t>王荣碧</t>
  </si>
  <si>
    <t>华荣盛</t>
  </si>
  <si>
    <t>成都千手合月商贸有限公司</t>
  </si>
  <si>
    <t>诗魂酒韵陆游</t>
  </si>
  <si>
    <t>岭南西关(广州)饮食文化有限公司</t>
  </si>
  <si>
    <t>味源御品</t>
  </si>
  <si>
    <t>山西晋绥给养红色文化旅游发展有限公司</t>
  </si>
  <si>
    <t>誉聍</t>
  </si>
  <si>
    <t>山东安然纳米实业发展有限公司</t>
  </si>
  <si>
    <t>乌润华首</t>
  </si>
  <si>
    <t>佛山市嘉德生态农业有限公司</t>
  </si>
  <si>
    <t>内蒙古谷与稻酒业有限公司</t>
  </si>
  <si>
    <t>红山魂</t>
  </si>
  <si>
    <t>西安帝召醇酒业有限公司</t>
  </si>
  <si>
    <t>公召醇</t>
  </si>
  <si>
    <t>贵州省仁怀市瑞台酒业有限公司</t>
  </si>
  <si>
    <t>瑞台馆</t>
  </si>
  <si>
    <t>袁锷</t>
  </si>
  <si>
    <t>潻酒潻福</t>
  </si>
  <si>
    <t>吴勋全</t>
  </si>
  <si>
    <t>分水吴全</t>
  </si>
  <si>
    <t>金平佳合农业科技开发有限公司</t>
  </si>
  <si>
    <t>长森岭</t>
  </si>
  <si>
    <t>黄正雄</t>
  </si>
  <si>
    <t>简厨匠造</t>
  </si>
  <si>
    <t>吴海楠</t>
  </si>
  <si>
    <t>品鹤醉</t>
  </si>
  <si>
    <t>义乌市以便以谢贸易有限公司</t>
  </si>
  <si>
    <t>熙芝堂</t>
  </si>
  <si>
    <t>深圳润天成实业贸易有限公司</t>
  </si>
  <si>
    <t>TAO XIAO LENG</t>
  </si>
  <si>
    <t>海南正业实业有限公司</t>
  </si>
  <si>
    <t>塞伦迪皮亚 SERENDIPIA</t>
  </si>
  <si>
    <t>沭阳县帝欣商贸有限公司</t>
  </si>
  <si>
    <t>沭水乡贤</t>
  </si>
  <si>
    <t>贵州省仁怀市三味酒屋酒业有限公司</t>
  </si>
  <si>
    <t>三味之元</t>
  </si>
  <si>
    <t>上海乐斯卡贸易有限公司</t>
  </si>
  <si>
    <t>KORVO BARRELS</t>
  </si>
  <si>
    <t>双喜(浙江)食品有限公司</t>
  </si>
  <si>
    <t>最耀囍 最双囍</t>
  </si>
  <si>
    <t>夻赤</t>
  </si>
  <si>
    <t>贵州黔味食品开发有限责任公司</t>
  </si>
  <si>
    <t>乐吾界</t>
  </si>
  <si>
    <t>安徽金谷酿酒业有限公司</t>
  </si>
  <si>
    <t>宇君台</t>
  </si>
  <si>
    <t>张俊飞</t>
  </si>
  <si>
    <t>壹号汇 五三五九 一生朋友 溢陈</t>
  </si>
  <si>
    <t>深圳市智源恒管理咨询有限公司</t>
  </si>
  <si>
    <t>崃福士</t>
  </si>
  <si>
    <t>虹楚传奇</t>
  </si>
  <si>
    <t>浙江开旅控股有限公司</t>
  </si>
  <si>
    <t>开旅</t>
  </si>
  <si>
    <t>笋乡飞鸽</t>
  </si>
  <si>
    <t>竹清洞</t>
  </si>
  <si>
    <t>美集美嘉(青岛)国际供应链有限公司</t>
  </si>
  <si>
    <t>鹰慕山</t>
  </si>
  <si>
    <t>德化县我师食品行</t>
  </si>
  <si>
    <t>忆源头</t>
  </si>
  <si>
    <t>肖启斌</t>
  </si>
  <si>
    <t>茹馨锦锦</t>
  </si>
  <si>
    <t>赵玉坤</t>
  </si>
  <si>
    <t>芙鎏</t>
  </si>
  <si>
    <t>吴亚君</t>
  </si>
  <si>
    <t>畅堡</t>
  </si>
  <si>
    <t>智慧城投(南京)信息科技有限公司</t>
  </si>
  <si>
    <t>拾柒窟</t>
  </si>
  <si>
    <t>台州市皇家巨丰酒业有限公司</t>
  </si>
  <si>
    <t>巨丰火凤凰</t>
  </si>
  <si>
    <t>桂将</t>
  </si>
  <si>
    <t>宾利投资管理股份有限公司</t>
  </si>
  <si>
    <t>河南睢酒品牌管理有限公司</t>
  </si>
  <si>
    <t>睢 睢酒</t>
  </si>
  <si>
    <t>睢酒神</t>
  </si>
  <si>
    <t>黄鹤楼酒业有限公司</t>
  </si>
  <si>
    <t>黄鹤楼 酒</t>
  </si>
  <si>
    <t>石嘴山市丰本(集团)发展有限公司</t>
  </si>
  <si>
    <t>佩泽维丽 PEARLS OF VITALITY</t>
  </si>
  <si>
    <t>田路姐</t>
  </si>
  <si>
    <t>太皇九尊</t>
  </si>
  <si>
    <t>吴爱芝</t>
  </si>
  <si>
    <t>蓝魂</t>
  </si>
  <si>
    <t>贵州友兴台酒业有限公司</t>
  </si>
  <si>
    <t>友兴台</t>
  </si>
  <si>
    <t>贵州省仁怀市三合恒升酒业有限公司</t>
  </si>
  <si>
    <t>三合恒升 如月</t>
  </si>
  <si>
    <t>杭州千岛金久酒业有限公司</t>
  </si>
  <si>
    <t>TB DISTILLERY</t>
  </si>
  <si>
    <t>郑州福资贸易有限公司</t>
  </si>
  <si>
    <t>壮悍</t>
  </si>
  <si>
    <t>贵州万国贸易有限公司</t>
  </si>
  <si>
    <t>半巷</t>
  </si>
  <si>
    <t>上海阡上花信息科技有限公司</t>
  </si>
  <si>
    <t>NACY SEVEN</t>
  </si>
  <si>
    <t>陈晓程</t>
  </si>
  <si>
    <t>花花爱发呆</t>
  </si>
  <si>
    <t>赤峰市花漾企业管理咨询有限公司</t>
  </si>
  <si>
    <t>粟谷穗</t>
  </si>
  <si>
    <t>刘建伟</t>
  </si>
  <si>
    <t>蚂蚁奇兵</t>
  </si>
  <si>
    <t>沟沙渠</t>
  </si>
  <si>
    <t>董海忠</t>
  </si>
  <si>
    <t>聿源泉</t>
  </si>
  <si>
    <t>河南鲸鸿酒业有限公司</t>
  </si>
  <si>
    <t>陶録</t>
  </si>
  <si>
    <t>山西鸿泉酒业有限公司</t>
  </si>
  <si>
    <t>范小粮</t>
  </si>
  <si>
    <t>甘威拉育汀素吉</t>
  </si>
  <si>
    <t>李洪辉</t>
  </si>
  <si>
    <t>东极鹿</t>
  </si>
  <si>
    <t>汉中略康源酒业有限公司</t>
  </si>
  <si>
    <t>略康源</t>
  </si>
  <si>
    <t>浙江佰选贸易有限公司</t>
  </si>
  <si>
    <t>枝己遇见</t>
  </si>
  <si>
    <t>雷雷果</t>
  </si>
  <si>
    <t>河北绿福达实业集团有限公司</t>
  </si>
  <si>
    <t>皇承天德皇坛御窖</t>
  </si>
  <si>
    <t>期福(厦门)贸易有限公司</t>
  </si>
  <si>
    <t>吉龙舞春</t>
  </si>
  <si>
    <t>王东</t>
  </si>
  <si>
    <t>仁兴酒庄</t>
  </si>
  <si>
    <t>遵义湘商酒业有限公司</t>
  </si>
  <si>
    <t>遵湘匠</t>
  </si>
  <si>
    <t>王婷</t>
  </si>
  <si>
    <t>九色石</t>
  </si>
  <si>
    <t>高平市天元钱店艺术品有限公司</t>
  </si>
  <si>
    <t>牛皮桥</t>
  </si>
  <si>
    <t>贵州省仁怀市鸿海酒业有限公司</t>
  </si>
  <si>
    <t>潮云台</t>
  </si>
  <si>
    <t>王力</t>
  </si>
  <si>
    <t>久享拾光</t>
  </si>
  <si>
    <t>孙丽霞</t>
  </si>
  <si>
    <t>河驼王</t>
  </si>
  <si>
    <t>江苏京赛酒业发展有限公司</t>
  </si>
  <si>
    <t>祥圆</t>
  </si>
  <si>
    <t>李金蔚</t>
  </si>
  <si>
    <t>嵩栢年</t>
  </si>
  <si>
    <t>卡尔·马丁内斯·索利斯</t>
  </si>
  <si>
    <t>A AVORO</t>
  </si>
  <si>
    <t>王新永</t>
  </si>
  <si>
    <t>中</t>
  </si>
  <si>
    <t>陶语记(广州)酒业有限公司</t>
  </si>
  <si>
    <t>NECTARLOGUE</t>
  </si>
  <si>
    <t>山西鑫宇泽科技有限责任公司</t>
  </si>
  <si>
    <t>大丰乐选</t>
  </si>
  <si>
    <t>黄苍民</t>
  </si>
  <si>
    <t>野贝行五通</t>
  </si>
  <si>
    <t>年礼学</t>
  </si>
  <si>
    <t>源素优农</t>
  </si>
  <si>
    <t>孟桂妹</t>
  </si>
  <si>
    <t>生命旗舰</t>
  </si>
  <si>
    <t>四川宜宾鸡五泽酒业有限公司</t>
  </si>
  <si>
    <t>银环拴宝</t>
  </si>
  <si>
    <t>泸州金杯酿酒厂</t>
  </si>
  <si>
    <t>泸龙酒庄工匠</t>
  </si>
  <si>
    <t>贵州酱酒集团有限公司</t>
  </si>
  <si>
    <t>贵筑令</t>
  </si>
  <si>
    <t>深圳市新荣阳食品科技有限公司</t>
  </si>
  <si>
    <t>WING YEUNG</t>
  </si>
  <si>
    <t>怡海仲情酒壹号</t>
  </si>
  <si>
    <t>成都楼里商业管理有限公司</t>
  </si>
  <si>
    <t>岩蹊枞生</t>
  </si>
  <si>
    <t>景田(深圳)食品饮料集团有限公司</t>
  </si>
  <si>
    <t>景田</t>
  </si>
  <si>
    <t>金寨好客酒业有限公司</t>
  </si>
  <si>
    <t>寨好客</t>
  </si>
  <si>
    <t>湖北楚天人家酒业有限公司</t>
  </si>
  <si>
    <t>黄鹤湖 吹笛弄雪</t>
  </si>
  <si>
    <t>于初平</t>
  </si>
  <si>
    <t>跑胡子</t>
  </si>
  <si>
    <t>王利之</t>
  </si>
  <si>
    <t>平阔台</t>
  </si>
  <si>
    <t>安徽宣酒集团股份有限公司</t>
  </si>
  <si>
    <t>宣酒臻酿</t>
  </si>
  <si>
    <t>北京酒追誉贸易有限公司</t>
  </si>
  <si>
    <t>京台媛蒙</t>
  </si>
  <si>
    <t>浙江百臻控股集团有限公司</t>
  </si>
  <si>
    <t>归星·双鹭</t>
  </si>
  <si>
    <t>冯伟丰</t>
  </si>
  <si>
    <t>下各仙悦</t>
  </si>
  <si>
    <t>厦门淘瑞生物科技有限公司</t>
  </si>
  <si>
    <t>元气小树</t>
  </si>
  <si>
    <t>大连市福蕴嘉禧商贸有限公司</t>
  </si>
  <si>
    <t>玺禄百川</t>
  </si>
  <si>
    <t>张山</t>
  </si>
  <si>
    <t>韩乐多</t>
  </si>
  <si>
    <t>杭州铭尼供应链管理有限公司</t>
  </si>
  <si>
    <t>态农意 STATE NONG YI</t>
  </si>
  <si>
    <t>山东益得来生物科技有限公司</t>
  </si>
  <si>
    <t>益得来</t>
  </si>
  <si>
    <t>贺凌飞</t>
  </si>
  <si>
    <t>喜剧熊</t>
  </si>
  <si>
    <t>贵州大峡谷酿酒有限公司</t>
  </si>
  <si>
    <t>大峡谷云图</t>
  </si>
  <si>
    <t>吉智强</t>
  </si>
  <si>
    <t>荆二爷</t>
  </si>
  <si>
    <t>李军锋</t>
  </si>
  <si>
    <t>皇院</t>
  </si>
  <si>
    <t>江西省滴水情矿泉水经营有限公司</t>
  </si>
  <si>
    <t>安润元炁山</t>
  </si>
  <si>
    <t>杯忘怀</t>
  </si>
  <si>
    <t>上海主之文化集团有限公司</t>
  </si>
  <si>
    <t>晓敏姐</t>
  </si>
  <si>
    <t>欧阳兆磊</t>
  </si>
  <si>
    <t>斟庄谣</t>
  </si>
  <si>
    <t>杨冰凤</t>
  </si>
  <si>
    <t>尹万家</t>
  </si>
  <si>
    <t>吴正</t>
  </si>
  <si>
    <t>湘唐</t>
  </si>
  <si>
    <t>吾等</t>
  </si>
  <si>
    <t>吉林省汉江里食品有限公司</t>
  </si>
  <si>
    <t>辛蒲里</t>
  </si>
  <si>
    <t>澄迈圣熙投资有限公司</t>
  </si>
  <si>
    <t>李氏三杰</t>
  </si>
  <si>
    <t>国科文创发展(深圳)有限公司</t>
  </si>
  <si>
    <t>石大人</t>
  </si>
  <si>
    <t>买天赐</t>
  </si>
  <si>
    <t>威然</t>
  </si>
  <si>
    <t>北京和愿心电子商务有限公司</t>
  </si>
  <si>
    <t>和愿心</t>
  </si>
  <si>
    <t>内蒙古寻起源农牧科技有限公司</t>
  </si>
  <si>
    <t>蒙牧仕</t>
  </si>
  <si>
    <t>贵州宏图九州生态农贸有限公司</t>
  </si>
  <si>
    <t>名门清</t>
  </si>
  <si>
    <t>宿迁金尊天叶酒业有限公司</t>
  </si>
  <si>
    <t>网富</t>
  </si>
  <si>
    <t>广东泰吉控股有限公司</t>
  </si>
  <si>
    <t>阿伟老师</t>
  </si>
  <si>
    <t>北京牛卡福网络科技有限公司</t>
  </si>
  <si>
    <t>牛卡福</t>
  </si>
  <si>
    <t>瑶琮</t>
  </si>
  <si>
    <t>西安中文投文化产业投资集团有限公司</t>
  </si>
  <si>
    <t>中文投</t>
  </si>
  <si>
    <t>嫘祖天禄(盐亭县)供应链管理有限公司</t>
  </si>
  <si>
    <t>嫘祖天禄</t>
  </si>
  <si>
    <t>山东大运河酒业有限公司</t>
  </si>
  <si>
    <t>大运河八方运</t>
  </si>
  <si>
    <t>贵州省仁怀市居奇酒业销售有限公司</t>
  </si>
  <si>
    <t>桐坛</t>
  </si>
  <si>
    <t>山东泽宁国际文化传媒有限公司</t>
  </si>
  <si>
    <t>考科泰优</t>
  </si>
  <si>
    <t>车宏征</t>
  </si>
  <si>
    <t>冷鑫</t>
  </si>
  <si>
    <t>冯宇芹</t>
  </si>
  <si>
    <t>云守中</t>
  </si>
  <si>
    <t>娄岭</t>
  </si>
  <si>
    <t>上海浩奈国际贸易有限公司</t>
  </si>
  <si>
    <t>LE BARRIQUES 6</t>
  </si>
  <si>
    <t>芦震</t>
  </si>
  <si>
    <t>左尚方</t>
  </si>
  <si>
    <t>史全牛</t>
  </si>
  <si>
    <t>纯运</t>
  </si>
  <si>
    <t>大福盛世御</t>
  </si>
  <si>
    <t>万里胜</t>
  </si>
  <si>
    <t>杭州三尺三服饰有限公司</t>
  </si>
  <si>
    <t>吾太极</t>
  </si>
  <si>
    <t>行八方</t>
  </si>
  <si>
    <t>杭州美酒河供应链科技有限公司</t>
  </si>
  <si>
    <t>粱之瑞</t>
  </si>
  <si>
    <t>绍兴市立天贸易有限公司</t>
  </si>
  <si>
    <t>谷雨俸藏</t>
  </si>
  <si>
    <t>高永亮</t>
  </si>
  <si>
    <t>代州皇</t>
  </si>
  <si>
    <t>杨会丽</t>
  </si>
  <si>
    <t>醉香冒</t>
  </si>
  <si>
    <t>赤峰套马杆酒业有限公司</t>
  </si>
  <si>
    <t>套马杆</t>
  </si>
  <si>
    <t>海口龙华启觅食品经营部(个体工商户)</t>
  </si>
  <si>
    <t>晋云关</t>
  </si>
  <si>
    <t>宁波盈星科技有限公司</t>
  </si>
  <si>
    <t>UME UNCOMMON ME</t>
  </si>
  <si>
    <t>悦茂食品有限公司</t>
  </si>
  <si>
    <t>伴粮辰</t>
  </si>
  <si>
    <t>胡方磊</t>
  </si>
  <si>
    <t>九华岁</t>
  </si>
  <si>
    <t>山东宗正药业有限公司</t>
  </si>
  <si>
    <t>宗正明珠</t>
  </si>
  <si>
    <t>浅白日月长</t>
  </si>
  <si>
    <t>张天石</t>
  </si>
  <si>
    <t>久水乡</t>
  </si>
  <si>
    <t>北京等距线科技有限公司</t>
  </si>
  <si>
    <t>赤河水天赐</t>
  </si>
  <si>
    <t>怡如故</t>
  </si>
  <si>
    <t>山西嘻哈哈科技有限公司</t>
  </si>
  <si>
    <t>怡庆缘</t>
  </si>
  <si>
    <t>曹玉梅</t>
  </si>
  <si>
    <t>路且长</t>
  </si>
  <si>
    <t>山东云门酒业股份有限公司</t>
  </si>
  <si>
    <t>云门清</t>
  </si>
  <si>
    <t>贵州醉山川酒业有限公司</t>
  </si>
  <si>
    <t>屿椿颂</t>
  </si>
  <si>
    <t>叶晓君</t>
  </si>
  <si>
    <t>黄河晟</t>
  </si>
  <si>
    <t>彭产兴</t>
  </si>
  <si>
    <t>耿昊德圣堂</t>
  </si>
  <si>
    <t>路广航</t>
  </si>
  <si>
    <t>京斋纪</t>
  </si>
  <si>
    <t>洪江市全星花果研发有限公司</t>
  </si>
  <si>
    <t>钦永食品</t>
  </si>
  <si>
    <t>甘肃陇酒壹号酒庄有限公司</t>
  </si>
  <si>
    <t>陇作壹号</t>
  </si>
  <si>
    <t>向佐化</t>
  </si>
  <si>
    <t>藏奇沟</t>
  </si>
  <si>
    <t>白迹</t>
  </si>
  <si>
    <t>蔬康乐</t>
  </si>
  <si>
    <t>希路斯国际有限公司</t>
  </si>
  <si>
    <t>希路斯</t>
  </si>
  <si>
    <t>丁象恒</t>
  </si>
  <si>
    <t>孙绍铨</t>
  </si>
  <si>
    <t>周海蛟</t>
  </si>
  <si>
    <t>蓟城八景</t>
  </si>
  <si>
    <t>河南威复康健康科技有限公司</t>
  </si>
  <si>
    <t>威复康</t>
  </si>
  <si>
    <t>聂日东</t>
  </si>
  <si>
    <t>桑之飘飘</t>
  </si>
  <si>
    <t>黄金国</t>
  </si>
  <si>
    <t>渡王爷</t>
  </si>
  <si>
    <t>泉江湖</t>
  </si>
  <si>
    <t>山西怡园酒庄有限公司</t>
  </si>
  <si>
    <t>德宁金酒</t>
  </si>
  <si>
    <t>深圳一言九鼎科技有限公司</t>
  </si>
  <si>
    <t>丰猫红</t>
  </si>
  <si>
    <t>武汉市优久商贸有限公司</t>
  </si>
  <si>
    <t>DRAGON&amp;GLORY</t>
  </si>
  <si>
    <t>厦门红途贸易有限公司</t>
  </si>
  <si>
    <t>格兰红途 GLENHOTTOO</t>
  </si>
  <si>
    <t>河南润瀚玻璃有限公司</t>
  </si>
  <si>
    <t>赴贺</t>
  </si>
  <si>
    <t>广州御茗春商贸有限公司</t>
  </si>
  <si>
    <t>潮乡佬</t>
  </si>
  <si>
    <t>李光霞</t>
  </si>
  <si>
    <t>德锦泉</t>
  </si>
  <si>
    <t>楚云强</t>
  </si>
  <si>
    <t>汉吉典藏</t>
  </si>
  <si>
    <t>上海查久科技有限公司</t>
  </si>
  <si>
    <t>久久壹路</t>
  </si>
  <si>
    <t>福建建州酒厂有限公司</t>
  </si>
  <si>
    <t>首莉青</t>
  </si>
  <si>
    <t>原建国</t>
  </si>
  <si>
    <t>SYW 山阳王</t>
  </si>
  <si>
    <t>贵州偶得酒业有限公司</t>
  </si>
  <si>
    <t>偶得玉禧</t>
  </si>
  <si>
    <t>百福和美</t>
  </si>
  <si>
    <t>裕后泉有限公司</t>
  </si>
  <si>
    <t>裕老大</t>
  </si>
  <si>
    <t>株式会社飞利德</t>
  </si>
  <si>
    <t>山西毅涵农业开发有限公司</t>
  </si>
  <si>
    <t>亿簇红</t>
  </si>
  <si>
    <t>云南蜂羚记实业有限公司</t>
  </si>
  <si>
    <t>灵滋嘉缘</t>
  </si>
  <si>
    <t>TERRACE EDGE</t>
  </si>
  <si>
    <t>鄢黎明</t>
  </si>
  <si>
    <t>则灵山水</t>
  </si>
  <si>
    <t>李继伟</t>
  </si>
  <si>
    <t>浙小台</t>
  </si>
  <si>
    <t>听粮匠酿</t>
  </si>
  <si>
    <t>桐粱</t>
  </si>
  <si>
    <t>郭正威</t>
  </si>
  <si>
    <t>云梦听雪</t>
  </si>
  <si>
    <t>大荒尚将</t>
  </si>
  <si>
    <t>赤藏河</t>
  </si>
  <si>
    <t>四川广汉金雁酒业有限公司</t>
  </si>
  <si>
    <t>金雁晴澜</t>
  </si>
  <si>
    <t>山西苦甜井醋业有限公司</t>
  </si>
  <si>
    <t>KUTIANJING</t>
  </si>
  <si>
    <t>四川省三苏酒业有限责任公司</t>
  </si>
  <si>
    <t>苏东坡书房</t>
  </si>
  <si>
    <t>湖南理想国文化旅游开发有限公司</t>
  </si>
  <si>
    <t>百草悦</t>
  </si>
  <si>
    <t>胡敏兰</t>
  </si>
  <si>
    <t>怀时</t>
  </si>
  <si>
    <t>好物(陕西)文化产业有限公司</t>
  </si>
  <si>
    <t>恰好物华</t>
  </si>
  <si>
    <t>张晨勇</t>
  </si>
  <si>
    <t>林泉信星</t>
  </si>
  <si>
    <t>张爱霞</t>
  </si>
  <si>
    <t>太瀚</t>
  </si>
  <si>
    <t>松姬</t>
  </si>
  <si>
    <t>王焕美</t>
  </si>
  <si>
    <t>招隐泉</t>
  </si>
  <si>
    <t>肖华</t>
  </si>
  <si>
    <t>川柔青</t>
  </si>
  <si>
    <t>甜蜜佳</t>
  </si>
  <si>
    <t>李志芬</t>
  </si>
  <si>
    <t>沧门关</t>
  </si>
  <si>
    <t>河北中酿进出口贸易有限公司</t>
  </si>
  <si>
    <t>岩图</t>
  </si>
  <si>
    <t>付恩碧</t>
  </si>
  <si>
    <t>湖南南洲酒业有限公司</t>
  </si>
  <si>
    <t>南洲玖柒</t>
  </si>
  <si>
    <t>朱文</t>
  </si>
  <si>
    <t>嘉龙池</t>
  </si>
  <si>
    <t>广州尉涞酒业有限公司</t>
  </si>
  <si>
    <t>玫汐</t>
  </si>
  <si>
    <t>范小光</t>
  </si>
  <si>
    <t>乐善通</t>
  </si>
  <si>
    <t>广州吉萌文化科技有限公司</t>
  </si>
  <si>
    <t>东坡清照</t>
  </si>
  <si>
    <t>广东渔晟农业科技有限公司</t>
  </si>
  <si>
    <t>渔晟园</t>
  </si>
  <si>
    <t>福建迈玖贸易有限公司</t>
  </si>
  <si>
    <t>顺友荟</t>
  </si>
  <si>
    <t>云门妙</t>
  </si>
  <si>
    <t>黔缕</t>
  </si>
  <si>
    <t>贵州省仁怀市聚仁坊酒业有限公司</t>
  </si>
  <si>
    <t>漠首</t>
  </si>
  <si>
    <t>英伦豹</t>
  </si>
  <si>
    <t>江西巨蟹农业科技发展有限公司</t>
  </si>
  <si>
    <t>杯么听</t>
  </si>
  <si>
    <t>莲享大刘家(大连)农业发展有限公司</t>
  </si>
  <si>
    <t>莲享大刘家</t>
  </si>
  <si>
    <t>成都四合五邦装饰工程设计有限公司</t>
  </si>
  <si>
    <t>花晓卿</t>
  </si>
  <si>
    <t>袁梅新</t>
  </si>
  <si>
    <t>翡虎</t>
  </si>
  <si>
    <t>巴派克登高特工业公司</t>
  </si>
  <si>
    <t>API ANGGUR HIJAU ASLI APIK</t>
  </si>
  <si>
    <t>娄留兵</t>
  </si>
  <si>
    <t>泸中井</t>
  </si>
  <si>
    <t>南京昆仲麒鸿健康科技有限公司</t>
  </si>
  <si>
    <t>TINCCEE 鲸可</t>
  </si>
  <si>
    <t>陈治平</t>
  </si>
  <si>
    <t>弈匠大重</t>
  </si>
  <si>
    <t>贵州省仁怀市仁康酒业有限公司</t>
  </si>
  <si>
    <t>睿景兰蒂斯</t>
  </si>
  <si>
    <t>青岛华邦达康企业管理有限公司</t>
  </si>
  <si>
    <t>HBXB</t>
  </si>
  <si>
    <t>察兴宇</t>
  </si>
  <si>
    <t>舜庭</t>
  </si>
  <si>
    <t>巴尔巴迪奥酿酒有限公司</t>
  </si>
  <si>
    <t>REBUJITO</t>
  </si>
  <si>
    <t>美国威加斯(香港)实业有限公司</t>
  </si>
  <si>
    <t>PROWJS</t>
  </si>
  <si>
    <t>EAGLE KINGDOMS</t>
  </si>
  <si>
    <t>净钻</t>
  </si>
  <si>
    <t>张继永</t>
  </si>
  <si>
    <t>躬仰大师</t>
  </si>
  <si>
    <t>唤龙门</t>
  </si>
  <si>
    <t>王宝珍</t>
  </si>
  <si>
    <t>徽厢记</t>
  </si>
  <si>
    <t>美酒满堂有限公司</t>
  </si>
  <si>
    <t>年年赋</t>
  </si>
  <si>
    <t>中青药食同源营养指导中心(海口)有限公司</t>
  </si>
  <si>
    <t>飞飞惯蛋</t>
  </si>
  <si>
    <t>曾庆海</t>
  </si>
  <si>
    <t>曾庆海青峰米酒</t>
  </si>
  <si>
    <t>李恒东</t>
  </si>
  <si>
    <t>大力玩美</t>
  </si>
  <si>
    <t>天美仕(厦门)日用品贸易有限公司</t>
  </si>
  <si>
    <t>天美仕 TENMAX</t>
  </si>
  <si>
    <t>肖华娣</t>
  </si>
  <si>
    <t>好遵贵</t>
  </si>
  <si>
    <t>上海葡健贸易有限公司</t>
  </si>
  <si>
    <t>葡健</t>
  </si>
  <si>
    <t>贵州省仁怀市名谷酒业销售有限公司</t>
  </si>
  <si>
    <t>名谷典藏</t>
  </si>
  <si>
    <t>刘艳华</t>
  </si>
  <si>
    <t>辞赋九州人</t>
  </si>
  <si>
    <t>温州重名国际贸易有限公司</t>
  </si>
  <si>
    <t>肖德诺提斯</t>
  </si>
  <si>
    <t>鸿鸣酒业(山东)有限公司</t>
  </si>
  <si>
    <t>青白朱玄小五岳</t>
  </si>
  <si>
    <t>上海落蓝科技有限公司</t>
  </si>
  <si>
    <t>BLUE DASH SILVER</t>
  </si>
  <si>
    <t>贝拉宝藏(北京)珠宝有限公司</t>
  </si>
  <si>
    <t>伊莎贝拉欧力</t>
  </si>
  <si>
    <t>深圳城市职业学院</t>
  </si>
  <si>
    <t>深圳城市职业学院 SHENZHEN CITY POLYTECHNIC</t>
  </si>
  <si>
    <t>贵州中首贸易有限公司</t>
  </si>
  <si>
    <t>中首酩酒优品</t>
  </si>
  <si>
    <t>青禾龙泉酿</t>
  </si>
  <si>
    <t>吴士体</t>
  </si>
  <si>
    <t>红肆喜</t>
  </si>
  <si>
    <t>广州亨泰生物科技有限公司</t>
  </si>
  <si>
    <t>正慧堂</t>
  </si>
  <si>
    <t>贵州省仁怀市苗红酒业有限公司</t>
  </si>
  <si>
    <t>苗红天德</t>
  </si>
  <si>
    <t>贵州源头酱香酒业有限公司</t>
  </si>
  <si>
    <t>老播王</t>
  </si>
  <si>
    <t>逸夫科技(集团)有限公司</t>
  </si>
  <si>
    <t>钱酒青钱金鉴</t>
  </si>
  <si>
    <t>丰泽区宽亚百货商行</t>
  </si>
  <si>
    <t>酒客多</t>
  </si>
  <si>
    <t>湖南洞庭湖酒业有限公司</t>
  </si>
  <si>
    <t>洞庭秋有月</t>
  </si>
  <si>
    <t>许艺腾</t>
  </si>
  <si>
    <t>赤盈宾</t>
  </si>
  <si>
    <t>克良三典</t>
  </si>
  <si>
    <t>王福祥</t>
  </si>
  <si>
    <t>晋天君</t>
  </si>
  <si>
    <t>黄丽珠</t>
  </si>
  <si>
    <t>金匠银匠</t>
  </si>
  <si>
    <t>张柏川</t>
  </si>
  <si>
    <t>荒祖</t>
  </si>
  <si>
    <t>四川堃润文化旅游发展有限公司</t>
  </si>
  <si>
    <t>堃润甄选</t>
  </si>
  <si>
    <t>广州安优美企业管理有限公司</t>
  </si>
  <si>
    <t>稀物集</t>
  </si>
  <si>
    <t>东方缘酿酒股份有限公司</t>
  </si>
  <si>
    <t>珠江大</t>
  </si>
  <si>
    <t>春皖特</t>
  </si>
  <si>
    <t>天台寒山生物科技有限公司</t>
  </si>
  <si>
    <t>一叶三宝</t>
  </si>
  <si>
    <t>吕嘉玮</t>
  </si>
  <si>
    <t>莫奈清花</t>
  </si>
  <si>
    <t>杨瞬</t>
  </si>
  <si>
    <t>放马拦山</t>
  </si>
  <si>
    <t>贵州金祥新农业科技有限公司</t>
  </si>
  <si>
    <t>苗家七仙女</t>
  </si>
  <si>
    <t>榆树市正泰酒业有限责任公司</t>
  </si>
  <si>
    <t>金井坊</t>
  </si>
  <si>
    <t>艾孜热提艾力·喀迪尔</t>
  </si>
  <si>
    <t>TAXAKKUR</t>
  </si>
  <si>
    <t>重庆科宋酒店管理有限公司</t>
  </si>
  <si>
    <t>宜顺唐</t>
  </si>
  <si>
    <t>四川泸州三溪酒厂有限公司</t>
  </si>
  <si>
    <t>三溪</t>
  </si>
  <si>
    <t>怡九鼎</t>
  </si>
  <si>
    <t>喜留福</t>
  </si>
  <si>
    <t>秦皇岛万颐商贸有限公司</t>
  </si>
  <si>
    <t>万颐嘉华</t>
  </si>
  <si>
    <t>戴晋华</t>
  </si>
  <si>
    <t>鹊寿</t>
  </si>
  <si>
    <t>程俊贤</t>
  </si>
  <si>
    <t>京小浔</t>
  </si>
  <si>
    <t>江家花</t>
  </si>
  <si>
    <t>龙汉志</t>
  </si>
  <si>
    <t>美果(北京)科技开发有限公司</t>
  </si>
  <si>
    <t>酒统领</t>
  </si>
  <si>
    <t>比尔耶拉葡萄酒有限公司</t>
  </si>
  <si>
    <t>禾富</t>
  </si>
  <si>
    <t>酒香网(上海)电子商务有限公司</t>
  </si>
  <si>
    <t>柏菲堡</t>
  </si>
  <si>
    <t>贵州阳关大曲酿酒有限公司</t>
  </si>
  <si>
    <t>阳关烧酒</t>
  </si>
  <si>
    <t>许维扬</t>
  </si>
  <si>
    <t>江山美人</t>
  </si>
  <si>
    <t>游子酒业(山东)集团有限公司</t>
  </si>
  <si>
    <t>游子颂</t>
  </si>
  <si>
    <t>睢酒</t>
  </si>
  <si>
    <t>贵州名仕之约酒业有限公司</t>
  </si>
  <si>
    <t>忆醉黔</t>
  </si>
  <si>
    <t>曾瑞娥</t>
  </si>
  <si>
    <t>80 公社 捌零公社 八零公社</t>
  </si>
  <si>
    <t>王召锋</t>
  </si>
  <si>
    <t>杜百粮</t>
  </si>
  <si>
    <t>张浩然</t>
  </si>
  <si>
    <t>契爷</t>
  </si>
  <si>
    <t>春皖大</t>
  </si>
  <si>
    <t>艾米粒(杭州)国际贸易有限公司</t>
  </si>
  <si>
    <t>FANO</t>
  </si>
  <si>
    <t>上海电影股份有限公司</t>
  </si>
  <si>
    <t>SFCINE+</t>
  </si>
  <si>
    <t>刘小可</t>
  </si>
  <si>
    <t>粮匠仁</t>
  </si>
  <si>
    <t>宿迁市洋河镇古法酿酒股份有限公司</t>
  </si>
  <si>
    <t>紫沙川</t>
  </si>
  <si>
    <t>马毅宏</t>
  </si>
  <si>
    <t>儒帝叔叔 UNCLE RUDY</t>
  </si>
  <si>
    <t>鹤院儿(山东)餐饮管理有限公司</t>
  </si>
  <si>
    <t>宸鹤苑</t>
  </si>
  <si>
    <t>杨同喜</t>
  </si>
  <si>
    <t>炎黄志</t>
  </si>
  <si>
    <t>天津粤唯鲜文化产业投资有限公司</t>
  </si>
  <si>
    <t>瓷房子艺术馆</t>
  </si>
  <si>
    <t>毛卫星</t>
  </si>
  <si>
    <t>星玉果之林</t>
  </si>
  <si>
    <t>洞庭冬有雪</t>
  </si>
  <si>
    <t>曹广江</t>
  </si>
  <si>
    <t>飞天故事</t>
  </si>
  <si>
    <t>江西乖乖餐饮管理服务有限公司</t>
  </si>
  <si>
    <t>佬馆长</t>
  </si>
  <si>
    <t>山西品藏府酒业有限公司</t>
  </si>
  <si>
    <t>杏师马到成功</t>
  </si>
  <si>
    <t>海口秀英位导食品经营部(个体工商户)</t>
  </si>
  <si>
    <t>儒间</t>
  </si>
  <si>
    <t>谭子胜</t>
  </si>
  <si>
    <t>泊胜</t>
  </si>
  <si>
    <t>王堃</t>
  </si>
  <si>
    <t>绎酱金品</t>
  </si>
  <si>
    <t>王光明</t>
  </si>
  <si>
    <t>润酉肆坊</t>
  </si>
  <si>
    <t>衡登喜</t>
  </si>
  <si>
    <t>赐友源</t>
  </si>
  <si>
    <t>佛山市和麦丰贸易有限公司</t>
  </si>
  <si>
    <t>神州行</t>
  </si>
  <si>
    <t>刘晓龙</t>
  </si>
  <si>
    <t>华萌</t>
  </si>
  <si>
    <t>普宁市盈拓信息技术咨询服务部</t>
  </si>
  <si>
    <t>真够攀</t>
  </si>
  <si>
    <t>七十二楼酒业(深圳)有限公司</t>
  </si>
  <si>
    <t>圄楼</t>
  </si>
  <si>
    <t>北京大前门酒业有限公司</t>
  </si>
  <si>
    <t>大前门</t>
  </si>
  <si>
    <t>匠贯</t>
  </si>
  <si>
    <t>张桂杰</t>
  </si>
  <si>
    <t>温州山野集酒业有限公司</t>
  </si>
  <si>
    <t>山野集</t>
  </si>
  <si>
    <t>贵州遵酒酿酒集团有限公司</t>
  </si>
  <si>
    <t>金钻海滨</t>
  </si>
  <si>
    <t>宁波沃隆贸易有限公司</t>
  </si>
  <si>
    <t>DOYOHO</t>
  </si>
  <si>
    <t>张涛</t>
  </si>
  <si>
    <t>蜀晏楼</t>
  </si>
  <si>
    <t>怡倾心</t>
  </si>
  <si>
    <t>无锡奥尔美生物科技有限公司</t>
  </si>
  <si>
    <t>KIKUIMODO</t>
  </si>
  <si>
    <t>李梦雪</t>
  </si>
  <si>
    <t>蓓活堂</t>
  </si>
  <si>
    <t>范东</t>
  </si>
  <si>
    <t>封辛</t>
  </si>
  <si>
    <t>赫兰京品</t>
  </si>
  <si>
    <t>米文飞</t>
  </si>
  <si>
    <t>珍莳</t>
  </si>
  <si>
    <t>福留仙</t>
  </si>
  <si>
    <t>江苏蒋垛苏维埃文化旅游开发管理有限公司</t>
  </si>
  <si>
    <t>寻味蒋垛</t>
  </si>
  <si>
    <t>内蒙古思乡食品有限公司</t>
  </si>
  <si>
    <t>乡福乐</t>
  </si>
  <si>
    <t>TRESOR DE GEOTHIM</t>
  </si>
  <si>
    <t>遇饮清欢(西安)商贸有限公司</t>
  </si>
  <si>
    <t>遇饮清欢</t>
  </si>
  <si>
    <t>祈状元</t>
  </si>
  <si>
    <t>屈伟</t>
  </si>
  <si>
    <t>东璧堂老药铺(北京)有限公司</t>
  </si>
  <si>
    <t>乌伤·葛洪</t>
  </si>
  <si>
    <t>杜刚</t>
  </si>
  <si>
    <t>今之恩</t>
  </si>
  <si>
    <t>张佳越</t>
  </si>
  <si>
    <t>胜业</t>
  </si>
  <si>
    <t>蔬心乐</t>
  </si>
  <si>
    <t>于龙飞</t>
  </si>
  <si>
    <t>咱山海</t>
  </si>
  <si>
    <t>四川大苑酒业有限公司</t>
  </si>
  <si>
    <t>苑客</t>
  </si>
  <si>
    <t>领杉</t>
  </si>
  <si>
    <t>广州纯悦生物科技有限公司</t>
  </si>
  <si>
    <t>CRYSTAL MUSE</t>
  </si>
  <si>
    <t>山东杨湖酒业有限公司</t>
  </si>
  <si>
    <t>杨湖喜事</t>
  </si>
  <si>
    <t>宁夏谜之酒业有限公司</t>
  </si>
  <si>
    <t>谜石</t>
  </si>
  <si>
    <t>陈鸿</t>
  </si>
  <si>
    <t>尚东好</t>
  </si>
  <si>
    <t>广州白云山医药集团股份有限公司</t>
  </si>
  <si>
    <t>广药国际</t>
  </si>
  <si>
    <t>醇界</t>
  </si>
  <si>
    <t>东莞市法米洛国际家居用品有限公司</t>
  </si>
  <si>
    <t>极熹</t>
  </si>
  <si>
    <t>福建永源酿酒有限公司</t>
  </si>
  <si>
    <t>二宜楼酒</t>
  </si>
  <si>
    <t>名公巨匠</t>
  </si>
  <si>
    <t>张旭</t>
  </si>
  <si>
    <t>殷商问礼</t>
  </si>
  <si>
    <t>上海采钰科贸有限公司</t>
  </si>
  <si>
    <t>梅素森</t>
  </si>
  <si>
    <t>淀山御酿</t>
  </si>
  <si>
    <t>海口龙华芮茗食品经营部(个体工商户)</t>
  </si>
  <si>
    <t>井绣河山</t>
  </si>
  <si>
    <t>湖南宏企酒业有限公司</t>
  </si>
  <si>
    <t>神酡哥</t>
  </si>
  <si>
    <t>仁怀市酿丰酒业有限公司</t>
  </si>
  <si>
    <t>云上酿丰</t>
  </si>
  <si>
    <t>洪志诚</t>
  </si>
  <si>
    <t>崎若川井</t>
  </si>
  <si>
    <t>尹由飞</t>
  </si>
  <si>
    <t>久尹</t>
  </si>
  <si>
    <t>苏德升</t>
  </si>
  <si>
    <t>仙福灵</t>
  </si>
  <si>
    <t>陈伟鸿</t>
  </si>
  <si>
    <t>贵侣</t>
  </si>
  <si>
    <t>湖北纸观文化传播有限公司</t>
  </si>
  <si>
    <t>炸弹猫</t>
  </si>
  <si>
    <t>钟议</t>
  </si>
  <si>
    <t>墨上清</t>
  </si>
  <si>
    <t>卧龙浔</t>
  </si>
  <si>
    <t>江阴莱顿食品有限公司</t>
  </si>
  <si>
    <t>飞马福酒</t>
  </si>
  <si>
    <t>美佳农业科技有限公司</t>
  </si>
  <si>
    <t>燕赵同心</t>
  </si>
  <si>
    <t>美舒柔</t>
  </si>
  <si>
    <t>潘洪滨</t>
  </si>
  <si>
    <t>酷瑞牛</t>
  </si>
  <si>
    <t>张中</t>
  </si>
  <si>
    <t>戏中情</t>
  </si>
  <si>
    <t>成都万新创商贸有限公司</t>
  </si>
  <si>
    <t>财享天下</t>
  </si>
  <si>
    <t>施颖</t>
  </si>
  <si>
    <t>山土施家</t>
  </si>
  <si>
    <t>绍兴江老汗酒业有限公司</t>
  </si>
  <si>
    <t>芈旺</t>
  </si>
  <si>
    <t>重庆渔财缘农业科技有限公司</t>
  </si>
  <si>
    <t>杨国华</t>
  </si>
  <si>
    <t>锦绣湘村</t>
  </si>
  <si>
    <t>贵州仁怀杨酒师酒业有限公司</t>
  </si>
  <si>
    <t>杨酒师</t>
  </si>
  <si>
    <t>爱的珍品(山东)供应链管理有限公司</t>
  </si>
  <si>
    <t>四川汉鼎众信信息技术咨询服务有限公司</t>
  </si>
  <si>
    <t>汉鼎众信</t>
  </si>
  <si>
    <t>南京好一朵茉莉花食品有限公司</t>
  </si>
  <si>
    <t>桃苏寻味记</t>
  </si>
  <si>
    <t>张洪姣</t>
  </si>
  <si>
    <t>世海缘图</t>
  </si>
  <si>
    <t>大满门</t>
  </si>
  <si>
    <t>张利培</t>
  </si>
  <si>
    <t>浓春</t>
  </si>
  <si>
    <t>翟光耀</t>
  </si>
  <si>
    <t>甄遇贵人</t>
  </si>
  <si>
    <t>四川杜甫酒业集团股份有限公司</t>
  </si>
  <si>
    <t>诗家杜甫</t>
  </si>
  <si>
    <t>张伟</t>
  </si>
  <si>
    <t>玖品葫芦仙</t>
  </si>
  <si>
    <t>深圳市北库影视文化传媒有限公司</t>
  </si>
  <si>
    <t>炙野</t>
  </si>
  <si>
    <t>樟树市华夏酒业有限公司</t>
  </si>
  <si>
    <t>樟树华夏</t>
  </si>
  <si>
    <t>秦权</t>
  </si>
  <si>
    <t>那里湘</t>
  </si>
  <si>
    <t>毛开旺</t>
  </si>
  <si>
    <t>泉承源香</t>
  </si>
  <si>
    <t>云南普弄酒业有限责任公司</t>
  </si>
  <si>
    <t>普弄</t>
  </si>
  <si>
    <t>玉门市玉关宴餐饮管理有限公司</t>
  </si>
  <si>
    <t>探人间</t>
  </si>
  <si>
    <t>青岛爱小娟供应链科技有限公司</t>
  </si>
  <si>
    <t>爱小娟</t>
  </si>
  <si>
    <t>王仙梅</t>
  </si>
  <si>
    <t>延杏河</t>
  </si>
  <si>
    <t>泽川(天津)企业管理有限公司</t>
  </si>
  <si>
    <t>瑞斯派克</t>
  </si>
  <si>
    <t>塞伦迪皮亚</t>
  </si>
  <si>
    <t>陶义文</t>
  </si>
  <si>
    <t>守初本真</t>
  </si>
  <si>
    <t>贵州铸福酒业有限公司</t>
  </si>
  <si>
    <t>铸福全球香</t>
  </si>
  <si>
    <t>长春耐捷电气设备有限公司</t>
  </si>
  <si>
    <t>邑酢亭</t>
  </si>
  <si>
    <t>贵州万物升餐饮服务管理有限公司</t>
  </si>
  <si>
    <t>GZNIUJIAOJIU</t>
  </si>
  <si>
    <t>田盟</t>
  </si>
  <si>
    <t>亷清花</t>
  </si>
  <si>
    <t>石狮展顺名飞贸易有限公司</t>
  </si>
  <si>
    <t>苐王贡</t>
  </si>
  <si>
    <t>三萢谭</t>
  </si>
  <si>
    <t>跃钓酒坊</t>
  </si>
  <si>
    <t>袁伟全</t>
  </si>
  <si>
    <t>小闽匠</t>
  </si>
  <si>
    <t>宁波酒快酒电子商务有限公司</t>
  </si>
  <si>
    <t>急鹿</t>
  </si>
  <si>
    <t>绍兴越凰山酒业有限公司</t>
  </si>
  <si>
    <t>越凰山</t>
  </si>
  <si>
    <t>张学敏</t>
  </si>
  <si>
    <t>张氏寒门贵子</t>
  </si>
  <si>
    <t>谢婉仪</t>
  </si>
  <si>
    <t>得至</t>
  </si>
  <si>
    <t>贺天门</t>
  </si>
  <si>
    <t>山东花冠酒业有限公司</t>
  </si>
  <si>
    <t>ONEDEAR</t>
  </si>
  <si>
    <t>丁伟</t>
  </si>
  <si>
    <t>时叁朝</t>
  </si>
  <si>
    <t>澳大利亚大宗商品交易有限公司</t>
  </si>
  <si>
    <t>ALL ABOARD！</t>
  </si>
  <si>
    <t>贵州省仁怀市日盛昌烧坊酒业有限公司</t>
  </si>
  <si>
    <t>佑文成化</t>
  </si>
  <si>
    <t>贾英豪</t>
  </si>
  <si>
    <t>淮福爷</t>
  </si>
  <si>
    <t>云南摩可沙科技有限公司</t>
  </si>
  <si>
    <t>静小推</t>
  </si>
  <si>
    <t>周口兴于畅农业生物科技有限公司</t>
  </si>
  <si>
    <t>兴于畅</t>
  </si>
  <si>
    <t>福建翃翎商贸有限公司</t>
  </si>
  <si>
    <t>翃翎</t>
  </si>
  <si>
    <t>唐超</t>
  </si>
  <si>
    <t>时余</t>
  </si>
  <si>
    <t>江苏浙投企业管理有限公司</t>
  </si>
  <si>
    <t>中海景浙商</t>
  </si>
  <si>
    <t>茨梨鲜森(贵州)生物科技有限公司</t>
  </si>
  <si>
    <t>和硕县合硕特酒庄有限责任公司</t>
  </si>
  <si>
    <t>宏德乐成</t>
  </si>
  <si>
    <t>吉留仙</t>
  </si>
  <si>
    <t>百草颂</t>
  </si>
  <si>
    <t>由觅</t>
  </si>
  <si>
    <t>梁水亮</t>
  </si>
  <si>
    <t>杏梦山</t>
  </si>
  <si>
    <t>贵州诚宇物流有限公司</t>
  </si>
  <si>
    <t>猕莱壶</t>
  </si>
  <si>
    <t>杭州钰祥工程科技有限责任公司</t>
  </si>
  <si>
    <t>金钰瑶</t>
  </si>
  <si>
    <t>胡仁江</t>
  </si>
  <si>
    <t>激郁</t>
  </si>
  <si>
    <t>爱生链(山东)农业科技发展有限公司</t>
  </si>
  <si>
    <t>赤龙鹿</t>
  </si>
  <si>
    <t>北京迪士普音响科技有限公司</t>
  </si>
  <si>
    <t>福生鹏起</t>
  </si>
  <si>
    <t>太平洋娱乐有限公司</t>
  </si>
  <si>
    <t>珀司飞</t>
  </si>
  <si>
    <t>蒂葳(宜宾)白酒酿造有限公司</t>
  </si>
  <si>
    <t>蒂葳臻尊</t>
  </si>
  <si>
    <t>北京新华云智科技研发中心</t>
  </si>
  <si>
    <t>燕赵九五至尊</t>
  </si>
  <si>
    <t>旌德县谷村灵芝种植有限公司</t>
  </si>
  <si>
    <t>旌芝御液</t>
  </si>
  <si>
    <t>金庄观醇</t>
  </si>
  <si>
    <t>深圳市鑫和供应链科技股份有限公司</t>
  </si>
  <si>
    <t>巴天弩</t>
  </si>
  <si>
    <t>单学峰</t>
  </si>
  <si>
    <t>弗点</t>
  </si>
  <si>
    <t>贵州益家人企业管理咨询有限责任公司</t>
  </si>
  <si>
    <t>益道</t>
  </si>
  <si>
    <t>且末县玉沙液酒厂</t>
  </si>
  <si>
    <t>木孜塔格</t>
  </si>
  <si>
    <t>赵格慧</t>
  </si>
  <si>
    <t>赵梦澈生活馆</t>
  </si>
  <si>
    <t>周瑞勤</t>
  </si>
  <si>
    <t>晋小顺</t>
  </si>
  <si>
    <t>安徽精力元药业有限公司</t>
  </si>
  <si>
    <t>佰草虂</t>
  </si>
  <si>
    <t>徐晓菊</t>
  </si>
  <si>
    <t>锋槿</t>
  </si>
  <si>
    <t>东方爱都文化产业(长春)集团有限公司</t>
  </si>
  <si>
    <t>怡和爱</t>
  </si>
  <si>
    <t>怡和贵</t>
  </si>
  <si>
    <t>贵州宗典酒业有限公司</t>
  </si>
  <si>
    <t>磊匠</t>
  </si>
  <si>
    <t>青岛盛久源酒庄有限公司</t>
  </si>
  <si>
    <t>芝莱泉</t>
  </si>
  <si>
    <t>贵州省仁怀市茅台镇国宝酒厂有限责任公司</t>
  </si>
  <si>
    <t>万峰绿</t>
  </si>
  <si>
    <t>韦超</t>
  </si>
  <si>
    <t>商魄</t>
  </si>
  <si>
    <t>克州兴农科技有限公司</t>
  </si>
  <si>
    <t>柯州醇</t>
  </si>
  <si>
    <t>陶司</t>
  </si>
  <si>
    <t>阮银</t>
  </si>
  <si>
    <t>谭仁权</t>
  </si>
  <si>
    <t>金陵从孝</t>
  </si>
  <si>
    <t>贵州华周酒业有限公司</t>
  </si>
  <si>
    <t>怀厅酒魂</t>
  </si>
  <si>
    <t>温州赛颂食品科技有限公司</t>
  </si>
  <si>
    <t>里维拉</t>
  </si>
  <si>
    <t>佛山市顺德区容桂诚文百货商行</t>
  </si>
  <si>
    <t>凤成美</t>
  </si>
  <si>
    <t>湖北省果源生物科技有限公司</t>
  </si>
  <si>
    <t>悟康源</t>
  </si>
  <si>
    <t>河南五花马实业有限公司</t>
  </si>
  <si>
    <t>森林北鑫</t>
  </si>
  <si>
    <t>马光培</t>
  </si>
  <si>
    <t>九坝老马</t>
  </si>
  <si>
    <t>浙江圣塔绍兴酒有限公司</t>
  </si>
  <si>
    <t>绍酒抱团</t>
  </si>
  <si>
    <t>广西晨轩生物科技有限公司</t>
  </si>
  <si>
    <t>领男百草</t>
  </si>
  <si>
    <t>上海赞沃电子商务有限公司</t>
  </si>
  <si>
    <t>槎溪</t>
  </si>
  <si>
    <t>吴有家</t>
  </si>
  <si>
    <t>馥昱</t>
  </si>
  <si>
    <t>贵州厚席酒业有限公司</t>
  </si>
  <si>
    <t>黔行人</t>
  </si>
  <si>
    <t>湖上晶泉</t>
  </si>
  <si>
    <t>野山岗</t>
  </si>
  <si>
    <t>马言华</t>
  </si>
  <si>
    <t>谷滴福</t>
  </si>
  <si>
    <t>东莞市万江君悦港美容店</t>
  </si>
  <si>
    <t>墨韬</t>
  </si>
  <si>
    <t>吉林省鼎弘商贸有限公司</t>
  </si>
  <si>
    <t>沁元宝</t>
  </si>
  <si>
    <t>央广优选供应链有限公司</t>
  </si>
  <si>
    <t>鼎声</t>
  </si>
  <si>
    <t>四川八信鸿创科技集团有限公司</t>
  </si>
  <si>
    <t>霸牛匠</t>
  </si>
  <si>
    <t>南通锦弘昌电子科技有限公司</t>
  </si>
  <si>
    <t>锦弘昌</t>
  </si>
  <si>
    <t>重庆巴蜀春酒业有限公司</t>
  </si>
  <si>
    <t>满口缘</t>
  </si>
  <si>
    <t>科尔特赛班特农业公司</t>
  </si>
  <si>
    <t>CORTE SAIBANTE</t>
  </si>
  <si>
    <t>陈润</t>
  </si>
  <si>
    <t>卓年</t>
  </si>
  <si>
    <t>江门市润林保健食品有限公司</t>
  </si>
  <si>
    <t>ROMERO POWER</t>
  </si>
  <si>
    <t>东莞市美策包装制品有限公司</t>
  </si>
  <si>
    <t>鎏鋆府</t>
  </si>
  <si>
    <t>孙旭</t>
  </si>
  <si>
    <t>廖黄胜</t>
  </si>
  <si>
    <t>大家族图腾</t>
  </si>
  <si>
    <t>重庆悦胜商贸有限公司</t>
  </si>
  <si>
    <t>OLD ADDICTION</t>
  </si>
  <si>
    <t>闫玉德</t>
  </si>
  <si>
    <t>梅花瓷</t>
  </si>
  <si>
    <t>京都乐寿堂品牌管理(石家庄)合伙企业(有限合伙)</t>
  </si>
  <si>
    <t>叶维雅</t>
  </si>
  <si>
    <t>朋礼加</t>
  </si>
  <si>
    <t>宫酌台</t>
  </si>
  <si>
    <t>上海东归酒类贸易中心</t>
  </si>
  <si>
    <t>好心眼</t>
  </si>
  <si>
    <t>赛伦迪皮亚 SERENDIPIA</t>
  </si>
  <si>
    <t>斯易大师</t>
  </si>
  <si>
    <t>深圳市博鑫消防有限公司</t>
  </si>
  <si>
    <t>金世冠</t>
  </si>
  <si>
    <t>东贝鸿祥科技集团洛阳有限公司</t>
  </si>
  <si>
    <t>吴亚南</t>
  </si>
  <si>
    <t>龙源海泉香</t>
  </si>
  <si>
    <t>罗伟</t>
  </si>
  <si>
    <t>黔君玖</t>
  </si>
  <si>
    <t>京台筱丰</t>
  </si>
  <si>
    <t>王科</t>
  </si>
  <si>
    <t>顺天涯</t>
  </si>
  <si>
    <t>袁飞</t>
  </si>
  <si>
    <t>金曲康</t>
  </si>
  <si>
    <t>武威中穗实业有限公司</t>
  </si>
  <si>
    <t>四十里堡陈家烧坊</t>
  </si>
  <si>
    <t>十八里红人和</t>
  </si>
  <si>
    <t>侯玉</t>
  </si>
  <si>
    <t>生命五福</t>
  </si>
  <si>
    <t>温州醉客品牌文化管理有限公司</t>
  </si>
  <si>
    <t>偶得玉寿</t>
  </si>
  <si>
    <t>李镜义</t>
  </si>
  <si>
    <t>银粮工</t>
  </si>
  <si>
    <t>刘鑫玉</t>
  </si>
  <si>
    <t>木兰香传</t>
  </si>
  <si>
    <t>霞浦县美度食品经营部</t>
  </si>
  <si>
    <t>溪香凤</t>
  </si>
  <si>
    <t>云阳县宝坪镇产业发展服务中心</t>
  </si>
  <si>
    <t>渝云乔包坪</t>
  </si>
  <si>
    <t>刘佳明</t>
  </si>
  <si>
    <t>稳富</t>
  </si>
  <si>
    <t>高锋</t>
  </si>
  <si>
    <t>大师昌</t>
  </si>
  <si>
    <t>沈金浩</t>
  </si>
  <si>
    <t>徐海华</t>
  </si>
  <si>
    <t>潇庆坊</t>
  </si>
  <si>
    <t>竹五竹</t>
  </si>
  <si>
    <t>中国红双喜集团股份有限公司</t>
  </si>
  <si>
    <t>金幸福白</t>
  </si>
  <si>
    <t>满洲里捷诚通讯有限公司</t>
  </si>
  <si>
    <t>达来服</t>
  </si>
  <si>
    <t>哈尔滨市奇梦绿真商贸有限公司</t>
  </si>
  <si>
    <t>奇梦绿真</t>
  </si>
  <si>
    <t>裕小妹</t>
  </si>
  <si>
    <t>延边胜益商贸有限公司</t>
  </si>
  <si>
    <t>辛大人</t>
  </si>
  <si>
    <t>李玉振</t>
  </si>
  <si>
    <t>三晋诸侯</t>
  </si>
  <si>
    <t>风云醉幸福</t>
  </si>
  <si>
    <t>赵耀煜</t>
  </si>
  <si>
    <t>龙禧古匠</t>
  </si>
  <si>
    <t>南京相惠文化发展有限公司</t>
  </si>
  <si>
    <t>贵州贵酒集团有限公司</t>
  </si>
  <si>
    <t>贵酒百坊</t>
  </si>
  <si>
    <t>怀特麦凯有限公司</t>
  </si>
  <si>
    <t>AULD ACQUAINTANCE</t>
  </si>
  <si>
    <t>山东烟台酿酒有限公司醴泉酒业分公司</t>
  </si>
  <si>
    <t>福露</t>
  </si>
  <si>
    <t>蒋小飞</t>
  </si>
  <si>
    <t>海魂酒</t>
  </si>
  <si>
    <t>河北乐洲建筑工程有限公司</t>
  </si>
  <si>
    <t>贵芝藏</t>
  </si>
  <si>
    <t>巩永梅</t>
  </si>
  <si>
    <t>舒</t>
  </si>
  <si>
    <t>杏脉(湖北)生态农业有限公司</t>
  </si>
  <si>
    <t>华星盛开</t>
  </si>
  <si>
    <t>北京方道文山流文化传媒有限公司</t>
  </si>
  <si>
    <t>东风不破</t>
  </si>
  <si>
    <t>云南绿酒酒业有限公司</t>
  </si>
  <si>
    <t>云南绿酒 酒业有限公司 YUNAN LUJIU</t>
  </si>
  <si>
    <t>孝义华星商贸有限公司</t>
  </si>
  <si>
    <t>多想</t>
  </si>
  <si>
    <t>江苏洋河酒厂股份有限公司</t>
  </si>
  <si>
    <t>羽梦同行</t>
  </si>
  <si>
    <t>义乌市馥煌电子商务商行</t>
  </si>
  <si>
    <t>御殿</t>
  </si>
  <si>
    <t>山西佰纳得科技有公司</t>
  </si>
  <si>
    <t>裕家</t>
  </si>
  <si>
    <t>运鸿集团股份有限公司</t>
  </si>
  <si>
    <t>东方阿保</t>
  </si>
  <si>
    <t>李保成</t>
  </si>
  <si>
    <t>金和采</t>
  </si>
  <si>
    <t>王小红</t>
  </si>
  <si>
    <t>尊香勋</t>
  </si>
  <si>
    <t>蒋炳宏</t>
  </si>
  <si>
    <t>圣拳</t>
  </si>
  <si>
    <t>烟台卡特尔酒庄葡萄酿酒有限公司</t>
  </si>
  <si>
    <t>OOPAO</t>
  </si>
  <si>
    <t>贵州天骄贸易有限公司</t>
  </si>
  <si>
    <t>修猕</t>
  </si>
  <si>
    <t>天津新品源酒类销售有限公司</t>
  </si>
  <si>
    <t>七彩京酒</t>
  </si>
  <si>
    <t>顾安企业管理咨询(海南)有限公司</t>
  </si>
  <si>
    <t>顾安至尊</t>
  </si>
  <si>
    <t>安徽安斛堂生态农业有限公司</t>
  </si>
  <si>
    <t>小斛徒种</t>
  </si>
  <si>
    <t>贵州酱之醉酒业有限公司</t>
  </si>
  <si>
    <t>金承翰林私藏贡酒</t>
  </si>
  <si>
    <t>李峰</t>
  </si>
  <si>
    <t>符酉万签</t>
  </si>
  <si>
    <t>谢艺</t>
  </si>
  <si>
    <t>谢艺臻选</t>
  </si>
  <si>
    <t>刘静静</t>
  </si>
  <si>
    <t>黔祖仁</t>
  </si>
  <si>
    <t>PANANNERA</t>
  </si>
  <si>
    <t>深圳市瑞广福实业有限公司</t>
  </si>
  <si>
    <t>瑞晓鳯</t>
  </si>
  <si>
    <t>自然带大健康投资(广东)有限公司</t>
  </si>
  <si>
    <t>焉支诺</t>
  </si>
  <si>
    <t>刘兴彭</t>
  </si>
  <si>
    <t>呵乐博</t>
  </si>
  <si>
    <t>孝感市冰娃饮品有限责任公司</t>
  </si>
  <si>
    <t>湖冰娃</t>
  </si>
  <si>
    <t>罗吉</t>
  </si>
  <si>
    <t>东望舒</t>
  </si>
  <si>
    <t>福建金色四季商贸集团有限公司</t>
  </si>
  <si>
    <t>得瑞市</t>
  </si>
  <si>
    <t>洪贵龙</t>
  </si>
  <si>
    <t>VIM TREE 活力树</t>
  </si>
  <si>
    <t>湖南省丰森农牧有限公司</t>
  </si>
  <si>
    <t>芥大师</t>
  </si>
  <si>
    <t>刘辉</t>
  </si>
  <si>
    <t>纷栈</t>
  </si>
  <si>
    <t>河北孟家酒业有限公司</t>
  </si>
  <si>
    <t>巷子人</t>
  </si>
  <si>
    <t>胡世道</t>
  </si>
  <si>
    <t>一坊门</t>
  </si>
  <si>
    <t>王纪峰</t>
  </si>
  <si>
    <t>GAME GIRL</t>
  </si>
  <si>
    <t>浙江万泰元茶业有限公司</t>
  </si>
  <si>
    <t>元典名方</t>
  </si>
  <si>
    <t>揭阳市花甜文化传媒有限公司</t>
  </si>
  <si>
    <t>花甜康得酒业</t>
  </si>
  <si>
    <t>长沙大脸仔餐饮管理有限公司</t>
  </si>
  <si>
    <t>大脸仔</t>
  </si>
  <si>
    <t>青岛雅登欧食品有限公司</t>
  </si>
  <si>
    <t>迎樽祥</t>
  </si>
  <si>
    <t>杜自仁</t>
  </si>
  <si>
    <t>田孃</t>
  </si>
  <si>
    <t>粮品酒业(广东)有限公司</t>
  </si>
  <si>
    <t>粮品说</t>
  </si>
  <si>
    <t>仁怀市承一酱酒业有限公司</t>
  </si>
  <si>
    <t>承一</t>
  </si>
  <si>
    <t>张明</t>
  </si>
  <si>
    <t>北京凯伦世家服装服饰有限公司</t>
  </si>
  <si>
    <t>崇隆</t>
  </si>
  <si>
    <t>山东叁有农业科技有限公司</t>
  </si>
  <si>
    <t>寿光军航商贸有限公司</t>
  </si>
  <si>
    <t>阿勒山</t>
  </si>
  <si>
    <t>安玉喜</t>
  </si>
  <si>
    <t>岭西花冷</t>
  </si>
  <si>
    <t>传实</t>
  </si>
  <si>
    <t>华夏致远建设工程(北京)有限公司</t>
  </si>
  <si>
    <t>上古泥</t>
  </si>
  <si>
    <t>上海真玖供应链管理有限公司</t>
  </si>
  <si>
    <t>杨文鑫</t>
  </si>
  <si>
    <t>晋樽煦 JING ZUN XU</t>
  </si>
  <si>
    <t>王坤</t>
  </si>
  <si>
    <t>云樽客</t>
  </si>
  <si>
    <t>徐州天衢商贸有限公司</t>
  </si>
  <si>
    <t>姝含</t>
  </si>
  <si>
    <t>琼力</t>
  </si>
  <si>
    <t>亮果金</t>
  </si>
  <si>
    <t>豪情醉幸福</t>
  </si>
  <si>
    <t>重庆先锋青花椒科技有限公司</t>
  </si>
  <si>
    <t>旌江</t>
  </si>
  <si>
    <t>益养兴</t>
  </si>
  <si>
    <t>吴菊芬</t>
  </si>
  <si>
    <t>在横山</t>
  </si>
  <si>
    <t>湘西自治州金泉信息咨询有限公司</t>
  </si>
  <si>
    <t>二半而一</t>
  </si>
  <si>
    <t>横着的山</t>
  </si>
  <si>
    <t>贵州省仁怀市品藏家酒业有限公司</t>
  </si>
  <si>
    <t>怀报酒</t>
  </si>
  <si>
    <t>王爱平</t>
  </si>
  <si>
    <t>义樽台</t>
  </si>
  <si>
    <t>进贤县农经产业发展集团有限公司</t>
  </si>
  <si>
    <t>青岚水乡</t>
  </si>
  <si>
    <t>李利</t>
  </si>
  <si>
    <t>大运企赋道</t>
  </si>
  <si>
    <t>贵州国惠酒业有限公司</t>
  </si>
  <si>
    <t>主彦酒坊</t>
  </si>
  <si>
    <t>胡建华</t>
  </si>
  <si>
    <t>芈月花兰窖</t>
  </si>
  <si>
    <t>李家民</t>
  </si>
  <si>
    <t>妙祖</t>
  </si>
  <si>
    <t>昌邑置邦商贸有限责任公司</t>
  </si>
  <si>
    <t>JENNY DEREK</t>
  </si>
  <si>
    <t>靖江市畅游贸易有限公司</t>
  </si>
  <si>
    <t>QCLZ</t>
  </si>
  <si>
    <t>贵州周茅酒业有限公司</t>
  </si>
  <si>
    <t>ZHOUMAO</t>
  </si>
  <si>
    <t>贵州天上美酒业(集团)有限公司</t>
  </si>
  <si>
    <t>天上美</t>
  </si>
  <si>
    <t>王俊杰</t>
  </si>
  <si>
    <t>胖E柜</t>
  </si>
  <si>
    <t>裕后泉裕老大</t>
  </si>
  <si>
    <t>山东五粮酒业有限公司</t>
  </si>
  <si>
    <t>榴康宝</t>
  </si>
  <si>
    <t>中山市正华酒业有限公司</t>
  </si>
  <si>
    <t>BILLY&amp;JASON LAB</t>
  </si>
  <si>
    <t>曾云芳</t>
  </si>
  <si>
    <t>BEMUFUHES</t>
  </si>
  <si>
    <t>杜甫烧坊</t>
  </si>
  <si>
    <t>覃丽伟</t>
  </si>
  <si>
    <t>梅可心</t>
  </si>
  <si>
    <t>京台仧玖</t>
  </si>
  <si>
    <t>吴晓东康得酒业</t>
  </si>
  <si>
    <t>金徽酒股份有限公司</t>
  </si>
  <si>
    <t>金徽珍品</t>
  </si>
  <si>
    <t>四川德馨堂中药科技有限公司</t>
  </si>
  <si>
    <t>筠酿映月春</t>
  </si>
  <si>
    <t>入声</t>
  </si>
  <si>
    <t>新疆博达酒业有限公司</t>
  </si>
  <si>
    <t>博达明月</t>
  </si>
  <si>
    <t>曹卫东</t>
  </si>
  <si>
    <t>仁泽</t>
  </si>
  <si>
    <t>美益有</t>
  </si>
  <si>
    <t>王夏</t>
  </si>
  <si>
    <t>伴君过</t>
  </si>
  <si>
    <t>胡晓文</t>
  </si>
  <si>
    <t>听章</t>
  </si>
  <si>
    <t>三台县三叶同乐园生态观光农业有限公司</t>
  </si>
  <si>
    <t>树元梦</t>
  </si>
  <si>
    <t>泰鲁控股集团有限公司</t>
  </si>
  <si>
    <t>梳蜜院</t>
  </si>
  <si>
    <t>四川宜宾汉安老窖酒业有限公司</t>
  </si>
  <si>
    <t>汉安百家窖</t>
  </si>
  <si>
    <t>卢真真</t>
  </si>
  <si>
    <t>聚福玺</t>
  </si>
  <si>
    <t>防城港市广联堂生物医药科技有限公司</t>
  </si>
  <si>
    <t>稳星旺</t>
  </si>
  <si>
    <t>广州市万弘品牌管理有限公司</t>
  </si>
  <si>
    <t>崎若川</t>
  </si>
  <si>
    <t>汪帅</t>
  </si>
  <si>
    <t>李佰英</t>
  </si>
  <si>
    <t>挑水人</t>
  </si>
  <si>
    <t>李满中</t>
  </si>
  <si>
    <t>龙魂</t>
  </si>
  <si>
    <t>上海欧雅酒业有限公司</t>
  </si>
  <si>
    <t>卡其亚塔财鹿</t>
  </si>
  <si>
    <t>贵州省仁怀市茅台镇令狐酒业有限公司</t>
  </si>
  <si>
    <t>易德道</t>
  </si>
  <si>
    <t>安徽致优生活服务有限公司</t>
  </si>
  <si>
    <t>慕林原生</t>
  </si>
  <si>
    <t>唐淳</t>
  </si>
  <si>
    <t>耀猫</t>
  </si>
  <si>
    <t>关成</t>
  </si>
  <si>
    <t>贵上神</t>
  </si>
  <si>
    <t>王勤</t>
  </si>
  <si>
    <t>禹金亭</t>
  </si>
  <si>
    <t>何小明</t>
  </si>
  <si>
    <t>关季</t>
  </si>
  <si>
    <t>衡昌大师</t>
  </si>
  <si>
    <t>戚国昌</t>
  </si>
  <si>
    <t>戚氏瑞正堂</t>
  </si>
  <si>
    <t>云禧品牌管理(深圳)有限公司</t>
  </si>
  <si>
    <t>JOKER KING</t>
  </si>
  <si>
    <t>山西广联森煤炭运销有限公司</t>
  </si>
  <si>
    <t>周梦</t>
  </si>
  <si>
    <t>贵州滋府名酒酒业有限公司</t>
  </si>
  <si>
    <t>黑十一</t>
  </si>
  <si>
    <t>胡小丽</t>
  </si>
  <si>
    <t>巡觅</t>
  </si>
  <si>
    <t>超魔</t>
  </si>
  <si>
    <t>姜宇</t>
  </si>
  <si>
    <t>松抚·颂</t>
  </si>
  <si>
    <t>深圳市伟跃电子商务有限公司</t>
  </si>
  <si>
    <t>ZESICA</t>
  </si>
  <si>
    <t>张正达</t>
  </si>
  <si>
    <t>久嘉蛋</t>
  </si>
  <si>
    <t>赫兰悦色</t>
  </si>
  <si>
    <t>蔡淑琴</t>
  </si>
  <si>
    <t>珂利雅清</t>
  </si>
  <si>
    <t>王广平</t>
  </si>
  <si>
    <t>大秦映雪</t>
  </si>
  <si>
    <t>上海江右医药集团有限公司</t>
  </si>
  <si>
    <t>枝潭</t>
  </si>
  <si>
    <t>兰溪市黄店镇农村集体经济发展有限公司</t>
  </si>
  <si>
    <t>白露乡伴</t>
  </si>
  <si>
    <t>石家庄中楷文化传播有限公司</t>
  </si>
  <si>
    <t>情盒绪</t>
  </si>
  <si>
    <t>阿周酒</t>
  </si>
  <si>
    <t>徐海伦</t>
  </si>
  <si>
    <t>红酿师</t>
  </si>
  <si>
    <t>极将</t>
  </si>
  <si>
    <t>越凰山酒坊</t>
  </si>
  <si>
    <t>罗旭平</t>
  </si>
  <si>
    <t>赐池</t>
  </si>
  <si>
    <t>昆明花满楼食品有限公司</t>
  </si>
  <si>
    <t>伊犁初沃文化传媒有限公司</t>
  </si>
  <si>
    <t>茶达西</t>
  </si>
  <si>
    <t>南宁市醉老北京二锅头酒业中心</t>
  </si>
  <si>
    <t>醉老帝</t>
  </si>
  <si>
    <t>陈小超</t>
  </si>
  <si>
    <t>和阅者</t>
  </si>
  <si>
    <t>杭州千岛湖威士忌酒业有限公司</t>
  </si>
  <si>
    <t>千岚</t>
  </si>
  <si>
    <t>贵州中鉴酒业集团有限公司</t>
  </si>
  <si>
    <t>黔中鉴</t>
  </si>
  <si>
    <t>奥克弗葡萄园有限公司</t>
  </si>
  <si>
    <t>成都国兴酒业有限责任公司</t>
  </si>
  <si>
    <t>义相逢</t>
  </si>
  <si>
    <t>丰魂</t>
  </si>
  <si>
    <t>苏学湖</t>
  </si>
  <si>
    <t>贵颠</t>
  </si>
  <si>
    <t>安徽鸿康旅游集团有限公司</t>
  </si>
  <si>
    <t>柏叶良奇</t>
  </si>
  <si>
    <t>上海南洲国际贸易有限公司</t>
  </si>
  <si>
    <t>月幕堡</t>
  </si>
  <si>
    <t>王福文</t>
  </si>
  <si>
    <t>粮天凤</t>
  </si>
  <si>
    <t>突然想爱你(上海)文化发展有限公司</t>
  </si>
  <si>
    <t>淇闻堂</t>
  </si>
  <si>
    <t>赖小辉</t>
  </si>
  <si>
    <t>中川帝鉴</t>
  </si>
  <si>
    <t>赵彦英</t>
  </si>
  <si>
    <t>瑶仙翁</t>
  </si>
  <si>
    <t>湖州友力商贸有限公司</t>
  </si>
  <si>
    <t>巛儿</t>
  </si>
  <si>
    <t>百家亲酒业(广东)股份有限公司</t>
  </si>
  <si>
    <t>百姓宗亲</t>
  </si>
  <si>
    <t>郭东兴</t>
  </si>
  <si>
    <t>禹豪汉方</t>
  </si>
  <si>
    <t>李丽红</t>
  </si>
  <si>
    <t>蓝亭花语</t>
  </si>
  <si>
    <t>徐占辉</t>
  </si>
  <si>
    <t>老才子</t>
  </si>
  <si>
    <t>荣海伊</t>
  </si>
  <si>
    <t>骆驼队长</t>
  </si>
  <si>
    <t>山东狼溪汇富产业发展有限公司</t>
  </si>
  <si>
    <t>岱德堂</t>
  </si>
  <si>
    <t>至宇宙服装有限公司</t>
  </si>
  <si>
    <t>七酒鹿</t>
  </si>
  <si>
    <t>邱大豪</t>
  </si>
  <si>
    <t>浆士关</t>
  </si>
  <si>
    <t>绿色田园(衡阳)农业发展有限公司</t>
  </si>
  <si>
    <t>广东大国古将酒业有限公司</t>
  </si>
  <si>
    <t>泓林</t>
  </si>
  <si>
    <t>新县梅苑酒店管理有限公司</t>
  </si>
  <si>
    <t>天猫虎</t>
  </si>
  <si>
    <t>陈兴芝</t>
  </si>
  <si>
    <t>妻小美</t>
  </si>
  <si>
    <t>青岛负负得正贸易有限公司</t>
  </si>
  <si>
    <t>浔王台</t>
  </si>
  <si>
    <t>济南满华超市管理有限公司</t>
  </si>
  <si>
    <t>听风建瓴</t>
  </si>
  <si>
    <t>安徽省天缘智强农业开发有限公司</t>
  </si>
  <si>
    <t>蜓恋荷</t>
  </si>
  <si>
    <t>嘉倍喜</t>
  </si>
  <si>
    <t>苏州消泾科技有限公司</t>
  </si>
  <si>
    <t>消泾</t>
  </si>
  <si>
    <t>贵州金窖供应链管理有限公司</t>
  </si>
  <si>
    <t>赤粮仁</t>
  </si>
  <si>
    <t>鹰夫子</t>
  </si>
  <si>
    <t>浙江今婺文化发展有限公司</t>
  </si>
  <si>
    <t>南山明心谷</t>
  </si>
  <si>
    <t>绍酒行天下</t>
  </si>
  <si>
    <t>谢艾尔</t>
  </si>
  <si>
    <t>取山海</t>
  </si>
  <si>
    <t>资阳市佰帝思商贸有限公司</t>
  </si>
  <si>
    <t>芮戈</t>
  </si>
  <si>
    <t>深圳先峰酒业有限公司</t>
  </si>
  <si>
    <t>沙雅县国有资产营运公司</t>
  </si>
  <si>
    <t>塔禾</t>
  </si>
  <si>
    <t>成都妙牌照明科技有限公司</t>
  </si>
  <si>
    <t>万岭箐</t>
  </si>
  <si>
    <t>亚洲酿酒(厦门)有限公司</t>
  </si>
  <si>
    <t>丹凤佳酿</t>
  </si>
  <si>
    <t>广东珍珍企业管理有限公司</t>
  </si>
  <si>
    <t>有心食神</t>
  </si>
  <si>
    <t>青岛海蓝之家健康科技有限公司</t>
  </si>
  <si>
    <t>杭州祝和科技有限公司</t>
  </si>
  <si>
    <t>葡晋</t>
  </si>
  <si>
    <t>谈富良</t>
  </si>
  <si>
    <t>锦上天</t>
  </si>
  <si>
    <t>海南康老板健康服务有限公司</t>
  </si>
  <si>
    <t>K 康老板</t>
  </si>
  <si>
    <t>安徽小吊酒业有限公司</t>
  </si>
  <si>
    <t>天堂寨</t>
  </si>
  <si>
    <t>哈尔滨问天品牌管理有限公司</t>
  </si>
  <si>
    <t>观半生奢享</t>
  </si>
  <si>
    <t>欧思颖</t>
  </si>
  <si>
    <t>泊感</t>
  </si>
  <si>
    <t>湖南博瑞医药健康产业集团有限公司</t>
  </si>
  <si>
    <t>老嚣嚣</t>
  </si>
  <si>
    <t>袁玉辉</t>
  </si>
  <si>
    <t>暄歌</t>
  </si>
  <si>
    <t>托蒂朵蒂有限责任公司</t>
  </si>
  <si>
    <t>TOKIDOKI</t>
  </si>
  <si>
    <t>贵专大数据科技有限公司</t>
  </si>
  <si>
    <t>企扁鹊</t>
  </si>
  <si>
    <t>南京论一雄酒业有限公司</t>
  </si>
  <si>
    <t>BLUESKYCHONS</t>
  </si>
  <si>
    <t>酒道抱朴酒业有限公司</t>
  </si>
  <si>
    <t>青山在</t>
  </si>
  <si>
    <t>吉林省有幸长柏生态科技有限公司</t>
  </si>
  <si>
    <t>中青葡</t>
  </si>
  <si>
    <t>仁怀市仁赐坊酒类经营部</t>
  </si>
  <si>
    <t>君派基</t>
  </si>
  <si>
    <t>古匠道</t>
  </si>
  <si>
    <t>迁陵侯</t>
  </si>
  <si>
    <t>遵义川江建材(集团)有限公司</t>
  </si>
  <si>
    <t>兀几</t>
  </si>
  <si>
    <t>王亚军</t>
  </si>
  <si>
    <t>汉帝开</t>
  </si>
  <si>
    <t>贵州尧台酒业有限公司</t>
  </si>
  <si>
    <t>荣太爷烧坊</t>
  </si>
  <si>
    <t>雨雨青</t>
  </si>
  <si>
    <t>高在龙</t>
  </si>
  <si>
    <t>四川省宜宾竹海酒业有限公司</t>
  </si>
  <si>
    <t>竹海六星</t>
  </si>
  <si>
    <t>宁夏鹿盘山农业科技有限公司</t>
  </si>
  <si>
    <t>宁地甄选</t>
  </si>
  <si>
    <t>成都金院子商贸有限公司</t>
  </si>
  <si>
    <t>金院烧</t>
  </si>
  <si>
    <t>贵州怀庄酒业(集团)有限责任公司</t>
  </si>
  <si>
    <t>怀庄大师</t>
  </si>
  <si>
    <t>武汉荆楚九头鸟酒业有限公司</t>
  </si>
  <si>
    <t>木兰山</t>
  </si>
  <si>
    <t>亳州中支酒业有限公司</t>
  </si>
  <si>
    <t>华瑞之星</t>
  </si>
  <si>
    <t>安徽精制生物科技有限公司</t>
  </si>
  <si>
    <t>精致说</t>
  </si>
  <si>
    <t>程玉芝</t>
  </si>
  <si>
    <t>宜程小河醇</t>
  </si>
  <si>
    <t>蒋菲菲</t>
  </si>
  <si>
    <t>张秋晓</t>
  </si>
  <si>
    <t>黔父台</t>
  </si>
  <si>
    <t>安徽华酿酒业有限公司</t>
  </si>
  <si>
    <t>腰魅诗酿</t>
  </si>
  <si>
    <t>汾阳市桃花泉水业有限公司</t>
  </si>
  <si>
    <t>黄芦岭</t>
  </si>
  <si>
    <t>贵州醉黔古酒业有限公司</t>
  </si>
  <si>
    <t>醉黔古一代宗匠</t>
  </si>
  <si>
    <t>福合四世同堂</t>
  </si>
  <si>
    <t>潘兴</t>
  </si>
  <si>
    <t>吴记美</t>
  </si>
  <si>
    <t>小米科技有限责任公司</t>
  </si>
  <si>
    <t>XIAOMI SU</t>
  </si>
  <si>
    <t>苗红天喜</t>
  </si>
  <si>
    <t>北京洋洋宝贝宠物用品有限公司</t>
  </si>
  <si>
    <t>可思奇</t>
  </si>
  <si>
    <t>贵州九月酒商贸有限公司</t>
  </si>
  <si>
    <t>爽游</t>
  </si>
  <si>
    <t>万寿安</t>
  </si>
  <si>
    <t>梁小酣</t>
  </si>
  <si>
    <t>罗勇军</t>
  </si>
  <si>
    <t>瑶倪</t>
  </si>
  <si>
    <t>三合恒升 如日</t>
  </si>
  <si>
    <t>台生豪</t>
  </si>
  <si>
    <t>乾隆合生堂</t>
  </si>
  <si>
    <t>青岛国信会展酒店发展有限公司</t>
  </si>
  <si>
    <t>南粤东方</t>
  </si>
  <si>
    <t>濮阳市诚信联盟商贸有限公司</t>
  </si>
  <si>
    <t>两亿岁</t>
  </si>
  <si>
    <t>深圳宙波科技控股有限公司</t>
  </si>
  <si>
    <t>宙波</t>
  </si>
  <si>
    <t>（第01类）0101 太阳能电池用硅;0101 工业用固态气体;0101 工业用石墨;0101 氢;0101 混合稀土金属;0101 碳;0102 有机金属化合物;0106 非医用生物化学试剂;0108 有机硅树脂;0115 工业用胶（第02类）0201 媒染剂;0201 着色剂;0201 碱性染料(阳离子染料);0202 生产化妆品用颜料;0202 画家、装饰家、印刷商和艺术家用金属粉;0202 着色剂;0202 颜料;0205 合成树脂涂料;0205 清漆;0207 树胶脂（第03类）0301 洗衣用织物柔顺剂;0301 浸清洁制剂的婴儿湿巾;0301 肥皂;0302 清洁制剂;0302 硅清洁剂;0305 香料;0305 香精油;0306 化妆品;0307 牙膏;0310 空气芳香剂（第04类）0401 保护皮革用油和脂;0401 工业用油;0401 润滑油;0402 液体燃料;0402 照明用油;0402 燃料;0403 固体燃料;0403 燃料;0404 工业用蜡;0405 照明用蜡;0406 吸收灰尘用合成物（第05类）0501 中药材;0501 医用药膏;0501 消毒剂;0501 牙科用药;0501 生化药品;0501 药酒;0502 医用营养品;0502 婴儿食品;0502 矿物质膳食补充剂;0502 药用糖果（第06类）0601 普通金属合金;0603 可移动金属建筑物;0603 金属建筑材料;0604 铁轨用金属材料;0605 普通金属制非电气用缆绳和线;0607 五金器具;0607 金属扣钉(钩);0608 五金器具;0609 五金器具;0611 保险箱(金属或非金属);0623 金属矿石;0623 黄铁矿砂（第07类）0701 非手动的农业器具;0702 孵化器;0711 烟草加工机;0725 制药加工工业机器;0726 模压加工机器;0735 冲床(工业用机器);0745 光学冷加工设备;0746 气体分离设备;0748 马达和引擎启动器;0750 机器传动带（第08类）0801 手动的手工具;0801 研磨工具(手动的);0802 农业器具(手动的);0802 手动的手工具;0803 园艺工具(手动的);0803 手动的手工具;0804 手动的手工具;0805 手动的手工具;0806 剃刀;0806 手动的手工具;0807 手动的手工具;0808 工业用手动软管挤压器;0808 手动的手工具;0808 抛光铁器(抛光工具);0808 数字穿孔机;0809 手动的手工具;0810 手动的手工具;0811 除火器外的随身武器;0812 餐具(刀、叉和匙)（第09类）0909 照相机(摄影);0910 光电子能谱分析仪(非医用);0910 测量装置;0910 科学用探测器;0910 航海器械和仪器;0911 光学器械和仪器;0913 电动控制装置（第10类）1001 兽医用器械和工具;1001 医疗器械和仪器;1001 外科仪器和器械;1001 家用电动美容按摩器械;1001 热气医疗装置;1001 艾灸治疗用医疗器械;1003 医疗放射设备;1004 医疗器械、注射器和其他医疗污染废物的专用处理容器;1008 矫形用物品;1009 缝合材料（第11类）1101 照明设备和装置;1104 烹饪用炉;1105 冷藏柜;1106 干燥设备;1106 通风设备和装置(空气调节);1107 供水设备;1107 加热装置;1107 固体、液体、气体燃料加热器;1107 工业用蒸汽供暖设备;1109 卫生器械和设备（第12类）1201 电动运载工具;1201 陆、空、水或铁路用机动运载工具;1202 儿童安全座(汽车用);1202 电动运载工具;1202 车辆内装饰品;1202 陆、空、水或铁路用机动运载工具;1202 高尔夫球车(车辆);1204 机动三轮车;1204 电动运载工具;1204 自行车;1204 陆、空、水或铁路用机动运载工具;1205 电动运载工具;1206 手推车;1206 轮椅;1209 陆、空、水或铁路用机动运载工具;1210 水上运载工具;1210 电动运载工具;1210 陆、空、水或铁路用机动运载工具（第13类）1301 体育用火器;1301 打猎铅弹;1301 火器;1301 火器用两脚架;1302 乙炔硝化棉;1303 烟火产品;1303 烟花;1303 爆竹;1303 鞭炮;1304 个人防护用喷雾（第14类）1401 贵金属合金;1403 未加工宝石;1403 贵重宝石;1403 贵重珠宝首饰（第15类）1501 乐器;1501 儿童用乐器;1502 乐器盒;1502 西洋乐器用弦（第16类）1601 纸;1607 照片(印制的);1610 书籍装订材料;1613 印章(印);1614 画笔;1615 文具或家用塑料黏合剂;1615 胶带分配器(办公用品);1616 作为绘图工具的量角器;1619 教学材料(仪器除外);1620 模型材料（第17类）1701 乳胶(天然胶);1701 古塔胶;1701 天然橡胶;1701 未加工或半加工树胶;1704 非金属软管;1705 玻璃纤维保温板和管;1705 石棉;1706 未加工或部分加工云母;1707 包装用橡胶袋;1707 橡胶或塑料制(减震或填充用)包装材料（第18类）1801 仿皮革;1801 仿裘皮;1801 半加工或未加工皮革;1801 家具用皮革;1801 裘皮;1801 金箔加工用肠膜;1802 仿皮革箱子;1804 儿童雨伞;1804 雨伞袋;1805 手杖（第19类）1901 木材;1902 建筑用灰泥;1902 沙;1902 石料;1902 黏土;1903 石膏(建筑材料);1908 柏油;1908 沥青;1914 石、混凝土或大理石制艺术品;1915 石头、混凝土或大理石墓碑（第20类）2001 家具;2001 软垫家具;2004 镜子;2005 竹编制品(不包括帽、席、垫);2006 未加工或半加工角、牙、介制品;2006 树脂工艺品;2006 漆器工艺品;2006 珍珠母(未加工或半加工的);2008 食品用塑料装饰品;2009 宠物靠垫（第21类）2101 厨房容器;2101 家用器皿;2101 模子(厨房器具);2103 日用瓷器(包括盆、碗、盘、壶、餐具、缸、坛、罐);2104 瓷器装饰品;2107 倒梳头发用梳子;2107 制刷原料;2107 刷子;2110 化妆用具;2112 清洁用海绵（第22类）2201 绳索;2201 非金属缆;2202 帆;2202 帐篷;2202 纺织品遮篷;2202 网;2203 包装用纺织品袋(包);2203 纺织原料制包装袋;2204 非橡胶、非塑料、非纸或纸板制(填充或衬垫用)包装材料;2205 纤维纺织原料（第23类）2301 以化学纤维为主的混纺线和纱;2301 以羊毛为主的混纺线和纱;2301 半合成纤维线和纱(经过化学处理的天然纤维纱);2301 棉线和棉纱;2301 纱;2301 纺织线和纱;2302 以化学纤维为主的混纺线和纱;2302 半合成纤维线和纱(经过化学处理的天然纤维纱);2302 棉线和棉纱;2302……</t>
  </si>
  <si>
    <t>上海啊不啾商务咨询有限公司</t>
  </si>
  <si>
    <t>过乐喜</t>
  </si>
  <si>
    <t>汪佰成</t>
  </si>
  <si>
    <t>追梦汪哥</t>
  </si>
  <si>
    <t>江玉庄</t>
  </si>
  <si>
    <t>禧传旗</t>
  </si>
  <si>
    <t>临猗县福禄果品专业合作社</t>
  </si>
  <si>
    <t>云果恋</t>
  </si>
  <si>
    <t>贵州宏宏商贸有限公司</t>
  </si>
  <si>
    <t>淼惢</t>
  </si>
  <si>
    <t>骆梅</t>
  </si>
  <si>
    <t>伊甸仙果</t>
  </si>
  <si>
    <t>刘绍艇</t>
  </si>
  <si>
    <t>纪挚康</t>
  </si>
  <si>
    <t>贵州恒轩商贸有限公司</t>
  </si>
  <si>
    <t>玖侠谷</t>
  </si>
  <si>
    <t>华雷股份有限公司</t>
  </si>
  <si>
    <t>华雷龙</t>
  </si>
  <si>
    <t>元川仙</t>
  </si>
  <si>
    <t>南京指魅流月文化传媒有限公司</t>
  </si>
  <si>
    <t>指魅</t>
  </si>
  <si>
    <t>赞口</t>
  </si>
  <si>
    <t>川上福</t>
  </si>
  <si>
    <t>内蒙古康新食品有限公司</t>
  </si>
  <si>
    <t>康新鲜悦</t>
  </si>
  <si>
    <t>毛威标</t>
  </si>
  <si>
    <t>威鲜赞</t>
  </si>
  <si>
    <t>贵州千润源锌硒食品有限公司</t>
  </si>
  <si>
    <t>千润源</t>
  </si>
  <si>
    <t>范广义</t>
  </si>
  <si>
    <t>故章</t>
  </si>
  <si>
    <t>北京北启新星科贸有限公司</t>
  </si>
  <si>
    <t>BCAHAO 必卡豪</t>
  </si>
  <si>
    <t>中山市欧莱克电器有限公司</t>
  </si>
  <si>
    <t>OLAYKS.</t>
  </si>
  <si>
    <t>朱晓辉</t>
  </si>
  <si>
    <t>禾花香</t>
  </si>
  <si>
    <t>查银桃</t>
  </si>
  <si>
    <t>怀亲</t>
  </si>
  <si>
    <t>桐乡市圆周率网络科技有限公司</t>
  </si>
  <si>
    <t>红山梦</t>
  </si>
  <si>
    <t>贵州淙台酒业有限公司</t>
  </si>
  <si>
    <t>皓语</t>
  </si>
  <si>
    <t>徐俊刚</t>
  </si>
  <si>
    <t>牛霸天</t>
  </si>
  <si>
    <t>四川家宽建道文化传播有限公司</t>
  </si>
  <si>
    <t>家宽文化</t>
  </si>
  <si>
    <t>黑龙江长隆农业科技发展有限公司</t>
  </si>
  <si>
    <t>创社纪念酒</t>
  </si>
  <si>
    <t>食神星厨</t>
  </si>
  <si>
    <t>依文控股有限公司</t>
  </si>
  <si>
    <t>EVE CINA</t>
  </si>
  <si>
    <t>湖南蒙师泰食品有限公司</t>
  </si>
  <si>
    <t>MST 蒙师泰</t>
  </si>
  <si>
    <t>潍坊风筝文化运营有限公司</t>
  </si>
  <si>
    <t>鸢梦台</t>
  </si>
  <si>
    <t>畅春四世同堂</t>
  </si>
  <si>
    <t>衡水旭然金高粱酒庄有限公司</t>
  </si>
  <si>
    <t>旭然金宝至尊</t>
  </si>
  <si>
    <t>贵州湘君伟业贸易有限公司</t>
  </si>
  <si>
    <t>君晏亲友</t>
  </si>
  <si>
    <t>蕤宾</t>
  </si>
  <si>
    <t>武义乐丰休闲用品有限公司</t>
  </si>
  <si>
    <t>临洮县边城酒业有限责任公司</t>
  </si>
  <si>
    <t>紫斑</t>
  </si>
  <si>
    <t>贤楼</t>
  </si>
  <si>
    <t>百千万(武汉)投资有限公司</t>
  </si>
  <si>
    <t>三镇情</t>
  </si>
  <si>
    <t>姜伟</t>
  </si>
  <si>
    <t>图河乡情</t>
  </si>
  <si>
    <t>瑞华君诚贸易(北京)有限公司</t>
  </si>
  <si>
    <t>LAGARE&amp;FILS 拉瑞夫徽章</t>
  </si>
  <si>
    <t>鹤壁市人元生物技术发展有限公司</t>
  </si>
  <si>
    <t>礼序人元</t>
  </si>
  <si>
    <t>蔡辉</t>
  </si>
  <si>
    <t>花妮</t>
  </si>
  <si>
    <t>熊成</t>
  </si>
  <si>
    <t>贵功王秉黔</t>
  </si>
  <si>
    <t>太平永镇</t>
  </si>
  <si>
    <t>川百春</t>
  </si>
  <si>
    <t>西吉县将台红餐饮有限公司</t>
  </si>
  <si>
    <t>来氏将台红</t>
  </si>
  <si>
    <t>柯宴</t>
  </si>
  <si>
    <t>陈董斌</t>
  </si>
  <si>
    <t>琥尚</t>
  </si>
  <si>
    <t>满洪波</t>
  </si>
  <si>
    <t>林政</t>
  </si>
  <si>
    <t>LND VALENDNEE</t>
  </si>
  <si>
    <t>唐山瑞通商贸有限公司</t>
  </si>
  <si>
    <t>唐百大</t>
  </si>
  <si>
    <t>上海睿星医疗器材有限公司</t>
  </si>
  <si>
    <t>DERMIRACA</t>
  </si>
  <si>
    <t>成都春华广告制作有限公司</t>
  </si>
  <si>
    <t>宝二爷</t>
  </si>
  <si>
    <t>通力时代(北京)文化有限公司</t>
  </si>
  <si>
    <t>摩奇拉</t>
  </si>
  <si>
    <t>阿勒坤投资有限公司</t>
  </si>
  <si>
    <t>ANDESFFA ROCA NATIVA</t>
  </si>
  <si>
    <t>出彩芈青</t>
  </si>
  <si>
    <t>江门市粤顺餐饮管理有限公司</t>
  </si>
  <si>
    <t>CHIU GEE</t>
  </si>
  <si>
    <t>金小山</t>
  </si>
  <si>
    <t>斛三海</t>
  </si>
  <si>
    <t>舒益畅</t>
  </si>
  <si>
    <t>浙江久加久科技股份有限公司</t>
  </si>
  <si>
    <t>久加久酒库</t>
  </si>
  <si>
    <t>清流县龙津镇中笑百货商行</t>
  </si>
  <si>
    <t>黔曲</t>
  </si>
  <si>
    <t>江西振涵农业生物科技有限公司</t>
  </si>
  <si>
    <t>振涵之鼎</t>
  </si>
  <si>
    <t>胡伟华</t>
  </si>
  <si>
    <t>贞观君品</t>
  </si>
  <si>
    <t>张欣欣</t>
  </si>
  <si>
    <t>巴萨谷奥兰大袋鼠庄园</t>
  </si>
  <si>
    <t>杏师寿星</t>
  </si>
  <si>
    <t>甜掌柜康得酒业</t>
  </si>
  <si>
    <t>贵州首部酒业有限公司</t>
  </si>
  <si>
    <t>天福小</t>
  </si>
  <si>
    <t>李霞</t>
  </si>
  <si>
    <t>酣堂醇</t>
  </si>
  <si>
    <t>贵州百谷王酒业有限公司</t>
  </si>
  <si>
    <t>百谷黔隆</t>
  </si>
  <si>
    <t>西安文华餐饮管理有限公司</t>
  </si>
  <si>
    <t>馋唐叙</t>
  </si>
  <si>
    <t>勾陈六星</t>
  </si>
  <si>
    <t>碧灵吟(北京)商贸有限公司</t>
  </si>
  <si>
    <t>碧灵吟</t>
  </si>
  <si>
    <t>浙江嘉善黄酒股份有限公司</t>
  </si>
  <si>
    <t>酷派潮颖</t>
  </si>
  <si>
    <t>索尔斯堡简易股份有限公司</t>
  </si>
  <si>
    <t>孟德索思</t>
  </si>
  <si>
    <t>广东长乐烧酒业股份有限公司</t>
  </si>
  <si>
    <t>乐长</t>
  </si>
  <si>
    <t>广东顺德控股集团有限公司</t>
  </si>
  <si>
    <t>SHUNKONG</t>
  </si>
  <si>
    <t>云南银链科技有限公司</t>
  </si>
  <si>
    <t>合话拾</t>
  </si>
  <si>
    <t>湖南湘商购网络科技股份有限公司</t>
  </si>
  <si>
    <t>王树</t>
  </si>
  <si>
    <t>玉敏</t>
  </si>
  <si>
    <t>杨百雄</t>
  </si>
  <si>
    <t>希瑞盛</t>
  </si>
  <si>
    <t>四川省蜀国食品有限责任公司</t>
  </si>
  <si>
    <t>济德喆</t>
  </si>
  <si>
    <t>墡家</t>
  </si>
  <si>
    <t>苏东坡书院</t>
  </si>
  <si>
    <t>执笔画缘</t>
  </si>
  <si>
    <t>杭州奋斗之露品牌管理有限公司</t>
  </si>
  <si>
    <t>镖族甄选</t>
  </si>
  <si>
    <t>高茹</t>
  </si>
  <si>
    <t>如鹿通</t>
  </si>
  <si>
    <t>蒂葳臻酿</t>
  </si>
  <si>
    <t>景德镇仲夏年轮文化传媒有限公司</t>
  </si>
  <si>
    <t>仲夏年轮</t>
  </si>
  <si>
    <t>四川泸州风雪两江酒业有限公司</t>
  </si>
  <si>
    <t>风花白雪</t>
  </si>
  <si>
    <t>菏泽汇泉酒业有限公司</t>
  </si>
  <si>
    <t>响云沙</t>
  </si>
  <si>
    <t>翠峻有礼</t>
  </si>
  <si>
    <t>安徽寿德天下商贸有限公司</t>
  </si>
  <si>
    <t>开雷盟</t>
  </si>
  <si>
    <t>史脉(上海)国际贸易有限公司</t>
  </si>
  <si>
    <t>CERIOUS AS</t>
  </si>
  <si>
    <t>赵明银</t>
  </si>
  <si>
    <t>叫喜</t>
  </si>
  <si>
    <t>安徽省炎黄实业集团有限公司</t>
  </si>
  <si>
    <t>匠小令</t>
  </si>
  <si>
    <t>天下第一庄食品科技(枣庄)有限公司</t>
  </si>
  <si>
    <t>庄走运</t>
  </si>
  <si>
    <t>征戎</t>
  </si>
  <si>
    <t>淳酿伶</t>
  </si>
  <si>
    <t>蔬了宝</t>
  </si>
  <si>
    <t>匠属</t>
  </si>
  <si>
    <t>郝万家</t>
  </si>
  <si>
    <t>安徽泽国农业科技有限公司</t>
  </si>
  <si>
    <t>龙眠春晓</t>
  </si>
  <si>
    <t>四川川供天下农业发展有限公司</t>
  </si>
  <si>
    <t>北京润拓国际贸易有限公司</t>
  </si>
  <si>
    <t>润拓</t>
  </si>
  <si>
    <t>梅州市梅县区雁洋镇志睦楼民宿客栈</t>
  </si>
  <si>
    <t>志睦楼</t>
  </si>
  <si>
    <t>VLAB</t>
  </si>
  <si>
    <t>白山市宝禄源特产有限公司</t>
  </si>
  <si>
    <t>古瑞吟</t>
  </si>
  <si>
    <t>川品天</t>
  </si>
  <si>
    <t>令君子</t>
  </si>
  <si>
    <t>纪莎莎</t>
  </si>
  <si>
    <t>浩源乡</t>
  </si>
  <si>
    <t>客泊锐</t>
  </si>
  <si>
    <t>孙兵枢</t>
  </si>
  <si>
    <t>蒙博源 古烧</t>
  </si>
  <si>
    <t>中山市桥牌酒业有限公司</t>
  </si>
  <si>
    <t>广中桥</t>
  </si>
  <si>
    <t>漯河市环球机电有限公司</t>
  </si>
  <si>
    <t>知止可得</t>
  </si>
  <si>
    <t>上海未漾智能科技有限公司</t>
  </si>
  <si>
    <t>未漾</t>
  </si>
  <si>
    <t>川海仙</t>
  </si>
  <si>
    <t>可邦(南京)企业管理咨询有限公司</t>
  </si>
  <si>
    <t>满绩</t>
  </si>
  <si>
    <t>福建有良投资集团有限公司</t>
  </si>
  <si>
    <t>佬奢</t>
  </si>
  <si>
    <t>北京毛家酒君酒文化有限公司</t>
  </si>
  <si>
    <t>爱飞行</t>
  </si>
  <si>
    <t>烟台通商国际贸易有限公司</t>
  </si>
  <si>
    <t>梨厢记</t>
  </si>
  <si>
    <t>南充市天森谷文化旅游开发有限公司</t>
  </si>
  <si>
    <t>天森谷</t>
  </si>
  <si>
    <t>范立明</t>
  </si>
  <si>
    <t>仉行孝道</t>
  </si>
  <si>
    <t>保定茶沐商贸有限公司</t>
  </si>
  <si>
    <t>晋三粮</t>
  </si>
  <si>
    <t>功藏酒业集团有限公司</t>
  </si>
  <si>
    <t>功藏</t>
  </si>
  <si>
    <t>贵州情景最藏酒业有限公司</t>
  </si>
  <si>
    <t>情谊无价</t>
  </si>
  <si>
    <t>广西夜来香茶叶集团有限公司</t>
  </si>
  <si>
    <t>晋花瓷</t>
  </si>
  <si>
    <t>天赋星球(香港)有限公司</t>
  </si>
  <si>
    <t>畊好生活</t>
  </si>
  <si>
    <t>徐坛</t>
  </si>
  <si>
    <t>悍香</t>
  </si>
  <si>
    <t>黑河全域绿色农业发展集团有限公司</t>
  </si>
  <si>
    <t>极境寒养</t>
  </si>
  <si>
    <t>吴甫胜</t>
  </si>
  <si>
    <t>斟满盈</t>
  </si>
  <si>
    <t>唐益谊</t>
  </si>
  <si>
    <t>贵海池</t>
  </si>
  <si>
    <t>王平安</t>
  </si>
  <si>
    <t>弈</t>
  </si>
  <si>
    <t>淄博环本经贸有限公司</t>
  </si>
  <si>
    <t>优替</t>
  </si>
  <si>
    <t>梁文英</t>
  </si>
  <si>
    <t>山顶梅</t>
  </si>
  <si>
    <t>柔雅大</t>
  </si>
  <si>
    <t>成都培元雅集生物科技有限公司</t>
  </si>
  <si>
    <t>岁安宁</t>
  </si>
  <si>
    <t>王俊豪</t>
  </si>
  <si>
    <t>沪上羊火</t>
  </si>
  <si>
    <t>山东京方丹酒业有限公司</t>
  </si>
  <si>
    <t>升飏</t>
  </si>
  <si>
    <t>黄志钦</t>
  </si>
  <si>
    <t>元致堂</t>
  </si>
  <si>
    <t>河南省仁孝酿酒有限责任公司</t>
  </si>
  <si>
    <t>卫都彩陶坊</t>
  </si>
  <si>
    <t>余玲</t>
  </si>
  <si>
    <t>贵州四方云天科技有限公司</t>
  </si>
  <si>
    <t>四方云天</t>
  </si>
  <si>
    <t>何遐刚</t>
  </si>
  <si>
    <t>贞花</t>
  </si>
  <si>
    <t>山东运河酒庄集团有限公司</t>
  </si>
  <si>
    <t>张秋義</t>
  </si>
  <si>
    <t>鹰墨</t>
  </si>
  <si>
    <t>徐崇</t>
  </si>
  <si>
    <t>府名春</t>
  </si>
  <si>
    <t>檀承臻酿</t>
  </si>
  <si>
    <t>闯龙门</t>
  </si>
  <si>
    <t>陕西百年精典品牌管理有限公司</t>
  </si>
  <si>
    <t>福到鸿运开</t>
  </si>
  <si>
    <t>衡昌檀承</t>
  </si>
  <si>
    <t>贵州省仁怀市海飞酒业有限公司</t>
  </si>
  <si>
    <t>海飞名</t>
  </si>
  <si>
    <t>丁铁家(***)</t>
  </si>
  <si>
    <t>李国新</t>
  </si>
  <si>
    <t>康熙井窟坊</t>
  </si>
  <si>
    <t>成都酒十三酒类营销有限责任公司</t>
  </si>
  <si>
    <t>六龙回日</t>
  </si>
  <si>
    <t>天津市清酤轩酒业有限责任公司</t>
  </si>
  <si>
    <t>酑酤酝</t>
  </si>
  <si>
    <t>云南醉懂整茶业科技有限公司</t>
  </si>
  <si>
    <t>醉懂整</t>
  </si>
  <si>
    <t>贵州万粒粮酒业有限公司</t>
  </si>
  <si>
    <t>匠汣汇</t>
  </si>
  <si>
    <t>贵州华朝匠酒业有限公司</t>
  </si>
  <si>
    <t>华朝美</t>
  </si>
  <si>
    <t>漳州烽炜投资有限公司</t>
  </si>
  <si>
    <t>勇壮简易</t>
  </si>
  <si>
    <t>争徽</t>
  </si>
  <si>
    <t>袁开菊</t>
  </si>
  <si>
    <t>读书世家</t>
  </si>
  <si>
    <t>鑫荣懋果业科技集团股份有限公司</t>
  </si>
  <si>
    <t>果本成实</t>
  </si>
  <si>
    <t>贵州盈加赢酒业有限公司</t>
  </si>
  <si>
    <t>朋局</t>
  </si>
  <si>
    <t>杨人久</t>
  </si>
  <si>
    <t>马叫</t>
  </si>
  <si>
    <t>罗放平</t>
  </si>
  <si>
    <t>富宙</t>
  </si>
  <si>
    <t>山东晟拖重工有限公司</t>
  </si>
  <si>
    <t>KANLUCKY 凯力健</t>
  </si>
  <si>
    <t>宴之禧</t>
  </si>
  <si>
    <t>张玉华</t>
  </si>
  <si>
    <t>丽颜向阳</t>
  </si>
  <si>
    <t>果年青</t>
  </si>
  <si>
    <t>爽爽果</t>
  </si>
  <si>
    <t>洛阳雁河绿色农业有限公司</t>
  </si>
  <si>
    <t>蜂探</t>
  </si>
  <si>
    <t>山西神州鸿运酒业有限公司</t>
  </si>
  <si>
    <t>雁门井</t>
  </si>
  <si>
    <t>上海圆容企业发展有限公司</t>
  </si>
  <si>
    <t>爱乐猫</t>
  </si>
  <si>
    <t>手瓣(盐城)电子商务有限公司</t>
  </si>
  <si>
    <t>SAWBANLY</t>
  </si>
  <si>
    <t>吉喜福酒业(北京)有限责任公司</t>
  </si>
  <si>
    <t>葡园至宴</t>
  </si>
  <si>
    <t>成都唯顶汇风尚电子商务有限公司</t>
  </si>
  <si>
    <t>嬴有鸣</t>
  </si>
  <si>
    <t>山东泽山农业有限公司</t>
  </si>
  <si>
    <t>王艳芳</t>
  </si>
  <si>
    <t>欣开大</t>
  </si>
  <si>
    <t>易战华</t>
  </si>
  <si>
    <t>易子乔</t>
  </si>
  <si>
    <t>王叔培</t>
  </si>
  <si>
    <t>汉道丞</t>
  </si>
  <si>
    <t>厦门引木成香工艺品有限公司</t>
  </si>
  <si>
    <t>ENJOY CUTE</t>
  </si>
  <si>
    <t>陈义强</t>
  </si>
  <si>
    <t>晶钴铭</t>
  </si>
  <si>
    <t>漳州未辰见商贸有限公司</t>
  </si>
  <si>
    <t>未辰见</t>
  </si>
  <si>
    <t>灌南县汤沟曲酒厂</t>
  </si>
  <si>
    <t>极美黄金叶</t>
  </si>
  <si>
    <t>贵州省仁怀市黔武台酒业有限公司</t>
  </si>
  <si>
    <t>紫运台</t>
  </si>
  <si>
    <t>贵州宋樽酒业有限公司</t>
  </si>
  <si>
    <t>宋您一樽</t>
  </si>
  <si>
    <t>大峡谷秘境</t>
  </si>
  <si>
    <t>山西漪汾河酒业有限公司</t>
  </si>
  <si>
    <t>涟纷河</t>
  </si>
  <si>
    <t>刘璐</t>
  </si>
  <si>
    <t>壹航金谷</t>
  </si>
  <si>
    <t>孟宪志</t>
  </si>
  <si>
    <t>厚德发</t>
  </si>
  <si>
    <t>上海天琴文化传媒有限公司</t>
  </si>
  <si>
    <t>古河四季</t>
  </si>
  <si>
    <t>深圳市行座科技有限责任公司</t>
  </si>
  <si>
    <t>行座</t>
  </si>
  <si>
    <t>梁国庆</t>
  </si>
  <si>
    <t>名粮神</t>
  </si>
  <si>
    <t>孟頔</t>
  </si>
  <si>
    <t>门都老</t>
  </si>
  <si>
    <t>宁夏塞上繁花商贸有限公司</t>
  </si>
  <si>
    <t>塞上繁花</t>
  </si>
  <si>
    <t>陶汤</t>
  </si>
  <si>
    <t>林国柱</t>
  </si>
  <si>
    <t>郜城烟火</t>
  </si>
  <si>
    <t>巅承</t>
  </si>
  <si>
    <t>微观更新(北京)运营管理有限公司</t>
  </si>
  <si>
    <t>京韵雅筵</t>
  </si>
  <si>
    <t>章友</t>
  </si>
  <si>
    <t>福斗纪</t>
  </si>
  <si>
    <t>周德猛</t>
  </si>
  <si>
    <t>汉兴守礼</t>
  </si>
  <si>
    <t>久州壹途</t>
  </si>
  <si>
    <t>陈尔强</t>
  </si>
  <si>
    <t>聚神源华承世家</t>
  </si>
  <si>
    <t>上海绿芸竺新材料有限公司</t>
  </si>
  <si>
    <t>YWS</t>
  </si>
  <si>
    <t>周期养</t>
  </si>
  <si>
    <t>橙添爱</t>
  </si>
  <si>
    <t>湖南大佰农业科技有限公司</t>
  </si>
  <si>
    <t>百灶居</t>
  </si>
  <si>
    <t>泉州市泉港区蕊烈日用百货商行</t>
  </si>
  <si>
    <t>东潭</t>
  </si>
  <si>
    <t>刘宗湖</t>
  </si>
  <si>
    <t>民弘台</t>
  </si>
  <si>
    <t>杨美旋</t>
  </si>
  <si>
    <t>生命泡泡</t>
  </si>
  <si>
    <t>江门市翁大妈食品有限公司</t>
  </si>
  <si>
    <t>翁大妈</t>
  </si>
  <si>
    <t>河南首江实业集团有限公司</t>
  </si>
  <si>
    <t>首江臻酒惠</t>
  </si>
  <si>
    <t>青岛奇果恋栈酒水有限公司</t>
  </si>
  <si>
    <t>贺竹清</t>
  </si>
  <si>
    <t>贵州省仁怀市红坊烧酒业销售有限公司</t>
  </si>
  <si>
    <t>神洲贵客</t>
  </si>
  <si>
    <t>青岛百通文化发展有限公司</t>
  </si>
  <si>
    <t>乾栈</t>
  </si>
  <si>
    <t>贾茜</t>
  </si>
  <si>
    <t>阿貂</t>
  </si>
  <si>
    <t>济宁奥农农业发展有限公司</t>
  </si>
  <si>
    <t>零食踪影</t>
  </si>
  <si>
    <t>贵州大曲鸿基酒业有限公司</t>
  </si>
  <si>
    <t>龙门小客卿</t>
  </si>
  <si>
    <t>孙洪政</t>
  </si>
  <si>
    <t>官栈烧坊</t>
  </si>
  <si>
    <t>四川省洞子窖酒业有限公司</t>
  </si>
  <si>
    <t>醉庚窖</t>
  </si>
  <si>
    <t>任修亮</t>
  </si>
  <si>
    <t>平川迎宾</t>
  </si>
  <si>
    <t>建始县硒福农业产业发展有限公司</t>
  </si>
  <si>
    <t>稀都情</t>
  </si>
  <si>
    <t>堡巴欧国际贸易河北有限公司</t>
  </si>
  <si>
    <t>LILY AND SWAN VILLA</t>
  </si>
  <si>
    <t>崎若川墅</t>
  </si>
  <si>
    <t>井世酿</t>
  </si>
  <si>
    <t>金建乐</t>
  </si>
  <si>
    <t>宁可秀</t>
  </si>
  <si>
    <t>肖明</t>
  </si>
  <si>
    <t>汉梦川</t>
  </si>
  <si>
    <t>北京中楷文化传播有限公司</t>
  </si>
  <si>
    <t>蓝楷</t>
  </si>
  <si>
    <t>李国彬</t>
  </si>
  <si>
    <t>疼小腾</t>
  </si>
  <si>
    <t>何梦娇</t>
  </si>
  <si>
    <t>古粮彩</t>
  </si>
  <si>
    <t>河南省佰熠信餐饮管理有限公司</t>
  </si>
  <si>
    <t>尕漂亮</t>
  </si>
  <si>
    <t>乾琨科技(深圳)有限公司</t>
  </si>
  <si>
    <t>乾琨</t>
  </si>
  <si>
    <t>蒋浩</t>
  </si>
  <si>
    <t>巡羊狮</t>
  </si>
  <si>
    <t>广之桥</t>
  </si>
  <si>
    <t>川天谷</t>
  </si>
  <si>
    <t>中小小(无锡)餐饮管理有限公司</t>
  </si>
  <si>
    <t>砂锅爷</t>
  </si>
  <si>
    <t>盐池县和兴科技集团有限公司</t>
  </si>
  <si>
    <t>津玖柔</t>
  </si>
  <si>
    <t>吴亚亮</t>
  </si>
  <si>
    <t>渝良正</t>
  </si>
  <si>
    <t>谭召爱</t>
  </si>
  <si>
    <t>下楼老谭</t>
  </si>
  <si>
    <t>八方好物(北京)康养产业有限公司</t>
  </si>
  <si>
    <t>胖力熊</t>
  </si>
  <si>
    <t>戚兴芳</t>
  </si>
  <si>
    <t>绿山鹿</t>
  </si>
  <si>
    <t>范文静</t>
  </si>
  <si>
    <t>专质</t>
  </si>
  <si>
    <t>贵州寻味梵净果酒有限公司</t>
  </si>
  <si>
    <t>彩欢喜</t>
  </si>
  <si>
    <t>张志胜</t>
  </si>
  <si>
    <t>龙船澜湾</t>
  </si>
  <si>
    <t>苍南绍水桥商贸有限公司</t>
  </si>
  <si>
    <t>绍越竹</t>
  </si>
  <si>
    <t>吴江经济技术开发区名派商标设计工作室</t>
  </si>
  <si>
    <t>古炎黄</t>
  </si>
  <si>
    <t>中国双喜(控股)股份有限公司</t>
  </si>
  <si>
    <t>牌台红酒台红 酒台红牌台红</t>
  </si>
  <si>
    <t>魏海涛</t>
  </si>
  <si>
    <t>魏海涛名羊天下</t>
  </si>
  <si>
    <t>张丽宁</t>
  </si>
  <si>
    <t>空度</t>
  </si>
  <si>
    <t>宿松金大徽珍禽养殖有限公司</t>
  </si>
  <si>
    <t>徽鹿松</t>
  </si>
  <si>
    <t>厦门龙阙实业有限公司</t>
  </si>
  <si>
    <t>北辰山</t>
  </si>
  <si>
    <t>嘉欣嘉悦(上海)管理咨询有限公司</t>
  </si>
  <si>
    <t>英万里</t>
  </si>
  <si>
    <t>红河九鸿生物科技有限公司</t>
  </si>
  <si>
    <t>九鸿有礼</t>
  </si>
  <si>
    <t>绍兴柯桥安稳贸易有限公司</t>
  </si>
  <si>
    <t>刘伊然</t>
  </si>
  <si>
    <t>满粤</t>
  </si>
  <si>
    <t>章贡区悦景餐厅</t>
  </si>
  <si>
    <t>JOYFUL SCENERY</t>
  </si>
  <si>
    <t>陕西秦樽酒业有限责任公司</t>
  </si>
  <si>
    <t>旭樽说</t>
  </si>
  <si>
    <t>辽宁北魁生态酿酒有限公司</t>
  </si>
  <si>
    <t>北魁琳琅窖</t>
  </si>
  <si>
    <t>张有智</t>
  </si>
  <si>
    <t>狂啸</t>
  </si>
  <si>
    <t>刘鹏</t>
  </si>
  <si>
    <t>辛河</t>
  </si>
  <si>
    <t>王顺昌</t>
  </si>
  <si>
    <t>应文</t>
  </si>
  <si>
    <t>王涛</t>
  </si>
  <si>
    <t>桶富</t>
  </si>
  <si>
    <t>江苏紫京有限公司洪泽农场</t>
  </si>
  <si>
    <t>苏油美小酒</t>
  </si>
  <si>
    <t>紫金万象(北京)国际文化传播中心</t>
  </si>
  <si>
    <t>伊步拉恰</t>
  </si>
  <si>
    <t>宜养润</t>
  </si>
  <si>
    <t>多丽柔</t>
  </si>
  <si>
    <t>传历</t>
  </si>
  <si>
    <t>陈学良</t>
  </si>
  <si>
    <t>每丫</t>
  </si>
  <si>
    <t>清樽酉苑•雅</t>
  </si>
  <si>
    <t>唐山东安现代贸易集团有限公司</t>
  </si>
  <si>
    <t>安悦选</t>
  </si>
  <si>
    <t>刘良海</t>
  </si>
  <si>
    <t>跃龙庄酒</t>
  </si>
  <si>
    <t>海南星良格贸易有限公司</t>
  </si>
  <si>
    <t>南玉晶</t>
  </si>
  <si>
    <t>乔允萍</t>
  </si>
  <si>
    <t>靓一味</t>
  </si>
  <si>
    <t>二宜楼·20</t>
  </si>
  <si>
    <t>杭州领山健康科技有限公司</t>
  </si>
  <si>
    <t>郭母峰</t>
  </si>
  <si>
    <t>胥杰</t>
  </si>
  <si>
    <t>胥族</t>
  </si>
  <si>
    <t>河北京西宣府电子商务有限公司</t>
  </si>
  <si>
    <t>京西宣府不山不世</t>
  </si>
  <si>
    <t>中山市泰禾文旅发展有限公司</t>
  </si>
  <si>
    <t>阜万家</t>
  </si>
  <si>
    <t>冯中义</t>
  </si>
  <si>
    <t>甄力量</t>
  </si>
  <si>
    <t>贵州偃月坊酒业有限公司</t>
  </si>
  <si>
    <t>偃月坊.坐席</t>
  </si>
  <si>
    <t>海南中民银创国际贸易有限公司</t>
  </si>
  <si>
    <t>WHITE BELLE</t>
  </si>
  <si>
    <t>北京动物园管理处</t>
  </si>
  <si>
    <t>北京动物园</t>
  </si>
  <si>
    <t>马文勇</t>
  </si>
  <si>
    <t>鲁粮</t>
  </si>
  <si>
    <t>刘登琴</t>
  </si>
  <si>
    <t>沽选</t>
  </si>
  <si>
    <t>隆裕坊传承</t>
  </si>
  <si>
    <t>曼妥思</t>
  </si>
  <si>
    <t>佛山市唯恰家具有限公司</t>
  </si>
  <si>
    <t>唯恰</t>
  </si>
  <si>
    <t>成都喵星人智能学车科技有限公司</t>
  </si>
  <si>
    <t>一走己</t>
  </si>
  <si>
    <t>浙江天演乡韵乡村运营有限公司</t>
  </si>
  <si>
    <t>村趣</t>
  </si>
  <si>
    <t>周才桥</t>
  </si>
  <si>
    <t>重庆九嶺香千业酒业有限公司</t>
  </si>
  <si>
    <t>李宏</t>
  </si>
  <si>
    <t>金宴酩泉</t>
  </si>
  <si>
    <t>李明明</t>
  </si>
  <si>
    <t>天津醉美智盈酒业有限公司</t>
  </si>
  <si>
    <t>京道皇家风范</t>
  </si>
  <si>
    <t>旗章</t>
  </si>
  <si>
    <t>苏凤兰</t>
  </si>
  <si>
    <t>二连浩</t>
  </si>
  <si>
    <t>秭归县秋谷山酒厂</t>
  </si>
  <si>
    <t>秋谷搬甑酒</t>
  </si>
  <si>
    <t>南宁卡聂高酒业有限公司</t>
  </si>
  <si>
    <t>AGUALAVIDA</t>
  </si>
  <si>
    <t>何浩然</t>
  </si>
  <si>
    <t>禧香纪</t>
  </si>
  <si>
    <t>潘银燕</t>
  </si>
  <si>
    <t>杭晨香</t>
  </si>
  <si>
    <t>镇江零五一一九商贸发展有限公司</t>
  </si>
  <si>
    <t>北固湾</t>
  </si>
  <si>
    <t>有酩金庄</t>
  </si>
  <si>
    <t>贵州国顺酒业有限公司</t>
  </si>
  <si>
    <t>至固</t>
  </si>
  <si>
    <t>和龙市合新佳盛种植专业合作社</t>
  </si>
  <si>
    <t>合新佳盛</t>
  </si>
  <si>
    <t>周志远</t>
  </si>
  <si>
    <t>富文响</t>
  </si>
  <si>
    <t>用心食神</t>
  </si>
  <si>
    <t>山西中创九颐文化传媒有限公司</t>
  </si>
  <si>
    <t>中创九颐</t>
  </si>
  <si>
    <t>痛王集团有限公司</t>
  </si>
  <si>
    <t>运王</t>
  </si>
  <si>
    <t>宴侯欢</t>
  </si>
  <si>
    <t>丹阳市正威企业管理有限公司</t>
  </si>
  <si>
    <t>逍遥善庄</t>
  </si>
  <si>
    <t>齐声</t>
  </si>
  <si>
    <t>江山流霞</t>
  </si>
  <si>
    <t>西藏火柴餐饮管理有限公司</t>
  </si>
  <si>
    <t>桑吉拉姆</t>
  </si>
  <si>
    <t>何宛凝</t>
  </si>
  <si>
    <t>吾比禧</t>
  </si>
  <si>
    <t>武生拯</t>
  </si>
  <si>
    <t>乾裕德</t>
  </si>
  <si>
    <t>南阳市卧龙区飞月商贸经营部</t>
  </si>
  <si>
    <t>蒙鹄</t>
  </si>
  <si>
    <t>张嘉玲</t>
  </si>
  <si>
    <t>民得福</t>
  </si>
  <si>
    <t>借境(郑州)企业管理咨询有限公司</t>
  </si>
  <si>
    <t>借境</t>
  </si>
  <si>
    <t>贵州省仁怀市苏堤酒业有限公司</t>
  </si>
  <si>
    <t>苏堤冬语</t>
  </si>
  <si>
    <t>周国</t>
  </si>
  <si>
    <t>惠山红枫</t>
  </si>
  <si>
    <t>绥芬河市杨帅经贸有限公司</t>
  </si>
  <si>
    <t>魔法烈焰</t>
  </si>
  <si>
    <t>杭州嘉合天诚食品(集团)有限公司</t>
  </si>
  <si>
    <t>塞疆驼</t>
  </si>
  <si>
    <t>花幸集</t>
  </si>
  <si>
    <t>邓煌斌</t>
  </si>
  <si>
    <t>范贵人</t>
  </si>
  <si>
    <t>河北天道酬勤建设工程有限公司</t>
  </si>
  <si>
    <t>胜元气</t>
  </si>
  <si>
    <t>檀承雅韵</t>
  </si>
  <si>
    <t>王刚</t>
  </si>
  <si>
    <t>双龙基</t>
  </si>
  <si>
    <t>青岛昌泽源商贸有限公司</t>
  </si>
  <si>
    <t>琴岛</t>
  </si>
  <si>
    <t>太原腾风云仓酒业有限责任公司</t>
  </si>
  <si>
    <t>见量如然</t>
  </si>
  <si>
    <t>故香游</t>
  </si>
  <si>
    <t>四川康之源饮水设备科技有限公司</t>
  </si>
  <si>
    <t>宽境千般悦</t>
  </si>
  <si>
    <t>曾建国</t>
  </si>
  <si>
    <t>泸小筑</t>
  </si>
  <si>
    <t>李跃峰</t>
  </si>
  <si>
    <t>富涂仙</t>
  </si>
  <si>
    <t>鲁宽</t>
  </si>
  <si>
    <t>雪水坊雪极</t>
  </si>
  <si>
    <t>杨雪岚</t>
  </si>
  <si>
    <t>鲲岚</t>
  </si>
  <si>
    <t>徐州升龙商贸发展有限公司</t>
  </si>
  <si>
    <t>升龙御玺</t>
  </si>
  <si>
    <t>仉行</t>
  </si>
  <si>
    <t>天津市大强酒业贸易有限公司</t>
  </si>
  <si>
    <t>麦穗沽</t>
  </si>
  <si>
    <t>苏州宜佳信息科技有限公司</t>
  </si>
  <si>
    <t>菽新园</t>
  </si>
  <si>
    <t>新超级明星(香港)集团有限公司</t>
  </si>
  <si>
    <t>SUPERSTAR NEO</t>
  </si>
  <si>
    <t>嫁三十</t>
  </si>
  <si>
    <t>张倩</t>
  </si>
  <si>
    <t>LOUISVICTOR 路易·维克多</t>
  </si>
  <si>
    <t>北京鼎尚国际贸易有限公司</t>
  </si>
  <si>
    <t>津门往事</t>
  </si>
  <si>
    <t>竹海七星</t>
  </si>
  <si>
    <t>李鸿</t>
  </si>
  <si>
    <t>田彭台</t>
  </si>
  <si>
    <t>珠江龙</t>
  </si>
  <si>
    <t>王芝超</t>
  </si>
  <si>
    <t>葚魁</t>
  </si>
  <si>
    <t>中誉宏远(北京)投资有限公司</t>
  </si>
  <si>
    <t>TOWO</t>
  </si>
  <si>
    <t>安丘市景坤酒业有限公司</t>
  </si>
  <si>
    <t>潍安坊</t>
  </si>
  <si>
    <t>王丽</t>
  </si>
  <si>
    <t>程酝优选</t>
  </si>
  <si>
    <t>四川宇客旅游开发有限公司</t>
  </si>
  <si>
    <t>马湖府</t>
  </si>
  <si>
    <t>徐州轻百姿健康科技有限公司</t>
  </si>
  <si>
    <t>轻百姿 OINGBAIZI</t>
  </si>
  <si>
    <t>赵方霖</t>
  </si>
  <si>
    <t>米丫头</t>
  </si>
  <si>
    <t>涂屈香</t>
  </si>
  <si>
    <t>北京金板寸文化发展中心</t>
  </si>
  <si>
    <t>金板寸</t>
  </si>
  <si>
    <t>广西熊林食品有限公司</t>
  </si>
  <si>
    <t>人家女儿</t>
  </si>
  <si>
    <t>四象药业(广州)有限公司</t>
  </si>
  <si>
    <t>小象条</t>
  </si>
  <si>
    <t>成都幸福创意农业开发有限公司</t>
  </si>
  <si>
    <t>福将子龙</t>
  </si>
  <si>
    <t>李娟</t>
  </si>
  <si>
    <t>冰竹韵</t>
  </si>
  <si>
    <t>华酩翁</t>
  </si>
  <si>
    <t>张运富</t>
  </si>
  <si>
    <t>桃哈哈</t>
  </si>
  <si>
    <t>余壮忠</t>
  </si>
  <si>
    <t>古际</t>
  </si>
  <si>
    <t>凤台县金皓蓝孔雀养殖有限公司</t>
  </si>
  <si>
    <t>凤鹿鸵乡</t>
  </si>
  <si>
    <t>晓卿</t>
  </si>
  <si>
    <t>河南御合轩文化传媒有限公司</t>
  </si>
  <si>
    <t>阙补</t>
  </si>
  <si>
    <t>邹承浩</t>
  </si>
  <si>
    <t>赐龙运</t>
  </si>
  <si>
    <t>中国移动通信集团有限公司</t>
  </si>
  <si>
    <t>全球通</t>
  </si>
  <si>
    <t>上海渡渡旅行社有限公司</t>
  </si>
  <si>
    <t>颂 牌 年份真藏</t>
  </si>
  <si>
    <t>壁虎酒庄</t>
  </si>
  <si>
    <t>CHATEAU DE JAVERNAND</t>
  </si>
  <si>
    <t>咸宁市咸安区正宗刘酒店股份有限公司</t>
  </si>
  <si>
    <t>正宗刘</t>
  </si>
  <si>
    <t>开封市万岁山游览区有限公司</t>
  </si>
  <si>
    <t>王婆说媒</t>
  </si>
  <si>
    <t>甘典</t>
  </si>
  <si>
    <t>苏州岭东酒业有限公司</t>
  </si>
  <si>
    <t>醉仙岭 酒</t>
  </si>
  <si>
    <t>敦煌工美文化创意有限责任公司</t>
  </si>
  <si>
    <t>云南木盛和生物科技有限公司</t>
  </si>
  <si>
    <t>木盛和</t>
  </si>
  <si>
    <t>匠古爷</t>
  </si>
  <si>
    <t>马永军</t>
  </si>
  <si>
    <t>大华龙象</t>
  </si>
  <si>
    <t>邂福</t>
  </si>
  <si>
    <t>檀承</t>
  </si>
  <si>
    <t>广州市番禺区玉雨商贸有限公司</t>
  </si>
  <si>
    <t>落心亭</t>
  </si>
  <si>
    <t>李浩浩</t>
  </si>
  <si>
    <t>传世江山图</t>
  </si>
  <si>
    <t>珠海络管文化传媒有限公司</t>
  </si>
  <si>
    <t>甘草姐姐</t>
  </si>
  <si>
    <t>王成波</t>
  </si>
  <si>
    <t>汇通基</t>
  </si>
  <si>
    <t>张京录</t>
  </si>
  <si>
    <t>DRINKING WHISPER</t>
  </si>
  <si>
    <t>宜本润和</t>
  </si>
  <si>
    <t>需香</t>
  </si>
  <si>
    <t>犀力名尊贸易(青岛)有限公司</t>
  </si>
  <si>
    <t>桑佩隆SANPELLON</t>
  </si>
  <si>
    <t>山地森林人居(重庆)酒业有限公司</t>
  </si>
  <si>
    <t>山地森林</t>
  </si>
  <si>
    <t>赵波</t>
  </si>
  <si>
    <t>酌楼</t>
  </si>
  <si>
    <t>海南红椰林贸易有限公司</t>
  </si>
  <si>
    <t>红椰林凯盛记</t>
  </si>
  <si>
    <t>唐山文旅电商直播基地有限公司</t>
  </si>
  <si>
    <t>唐旅</t>
  </si>
  <si>
    <t>喜佰草</t>
  </si>
  <si>
    <t>窖鼎匠</t>
  </si>
  <si>
    <t>九壶道</t>
  </si>
  <si>
    <t>邱钰聖</t>
  </si>
  <si>
    <t>明制天韵</t>
  </si>
  <si>
    <t>贵州省仁怀市李明英酒业销售有限公司</t>
  </si>
  <si>
    <t>李明英</t>
  </si>
  <si>
    <t>深圳市悠山文化集团有限公司</t>
  </si>
  <si>
    <t>悠山熟人聚</t>
  </si>
  <si>
    <t>贵州骏鸿商贸有限公司</t>
  </si>
  <si>
    <t>龙虎先锋</t>
  </si>
  <si>
    <t>福建新阳光聚贤堂医疗投资有限责任公司</t>
  </si>
  <si>
    <t>吴氏同生堂</t>
  </si>
  <si>
    <t>林映贞</t>
  </si>
  <si>
    <t>官基</t>
  </si>
  <si>
    <t>佛山市光英冷链设备有限公司</t>
  </si>
  <si>
    <t>粤桂一家</t>
  </si>
  <si>
    <t>方亚</t>
  </si>
  <si>
    <t>薇湖</t>
  </si>
  <si>
    <t>石振华</t>
  </si>
  <si>
    <t>蒙罕王</t>
  </si>
  <si>
    <t>东莞市展诺贸易有限公司</t>
  </si>
  <si>
    <t>七星问真</t>
  </si>
  <si>
    <t>李双</t>
  </si>
  <si>
    <t>玉液魂</t>
  </si>
  <si>
    <t>浙江品悦贸易有限公司</t>
  </si>
  <si>
    <t>骞谷</t>
  </si>
  <si>
    <t>郭志恒</t>
  </si>
  <si>
    <t>小口仙</t>
  </si>
  <si>
    <t>怀厅烧坊酒魂</t>
  </si>
  <si>
    <t>重庆有长进影视文化传播有限公司</t>
  </si>
  <si>
    <t>AZORA LAND</t>
  </si>
  <si>
    <t>粮上宾</t>
  </si>
  <si>
    <t>陈绍德</t>
  </si>
  <si>
    <t>阆金谷</t>
  </si>
  <si>
    <t>郑盛</t>
  </si>
  <si>
    <t>盛竹林郑</t>
  </si>
  <si>
    <t>陈继扬</t>
  </si>
  <si>
    <t>潮皇叔</t>
  </si>
  <si>
    <t>林荔生</t>
  </si>
  <si>
    <t>闽喜欢</t>
  </si>
  <si>
    <t>东莞市莞视文化传播有限公司</t>
  </si>
  <si>
    <t>亳州市悠养生物科技有限责任公司</t>
  </si>
  <si>
    <t>茶呀呀</t>
  </si>
  <si>
    <t>赵忠群</t>
  </si>
  <si>
    <t>巴蜀纯湘</t>
  </si>
  <si>
    <t>太康县纳凯万百货店</t>
  </si>
  <si>
    <t>神龙骄子</t>
  </si>
  <si>
    <t>天津酒分享文化传播有限公司</t>
  </si>
  <si>
    <t>岚娜贝</t>
  </si>
  <si>
    <t>歌澳沐乐</t>
  </si>
  <si>
    <t>西安湄南生物科技股份有限公司</t>
  </si>
  <si>
    <t>湄南新材</t>
  </si>
  <si>
    <t>戚凌凯</t>
  </si>
  <si>
    <t>冬念</t>
  </si>
  <si>
    <t>卜华锦</t>
  </si>
  <si>
    <t>坎兴</t>
  </si>
  <si>
    <t>宁波易美日盛贸易有限公司</t>
  </si>
  <si>
    <t>羽摩院</t>
  </si>
  <si>
    <t>贵州三酉坊酒业有限公司</t>
  </si>
  <si>
    <t>醉古覃</t>
  </si>
  <si>
    <t>内蒙古众道商贸有限公司</t>
  </si>
  <si>
    <t>唯富壹套</t>
  </si>
  <si>
    <t>周永旭</t>
  </si>
  <si>
    <t>旭留香</t>
  </si>
  <si>
    <t>抚州田甜生态农业有限公司</t>
  </si>
  <si>
    <t>黄记十三娘</t>
  </si>
  <si>
    <t>华无敌</t>
  </si>
  <si>
    <t>徐栋辉</t>
  </si>
  <si>
    <t>麦西来甫阿达西</t>
  </si>
  <si>
    <t>饶新华</t>
  </si>
  <si>
    <t>朝花花期</t>
  </si>
  <si>
    <t>郑州象过河软件技术有限公司</t>
  </si>
  <si>
    <t>厚允长</t>
  </si>
  <si>
    <t>七孔翠</t>
  </si>
  <si>
    <t>贵州祥康酒业(集团)有限公司</t>
  </si>
  <si>
    <t>祥康礼</t>
  </si>
  <si>
    <t>王兴隆</t>
  </si>
  <si>
    <t>初论</t>
  </si>
  <si>
    <t>陈默然</t>
  </si>
  <si>
    <t>阿芒的里博热索</t>
  </si>
  <si>
    <t>伍小梅</t>
  </si>
  <si>
    <t>中天成</t>
  </si>
  <si>
    <t>杜昌璇</t>
  </si>
  <si>
    <t>晶庄</t>
  </si>
  <si>
    <t>洛阳博物馆文物保护与修复有限公司</t>
  </si>
  <si>
    <t>万新洲</t>
  </si>
  <si>
    <t>5240</t>
  </si>
  <si>
    <t>无忧妹妹</t>
  </si>
  <si>
    <t>刘念</t>
  </si>
  <si>
    <t>今心念好</t>
  </si>
  <si>
    <t>贵州君澜宏驿投资有限公司</t>
  </si>
  <si>
    <t>友谊台 友谊台掼蛋</t>
  </si>
  <si>
    <t>郝晓楠</t>
  </si>
  <si>
    <t>百分甄</t>
  </si>
  <si>
    <t>上海帮喜喜酒业有限公司</t>
  </si>
  <si>
    <t>CCX</t>
  </si>
  <si>
    <t>维纳康佳阿拖拉公司</t>
  </si>
  <si>
    <t>干露侯爵</t>
  </si>
  <si>
    <t>马新杰</t>
  </si>
  <si>
    <t>梦华唐</t>
  </si>
  <si>
    <t>姜燕</t>
  </si>
  <si>
    <t>嘉拿马</t>
  </si>
  <si>
    <t>展召河</t>
  </si>
  <si>
    <t>轩易威</t>
  </si>
  <si>
    <t>HENEWAY</t>
  </si>
  <si>
    <t>绿奥冠</t>
  </si>
  <si>
    <t>王艳霞</t>
  </si>
  <si>
    <t>纷友</t>
  </si>
  <si>
    <t>刘玉明</t>
  </si>
  <si>
    <t>鼎龙潭</t>
  </si>
  <si>
    <t>北京房心牛科技有限公司</t>
  </si>
  <si>
    <t>轸夷堂</t>
  </si>
  <si>
    <t>周口沃力餐饮管理有限公司</t>
  </si>
  <si>
    <t>幸未甄选</t>
  </si>
  <si>
    <t>山东仙草生物科技有限公司</t>
  </si>
  <si>
    <t>梦芝康</t>
  </si>
  <si>
    <t>西安直线绽放科技有限公司</t>
  </si>
  <si>
    <t>STRAIGHT LINE BLOSSM</t>
  </si>
  <si>
    <t>湖北锦瀚信息技术有限公司</t>
  </si>
  <si>
    <t>谷乡臻</t>
  </si>
  <si>
    <t>雩泉春麓</t>
  </si>
  <si>
    <t>徐后孝</t>
  </si>
  <si>
    <t>鲤酒华宴</t>
  </si>
  <si>
    <t>山西杏花村汾酒厂股份有限公司</t>
  </si>
  <si>
    <t>袁清茂</t>
  </si>
  <si>
    <t>七台河市茄子河区恒越酒坊</t>
  </si>
  <si>
    <t>金大柱 白酒</t>
  </si>
  <si>
    <t>安徽阿小莫酒业有限公司</t>
  </si>
  <si>
    <t>金凤鸣曲</t>
  </si>
  <si>
    <t>李文龙</t>
  </si>
  <si>
    <t>溱湖</t>
  </si>
  <si>
    <t>睢酒酒业</t>
  </si>
  <si>
    <t>陕西秦州坊酒业有限公司</t>
  </si>
  <si>
    <t>凤世名门</t>
  </si>
  <si>
    <t>青岛正业食品有限公司</t>
  </si>
  <si>
    <t>诸记</t>
  </si>
  <si>
    <t>上海市现代农业投资发展集团有限公司</t>
  </si>
  <si>
    <t>上农投</t>
  </si>
  <si>
    <t>丰泽区常却百货商行</t>
  </si>
  <si>
    <t>井域</t>
  </si>
  <si>
    <t>青岛福美欣盛科技发展有限公司</t>
  </si>
  <si>
    <t>牛咖匠</t>
  </si>
  <si>
    <t>三镇王</t>
  </si>
  <si>
    <t>福建省湛仙酒业有限公司</t>
  </si>
  <si>
    <t>湛仙</t>
  </si>
  <si>
    <t>祥瑞运</t>
  </si>
  <si>
    <t>遵义容洋汇酒业有限责任公司</t>
  </si>
  <si>
    <t>明门醉</t>
  </si>
  <si>
    <t>贵州逢昇源酒业有限公司</t>
  </si>
  <si>
    <t>阿升坊</t>
  </si>
  <si>
    <t>江西奉真堂中医药科技有限公司</t>
  </si>
  <si>
    <t>奉真堂</t>
  </si>
  <si>
    <t>安康新松源商贸有限公司</t>
  </si>
  <si>
    <t>祝尔</t>
  </si>
  <si>
    <t>醉仙岭</t>
  </si>
  <si>
    <t>青岛爱特物流有限公司</t>
  </si>
  <si>
    <t>K-FOOD 美味</t>
  </si>
  <si>
    <t>龙岩市新罗区顿富贸易有限公司</t>
  </si>
  <si>
    <t>俏酒舟</t>
  </si>
  <si>
    <t>赵凤兰</t>
  </si>
  <si>
    <t>白绥酒棱</t>
  </si>
  <si>
    <t>覃雪珠</t>
  </si>
  <si>
    <t>沧疆酒坊</t>
  </si>
  <si>
    <t>公照醇</t>
  </si>
  <si>
    <t>深圳市天鼎雨华绿色产业管理有限公司</t>
  </si>
  <si>
    <t>今世含章</t>
  </si>
  <si>
    <t>贵州叁壹玖酱香酒业集团有限公司</t>
  </si>
  <si>
    <t>貮大师</t>
  </si>
  <si>
    <t>蒋学武</t>
  </si>
  <si>
    <t>祥秀醇</t>
  </si>
  <si>
    <t>无锡绍丰金属有限公司</t>
  </si>
  <si>
    <t>叁和盛</t>
  </si>
  <si>
    <t>秦永平</t>
  </si>
  <si>
    <t>盛宴粮品</t>
  </si>
  <si>
    <t>景田 GANTEN</t>
  </si>
  <si>
    <t>河北东国酿酒科技有限公司</t>
  </si>
  <si>
    <t>满满橙意</t>
  </si>
  <si>
    <t>章员根</t>
  </si>
  <si>
    <t>立在早上</t>
  </si>
  <si>
    <t>淄博宝鼎生物工程有限公司</t>
  </si>
  <si>
    <t>泼力金</t>
  </si>
  <si>
    <t>伊建军</t>
  </si>
  <si>
    <t>回姑蔑</t>
  </si>
  <si>
    <t>翟荣辉</t>
  </si>
  <si>
    <t>青岛信宝铭商贸有限公司</t>
  </si>
  <si>
    <t>信宝铭</t>
  </si>
  <si>
    <t>苏家良</t>
  </si>
  <si>
    <t>京滇无量山</t>
  </si>
  <si>
    <t>世界华商(广东)科技有限公司</t>
  </si>
  <si>
    <t>网呈</t>
  </si>
  <si>
    <t>北京高必林贸易有限公司</t>
  </si>
  <si>
    <t>卡尼亚岛</t>
  </si>
  <si>
    <t>烟台匠鑫制罐有限公司</t>
  </si>
  <si>
    <t>蒙栎韵</t>
  </si>
  <si>
    <t>美好控股集团有限公司</t>
  </si>
  <si>
    <t>美好良酝</t>
  </si>
  <si>
    <t>驻马店龙兴丰盛农产品有限公司</t>
  </si>
  <si>
    <t>凯旋御虎</t>
  </si>
  <si>
    <t>深圳市云采供应链管理有限责任公司</t>
  </si>
  <si>
    <t>馥思吉</t>
  </si>
  <si>
    <t>大耳牛餐饮管理(杭州)有限公司</t>
  </si>
  <si>
    <t>刘快乐</t>
  </si>
  <si>
    <t>由士辉</t>
  </si>
  <si>
    <t>易生君</t>
  </si>
  <si>
    <t>亳州市酒厂有限公司</t>
  </si>
  <si>
    <t>魏王</t>
  </si>
  <si>
    <t>伊洛瓦底云新加坡有限公司</t>
  </si>
  <si>
    <t>GAIN&amp;BYE</t>
  </si>
  <si>
    <t>熊亚军</t>
  </si>
  <si>
    <t>西域熊</t>
  </si>
  <si>
    <t>深圳元泰丰珠宝首饰有限公司</t>
  </si>
  <si>
    <t>海棠醴</t>
  </si>
  <si>
    <t>安领尚</t>
  </si>
  <si>
    <t>福建兵速建筑修缮工程有限公司</t>
  </si>
  <si>
    <t>馫森鑫</t>
  </si>
  <si>
    <t>南京鑫立达农业生态发展有限公司</t>
  </si>
  <si>
    <t>金陵梦</t>
  </si>
  <si>
    <t>张传良</t>
  </si>
  <si>
    <t>襄上襄</t>
  </si>
  <si>
    <t>KAIKAIXIA</t>
  </si>
  <si>
    <t>嚣嚣子</t>
  </si>
  <si>
    <t>广东玖胜科技有限公司</t>
  </si>
  <si>
    <t>植博仕</t>
  </si>
  <si>
    <t>张诗香</t>
  </si>
  <si>
    <t>渝东山醇</t>
  </si>
  <si>
    <t>葚如初</t>
  </si>
  <si>
    <t>潮颖</t>
  </si>
  <si>
    <t>柳州市鼎农兴农业科技有限公司</t>
  </si>
  <si>
    <t>威卡威</t>
  </si>
  <si>
    <t>湖南云犇电子科技有限公司</t>
  </si>
  <si>
    <t>别浦</t>
  </si>
  <si>
    <t>谢泉</t>
  </si>
  <si>
    <t>栀言</t>
  </si>
  <si>
    <t>任炬光</t>
  </si>
  <si>
    <t>IN LIT 饮利</t>
  </si>
  <si>
    <t>田柳</t>
  </si>
  <si>
    <t>裕图斯</t>
  </si>
  <si>
    <t>陈龙</t>
  </si>
  <si>
    <t>圣柏图</t>
  </si>
  <si>
    <t>世界产品速递公司</t>
  </si>
  <si>
    <t>TURINCIO</t>
  </si>
  <si>
    <t>杭州华衍信息科技有限公司</t>
  </si>
  <si>
    <t>无叚</t>
  </si>
  <si>
    <t>刘小慧</t>
  </si>
  <si>
    <t>懿辞</t>
  </si>
  <si>
    <t>四川省醒狮科技集团有限公司</t>
  </si>
  <si>
    <t>王家叙</t>
  </si>
  <si>
    <t>吉俊帮</t>
  </si>
  <si>
    <t>南锅庄</t>
  </si>
  <si>
    <t>周迎梅</t>
  </si>
  <si>
    <t>华传师</t>
  </si>
  <si>
    <t>王连义</t>
  </si>
  <si>
    <t>匠台坤</t>
  </si>
  <si>
    <t>邱会明</t>
  </si>
  <si>
    <t>蜀国金彩</t>
  </si>
  <si>
    <t>张汉东</t>
  </si>
  <si>
    <t>巨人盐季</t>
  </si>
  <si>
    <t>石狮市大智冠康服饰有限公司</t>
  </si>
  <si>
    <t>或苐</t>
  </si>
  <si>
    <t>丰基</t>
  </si>
  <si>
    <t>崎川乾昆</t>
  </si>
  <si>
    <t>井业</t>
  </si>
  <si>
    <t>广州德福康药业有限公司</t>
  </si>
  <si>
    <t>贵元鸿</t>
  </si>
  <si>
    <t>谷粟橙(上海)酒业有限公司</t>
  </si>
  <si>
    <t>果醉流年</t>
  </si>
  <si>
    <t>广西品协投资集团有限公司</t>
  </si>
  <si>
    <t>辞圣</t>
  </si>
  <si>
    <t>马海伍沙</t>
  </si>
  <si>
    <t>孜莫芝囍</t>
  </si>
  <si>
    <t>日商·株式会社萨莉亚</t>
  </si>
  <si>
    <t>汉花帝</t>
  </si>
  <si>
    <t>郑斌</t>
  </si>
  <si>
    <t>郑记真记</t>
  </si>
  <si>
    <t>北京和通一舍文化传媒有限公司</t>
  </si>
  <si>
    <t>和通合济</t>
  </si>
  <si>
    <t>乾窖兴</t>
  </si>
  <si>
    <t>罗昌桃</t>
  </si>
  <si>
    <t>羲悦台</t>
  </si>
  <si>
    <t>海盛和蓝色海洋科技(青岛)有限公司</t>
  </si>
  <si>
    <t>蒋小燕</t>
  </si>
  <si>
    <t>刘有久香</t>
  </si>
  <si>
    <t>山东维潽特酒庄有限公司</t>
  </si>
  <si>
    <t>维潽特酒庄</t>
  </si>
  <si>
    <t>欧阳正权</t>
  </si>
  <si>
    <t>君鉴蜀</t>
  </si>
  <si>
    <t>吴棣明</t>
  </si>
  <si>
    <t>颁龙</t>
  </si>
  <si>
    <t>笔鼩</t>
  </si>
  <si>
    <t>王军玲</t>
  </si>
  <si>
    <t>小款庄</t>
  </si>
  <si>
    <t>连理双禧</t>
  </si>
  <si>
    <t>河南福之玖酒业有限公司</t>
  </si>
  <si>
    <t>来财福</t>
  </si>
  <si>
    <t>舒润逸</t>
  </si>
  <si>
    <t>漳州市芗城区亿冠聚商贸有限公司</t>
  </si>
  <si>
    <t>亿冠聚</t>
  </si>
  <si>
    <t>中酒银河科技(郑州)有限公司</t>
  </si>
  <si>
    <t>谦吉烧坊</t>
  </si>
  <si>
    <t>吴锦盛</t>
  </si>
  <si>
    <t>荔津香</t>
  </si>
  <si>
    <t>刘腊桂</t>
  </si>
  <si>
    <t>BALELOS</t>
  </si>
  <si>
    <t>湖南晋德丽普品牌管理有限公司</t>
  </si>
  <si>
    <t>北京仁礼致远科技有限公司</t>
  </si>
  <si>
    <t>敬往余</t>
  </si>
  <si>
    <t>贵州增岁酒业有限公司</t>
  </si>
  <si>
    <t>上海泽滨酒业有限公司</t>
  </si>
  <si>
    <t>深圳市浮慕餐饮管理有限公司</t>
  </si>
  <si>
    <t>河南领益餐饮管理有限公司</t>
  </si>
  <si>
    <t>领益苏记</t>
  </si>
  <si>
    <t>红树林食品有限公司</t>
  </si>
  <si>
    <t>白玖池</t>
  </si>
  <si>
    <t>懂得喝茶(天津)贸易有限公司</t>
  </si>
  <si>
    <t>瓶庸</t>
  </si>
  <si>
    <t>沭阳苞发瑚电子商务有限公司</t>
  </si>
  <si>
    <t>引元搭档</t>
  </si>
  <si>
    <t>浅白熹</t>
  </si>
  <si>
    <t>东绵</t>
  </si>
  <si>
    <t>河南石磨哥实业有限公司</t>
  </si>
  <si>
    <t>厦门熙范文化传媒有限公司</t>
  </si>
  <si>
    <t>熙范酒</t>
  </si>
  <si>
    <t>走彩</t>
  </si>
  <si>
    <t>会稽(连云港)传媒有限公司</t>
  </si>
  <si>
    <t>陶桂纪</t>
  </si>
  <si>
    <t>厦门诺惟文娱有限公司</t>
  </si>
  <si>
    <t>星焯旅</t>
  </si>
  <si>
    <t>王宇煊</t>
  </si>
  <si>
    <t>丛中笑</t>
  </si>
  <si>
    <t>贵州研牌酒业有限公司</t>
  </si>
  <si>
    <t>宫琏 酒</t>
  </si>
  <si>
    <t>冀文坤</t>
  </si>
  <si>
    <t>DF 商山丹凤</t>
  </si>
  <si>
    <t>张佳鑫</t>
  </si>
  <si>
    <t>LIUDINGDANG</t>
  </si>
  <si>
    <t>三河维美得文化传播有限公司</t>
  </si>
  <si>
    <t>雪恒星</t>
  </si>
  <si>
    <t>李尚蔚</t>
  </si>
  <si>
    <t>宽福元健</t>
  </si>
  <si>
    <t>秘呈</t>
  </si>
  <si>
    <t>香山桥</t>
  </si>
  <si>
    <t>盐城市盐渎园林绿化工程有限公司</t>
  </si>
  <si>
    <t>盐渎春秋</t>
  </si>
  <si>
    <t>津玖菲</t>
  </si>
  <si>
    <t>双赞</t>
  </si>
  <si>
    <t>刘书强</t>
  </si>
  <si>
    <t>唐话</t>
  </si>
  <si>
    <t>绵阳市安州区花荄罗林酿酒小作坊</t>
  </si>
  <si>
    <t>兴芯阳</t>
  </si>
  <si>
    <t>诸事喜</t>
  </si>
  <si>
    <t>谢可恩</t>
  </si>
  <si>
    <t>山不山</t>
  </si>
  <si>
    <t>如初然(香港)有限公司</t>
  </si>
  <si>
    <t>如初然</t>
  </si>
  <si>
    <t>余姚市梅苑生态农林发展有限公司</t>
  </si>
  <si>
    <t>杨正伟</t>
  </si>
  <si>
    <t>旺蕴春</t>
  </si>
  <si>
    <t>贵州回归酱香酒业有限责任公司</t>
  </si>
  <si>
    <t>华创(聊城)置业有限公司</t>
  </si>
  <si>
    <t>广州玖鼎智控科技有限公司</t>
  </si>
  <si>
    <t>江沽泉</t>
  </si>
  <si>
    <t>海南中创智合控股集团有限公司</t>
  </si>
  <si>
    <t>品余生</t>
  </si>
  <si>
    <t>王继成</t>
  </si>
  <si>
    <t>纯赋</t>
  </si>
  <si>
    <t>河南展颜商贸有限公司</t>
  </si>
  <si>
    <t>豫宛丹水</t>
  </si>
  <si>
    <t>QINGROUFENG</t>
  </si>
  <si>
    <t>河南德信诚商贸有限公司</t>
  </si>
  <si>
    <t>舍粮</t>
  </si>
  <si>
    <t>珠海村乐文化创意有限公司</t>
  </si>
  <si>
    <t>觉百</t>
  </si>
  <si>
    <t>祥庆</t>
  </si>
  <si>
    <t>杜宝伟</t>
  </si>
  <si>
    <t>岳知冬</t>
  </si>
  <si>
    <t>酒和友(北京)酒业有限公司</t>
  </si>
  <si>
    <t>黄龙韵</t>
  </si>
  <si>
    <t>任华春</t>
  </si>
  <si>
    <t>康茸帝</t>
  </si>
  <si>
    <t>喜事才子</t>
  </si>
  <si>
    <t>中山市君功五金科技有限公司</t>
  </si>
  <si>
    <t>浛味源</t>
  </si>
  <si>
    <t>陶庆富</t>
  </si>
  <si>
    <t>河南九紫彩合贸易有限公司</t>
  </si>
  <si>
    <t>九紫彩合</t>
  </si>
  <si>
    <t>马玉乾</t>
  </si>
  <si>
    <t>黔卓玉</t>
  </si>
  <si>
    <t>应立斌</t>
  </si>
  <si>
    <t>代涛</t>
  </si>
  <si>
    <t>山前石</t>
  </si>
  <si>
    <t>许勇</t>
  </si>
  <si>
    <t>礼九天</t>
  </si>
  <si>
    <t>毛滔</t>
  </si>
  <si>
    <t>浦北润春堂保健酒有限公司</t>
  </si>
  <si>
    <t>卡奇尔科技(廊坊)有限公司</t>
  </si>
  <si>
    <t>壹兆鑫</t>
  </si>
  <si>
    <t>金钻港城</t>
  </si>
  <si>
    <t>MAWYK</t>
  </si>
  <si>
    <t>东阿借山堂健康管理有限公司</t>
  </si>
  <si>
    <t>睡仙集</t>
  </si>
  <si>
    <t>上海协炎智能科技有限公司</t>
  </si>
  <si>
    <t>M GATHERING</t>
  </si>
  <si>
    <t>全州紫金园农业发展有限公司</t>
  </si>
  <si>
    <t>桂临公文包</t>
  </si>
  <si>
    <t>惠故乡</t>
  </si>
  <si>
    <t>芋美客思</t>
  </si>
  <si>
    <t>岳知夏</t>
  </si>
  <si>
    <t>宜佳国际贸易(上海)有限公司</t>
  </si>
  <si>
    <t>新疆牧驼人乳业有限公司</t>
  </si>
  <si>
    <t>方胜华</t>
  </si>
  <si>
    <t>恰安心</t>
  </si>
  <si>
    <t>格格说(北京)商业管理有限公司</t>
  </si>
  <si>
    <t>格格说</t>
  </si>
  <si>
    <t>陈德芬</t>
  </si>
  <si>
    <t>福临杏都</t>
  </si>
  <si>
    <t>福建省诚德信文化教育有限公司</t>
  </si>
  <si>
    <t>兮央</t>
  </si>
  <si>
    <t>运之兰</t>
  </si>
  <si>
    <t>黄九菊</t>
  </si>
  <si>
    <t>福落伊</t>
  </si>
  <si>
    <t>熊媚玲</t>
  </si>
  <si>
    <t>钱陈</t>
  </si>
  <si>
    <t>吉林省亿亩良田农业科技发展有限公司</t>
  </si>
  <si>
    <t>SHENJIAZU</t>
  </si>
  <si>
    <t>广东柏科电源有限公司</t>
  </si>
  <si>
    <t>微五</t>
  </si>
  <si>
    <t>千户黛</t>
  </si>
  <si>
    <t>温岭中尚商贸有限公司</t>
  </si>
  <si>
    <t>ZHONGSHANG ESTATE</t>
  </si>
  <si>
    <t>鼎盛博鑫</t>
  </si>
  <si>
    <t>态洲</t>
  </si>
  <si>
    <t>内蒙古庞泉洒业有限公司</t>
  </si>
  <si>
    <t>九谷全</t>
  </si>
  <si>
    <t>为星智能科技(宁波)有限公司</t>
  </si>
  <si>
    <t>为星号</t>
  </si>
  <si>
    <t>酒香杜甫</t>
  </si>
  <si>
    <t>福州钱景科技发展有限公司</t>
  </si>
  <si>
    <t>峰顶涧</t>
  </si>
  <si>
    <t>珂利雅苑</t>
  </si>
  <si>
    <t>秦皇岛燕玛葡萄酒有限公司</t>
  </si>
  <si>
    <t>燕之尊</t>
  </si>
  <si>
    <t>龙鲤匠</t>
  </si>
  <si>
    <t>李照兵</t>
  </si>
  <si>
    <t>林幺祺</t>
  </si>
  <si>
    <t>李甫庚</t>
  </si>
  <si>
    <t>石牛坪</t>
  </si>
  <si>
    <t>贵州省仁怀市众寻酒业有限公司</t>
  </si>
  <si>
    <t>众寻天酿</t>
  </si>
  <si>
    <t>王学荣</t>
  </si>
  <si>
    <t>龙帝凤</t>
  </si>
  <si>
    <t>百尺台酒业有限公司</t>
  </si>
  <si>
    <t>百宴台</t>
  </si>
  <si>
    <t>百成台</t>
  </si>
  <si>
    <t>葛建武</t>
  </si>
  <si>
    <t>舟贵妃</t>
  </si>
  <si>
    <t>贵州氿翔台酒业有限公司</t>
  </si>
  <si>
    <t>石寨主酒</t>
  </si>
  <si>
    <t>安徽中鑫富能能源管理有限公司</t>
  </si>
  <si>
    <t>孔祥见</t>
  </si>
  <si>
    <t>戈壁彩虹</t>
  </si>
  <si>
    <t>霍晓东</t>
  </si>
  <si>
    <t>晋玉瑶</t>
  </si>
  <si>
    <t>崎若乾昆</t>
  </si>
  <si>
    <t>曾庆文</t>
  </si>
  <si>
    <t>粮小品</t>
  </si>
  <si>
    <t>孙晓波</t>
  </si>
  <si>
    <t>家常在</t>
  </si>
  <si>
    <t>深圳壹成尚品礼品有限公司</t>
  </si>
  <si>
    <t>酒</t>
  </si>
  <si>
    <t>腾冲讯嘉食品有限责任公司</t>
  </si>
  <si>
    <t>讯嘉</t>
  </si>
  <si>
    <t>甘肃林山国际商贸有限公司</t>
  </si>
  <si>
    <t>共牛</t>
  </si>
  <si>
    <t>舟山市悟咪食品有限公司</t>
  </si>
  <si>
    <t>劲咪</t>
  </si>
  <si>
    <t>堃润文旅</t>
  </si>
  <si>
    <t>史凤兰</t>
  </si>
  <si>
    <t>禄米仓</t>
  </si>
  <si>
    <t>汪加豪</t>
  </si>
  <si>
    <t>勋榜</t>
  </si>
  <si>
    <t>游小强</t>
  </si>
  <si>
    <t>壶中逍遥</t>
  </si>
  <si>
    <t>徐周周</t>
  </si>
  <si>
    <t>顶酩轩</t>
  </si>
  <si>
    <t>刘明</t>
  </si>
  <si>
    <t>江尾水道</t>
  </si>
  <si>
    <t>宁波希林健康管理有限公司</t>
  </si>
  <si>
    <t>韦珂昕</t>
  </si>
  <si>
    <t>茶骨文文化发展有限公司</t>
  </si>
  <si>
    <t>酒骨文</t>
  </si>
  <si>
    <t>赣州蓉江新区橙你所愿农业发展有限公司</t>
  </si>
  <si>
    <t>橙你所愿</t>
  </si>
  <si>
    <t>韩广杰</t>
  </si>
  <si>
    <t>为公来</t>
  </si>
  <si>
    <t>贵州省仁怀市民泰酒业销售有限公司</t>
  </si>
  <si>
    <t>为不凡</t>
  </si>
  <si>
    <t>贵州合酒股份有限公司</t>
  </si>
  <si>
    <t>醉仰</t>
  </si>
  <si>
    <t>张奎</t>
  </si>
  <si>
    <t>俏巴巴滴</t>
  </si>
  <si>
    <t>贵州省广顺凉水井酒厂</t>
  </si>
  <si>
    <t>顺君</t>
  </si>
  <si>
    <t>弘易使者</t>
  </si>
  <si>
    <t>冯国亮</t>
  </si>
  <si>
    <t>鹿报春</t>
  </si>
  <si>
    <t>孙会民</t>
  </si>
  <si>
    <t>雄壹</t>
  </si>
  <si>
    <t>漳州缟狸生物科技有限公司</t>
  </si>
  <si>
    <t>海马岛</t>
  </si>
  <si>
    <t>程龙</t>
  </si>
  <si>
    <t>馥强好</t>
  </si>
  <si>
    <t>辉月食品有限公司</t>
  </si>
  <si>
    <t>黔天顺</t>
  </si>
  <si>
    <t>佛山一参正气科技有限公司</t>
  </si>
  <si>
    <t>冷枝园</t>
  </si>
  <si>
    <t>上海大有经贸有限公司</t>
  </si>
  <si>
    <t>CHUAN PAI LIQUOR</t>
  </si>
  <si>
    <t>张梦雪</t>
  </si>
  <si>
    <t>野感</t>
  </si>
  <si>
    <t>肖荷</t>
  </si>
  <si>
    <t>朴愈</t>
  </si>
  <si>
    <t>飘味味</t>
  </si>
  <si>
    <t>百瀚</t>
  </si>
  <si>
    <t>燕赵岁月</t>
  </si>
  <si>
    <t>意润</t>
  </si>
  <si>
    <t>沣盈(哈尔滨市)食品有限责任公司</t>
  </si>
  <si>
    <t>盈惠玉</t>
  </si>
  <si>
    <t>雄狮狼</t>
  </si>
  <si>
    <t>安荟选</t>
  </si>
  <si>
    <t>钱王金书铁券</t>
  </si>
  <si>
    <t>向军涛</t>
  </si>
  <si>
    <t>怀城古台</t>
  </si>
  <si>
    <t>位燕燕</t>
  </si>
  <si>
    <t>创品台</t>
  </si>
  <si>
    <t>肇庆众铿铝制品有限公司</t>
  </si>
  <si>
    <t>众铿臻品</t>
  </si>
  <si>
    <t>杏师马到成功云</t>
  </si>
  <si>
    <t>坚得利</t>
  </si>
  <si>
    <t>国家体育场有限责任公司</t>
  </si>
  <si>
    <t>魏风宋韵</t>
  </si>
  <si>
    <t>李元军</t>
  </si>
  <si>
    <t>乐品仁生</t>
  </si>
  <si>
    <t>上海西形东意电子商务有限公司</t>
  </si>
  <si>
    <t>虚数</t>
  </si>
  <si>
    <t>高骊吖玛克丽</t>
  </si>
  <si>
    <t>亳州市生态坊酒业有限公司</t>
  </si>
  <si>
    <t>妙理平定天下</t>
  </si>
  <si>
    <t>纳爱斯生态产业发展有限公司</t>
  </si>
  <si>
    <t>ECONICE</t>
  </si>
  <si>
    <t>漯河茅五泽酒业有限公司</t>
  </si>
  <si>
    <t>金稂</t>
  </si>
  <si>
    <t>河南洋鹏实业发展有限公司</t>
  </si>
  <si>
    <t>胡帝遵将</t>
  </si>
  <si>
    <t>东方旒</t>
  </si>
  <si>
    <t>贵州省忆乡缘洞藏酒业有限公司</t>
  </si>
  <si>
    <t>QIAN JIN FENG</t>
  </si>
  <si>
    <t>蔡在开</t>
  </si>
  <si>
    <t>胜粮王</t>
  </si>
  <si>
    <t>叙留盟</t>
  </si>
  <si>
    <t>贵州同辉酒业有限公司</t>
  </si>
  <si>
    <t>礼遇百家</t>
  </si>
  <si>
    <t>陈真</t>
  </si>
  <si>
    <t>觅冀</t>
  </si>
  <si>
    <t>策马千秋</t>
  </si>
  <si>
    <t>张龙涛</t>
  </si>
  <si>
    <t>俏澳</t>
  </si>
  <si>
    <t>海南省中滦投资有限公司</t>
  </si>
  <si>
    <t>香晓沉</t>
  </si>
  <si>
    <t>贵州省仁怀市红娘子酒业有限公司</t>
  </si>
  <si>
    <t>泓博氿坊</t>
  </si>
  <si>
    <t>四川天府金盆地酒业集团有限公司</t>
  </si>
  <si>
    <t>提葫熊猫</t>
  </si>
  <si>
    <t>乌拉草(浙江)鞋服有限公司</t>
  </si>
  <si>
    <t>长白山塔头</t>
  </si>
  <si>
    <t>贵州省仁怀市鼎泰丰酒业有限公司</t>
  </si>
  <si>
    <t>陈人远</t>
  </si>
  <si>
    <t>青岛科海生物有限公司</t>
  </si>
  <si>
    <t>妙心瑯琊</t>
  </si>
  <si>
    <t>蜀滋香</t>
  </si>
  <si>
    <t>湖南邵阳县石脚生态种养专业合作社</t>
  </si>
  <si>
    <t>步江泉</t>
  </si>
  <si>
    <t>君稚</t>
  </si>
  <si>
    <t>杨浩康</t>
  </si>
  <si>
    <t>自酉法</t>
  </si>
  <si>
    <t>山东利欧文化发展有限公司</t>
  </si>
  <si>
    <t>砭圣源</t>
  </si>
  <si>
    <t>朝花花信</t>
  </si>
  <si>
    <t>山西国杏玢青酒文化有限公司</t>
  </si>
  <si>
    <t>左粮右食</t>
  </si>
  <si>
    <t>杭州蜗牛营文化产业有限公司</t>
  </si>
  <si>
    <t>贡径</t>
  </si>
  <si>
    <t>岳知春</t>
  </si>
  <si>
    <t>沈冲</t>
  </si>
  <si>
    <t>金帮帮福星</t>
  </si>
  <si>
    <t>河南长寿之乡养生食品有限公司</t>
  </si>
  <si>
    <t>熊猫女皇</t>
  </si>
  <si>
    <t>沈道正</t>
  </si>
  <si>
    <t>斐颜庄园</t>
  </si>
  <si>
    <t>朱以明</t>
  </si>
  <si>
    <t>酌酒和风</t>
  </si>
  <si>
    <t>尚春峰</t>
  </si>
  <si>
    <t>莱注福</t>
  </si>
  <si>
    <t>莲见仙</t>
  </si>
  <si>
    <t>义乌市娇贝假发商行</t>
  </si>
  <si>
    <t>语森忆</t>
  </si>
  <si>
    <t>侯璐瑶</t>
  </si>
  <si>
    <t>五稻禧</t>
  </si>
  <si>
    <t>吾比火</t>
  </si>
  <si>
    <t>吉成武</t>
  </si>
  <si>
    <t>稻稻爱</t>
  </si>
  <si>
    <t>云南地标运营产业发展有限公司</t>
  </si>
  <si>
    <t>寻源知物</t>
  </si>
  <si>
    <t>湖北泰之缘健康产业发展有限公司</t>
  </si>
  <si>
    <t>潘匋缘</t>
  </si>
  <si>
    <t>赐润</t>
  </si>
  <si>
    <t>朱艳江</t>
  </si>
  <si>
    <t>虞冰嫂</t>
  </si>
  <si>
    <t>星辰恋序</t>
  </si>
  <si>
    <t>海口狐仙草传承科技有限公司</t>
  </si>
  <si>
    <t>仙狐草甘露</t>
  </si>
  <si>
    <t>张艳玲</t>
  </si>
  <si>
    <t>安小洽</t>
  </si>
  <si>
    <t>武蒙华</t>
  </si>
  <si>
    <t>贝瑞小姐</t>
  </si>
  <si>
    <t>PLB</t>
  </si>
  <si>
    <t>重庆鑫淼淼体育文化发展有限公司</t>
  </si>
  <si>
    <t>鑫淼淼</t>
  </si>
  <si>
    <t>贵州省仁怀市河口王酒业销售有限公司</t>
  </si>
  <si>
    <t>赐晟</t>
  </si>
  <si>
    <t>安吉原树吾乡信息科技有限公司</t>
  </si>
  <si>
    <t>YAZA HOUSE</t>
  </si>
  <si>
    <t>贯虹酒业(吉林)有限公司</t>
  </si>
  <si>
    <t>贯虹</t>
  </si>
  <si>
    <t>九品赞</t>
  </si>
  <si>
    <t>金字憙牌 金字禧牌 金字喜牌 金字囍牌</t>
  </si>
  <si>
    <t>三合恒升台子</t>
  </si>
  <si>
    <t>徐帅</t>
  </si>
  <si>
    <t>喵馋烧</t>
  </si>
  <si>
    <t>社久</t>
  </si>
  <si>
    <t>贵州知本寰宇酒业有限公司</t>
  </si>
  <si>
    <t>寰宇众鑫</t>
  </si>
  <si>
    <t>贵州省仁怀市茅台镇原老酱酒业有限公司</t>
  </si>
  <si>
    <t>洪林守选</t>
  </si>
  <si>
    <t>圣牧草业(内蒙古)农业发展有限公司</t>
  </si>
  <si>
    <t>源漠晨选</t>
  </si>
  <si>
    <t>德越意(上海)商务咨询有限责任公司</t>
  </si>
  <si>
    <t>CANTINE FALCONE</t>
  </si>
  <si>
    <t>青岛辣工坊食品有限公司</t>
  </si>
  <si>
    <t>王</t>
  </si>
  <si>
    <t>潸</t>
  </si>
  <si>
    <t>上海祖洪实业有限公司</t>
  </si>
  <si>
    <t>TIPSYLIN</t>
  </si>
  <si>
    <t>北京能力还行教育科技有限公司</t>
  </si>
  <si>
    <t>PYE ROAD MEADWORKS</t>
  </si>
  <si>
    <t>重庆梁平大观白酒有限公司</t>
  </si>
  <si>
    <t>大观映酒</t>
  </si>
  <si>
    <t>黑龙江沃生生命波团簇酒业有限公司</t>
  </si>
  <si>
    <t>你的故事酿</t>
  </si>
  <si>
    <t>贵州黔业互联网科技有限责任公司</t>
  </si>
  <si>
    <t>故似</t>
  </si>
  <si>
    <t>绍兴桥乡文化发展有限公司</t>
  </si>
  <si>
    <t>东浦大木桥</t>
  </si>
  <si>
    <t>秦莎</t>
  </si>
  <si>
    <t>邓都优黄</t>
  </si>
  <si>
    <t>章信华</t>
  </si>
  <si>
    <t>彰信华</t>
  </si>
  <si>
    <t>陈志彬</t>
  </si>
  <si>
    <t>号令盛世</t>
  </si>
  <si>
    <t>青岛朗维卓越国际贸易有限公司</t>
  </si>
  <si>
    <t>万多莫吉托</t>
  </si>
  <si>
    <t>新机果源(烟台)农业科技有限公司</t>
  </si>
  <si>
    <t>喵葡</t>
  </si>
  <si>
    <t>李超凡</t>
  </si>
  <si>
    <t>窖泠</t>
  </si>
  <si>
    <t>安丘宝通金属制品有限公司</t>
  </si>
  <si>
    <t>虎步青云</t>
  </si>
  <si>
    <t>郭军英</t>
  </si>
  <si>
    <t>弘韵太极</t>
  </si>
  <si>
    <t>吉俊彦</t>
  </si>
  <si>
    <t>御河兰</t>
  </si>
  <si>
    <t>贵州省仁怀市茅台镇鼎兴酒业销售有限公司</t>
  </si>
  <si>
    <t>楚台厚道</t>
  </si>
  <si>
    <t>绍兴咸亨酒业有限公司</t>
  </si>
  <si>
    <t>咸亨</t>
  </si>
  <si>
    <t>海口龙华基星伟商贸行</t>
  </si>
  <si>
    <t>中杏沴</t>
  </si>
  <si>
    <t>杜晓亚</t>
  </si>
  <si>
    <t>钧传</t>
  </si>
  <si>
    <t>尤利葡萄酒有限公司</t>
  </si>
  <si>
    <t>ESILIO</t>
  </si>
  <si>
    <t>汾阳市德醇香酒业有限公司</t>
  </si>
  <si>
    <t>江略</t>
  </si>
  <si>
    <t>张兴旺</t>
  </si>
  <si>
    <t>贤平</t>
  </si>
  <si>
    <t>诸暨市老莲广告有限公司</t>
  </si>
  <si>
    <t>周到礼道</t>
  </si>
  <si>
    <t>王本明</t>
  </si>
  <si>
    <t>立醺</t>
  </si>
  <si>
    <t>哈尔滨听书酒业有限公司</t>
  </si>
  <si>
    <t>听书 LISTEN STORY</t>
  </si>
  <si>
    <t>晶宝福强</t>
  </si>
  <si>
    <t>陈德桂</t>
  </si>
  <si>
    <t>宜达凤</t>
  </si>
  <si>
    <t>深圳市锦晟文化发展有限公司</t>
  </si>
  <si>
    <t>来一饼</t>
  </si>
  <si>
    <t>老贵董</t>
  </si>
  <si>
    <t>歌逸(上海)国际贸易有限公司</t>
  </si>
  <si>
    <t>爱宝露</t>
  </si>
  <si>
    <t>四川合河旭潮酒业有限公司</t>
  </si>
  <si>
    <t>林尚葡萄酒商私人有限公司</t>
  </si>
  <si>
    <t>灵魂种植者</t>
  </si>
  <si>
    <t>张翠芹</t>
  </si>
  <si>
    <t>八里醉美</t>
  </si>
  <si>
    <t>兰山金典</t>
  </si>
  <si>
    <t>今世黔</t>
  </si>
  <si>
    <t>库睿科技(上海)有限公司</t>
  </si>
  <si>
    <t>喜上禧悦</t>
  </si>
  <si>
    <t>海峡西岸(平潭)影视文化有限公司</t>
  </si>
  <si>
    <t>梦幻一阵</t>
  </si>
  <si>
    <t>张楠</t>
  </si>
  <si>
    <t>景沟</t>
  </si>
  <si>
    <t>世汐</t>
  </si>
  <si>
    <t>裕杏福</t>
  </si>
  <si>
    <t>王成明</t>
  </si>
  <si>
    <t>TOKASHIKI</t>
  </si>
  <si>
    <t>江西省诚亿食品有限公司</t>
  </si>
  <si>
    <t>诚亿膳</t>
  </si>
  <si>
    <t>成都拾吾局企业管理有限公司</t>
  </si>
  <si>
    <t>愚月</t>
  </si>
  <si>
    <t>山西中桓汇通科技集团有限公司</t>
  </si>
  <si>
    <t>德善魁</t>
  </si>
  <si>
    <t>何豪</t>
  </si>
  <si>
    <t>塘湾传承酿</t>
  </si>
  <si>
    <t>河南大华之酿酒业股份有限公司</t>
  </si>
  <si>
    <t>崃山头</t>
  </si>
  <si>
    <t>贵州省仁怀市传粮酒业有限公司</t>
  </si>
  <si>
    <t>传粮</t>
  </si>
  <si>
    <t>贵州盛世茅樽酒业有限公司</t>
  </si>
  <si>
    <t>氿珘黄金液</t>
  </si>
  <si>
    <t>大观印酒</t>
  </si>
  <si>
    <t>贵州省仁怀市赤红门酒业有限公司</t>
  </si>
  <si>
    <t>赤红门皇家掼蛋</t>
  </si>
  <si>
    <t>江苏元素六钻石科技有限公司</t>
  </si>
  <si>
    <t>督任</t>
  </si>
  <si>
    <t>西咸新区沣东新城联花百货店</t>
  </si>
  <si>
    <t>粮华典</t>
  </si>
  <si>
    <t>宁地严选</t>
  </si>
  <si>
    <t>北京汇通正信科技有限公司</t>
  </si>
  <si>
    <t>民间春皖</t>
  </si>
  <si>
    <t>干静书</t>
  </si>
  <si>
    <t>GOLDEN WIND EXPLOSION</t>
  </si>
  <si>
    <t>昇飏</t>
  </si>
  <si>
    <t>山地林海</t>
  </si>
  <si>
    <t>广州汉合科技有限公司</t>
  </si>
  <si>
    <t>HUANGDI</t>
  </si>
  <si>
    <t>韦鸿</t>
  </si>
  <si>
    <t>流芳春秋</t>
  </si>
  <si>
    <t>谢敏</t>
  </si>
  <si>
    <t>囍赞</t>
  </si>
  <si>
    <t>合肥波音商贸有限公司</t>
  </si>
  <si>
    <t>贵尖春</t>
  </si>
  <si>
    <t>员萱娜</t>
  </si>
  <si>
    <t>娜妮大掌柜</t>
  </si>
  <si>
    <t>魏运燎</t>
  </si>
  <si>
    <t>丰顺通健生物科技有限公司</t>
  </si>
  <si>
    <t>通健侯爷堂</t>
  </si>
  <si>
    <t>七台河市海翼商贸有限公司</t>
  </si>
  <si>
    <t>摇麦</t>
  </si>
  <si>
    <t>宴养舒</t>
  </si>
  <si>
    <t>品雾</t>
  </si>
  <si>
    <t>可拉狐</t>
  </si>
  <si>
    <t>长沙英工智能科技有限公司</t>
  </si>
  <si>
    <t>吻妮</t>
  </si>
  <si>
    <t>三溪单碗</t>
  </si>
  <si>
    <t>粮天川</t>
  </si>
  <si>
    <t>老三溪</t>
  </si>
  <si>
    <t>张洪健</t>
  </si>
  <si>
    <t>倩恣</t>
  </si>
  <si>
    <t>山东国井控股集团有限公司</t>
  </si>
  <si>
    <t>乘府</t>
  </si>
  <si>
    <t>宁夏弈昇信息科技有限公司</t>
  </si>
  <si>
    <t>云坔</t>
  </si>
  <si>
    <t>黄爱明</t>
  </si>
  <si>
    <t>江山献曲</t>
  </si>
  <si>
    <t>王惠兰</t>
  </si>
  <si>
    <t>谷田和惠</t>
  </si>
  <si>
    <t>云南茶药医药科技有限公司</t>
  </si>
  <si>
    <t>帝彝茗</t>
  </si>
  <si>
    <t>温祖义</t>
  </si>
  <si>
    <t>广州市景岳洲食得好贸易有限公司</t>
  </si>
  <si>
    <t>景岳洲</t>
  </si>
  <si>
    <t>厦门富丽酒业有限公司</t>
  </si>
  <si>
    <t>天使精灵</t>
  </si>
  <si>
    <t>覃宏洲</t>
  </si>
  <si>
    <t>雨卜 酒</t>
  </si>
  <si>
    <t>白开敏</t>
  </si>
  <si>
    <t>森妆主</t>
  </si>
  <si>
    <t>商丘市汉唐网络工程有限公司</t>
  </si>
  <si>
    <t>户部尚书</t>
  </si>
  <si>
    <t>妙根成</t>
  </si>
  <si>
    <t>有才独秀</t>
  </si>
  <si>
    <t>舍得文化</t>
  </si>
  <si>
    <t>徐前平</t>
  </si>
  <si>
    <t>龙向东</t>
  </si>
  <si>
    <t>豫见汪哥</t>
  </si>
  <si>
    <t>西藏美术馆</t>
  </si>
  <si>
    <t>四川相如供应链有限责任公司</t>
  </si>
  <si>
    <t>葚珀</t>
  </si>
  <si>
    <t>将门厚</t>
  </si>
  <si>
    <t>南京久易笙信息科技有限公司</t>
  </si>
  <si>
    <t>省小友</t>
  </si>
  <si>
    <t>山西杏阳王酒厂股份有限公司</t>
  </si>
  <si>
    <t>杏阳王</t>
  </si>
  <si>
    <t>周至意切切猕猴桃专业合作社</t>
  </si>
  <si>
    <t>第五围</t>
  </si>
  <si>
    <t>顾俊龙</t>
  </si>
  <si>
    <t>杯米乐 CUP MEALE</t>
  </si>
  <si>
    <t>京侃</t>
  </si>
  <si>
    <t>湖南海德生物科技有限公司</t>
  </si>
  <si>
    <t>VENAR</t>
  </si>
  <si>
    <t>岳世旺</t>
  </si>
  <si>
    <t>肖益良</t>
  </si>
  <si>
    <t>萧一菊</t>
  </si>
  <si>
    <t>英伦摩尔</t>
  </si>
  <si>
    <t>蒙赞</t>
  </si>
  <si>
    <t>云观燕</t>
  </si>
  <si>
    <t>江震阳</t>
  </si>
  <si>
    <t>周符香</t>
  </si>
  <si>
    <t>龙命</t>
  </si>
  <si>
    <t>云南昊冉食品有限公司</t>
  </si>
  <si>
    <t>昊冉</t>
  </si>
  <si>
    <t>离为火(上海)文化传媒发展有限公司</t>
  </si>
  <si>
    <t>不阅</t>
  </si>
  <si>
    <t>嗦螺哥</t>
  </si>
  <si>
    <t>王煜文</t>
  </si>
  <si>
    <t>必享尝</t>
  </si>
  <si>
    <t>上海小领科技有限公司</t>
  </si>
  <si>
    <t>蒋贵川</t>
  </si>
  <si>
    <t>萃立方</t>
  </si>
  <si>
    <t>金福虂</t>
  </si>
  <si>
    <t>竹格巴尔</t>
  </si>
  <si>
    <t>清新珙泉</t>
  </si>
  <si>
    <t>河南添福酒业有限公司</t>
  </si>
  <si>
    <t>众普优</t>
  </si>
  <si>
    <t>巫奕华</t>
  </si>
  <si>
    <t>唐睿柳月</t>
  </si>
  <si>
    <t>侯湘华</t>
  </si>
  <si>
    <t>豹猴</t>
  </si>
  <si>
    <t>石银东</t>
  </si>
  <si>
    <t>东慧慧和</t>
  </si>
  <si>
    <t>雨月</t>
  </si>
  <si>
    <t>石伟强(身份证号码：***)</t>
  </si>
  <si>
    <t>紫梅星</t>
  </si>
  <si>
    <t>贵州省仁怀市君澳酒业有限公司</t>
  </si>
  <si>
    <t>君澳珍</t>
  </si>
  <si>
    <t>吕素歌</t>
  </si>
  <si>
    <t>立客去</t>
  </si>
  <si>
    <t>鑫运台</t>
  </si>
  <si>
    <t>洛阳亚翰斯商贸有限公司</t>
  </si>
  <si>
    <t>豫你而来</t>
  </si>
  <si>
    <t>京弘贝</t>
  </si>
  <si>
    <t>喜上眉梢(黑龙江)家政服务有限公司</t>
  </si>
  <si>
    <t>靓荐</t>
  </si>
  <si>
    <t>深圳市芝正元生物科技有限公司</t>
  </si>
  <si>
    <t>芝正元</t>
  </si>
  <si>
    <t>云南青谷农旅发展有限公司</t>
  </si>
  <si>
    <t>七彩凤凰谷</t>
  </si>
  <si>
    <t>乔金生</t>
  </si>
  <si>
    <t>汉月舫</t>
  </si>
  <si>
    <t>樊俊歧</t>
  </si>
  <si>
    <t>岐粮山</t>
  </si>
  <si>
    <t>汉唐顺</t>
  </si>
  <si>
    <t>吴健峰</t>
  </si>
  <si>
    <t>临溪河</t>
  </si>
  <si>
    <t>贵州鱼鳅寨农业科技有限公司</t>
  </si>
  <si>
    <t>中境·自元体</t>
  </si>
  <si>
    <t>李光辉</t>
  </si>
  <si>
    <t>穗夫子</t>
  </si>
  <si>
    <t>拾贰文化科技(上海)有限公司</t>
  </si>
  <si>
    <t>最后的猫神</t>
  </si>
  <si>
    <t>贵州厚进酒业有限公司</t>
  </si>
  <si>
    <t>赤祝</t>
  </si>
  <si>
    <t>章建</t>
  </si>
  <si>
    <t>NELLA FOLLA</t>
  </si>
  <si>
    <t>五常市稻香飘农业发展(集团)有限公司</t>
  </si>
  <si>
    <t>南粤桥</t>
  </si>
  <si>
    <t>川道天</t>
  </si>
  <si>
    <t>贵州习临酒业有限公司</t>
  </si>
  <si>
    <t>波窖老</t>
  </si>
  <si>
    <t>世星川</t>
  </si>
  <si>
    <t>绵阳市磨磨香电子商务有限公司</t>
  </si>
  <si>
    <t>独伊味</t>
  </si>
  <si>
    <t>周超群</t>
  </si>
  <si>
    <t>星泉玉</t>
  </si>
  <si>
    <t>福州福盾贸易有限公司</t>
  </si>
  <si>
    <t>古月廊</t>
  </si>
  <si>
    <t>上海沪疆源科技服务有限公司</t>
  </si>
  <si>
    <t>浦疆韵</t>
  </si>
  <si>
    <t>胡文伩</t>
  </si>
  <si>
    <t>俞成</t>
  </si>
  <si>
    <t>益草世佳</t>
  </si>
  <si>
    <t>北京容善博仁健康管理有限公司</t>
  </si>
  <si>
    <t>武汉上禾生态农业发展有限公司</t>
  </si>
  <si>
    <t>陂夫稻田</t>
  </si>
  <si>
    <t>魏津</t>
  </si>
  <si>
    <t>泸小顺</t>
  </si>
  <si>
    <t>东享</t>
  </si>
  <si>
    <t>挂葫熊猫</t>
  </si>
  <si>
    <t>济南燕喜堂酒业有限公司</t>
  </si>
  <si>
    <t>成文运</t>
  </si>
  <si>
    <t>四川蓝程体旅文化发展有限公司</t>
  </si>
  <si>
    <t>寻途山耶</t>
  </si>
  <si>
    <t>肇庆丰味源农业科技有限公司</t>
  </si>
  <si>
    <t>肇公</t>
  </si>
  <si>
    <t>董燕强</t>
  </si>
  <si>
    <t>小噶农</t>
  </si>
  <si>
    <t>南京美枫生物科技有限公司</t>
  </si>
  <si>
    <t>御金陵皇帝</t>
  </si>
  <si>
    <t>贵州酣客君丰酒业有限公司</t>
  </si>
  <si>
    <t>客酣</t>
  </si>
  <si>
    <t>孙柳忠</t>
  </si>
  <si>
    <t>椭码头</t>
  </si>
  <si>
    <t>九生堂中医药大健康有限公司</t>
  </si>
  <si>
    <t>酒魂九生堂</t>
  </si>
  <si>
    <t>何飞</t>
  </si>
  <si>
    <t>欢典</t>
  </si>
  <si>
    <t>芝华士控股(知识产权)有限公司</t>
  </si>
  <si>
    <t>李水生</t>
  </si>
  <si>
    <t>超群友记</t>
  </si>
  <si>
    <t>石狮市尊杰卡贸易有限公司</t>
  </si>
  <si>
    <t>圣苐</t>
  </si>
  <si>
    <t>山西漾漾泉好吃食品科技有限公司</t>
  </si>
  <si>
    <t>样漾泉好吃</t>
  </si>
  <si>
    <t>贵州三条柱科技有限公司</t>
  </si>
  <si>
    <t>帆井輏</t>
  </si>
  <si>
    <t>黄鹤湖 樱梅沁染</t>
  </si>
  <si>
    <t>金湖尧想文化旅游有限公司</t>
  </si>
  <si>
    <t>蓬小尧荷小仙</t>
  </si>
  <si>
    <t>冈萨雷斯•百斯公司</t>
  </si>
  <si>
    <t>FAMILIA GONZALEZ BYASS VINOS Y SPIRITS</t>
  </si>
  <si>
    <t>王航</t>
  </si>
  <si>
    <t>伯温御汗</t>
  </si>
  <si>
    <t>张连吉</t>
  </si>
  <si>
    <t>上浑酒妈妈沟</t>
  </si>
  <si>
    <t>PURO-PURE</t>
  </si>
  <si>
    <t>湖北钖顺项目开发管理有限公司</t>
  </si>
  <si>
    <t>锡義风物</t>
  </si>
  <si>
    <t>江苏飞扬建设咨询管理有限公司</t>
  </si>
  <si>
    <t>澄宁 酒</t>
  </si>
  <si>
    <t>魏海燕</t>
  </si>
  <si>
    <t>亿美</t>
  </si>
  <si>
    <t>福建中和永旺投资发展有限公司</t>
  </si>
  <si>
    <t>酒侯山</t>
  </si>
  <si>
    <t>兰州宁声商贸有限公司</t>
  </si>
  <si>
    <t>陕西盛世凤尊酒业有限公司</t>
  </si>
  <si>
    <t>凤樽之吟</t>
  </si>
  <si>
    <t>冉光俊</t>
  </si>
  <si>
    <t>碧水俊酒</t>
  </si>
  <si>
    <t>六合区良源信息咨询服务中心</t>
  </si>
  <si>
    <t>贵山源味</t>
  </si>
  <si>
    <t>圣荷西派拉里欧农业股份公司</t>
  </si>
  <si>
    <t>蒙嘉斯</t>
  </si>
  <si>
    <t>努尔比亚·吾拉木</t>
  </si>
  <si>
    <t>乌祖舒纳斯</t>
  </si>
  <si>
    <t>田浩南</t>
  </si>
  <si>
    <t>今盈门</t>
  </si>
  <si>
    <t>伍长青</t>
  </si>
  <si>
    <t>千水禾</t>
  </si>
  <si>
    <t>广东大粤茗珠农业科技有限公司</t>
  </si>
  <si>
    <t>大粤茗珠</t>
  </si>
  <si>
    <t>福建祥欣供应链管理有限公司</t>
  </si>
  <si>
    <t>点师傅</t>
  </si>
  <si>
    <t>乾盏欢</t>
  </si>
  <si>
    <t>易延</t>
  </si>
  <si>
    <t>汗沉沙</t>
  </si>
  <si>
    <t>临沂呆马区块链网络科技有限公司</t>
  </si>
  <si>
    <t>去惑</t>
  </si>
  <si>
    <t>新疆迪礼卡尼食品有限公司</t>
  </si>
  <si>
    <t>哈再礼 GHAZAL</t>
  </si>
  <si>
    <t>杭州萧山礼物供销有限公司</t>
  </si>
  <si>
    <t>神游物外</t>
  </si>
  <si>
    <t>苏鹏进出口(烟台)有限公司</t>
  </si>
  <si>
    <t>轩诗堡</t>
  </si>
  <si>
    <t>优本雅清</t>
  </si>
  <si>
    <t>熙煌</t>
  </si>
  <si>
    <t>上海友柴科技有限公司</t>
  </si>
  <si>
    <t>NUCERN</t>
  </si>
  <si>
    <t>武陵区锤锤花酒馆(个体工商户)</t>
  </si>
  <si>
    <t>锤锤花 CUI HUA</t>
  </si>
  <si>
    <t>邝卫玲</t>
  </si>
  <si>
    <t>活君品</t>
  </si>
  <si>
    <t>罗金安</t>
  </si>
  <si>
    <t>水澄烧</t>
  </si>
  <si>
    <t>星河创想(成都)品牌管理有限公司</t>
  </si>
  <si>
    <t>正此埘</t>
  </si>
  <si>
    <t>鉴领级</t>
  </si>
  <si>
    <t>四川小可科技有限公司</t>
  </si>
  <si>
    <t>植呵</t>
  </si>
  <si>
    <t>鞠媋棠</t>
  </si>
  <si>
    <t>孟存英</t>
  </si>
  <si>
    <t>酩酒翁</t>
  </si>
  <si>
    <t>杜甫腾龙藏酒</t>
  </si>
  <si>
    <t>邵石磙</t>
  </si>
  <si>
    <t>黔粮潭</t>
  </si>
  <si>
    <t>启创未来文化发展有限公司</t>
  </si>
  <si>
    <t>书画一百家</t>
  </si>
  <si>
    <t>严斌</t>
  </si>
  <si>
    <t>双头虎</t>
  </si>
  <si>
    <t>赖勋泽</t>
  </si>
  <si>
    <t>鲁荐</t>
  </si>
  <si>
    <t>NACY</t>
  </si>
  <si>
    <t>中管华盈</t>
  </si>
  <si>
    <t>利他人元</t>
  </si>
  <si>
    <t>义乌市圈堂电子商务商行</t>
  </si>
  <si>
    <t>藏乾</t>
  </si>
  <si>
    <t>古进福</t>
  </si>
  <si>
    <t>又蓝</t>
  </si>
  <si>
    <t>李宁</t>
  </si>
  <si>
    <t>念仓禾</t>
  </si>
  <si>
    <t>贵州国酱乾元酒业有限责任公司</t>
  </si>
  <si>
    <t>状元乾</t>
  </si>
  <si>
    <t>李成林</t>
  </si>
  <si>
    <t>伊格娅誓言</t>
  </si>
  <si>
    <t>天津水灵惠太岁生物科技有限公司</t>
  </si>
  <si>
    <t>水灵惠</t>
  </si>
  <si>
    <t>七雨食品有限公司</t>
  </si>
  <si>
    <t>玉粮久</t>
  </si>
  <si>
    <t>龙酿祥</t>
  </si>
  <si>
    <t>桃动</t>
  </si>
  <si>
    <t>李胜林</t>
  </si>
  <si>
    <t>古佑康</t>
  </si>
  <si>
    <t>卫涛</t>
  </si>
  <si>
    <t>郁焰烧坊</t>
  </si>
  <si>
    <t>一生舍得</t>
  </si>
  <si>
    <t>京城酒业(天津)有限公司</t>
  </si>
  <si>
    <t>江湖百家粮</t>
  </si>
  <si>
    <t>广东国正酒业发展有限公司</t>
  </si>
  <si>
    <t>海天胜景</t>
  </si>
  <si>
    <t>贵世乾隆</t>
  </si>
  <si>
    <t>南明区松大师活油烙锅店(个体工商户)</t>
  </si>
  <si>
    <t>松大师</t>
  </si>
  <si>
    <t>吉林省立昌商贸有限公司</t>
  </si>
  <si>
    <t>洵攸</t>
  </si>
  <si>
    <t>珠海市横琴忠国文化发展有限公司</t>
  </si>
  <si>
    <t>OPULWELL</t>
  </si>
  <si>
    <t>征烽</t>
  </si>
  <si>
    <t>郑州你好文化传播有限公司</t>
  </si>
  <si>
    <t>安选</t>
  </si>
  <si>
    <t>汪峰</t>
  </si>
  <si>
    <t>建武门</t>
  </si>
  <si>
    <t>大渡口区思屋爱弗食品经营部</t>
  </si>
  <si>
    <t>豆大姑</t>
  </si>
  <si>
    <t>雅盛供应链(广东)有限公司</t>
  </si>
  <si>
    <t>金殿权杖</t>
  </si>
  <si>
    <t>杨国柱</t>
  </si>
  <si>
    <t>白露尽</t>
  </si>
  <si>
    <t>广州市稻粤餐饮有限公司</t>
  </si>
  <si>
    <t>和德稻粤</t>
  </si>
  <si>
    <t>法国路西亚的花园集团香港有限公司</t>
  </si>
  <si>
    <t>路西亚的花园</t>
  </si>
  <si>
    <t>张晓</t>
  </si>
  <si>
    <t>调皮龙</t>
  </si>
  <si>
    <t>黑龙江鹤川饮品有限公司</t>
  </si>
  <si>
    <t>鹤川金樽 酒</t>
  </si>
  <si>
    <t>白越</t>
  </si>
  <si>
    <t>臻仙谷</t>
  </si>
  <si>
    <t>农安洋全証麟中医院</t>
  </si>
  <si>
    <t>洋全证麟</t>
  </si>
  <si>
    <t>上海和甄实业有限公司</t>
  </si>
  <si>
    <t>天郁</t>
  </si>
  <si>
    <t>北票市益香源副食品厂</t>
  </si>
  <si>
    <t>川州鸿玺</t>
  </si>
  <si>
    <t>山东紫椹生态庄园有限公司</t>
  </si>
  <si>
    <t>桑萃</t>
  </si>
  <si>
    <t>山东润景酒业有限公司</t>
  </si>
  <si>
    <t>润景门</t>
  </si>
  <si>
    <t>天津市肆库云商科技有限公司</t>
  </si>
  <si>
    <t>煲域宗</t>
  </si>
  <si>
    <t>岳知秋</t>
  </si>
  <si>
    <t>绿贵品</t>
  </si>
  <si>
    <t>张庭礼</t>
  </si>
  <si>
    <t>礼鑫沛</t>
  </si>
  <si>
    <t>冯松</t>
  </si>
  <si>
    <t>黔知韵</t>
  </si>
  <si>
    <t>宣汉县臻源生态种植专业合作社</t>
  </si>
  <si>
    <t>宣蓝丰</t>
  </si>
  <si>
    <t>横峰县加良家庭农场</t>
  </si>
  <si>
    <t>饶加良</t>
  </si>
  <si>
    <t>天津津帝酒业有限公司</t>
  </si>
  <si>
    <t>道津门酒</t>
  </si>
  <si>
    <t>李萌</t>
  </si>
  <si>
    <t>坤河台</t>
  </si>
  <si>
    <t>广东微尚控股有限公司</t>
  </si>
  <si>
    <t>贵州数字品牌管理有限公司</t>
  </si>
  <si>
    <t>清友紫荆会</t>
  </si>
  <si>
    <t>新农垦农业发展(集团)有限公司</t>
  </si>
  <si>
    <t>元气盾</t>
  </si>
  <si>
    <t>辽宁扩古体育用品有限公司</t>
  </si>
  <si>
    <t>扩古 KOGU</t>
  </si>
  <si>
    <t>贵州省仁怀市茅台镇传统酒业有限公司</t>
  </si>
  <si>
    <t>一一校门</t>
  </si>
  <si>
    <t>滋墨</t>
  </si>
  <si>
    <t>贵州玉中希商贸有限公司</t>
  </si>
  <si>
    <t>玉中希</t>
  </si>
  <si>
    <t>丰华时代(苏州)科技发展有限公司</t>
  </si>
  <si>
    <t>吉时银尊</t>
  </si>
  <si>
    <t>毛权峰</t>
  </si>
  <si>
    <t>权峰</t>
  </si>
  <si>
    <t>薛林</t>
  </si>
  <si>
    <t>穆云书</t>
  </si>
  <si>
    <t>桂裕河</t>
  </si>
  <si>
    <t>指阅</t>
  </si>
  <si>
    <t>曾凡喜</t>
  </si>
  <si>
    <t>居楼湾</t>
  </si>
  <si>
    <t>东莞市广邑商贸有限公司</t>
  </si>
  <si>
    <t>广邑臻酒</t>
  </si>
  <si>
    <t>醇谷智造</t>
  </si>
  <si>
    <t>谢小芳</t>
  </si>
  <si>
    <t>树下阳光里</t>
  </si>
  <si>
    <t>三合恒升</t>
  </si>
  <si>
    <t>贵州尊贵人酒业有限公司</t>
  </si>
  <si>
    <t>通号御</t>
  </si>
  <si>
    <t>孙文凯</t>
  </si>
  <si>
    <t>崇池</t>
  </si>
  <si>
    <t>广东丽达国际酒业有限公司</t>
  </si>
  <si>
    <t>诺德庄园佩科里诺</t>
  </si>
  <si>
    <t>海南天日盐文化创意有限公司</t>
  </si>
  <si>
    <t>南边雪</t>
  </si>
  <si>
    <t>广西寿城农夫农业有限公司</t>
  </si>
  <si>
    <t>寿城农夫</t>
  </si>
  <si>
    <t>平福</t>
  </si>
  <si>
    <t>贵州若木世家实业有限公司</t>
  </si>
  <si>
    <t>若木世家</t>
  </si>
  <si>
    <t>华融投资有限公司</t>
  </si>
  <si>
    <t>舞青梅</t>
  </si>
  <si>
    <t>忠道诺言</t>
  </si>
  <si>
    <t>浙江乌程酒业有限公司</t>
  </si>
  <si>
    <t>金月亮二十</t>
  </si>
  <si>
    <t>东莞市智慧空间酒店管理有限公司</t>
  </si>
  <si>
    <t>宾百俊</t>
  </si>
  <si>
    <t>庄臣酿酒(福建)有限公司</t>
  </si>
  <si>
    <t>醉黔古建厂</t>
  </si>
  <si>
    <t>北京天笙生物科技有限公司</t>
  </si>
  <si>
    <t>TEESHE</t>
  </si>
  <si>
    <t>赵三妹</t>
  </si>
  <si>
    <t>尚虞方塔</t>
  </si>
  <si>
    <t>宜兴市杨巷大米有限公司</t>
  </si>
  <si>
    <t>金光大道</t>
  </si>
  <si>
    <t>黔酿贺</t>
  </si>
  <si>
    <t>四川省春丰酒业有限公司</t>
  </si>
  <si>
    <t>凤樽盛世</t>
  </si>
  <si>
    <t>山东百脉泉酒业股份有限公司</t>
  </si>
  <si>
    <t>清照情</t>
  </si>
  <si>
    <t>青岛杜张氏医药保健品有限公司</t>
  </si>
  <si>
    <t>滑将河</t>
  </si>
  <si>
    <t>深圳市艾武生投资有限公司</t>
  </si>
  <si>
    <t>IUSEN 艾武生</t>
  </si>
  <si>
    <t>汾阳市中和酒业有限公司</t>
  </si>
  <si>
    <t>至杏情</t>
  </si>
  <si>
    <t>贵州苗堂大山站起酒业商贸有限责任公司</t>
  </si>
  <si>
    <t>站苗</t>
  </si>
  <si>
    <t>仁和(集团)发展有限公司</t>
  </si>
  <si>
    <t>上鹿坊</t>
  </si>
  <si>
    <t>通辽市科尔沁区角干浮选砂厂</t>
  </si>
  <si>
    <t>角干浮选砂厂</t>
  </si>
  <si>
    <t>杭州好时机科技有限公司</t>
  </si>
  <si>
    <t>皇甫幼明</t>
  </si>
  <si>
    <t>辰米棠</t>
  </si>
  <si>
    <t>九江中菲国际酒业有限公司</t>
  </si>
  <si>
    <t>莲健</t>
  </si>
  <si>
    <t>汪义博</t>
  </si>
  <si>
    <t>百花肆</t>
  </si>
  <si>
    <t>百川名品供应链股份有限公司</t>
  </si>
  <si>
    <t>懂鉴</t>
  </si>
  <si>
    <t>贵州华东酒业集团有限责任公司</t>
  </si>
  <si>
    <t>臻尚百春</t>
  </si>
  <si>
    <t>安斯蒂巴澳山谷</t>
  </si>
  <si>
    <t>君尘</t>
  </si>
  <si>
    <t>八堡新开</t>
  </si>
  <si>
    <t>天津官匠食品有限公司</t>
  </si>
  <si>
    <t>珍素诚</t>
  </si>
  <si>
    <t>黄子潭</t>
  </si>
  <si>
    <t>刘喜恺</t>
  </si>
  <si>
    <t>忠酿恺醇</t>
  </si>
  <si>
    <t>味蕾堡</t>
  </si>
  <si>
    <t>黄小燕</t>
  </si>
  <si>
    <t>黥酿天樽</t>
  </si>
  <si>
    <t>宁夏醇聚葡萄酒文化传播有限公司</t>
  </si>
  <si>
    <t>兰晖</t>
  </si>
  <si>
    <t>罗少飞</t>
  </si>
  <si>
    <t>旗企</t>
  </si>
  <si>
    <t>田宏金</t>
  </si>
  <si>
    <t>永玉红</t>
  </si>
  <si>
    <t>河南黄河大健康生态产业园有限公司</t>
  </si>
  <si>
    <t>岳家君满江红</t>
  </si>
  <si>
    <t>大福温氏</t>
  </si>
  <si>
    <t>浙江大学农业科技园有限公司</t>
  </si>
  <si>
    <t>谷九洲</t>
  </si>
  <si>
    <t>杭州木席文化传媒有限公司</t>
  </si>
  <si>
    <t>木席</t>
  </si>
  <si>
    <t>浙江珍本堂农业发展有限公司</t>
  </si>
  <si>
    <t>养今坊</t>
  </si>
  <si>
    <t>康斯坦丁拉扎瑞迪葡萄园股份公司</t>
  </si>
  <si>
    <t>AMETHYSTOS ESTATES COSTA LAZARIDI</t>
  </si>
  <si>
    <t>深圳市大头人实业有限公司</t>
  </si>
  <si>
    <t>PGG</t>
  </si>
  <si>
    <t>归星·双鹭经典</t>
  </si>
  <si>
    <t>AROUND OCEANIA KANGAROO ESTATE</t>
  </si>
  <si>
    <t>鲁山县端阳农业有限公司</t>
  </si>
  <si>
    <t>盆爻端阳</t>
  </si>
  <si>
    <t>合肥陈博广告品牌设计有限公司</t>
  </si>
  <si>
    <t>世纪安大人</t>
  </si>
  <si>
    <t>名公巨杰</t>
  </si>
  <si>
    <t>泉州弗艾商贸有限公司</t>
  </si>
  <si>
    <t>JMIERR</t>
  </si>
  <si>
    <t>四川省泸州江泉酒业有限公司</t>
  </si>
  <si>
    <t>满江河</t>
  </si>
  <si>
    <t>瑞相文化传播(成都)有限公司</t>
  </si>
  <si>
    <t>悠看点</t>
  </si>
  <si>
    <t>乐柔</t>
  </si>
  <si>
    <t>艳入玉</t>
  </si>
  <si>
    <t>临沂志泉工艺品有限公司</t>
  </si>
  <si>
    <t>柳点点</t>
  </si>
  <si>
    <t>吴学明</t>
  </si>
  <si>
    <t>朝宗桥</t>
  </si>
  <si>
    <t>浙江花社投资有限公司</t>
  </si>
  <si>
    <t>笕桥</t>
  </si>
  <si>
    <t>张万举</t>
  </si>
  <si>
    <t>万举泰航</t>
  </si>
  <si>
    <t>赞山川</t>
  </si>
  <si>
    <t>贵州省仁怀市汉卓酒业有限公司</t>
  </si>
  <si>
    <t>西部廷</t>
  </si>
  <si>
    <t>九久棒棒堂(上海)生命科学研究有限公司</t>
  </si>
  <si>
    <t>九久棒棒堂</t>
  </si>
  <si>
    <t>安徽正宇面粉有限公司</t>
  </si>
  <si>
    <t>正宇曹操</t>
  </si>
  <si>
    <t>南京明峰达企业咨询管理有限公司</t>
  </si>
  <si>
    <t>森灵建庄</t>
  </si>
  <si>
    <t>伍锡剑</t>
  </si>
  <si>
    <t>朵蜜</t>
  </si>
  <si>
    <t>亳州市秦汉生物科技有限责任公司</t>
  </si>
  <si>
    <t>安徽汇婷商贸有限公司</t>
  </si>
  <si>
    <t>徽泰禾</t>
  </si>
  <si>
    <t>南京中道文化传播有限公司</t>
  </si>
  <si>
    <t>万沙行</t>
  </si>
  <si>
    <t>周丽</t>
  </si>
  <si>
    <t>疆森林</t>
  </si>
  <si>
    <t>东莞市奥创硅材科技有限公司</t>
  </si>
  <si>
    <t>阳云飘香</t>
  </si>
  <si>
    <t>叶建</t>
  </si>
  <si>
    <t>仁人乐</t>
  </si>
  <si>
    <t>陈彬</t>
  </si>
  <si>
    <t>年味美</t>
  </si>
  <si>
    <t>临沂玖辰酒业有限公司</t>
  </si>
  <si>
    <t>四顾酒庐</t>
  </si>
  <si>
    <t>赵纪杰</t>
  </si>
  <si>
    <t>瀚园</t>
  </si>
  <si>
    <t>其闻堂</t>
  </si>
  <si>
    <t>张玉明</t>
  </si>
  <si>
    <t>麻司</t>
  </si>
  <si>
    <t>帕莎傣企业管理(云南)有限公司</t>
  </si>
  <si>
    <t>版塔南</t>
  </si>
  <si>
    <t>山西酣高楼酒业有限公司</t>
  </si>
  <si>
    <t>桥头井</t>
  </si>
  <si>
    <t>张晓欧</t>
  </si>
  <si>
    <t>露华仓泉</t>
  </si>
  <si>
    <t>汉中市天汉嘉诚商业管理有限公司</t>
  </si>
  <si>
    <t>吴文静</t>
  </si>
  <si>
    <t>百草恋</t>
  </si>
  <si>
    <t>鹊寿堂</t>
  </si>
  <si>
    <t>浦疆缘</t>
  </si>
  <si>
    <t>张秀芹</t>
  </si>
  <si>
    <t>倾长安</t>
  </si>
  <si>
    <t>贵州省仁怀市鼎兴酒业有限公司</t>
  </si>
  <si>
    <t>杂居</t>
  </si>
  <si>
    <t>王梦雪</t>
  </si>
  <si>
    <t>域之谣</t>
  </si>
  <si>
    <t>张虹旭</t>
  </si>
  <si>
    <t>疆魔力</t>
  </si>
  <si>
    <t>珠小乔</t>
  </si>
  <si>
    <t>珠小桥</t>
  </si>
  <si>
    <t>梁光中</t>
  </si>
  <si>
    <t>叶小坐</t>
  </si>
  <si>
    <t>文占海</t>
  </si>
  <si>
    <t>郁纷</t>
  </si>
  <si>
    <t>王立功</t>
  </si>
  <si>
    <t>徐州迈道科技工程有限公司</t>
  </si>
  <si>
    <t>情忆东南</t>
  </si>
  <si>
    <t>唐山海都水产食品有限公司</t>
  </si>
  <si>
    <t>韦娟</t>
  </si>
  <si>
    <t>晋九侠</t>
  </si>
  <si>
    <t>墨滋</t>
  </si>
  <si>
    <t>衡昌大宗师</t>
  </si>
  <si>
    <t xml:space="preserve"> 果酒(含酒精); 清酒; 烈酒(饮料); 烧酒; 白酒; 米酒; 葡萄酒; 蜂蜜酒; 食用酒精; 黄酒</t>
  </si>
  <si>
    <t xml:space="preserve"> 利口酒; 开胃酒; 果酒(含酒精); 烈酒(饮料); 烧酒; 白酒; 葡萄酒; 蒸煮提取物(利口酒和烈酒); 酒精饮料(啤酒除外); 食用酒精</t>
  </si>
  <si>
    <t xml:space="preserve"> 果酒(含酒精); 烈酒(饮料); 烧酒; 白酒; 米酒; 葡萄酒; 蒸馏饮料; 酒精饮料(啤酒除外); 鸡尾酒; 黄酒</t>
  </si>
  <si>
    <t xml:space="preserve"> 伏特加酒; 果酒(含酒精); 烈酒(饮料); 白酒; 米酒; 葡萄酒; 酒精饮料(啤酒除外); 高粱酒; 鸡尾酒; 黄酒</t>
  </si>
  <si>
    <t xml:space="preserve"> 朗姆酒; 果酒; 甘蔗制烈酒; 甘蔗制酒精饮料; 甘蔗汁酿朗姆酒; 白酒; 米酒; 谷物制蒸馏酒精饮料; 露酒; 黄酒</t>
  </si>
  <si>
    <t xml:space="preserve"> 伏特加酒; 威士忌; 果酒(含酒精); 白干酒(中国白酒); 白酒; 米酒; 葡萄酒; 酒精饮料(啤酒除外); 鸡尾酒; 黄酒</t>
  </si>
  <si>
    <t xml:space="preserve"> 含水果酒精饮料; 开胃酒; 汽酒; 烧酒; 白酒; 米酒; 葡萄酒; 酒精饮料原汁; 食用酒精; 黄酒</t>
  </si>
  <si>
    <t xml:space="preserve"> 果酒(含酒精); 清酒(日本米酒); 烈酒(饮料); 烧酒; 白酒; 米酒; 葡萄酒; 酒精饮料(啤酒除外); 鸡尾酒; 黄酒</t>
  </si>
  <si>
    <t xml:space="preserve"> 伏特加酒; 利口酒; 果酒(含酒精); 烈酒(饮料); 蒸馏饮料; 酒精饮料浓缩汁; 预先混合的酒精饮料(以啤酒为主的除外); 食用酒精; 餐后酒(利口酒和烈酒); 鸡尾酒</t>
  </si>
  <si>
    <t xml:space="preserve"> 开胃酒; 果酒(含酒精); 汽酒; 烧酒; 白酒; 米酒; 蒸馏饮料; 酒精饮料(啤酒除外); 食用酒精; 黄酒</t>
  </si>
  <si>
    <t xml:space="preserve"> 含水果酒精饮料; 开胃酒; 果酒(含酒精); 清酒; 白酒; 米酒; 葡萄酒; 酒精饮料(啤酒除外); 酒精饮料原汁; 黄酒</t>
  </si>
  <si>
    <t xml:space="preserve"> 果酒; 烈酒; 烧酒; 白干酒(中国白酒); 白酒; 米酒; 蒸煮提取物(利口酒和烈酒); 酒精饮料(啤酒除外); 露酒; 高粱酒</t>
  </si>
  <si>
    <t xml:space="preserve"> 果酒(含酒精); 汽酒; 烧酒; 白酒; 米酒; 葡萄酒; 蜂蜜酒; 酒精饮料(啤酒除外); 食用酒精; 黄酒</t>
  </si>
  <si>
    <t xml:space="preserve"> 伏特加酒; 威士忌; 果酒(含酒精); 烧酒; 白兰地; 白酒; 米酒; 葡萄酒; 鸡尾酒; 黄酒</t>
  </si>
  <si>
    <t xml:space="preserve"> 果酒(含酒精); 烈酒(饮料); 烧酒; 白酒; 米酒; 葡萄酒; 蒸馏饮料; 酒精饮料(啤酒除外); 酒精饮料原汁; 食用酒精</t>
  </si>
  <si>
    <t xml:space="preserve"> 含水果酒精饮料; 果酒(含酒精); 白兰地; 白酒; 米酒; 葡萄酒; 酒精饮料(啤酒除外); 食用酒精; 鸡尾酒; 黄酒</t>
  </si>
  <si>
    <t xml:space="preserve"> 果酒; 清酒(日本米酒); 烈酒(饮料); 白酒; 米酒; 苹果酒; 葡萄酒; 青稞酒; 鸡尾酒; 黄酒</t>
  </si>
  <si>
    <t xml:space="preserve"> 利口酒; 含水果酒精饮料; 开胃酒; 果酒(含酒精); 烧酒; 白酒; 米酒; 葡萄酒; 鸡尾酒; 黄酒</t>
  </si>
  <si>
    <t xml:space="preserve"> 烧酒; 白兰地; 米酒; 葡萄酒; 蒸馏饮料; 薄荷酒; 谷物制蒸馏酒精饮料; 青稞酒; 鸡尾酒; 黄酒</t>
  </si>
  <si>
    <t xml:space="preserve"> 果酒(含酒精); 烈酒(饮料); 烧酒; 白兰地; 白酒; 米酒; 葡萄酒; 蜂蜜酒; 鸡尾酒; 黄酒</t>
  </si>
  <si>
    <t xml:space="preserve"> 含水果酒精饮料; 朗姆酒; 果酒(含酒精); 白酒; 米酒; 葡萄酒; 蒸煮提取物(利口酒和烈酒); 谷物制蒸馏酒精饮料; 鸡尾酒; 黄酒</t>
  </si>
  <si>
    <t xml:space="preserve"> 果酒; 梨酒; 烧酒; 白酒; 米酒; 葡萄酒; 青稞酒; 高粱酒; 鸡尾酒; 黄酒</t>
  </si>
  <si>
    <t xml:space="preserve"> 果酒; 烧酒; 白酒; 米酒; 葡萄酒; 蜂蜜酒; 食用酒精; 高粱酒; 鸡尾酒; 黄酒</t>
  </si>
  <si>
    <t xml:space="preserve"> 利口酒; 果酒; 烈酒; 烧酒; 白酒; 米酒; 老酒(中国蒸馏烈酒); 酒精饮料(啤酒除外); 高粱酒; 鸡尾酒</t>
  </si>
  <si>
    <t xml:space="preserve"> 果酒; 果酒(含酒精); 清酒(日本米酒); 烈酒; 烧酒; 甜酒; 白酒; 米酒; 葡萄酒; 鸡尾酒</t>
  </si>
  <si>
    <t xml:space="preserve"> 果酒; 汽酒; 烈酒(饮料); 烧酒; 白兰地; 白酒; 米酒; 葡萄酒; 高粱酒; 黄酒</t>
  </si>
  <si>
    <t xml:space="preserve"> 含酒精的饮料(啤酒除外); 果酒(含酒精); 烈酒; 烧酒; 由谷物蒸馏的白酒; 白干酒(中国白酒); 白酒; 米酒; 老酒(中国蒸馏烈酒)</t>
  </si>
  <si>
    <t xml:space="preserve"> 威士忌; 烈酒; 烧酒; 白兰地; 白酒; 米酒; 葡萄酒; 青稞酒; 鸡尾酒; 黄酒</t>
  </si>
  <si>
    <t xml:space="preserve"> 威士忌; 果酒; 白葡萄酒; 白酒; 米酒; 红葡萄酒; 葡萄酒; 青梅酒; 鸡尾酒; 黄酒</t>
  </si>
  <si>
    <t xml:space="preserve"> 开胃酒; 果酒(含酒精); 烧酒; 白酒; 米酒; 苹果酒; 葡萄酒; 酒精饮料(啤酒除外); 青稞酒; 黄酒</t>
  </si>
  <si>
    <t xml:space="preserve"> 果酒; 清酒; 烧酒; 甜酒; 白酒; 米酒; 葡萄酒; 露酒; 鸡尾酒; 黄酒</t>
  </si>
  <si>
    <t xml:space="preserve"> 开胃酒; 果酒(含酒精); 清酒; 烈酒(饮料); 烧酒; 烧酒(烈酒); 白酒; 米酒; 蒸馏饮料; 蜂蜜酒; 酒精饮料(啤酒除外); 餐后酒(利口酒和烈酒); 黄酒</t>
  </si>
  <si>
    <t xml:space="preserve"> 含水果酒精饮料; 朗姆酒; 烈酒(饮料); 白酒; 葡萄酒; 蒸馏饮料; 谷物制蒸馏酒精饮料; 酒精饮料(啤酒除外); 青稞酒; 黄酒</t>
  </si>
  <si>
    <t xml:space="preserve"> 威士忌; 朗姆酒; 果酒(含酒精); 烧酒; 白酒; 米酒; 葡萄酒; 酒精饮料原汁; 食用酒精; 黄酒</t>
  </si>
  <si>
    <t xml:space="preserve"> 含酒精的气泡水; 威士忌; 果酒(含酒精); 白兰地; 白酒; 葡萄酒; 谷物制蒸馏酒精饮料; 酒精饮料(啤酒除外); 酒精饮料原汁; 预先混合的酒精饮料(以啤酒为主的除外)</t>
  </si>
  <si>
    <t xml:space="preserve"> 果酒; 清酒; 烈酒; 烧酒; 白酒; 米酒; 葡萄酒; 酒精饮料(啤酒除外); 高粱酒; 黄酒</t>
  </si>
  <si>
    <t xml:space="preserve"> 果酒; 清酒(日本米酒); 烧酒; 甜酒; 白酒; 米酒; 老酒(中国蒸馏烈酒); 葡萄酒; 酒精饮料(啤酒除外); 黄酒</t>
  </si>
  <si>
    <t xml:space="preserve"> 威士忌; 果酒(含酒精); 清酒(日本米酒); 白酒; 米酒; 谷物制蒸馏酒精饮料; 酒精饮料(啤酒除外); 露酒; 青梅酒; 高粱酒</t>
  </si>
  <si>
    <t xml:space="preserve"> 利口酒; 开胃酒; 朗姆酒; 清酒(日本米酒); 甜果酒; 白酒; 米酒; 蒸馏饮料; 酒精饮料(啤酒除外); 黄酒</t>
  </si>
  <si>
    <t xml:space="preserve"> 果酒; 清酒; 烧酒; 白酒; 米酒; 葡萄酒; 酒精饮料(啤酒除外); 露酒; 高粱酒; 黄酒</t>
  </si>
  <si>
    <t xml:space="preserve"> 含水果酒精饮料; 果酒(含酒精); 烧酒; 白酒; 米酒; 葡萄酒; 蒸馏饮料; 酒精饮料(啤酒除外); 酒精饮料原汁; 食用酒精</t>
  </si>
  <si>
    <t xml:space="preserve"> 开胃酒; 果酒(含酒精); 梨酒; 清酒(日本米酒); 烧酒; 白酒; 米酒; 葡萄酒; 酒精饮料(啤酒除外); 餐后酒(利口酒和烈酒)</t>
  </si>
  <si>
    <t xml:space="preserve"> 含水果酒精饮料; 果酒(含酒精); 白酒; 米酒; 苹果酒; 葡萄酒; 薄荷酒; 蜂蜜酒; 青稞酒; 黄酒</t>
  </si>
  <si>
    <t xml:space="preserve"> 伏特加酒; 含水果酒精饮料; 威士忌; 汽酒; 烈酒; 白兰地; 白酒; 葡萄酒; 酒精饮料(啤酒除外); 鸡尾酒</t>
  </si>
  <si>
    <t xml:space="preserve"> 以葡萄酒为主的饮料; 威士忌; 果酒(含酒精); 烈酒(饮料); 烧酒; 白兰地; 白酒; 米酒; 红葡萄酒; 预先混合的酒精饮料(以啤酒为主的除外)</t>
  </si>
  <si>
    <t xml:space="preserve"> 开胃酒; 果酒; 烈酒; 烧酒; 白酒; 米酒; 葡萄酒; 蜂蜜酒; 鸡尾酒; 黄酒</t>
  </si>
  <si>
    <t xml:space="preserve"> 伏特加酒; 含水果酒精饮料; 威士忌; 果酒(含酒精); 烈酒(饮料); 白兰地; 白酒; 米酒; 葡萄酒; 酒精饮料(啤酒除外)</t>
  </si>
  <si>
    <t xml:space="preserve"> 五加皮酒(中国混合烈酒); 利口酒; 开胃酒; 果酒; 清酒; 烧酒; 白干酒(中国白酒); 白酒; 老酒(中国蒸馏烈酒); 葡萄酒</t>
  </si>
  <si>
    <t xml:space="preserve"> 威士忌; 果酒(含酒精); 烈酒; 白兰地; 白酒; 老酒(中国蒸馏烈酒); 酒精饮料(啤酒除外); 酒精饮料原汁; 食用酒精; 黄酒</t>
  </si>
  <si>
    <t xml:space="preserve"> 威士忌; 朗姆酒; 果酒(含酒精); 烈酒(饮料); 烧酒; 白酒; 米酒; 葡萄酒; 酒精饮料(啤酒除外); 鸡尾酒</t>
  </si>
  <si>
    <t xml:space="preserve"> 以葡萄酒为主的饮料; 利口酒; 威士忌; 朗姆酒; 果酒(含酒精); 白兰地; 白酒; 米酒; 葡萄酒; 蜂蜜酒</t>
  </si>
  <si>
    <t xml:space="preserve"> 含水果酒精饮料; 含酒精的气泡水; 果酒(含酒精); 烈酒; 烧酒; 白酒; 米酒; 葡萄酒; 蜂蜜酒; 预先混合的酒精饮料(以啤酒为主的除外)</t>
  </si>
  <si>
    <t xml:space="preserve"> 开胃酒; 清酒(日本米酒); 烧酒; 白兰地; 米酒; 蒸煮提取物(利口酒和烈酒); 薄荷酒; 酒精饮料(啤酒除外); 预先混合的酒精饮料(以啤酒为主的除外); 黄酒</t>
  </si>
  <si>
    <t xml:space="preserve"> 开胃酒; 果酒; 汽酒; 清酒; 甜酒; 白酒; 米酒; 葡萄酒; 食用酒精; 黄酒</t>
  </si>
  <si>
    <t xml:space="preserve"> 含酒精的饮料(啤酒除外); 开胃酒; 果酒; 清酒; 烈酒(饮料); 白酒; 苹果酒; 葡萄酒; 青稞酒; 鸡尾酒</t>
  </si>
  <si>
    <t xml:space="preserve"> 含水果酒精饮料; 果酒(含酒精); 清酒(日本米酒); 烧酒; 白酒; 米酒; 葡萄酒; 蜂蜜酒; 酒精饮料(啤酒除外); 鸡尾酒</t>
  </si>
  <si>
    <t xml:space="preserve"> 含酒精的气泡水; 果酒; 汽酒; 烧酒; 白干酒(中国白酒); 白酒; 米酒; 葡萄酒; 酒精饮料(啤酒除外); 黄酒</t>
  </si>
  <si>
    <t xml:space="preserve"> 佐餐酒; 含酒精水果饮料; 含酒精的饮料(啤酒除外); 水果汽酒; 甜果酒; 除啤酒外的酒精饮料; 餐后酒(利口酒和烈酒)</t>
  </si>
  <si>
    <t xml:space="preserve"> 开胃酒; 果酒(含酒精); 清酒; 白酒; 米酒; 葡萄酒; 蒸馏饮料; 蜂蜜酒; 酒精饮料(啤酒除外); 黄酒</t>
  </si>
  <si>
    <t xml:space="preserve"> 威士忌; 果酒(含酒精); 烈酒(饮料); 烧酒; 白酒; 米酒; 葡萄酒; 蒸馏饮料; 酒精饮料(啤酒除外); 鸡尾酒</t>
  </si>
  <si>
    <t xml:space="preserve"> 果酒(含酒精); 烧酒; 白酒; 米酒; 葡萄酒; 蒸煮提取物(利口酒和烈酒); 酒精饮料(啤酒除外); 酒精饮料原汁; 食用酒精; 黄酒</t>
  </si>
  <si>
    <t xml:space="preserve"> 开胃酒; 烈酒(饮料); 烧酒; 由谷物蒸馏的白酒; 白酒; 米酒; 苦味酒; 酒精饮料(啤酒除外); 青稞酒; 食用酒精</t>
  </si>
  <si>
    <t xml:space="preserve"> 开胃酒; 果酒(含酒精); 白酒; 米酒; 苹果酒; 葡萄酒; 蒸馏饮料; 酸酒(低等葡萄酒); 青稞酒; 鸡尾酒</t>
  </si>
  <si>
    <t xml:space="preserve"> 含酒精的饮料(啤酒除外); 果酒; 清酒; 甜酒; 白干酒(中国白酒); 白酒; 红葡萄酒; 老酒(中国蒸馏烈酒); 蒸馏饮料; 高粱酒</t>
  </si>
  <si>
    <t xml:space="preserve"> 含水果酒精饮料; 含酒精水果饮料; 果酒; 梅酒; 樱桃酒; 米酒; 葡萄酒; 酒精饮料原汁; 除啤酒外的酒精饮料; 预先混合的酒精饮料(以啤酒为主的除外)</t>
  </si>
  <si>
    <t xml:space="preserve"> 威士忌; 开胃酒; 果酒; 清酒(日本米酒); 烈酒(饮料); 白酒; 葡萄酒; 酒精饮料(啤酒除外); 鸡尾酒; 黄酒</t>
  </si>
  <si>
    <t xml:space="preserve"> 伏特加酒; 威士忌; 果酒(含酒精); 甘蔗制酒精饮料; 白兰地; 米酒; 苹果酒; 薄荷酒</t>
  </si>
  <si>
    <t xml:space="preserve"> 佐餐酒; 果酒; 烈酒; 烧酒; 甜酒; 白干酒(中国白酒); 白酒; 葡萄酒; 酒精饮料(啤酒除外); 鸡尾酒</t>
  </si>
  <si>
    <t xml:space="preserve"> 利口酒; 果酒; 烈酒; 烧酒; 白葡萄酒; 白酒; 米酒; 老酒(中国蒸馏烈酒); 酒精饮料(啤酒除外); 高粱酒</t>
  </si>
  <si>
    <t xml:space="preserve"> 果酒(含酒精); 清酒; 烧酒; 白兰地; 白酒; 米酒; 葡萄酒; 蒸煮提取物(利口酒和烈酒); 青稞酒; 黄酒</t>
  </si>
  <si>
    <t xml:space="preserve"> 利口酒; 含水果酒精饮料; 开胃酒; 果酒(含酒精); 烧酒; 白酒; 米酒; 葡萄酒; 酒精饮料(啤酒除外); 黄酒</t>
  </si>
  <si>
    <t xml:space="preserve"> 含水果酒精饮料; 已调味的麦芽酿制的酒精饮料(啤酒除外); 白干酒(中国白酒); 白酒; 老酒(中国蒸馏烈酒); 葡萄酒</t>
  </si>
  <si>
    <t xml:space="preserve"> 含酒精的饮料(啤酒除外); 开胃酒; 果酒; 烈酒; 烧酒; 白酒; 米酒; 谷物制蒸馏酒精饮料; 青稞酒; 黄酒</t>
  </si>
  <si>
    <t xml:space="preserve"> 以葡萄酒为主的饮料; 含水果酒精饮料; 含酒精的气泡水; 威士忌; 果酒(含酒精); 气酒; 白兰地; 白酒; 葡萄酒; 酒精饮料(啤酒除外)</t>
  </si>
  <si>
    <t xml:space="preserve"> 开胃酒; 果酒; 烈酒; 白兰地; 白酒; 米酒; 老酒(中国蒸馏烈酒); 酒精饮料(啤酒除外); 露酒; 高粱酒</t>
  </si>
  <si>
    <t xml:space="preserve"> 利口酒; 威士忌; 开胃酒; 朗姆酒; 杜松子酒; 果酒(含酒精); 烧酒; 葡萄酒; 酒精饮料(啤酒除外); 鸡尾酒</t>
  </si>
  <si>
    <t xml:space="preserve"> 果酒; 白酒; 葡萄酒; 蜂蜜酒; 青稞酒; 预先混合的酒精饮料(以啤酒为主的除外); 黄酒</t>
  </si>
  <si>
    <t xml:space="preserve"> 烈性干酒; 烈酒; 烧酒; 白酒; 米酒; 苦荞酒; 露酒; 青稞酒; 高粱酒; 黄酒</t>
  </si>
  <si>
    <t xml:space="preserve"> 利口酒; 威士忌; 果酒; 烧酒; 白酒; 米酒; 葡萄酒; 青稞酒; 鸡尾酒; 黄酒</t>
  </si>
  <si>
    <t xml:space="preserve"> 含酒精水果饮料; 含酒精的饮料(啤酒除外); 果酒(含酒精); 清酒; 烈酒(饮料); 烧酒; 白酒; 葡萄汽酒; 青稞酒; 黄酒</t>
  </si>
  <si>
    <t xml:space="preserve"> 威士忌; 开胃酒; 果酒(含酒精); 清酒(日本米酒); 烈酒; 白酒; 葡萄酒; 酒精饮料(啤酒除外); 鸡尾酒; 黄酒</t>
  </si>
  <si>
    <t xml:space="preserve"> 利口酒; 威士忌; 朗姆酒; 果酒(含酒精); 白兰地; 苦味酒; 葡萄酒; 谷物制蒸馏酒精饮料; 酒精饮料(啤酒除外); 鸡尾酒</t>
  </si>
  <si>
    <t xml:space="preserve"> 开胃酒; 果酒(含酒精); 烈酒(饮料); 白酒; 米酒; 葡萄酒; 蒸煮提取物(利口酒和烈酒); 酒精饮料(啤酒除外); 食用酒精; 高粱酒</t>
  </si>
  <si>
    <t xml:space="preserve"> 伏特加酒; 威士忌; 朗姆酒; 果酒(含酒精); 清酒(日本米酒); 烈酒(饮料); 烧酒; 米酒; 葡萄酒; 鸡尾酒</t>
  </si>
  <si>
    <t xml:space="preserve"> 开胃酒; 朗姆酒; 果酒(含酒精); 汽酒; 米酒; 薄荷酒; 食用酒精; 餐后酒(利口酒和烈酒); 鸡尾酒; 黄酒</t>
  </si>
  <si>
    <t xml:space="preserve"> 以朗姆酒为主的饮料; 烧酒; 由谷物蒸馏的白酒; 白干酒(中国白酒); 白酒; 米酒; 老酒(中国蒸馏烈酒); 苦味酒; 薄荷酒; 餐后酒(利口酒和烈酒)</t>
  </si>
  <si>
    <t xml:space="preserve"> 酒精饮料(啤酒除外)</t>
  </si>
  <si>
    <t xml:space="preserve"> 已调味的蒸馏酒; 果酒; 烈酒; 白酒; 米酒; 葡萄酒; 谷物制蒸馏酒精饮料; 酒精饮料(啤酒除外); 高粱酒; 黄酒</t>
  </si>
  <si>
    <t xml:space="preserve"> 开胃酒; 果酒(含酒精); 烧酒; 白酒; 蜂蜜酒; 酒精饮料(啤酒除外); 青稞酒; 预先混合的酒精饮料(以啤酒为主的除外); 鸡尾酒; 黄酒</t>
  </si>
  <si>
    <t xml:space="preserve"> 利口酒; 果酒(含酒精); 清酒(日本米酒); 烈酒(饮料); 白酒; 米酒; 葡萄酒; 青稞酒; 鸡尾酒; 黄酒</t>
  </si>
  <si>
    <t xml:space="preserve"> 伏特加酒; 利口酒; 开胃酒; 樱桃酒; 烧酒; 白酒; 薄荷酒; 酒精饮料浓缩汁; 鸡尾酒; 黄酒</t>
  </si>
  <si>
    <t xml:space="preserve"> 威士忌; 果酒(含酒精); 烧酒; 白兰地; 白酒; 葡萄酒; 蒸煮提取物(利口酒和烈酒); 蜂蜜酒; 酒精饮料(啤酒除外); 鸡尾酒</t>
  </si>
  <si>
    <t xml:space="preserve"> 利口酒; 果酒(含酒精); 清酒(日本米酒); 烈酒(饮料); 烧酒; 白酒; 米酒; 葡萄酒; 酒精饮料(啤酒除外); 黄酒</t>
  </si>
  <si>
    <t xml:space="preserve"> 含水果酒精饮料; 已调味的蒸馏酒; 果酒(含酒精); 柑香酒; 水果汽酒; 甜果酒; 甜酒; 白兰地; 米酒; 酒精饮料(啤酒除外)</t>
  </si>
  <si>
    <t xml:space="preserve"> 含水果酒精饮料; 开胃酒; 果酒(含酒精); 烈酒(饮料); 烧酒; 白酒; 米酒; 蒸馏饮料; 酒精饮料(啤酒除外); 食用酒精</t>
  </si>
  <si>
    <t xml:space="preserve"> 威士忌; 果酒(含酒精); 清酒; 烧酒; 白酒; 米酒; 葡萄酒; 蒸煮提取物(利口酒和烈酒); 酒精饮料原汁; 黄酒</t>
  </si>
  <si>
    <t xml:space="preserve"> 以葡萄酒为主的开胃酒; 利口酒; 含酒精水果饮料; 含酒精的水果鸡尾酒饮料; 果酒; 烈酒; 烧酒; 白酒; 酒精饮料(啤酒除外); 除啤酒外的酒精饮料</t>
  </si>
  <si>
    <t xml:space="preserve"> 五加皮酒(中国混合烈酒); 开胃酒; 烧酒; 由谷物蒸馏的白酒; 白干酒(中国白酒); 白酒; 蒸煮提取物(利口酒和烈酒); 青稞酒; 高粱酒; 黄酒</t>
  </si>
  <si>
    <t xml:space="preserve"> 威士忌; 果酒(含酒精); 烧酒; 白兰地; 白酒; 米酒; 葡萄酒; 蒸馏饮料; 鸡尾酒; 黄酒</t>
  </si>
  <si>
    <t xml:space="preserve"> 开胃酒; 果酒(含酒精); 白酒; 苦味酒; 葡萄酒; 蒸煮提取物(利口酒和烈酒); 酒精饮料(啤酒除外); 预先混合的酒精饮料(以啤酒为主的除外); 鸡尾酒; 黄酒</t>
  </si>
  <si>
    <t xml:space="preserve"> 果酒(含酒精); 汽酒; 清酒(日本米酒); 烈酒(饮料); 烧酒; 白酒; 米酒; 葡萄酒; 酒精饮料(啤酒除外); 黄酒</t>
  </si>
  <si>
    <t xml:space="preserve"> 含水果酒精饮料; 威士忌; 开胃酒; 果酒(含酒精); 烈酒(饮料); 白酒; 米酒; 酒精饮料原汁; 鸡尾酒; 黄酒</t>
  </si>
  <si>
    <t xml:space="preserve"> 威士忌; 果酒(含酒精); 烈酒(饮料); 烧酒; 白兰地; 米酒; 苹果酒; 葡萄酒; 鸡尾酒; 黄酒</t>
  </si>
  <si>
    <t xml:space="preserve"> 含水果酒精饮料; 清酒(日本米酒); 烈酒; 烈酒(饮料); 烧酒; 白干酒(中国白酒); 白酒; 米酒; 葡萄酒; 高粱酒</t>
  </si>
  <si>
    <t xml:space="preserve"> 含水果酒精饮料; 果酒(含酒精); 烈酒(饮料); 烧酒; 白酒; 葡萄酒; 谷物制蒸馏酒精饮料; 酒精饮料(啤酒除外); 露酒; 黄酒</t>
  </si>
  <si>
    <t xml:space="preserve"> 含水果酒精饮料; 果酒(含酒精); 樱桃酒; 甜酒; 白酒; 葡萄酒; 酒精饮料(啤酒除外); 露酒; 高粱酒; 黄酒</t>
  </si>
  <si>
    <t xml:space="preserve"> 果酒(含酒精); 汽酒; 清酒; 烈酒(饮料); 白酒; 葡萄酒; 蒸馏饮料; 酒精饮料(啤酒除外); 高粱酒; 黄酒</t>
  </si>
  <si>
    <t xml:space="preserve"> 伏特加酒; 威士忌; 开胃酒; 清酒(日本米酒); 烧酒; 白兰地; 白酒; 葡萄酒; 薄荷酒; 鸡尾酒</t>
  </si>
  <si>
    <t xml:space="preserve"> 亚力酒; 含水果酒精饮料; 开胃酒; 果酒(含酒精); 烧酒; 米酒; 葡萄酒; 蜂蜜酒; 谷物制蒸馏酒精饮料; 黄酒</t>
  </si>
  <si>
    <t xml:space="preserve"> 果酒(含酒精); 清酒(日本米酒); 烈酒(饮料); 烧酒; 白酒; 米酒; 葡萄酒; 蒸馏米酒(泡盛酒); 蒸馏饮料; 鸡尾酒</t>
  </si>
  <si>
    <t xml:space="preserve"> 含酒精的饮料(啤酒除外); 开胃酒; 果酒(含酒精); 清酒(日本米酒); 烈酒(饮料); 烧酒; 白酒; 葡萄酒; 青稞酒; 鸡尾酒</t>
  </si>
  <si>
    <t xml:space="preserve"> 伏特加酒; 朗姆酒; 果酒(含酒精); 清酒(日本米酒); 烧酒; 白酒; 葡萄酒; 酒精饮料(啤酒除外); 鸡尾酒; 黄酒</t>
  </si>
  <si>
    <t xml:space="preserve"> 烈酒; 烧酒; 白干酒(中国白酒); 白酒; 米酒; 老酒(中国蒸馏烈酒); 苦荞酒; 青稞酒; 高粱酒; 黄酒</t>
  </si>
  <si>
    <t xml:space="preserve"> 含水果酒精饮料; 威士忌; 果酒(含酒精); 烧酒; 白酒; 米酒; 葡萄酒; 酒精饮料(啤酒除外); 鸡尾酒; 黄酒</t>
  </si>
  <si>
    <t xml:space="preserve"> 伏特加酒; 威士忌; 果酒; 清酒; 白兰地; 白酒; 米酒; 葡萄酒; 青稞酒; 鸡尾酒</t>
  </si>
  <si>
    <t xml:space="preserve"> 开胃酒; 果酒(含酒精); 烧酒; 白兰地; 白酒; 米酒; 葡萄酒; 蒸煮提取物(利口酒和烈酒); 食用酒精; 黄酒</t>
  </si>
  <si>
    <t xml:space="preserve"> 含水果酒精饮料; 开胃酒; 果酒; 樱桃酒; 甜果酒; 甜酒; 白酒; 米酒; 蒸馏饮料; 鸡尾酒</t>
  </si>
  <si>
    <t xml:space="preserve"> 佐餐酒; 果酒(含酒精); 清酒; 烧酒; 白酒; 米酒; 老酒(中国蒸馏烈酒); 葡萄酒; 谷物制蒸馏酒精饮料; 黄酒</t>
  </si>
  <si>
    <t xml:space="preserve"> 伏特加酒; 威士忌; 朗姆酒; 清酒; 烧酒; 白兰地; 白酒; 米酒; 高粱酒; 黄酒</t>
  </si>
  <si>
    <t xml:space="preserve"> 威士忌; 果酒(含酒精); 清酒(日本米酒); 烧酒; 白兰地; 米酒; 苦味酒; 葡萄酒; 薄荷酒; 鸡尾酒</t>
  </si>
  <si>
    <t xml:space="preserve"> 以葡萄酒为主的饮料; 开胃酒; 果酒(含酒精); 樱桃酒; 汽酒; 白酒; 米酒; 葡萄酒; 酒精饮料(啤酒除外); 黄酒</t>
  </si>
  <si>
    <t xml:space="preserve"> 威士忌; 朗姆酒; 果酒(含酒精); 梅酒; 清酒; 白酒; 米酒; 葡萄酒; 鸡尾酒; 黄酒</t>
  </si>
  <si>
    <t xml:space="preserve"> 佐餐酒; 果酒(含酒精); 甜酒; 白酒; 米酒; 葡萄酒; 调制好的葡萄酒鸡尾酒; 谷物制蒸馏酒精饮料; 酒精饮料(啤酒除外); 露酒</t>
  </si>
  <si>
    <t xml:space="preserve"> 果酒; 汽酒; 清酒; 烈酒(饮料); 白酒; 米酒; 葡萄酒; 青稞酒; 高粱酒; 黄酒</t>
  </si>
  <si>
    <t xml:space="preserve"> 开胃酒; 果酒; 清酒(日本米酒); 烈酒(饮料); 烧酒; 白酒; 米酒; 红葡萄酒; 食用酒精; 黄酒</t>
  </si>
  <si>
    <t xml:space="preserve"> 果酒; 果酒(含酒精); 烈酒; 烈酒(饮料); 烧酒; 白酒; 红葡萄酒; 酒精饮料(啤酒除外); 酒精饮料原汁; 食用酒精</t>
  </si>
  <si>
    <t xml:space="preserve"> 伏特加酒; 威士忌; 朗姆酒; 果酒(含酒精); 樱桃酒; 烈酒(饮料); 白兰地; 葡萄酒; 酒精饮料浓缩汁; 鸡尾酒</t>
  </si>
  <si>
    <t xml:space="preserve"> 含酒精的饮料(啤酒除外); 果酒; 烈酒; 烧酒(烈酒); 白干酒(中国白酒); 白酒; 米酒; 老酒(中国蒸馏烈酒); 蒸馏米酒(泡盛酒); 高粱酒</t>
  </si>
  <si>
    <t xml:space="preserve"> 天然汽酒; 果酒; 果酒(含酒精); 烈酒(饮料); 甜酒; 白葡萄酒; 白酒; 米酒; 薄荷酒; 黄酒</t>
  </si>
  <si>
    <t xml:space="preserve"> 威士忌; 果酒(含酒精); 烧酒; 白兰地; 白酒; 米酒; 苦味酒; 葡萄酒; 食用酒精; 黄酒</t>
  </si>
  <si>
    <t xml:space="preserve"> 果酒; 汽酒; 混合威士忌酒; 清酒; 白酒; 葡萄酒; 酒精饮料(啤酒除外); 食用酒精; 鸡尾酒; 黄酒</t>
  </si>
  <si>
    <t xml:space="preserve"> 含水果酒精饮料; 威士忌; 开胃酒; 果酒(含酒精); 白酒; 葡萄酒; 蒸馏饮料; 薄荷酒; 酒精饮料(啤酒除外); 黄酒</t>
  </si>
  <si>
    <t xml:space="preserve"> 含水果酒精饮料; 含酒精水果饮料; 含酒精的水果鸡尾酒饮料; 果酒; 果酒(含酒精); 甜果酒; 甜酒; 米酒; 葡萄酒; 露酒</t>
  </si>
  <si>
    <t xml:space="preserve"> 五加皮酒(中国混合烈酒); 含水果酒精饮料; 果酒(含酒精); 烈性干酒; 烈酒(饮料); 烧酒(烈酒); 白酒; 米酒; 老酒(中国蒸馏烈酒); 葡萄酒</t>
  </si>
  <si>
    <t xml:space="preserve"> 以葡萄酒为主的饮料; 开胃酒; 烧酒; 米酒; 谷物制蒸馏酒精饮料; 酒精饮料原汁; 预先混合的酒精饮料(以啤酒为主的除外); 食用酒精; 餐后酒(利口酒和烈酒); 黄酒</t>
  </si>
  <si>
    <t xml:space="preserve"> 以葡萄酒为主的饮料; 佐餐酒; 利口酒; 桃红葡萄酒; 白兰地; 白葡萄酒; 红葡萄酒; 葡萄酒; 起泡白葡萄酒; 起泡红葡萄酒</t>
  </si>
  <si>
    <t xml:space="preserve"> 含酒精水果饮料; 果酒; 甜酒; 白兰地; 白干酒(中国白酒); 白葡萄酒; 白酒; 米酒; 葡萄酒; 黄酒</t>
  </si>
  <si>
    <t xml:space="preserve"> 果酒(含酒精); 烈酒(饮料); 烧酒; 白酒; 米酒; 葡萄酒; 酒精饮料(啤酒除外); 酒精饮料原汁; 餐后酒(利口酒和烈酒); 黄酒</t>
  </si>
  <si>
    <t xml:space="preserve"> 含酒精水果饮料; 果酒(含酒精); 清酒; 烈酒(饮料); 烧酒; 白酒; 米酒; 葡萄酒; 青稞酒; 黄酒</t>
  </si>
  <si>
    <t xml:space="preserve"> 开胃酒; 果酒(含酒精); 樱桃酒; 烧酒; 白酒; 米酒; 葡萄酒; 酒精饮料(啤酒除外); 鸡尾酒; 黄酒</t>
  </si>
  <si>
    <t xml:space="preserve"> 清酒(日本米酒); 米酒; 黄酒</t>
  </si>
  <si>
    <t xml:space="preserve"> 威士忌; 果酒(含酒精); 清酒(日本米酒); 烈酒(饮料); 白兰地; 白酒; 葡萄酒; 酒精饮料(啤酒除外); 酒精饮料浓缩汁; 食用酒精</t>
  </si>
  <si>
    <t xml:space="preserve"> 利口酒; 果酒(含酒精); 烈酒; 烧酒; 白酒; 米酒; 葡萄酒; 蒸馏饮料; 酒精饮料(啤酒除外); 黄酒</t>
  </si>
  <si>
    <t xml:space="preserve"> 伏特加酒; 威士忌; 果酒(含酒精); 烧酒; 白酒; 米酒; 葡萄酒; 酒精饮料(啤酒除外); 鸡尾酒; 黄酒</t>
  </si>
  <si>
    <t xml:space="preserve"> 果酒(含酒精); 樱桃酒; 烧酒; 白酒; 米酒; 葡萄酒; 谷物制蒸馏酒精饮料; 酒精饮料(啤酒除外); 青稞酒; 黄酒</t>
  </si>
  <si>
    <t xml:space="preserve"> 含水果酒精饮料; 开胃酒; 烈酒(饮料); 烧酒; 白酒; 米酒; 苹果酒; 葡萄酒; 酒精饮料原汁; 黄酒</t>
  </si>
  <si>
    <t xml:space="preserve"> 果酒(含酒精); 烧酒; 白酒; 米酒; 葡萄酒; 酒精饮料(啤酒除外); 露酒; 食用酒精; 鸡尾酒; 黄酒</t>
  </si>
  <si>
    <t xml:space="preserve"> 五加皮酒(中国混合烈酒); 含酒精的饮料(啤酒除外); 烈酒; 烧酒; 白干酒(中国白酒); 白酒; 老酒(中国蒸馏烈酒); 蜂蜜酒; 高粱酒; 黄酒</t>
  </si>
  <si>
    <t xml:space="preserve"> 开胃酒; 果酒(含酒精); 汽酒; 烧酒; 白酒; 米酒; 葡萄酒; 酒精饮料(啤酒除外); 食用酒精; 黄酒</t>
  </si>
  <si>
    <t xml:space="preserve"> 果酒(含酒精); 烈酒(饮料); 白酒; 米酒; 葡萄酒; 蒸馏饮料; 酒精饮料(啤酒除外); 青稞酒; 食用酒精; 黄酒</t>
  </si>
  <si>
    <t xml:space="preserve"> 利口酒; 威士忌; 烈酒(饮料); 烧酒; 白兰地; 白酒; 蒸馏饮料; 酒精饮料(啤酒除外); 酒精饮料浓缩汁; 食用酒精</t>
  </si>
  <si>
    <t xml:space="preserve"> 含酒精的饮料(啤酒除外); 果酒; 烈酒; 烧酒; 烧酒(烈酒); 白干酒(中国白酒); 白酒; 米酒; 高粱酒; 黄酒</t>
  </si>
  <si>
    <t xml:space="preserve"> 开胃酒; 果酒; 烈酒(饮料); 烧酒; 米酒; 苦味酒; 苹果酒; 蒸馏饮料; 鸡尾酒; 黄酒</t>
  </si>
  <si>
    <t xml:space="preserve"> 开胃酒; 果酒(含酒精); 烈酒(饮料); 烧酒; 白酒; 米酒; 苹果酒; 葡萄酒; 酒精饮料(啤酒除外); 黄酒</t>
  </si>
  <si>
    <t xml:space="preserve"> 伏特加酒; 汽酒; 烈酒(饮料); 烧酒; 白兰地; 白酒; 米酒; 食用酒精; 鸡尾酒; 黄酒</t>
  </si>
  <si>
    <t xml:space="preserve"> 含酒精的饮料(啤酒除外); 果酒; 果酒(含酒精); 汽酒; 清酒; 烈酒(饮料); 白酒; 米酒; 老酒(中国蒸馏烈酒); 黄酒</t>
  </si>
  <si>
    <t xml:space="preserve"> 果酒; 清酒; 白兰地; 白酒; 米酒; 葡萄酒; 蜂蜜酒; 露酒; 青稞酒; 黄酒</t>
  </si>
  <si>
    <t xml:space="preserve"> 开胃酒; 果酒(含酒精); 烧酒; 白酒; 米酒; 葡萄酒; 酒精饮料(啤酒除外); 食用酒精; 餐后酒(利口酒和烈酒); 黄酒</t>
  </si>
  <si>
    <t xml:space="preserve"> 开胃酒; 果酒(含酒精); 烧酒; 白酒; 米酒; 葡萄酒; 蒸煮提取物(利口酒和烈酒); 蒸馏饮料; 酒精饮料(啤酒除外); 鸡尾酒</t>
  </si>
  <si>
    <t xml:space="preserve"> 伏特加酒; 开胃酒; 果酒(含酒精); 烈酒(饮料); 烧酒; 白酒; 米酒; 葡萄酒; 酒精饮料(啤酒除外); 鸡尾酒</t>
  </si>
  <si>
    <t xml:space="preserve"> 汽酒; 烈酒(饮料); 烧酒(烈酒); 白酒; 老酒(中国蒸馏烈酒); 葡萄酒; 蒸馏饮料; 酒精饮料(啤酒除外); 鸡尾酒; 黄酒</t>
  </si>
  <si>
    <t xml:space="preserve"> 威士忌; 开胃酒; 烈酒(饮料); 烧酒; 白兰地; 白酒; 米酒; 葡萄酒; 高粱酒; 鸡尾酒</t>
  </si>
  <si>
    <t xml:space="preserve"> 威士忌; 果酒; 清酒; 烧酒; 白兰地; 白酒; 米酒; 葡萄酒; 酒精饮料(啤酒除外); 黄酒</t>
  </si>
  <si>
    <t xml:space="preserve"> 含水果酒精饮料; 威士忌; 果酒; 汽酒; 清酒; 烧酒; 白酒; 米酒; 葡萄酒; 酒精饮料(啤酒除外)</t>
  </si>
  <si>
    <t xml:space="preserve"> 以葡萄酒为主的饮料; 伏特加酒; 威士忌; 已调味的麦芽酿制的酒精饮料(啤酒除外); 果酒(含酒精); 清酒(日本米酒); 白兰地; 白酒; 葡萄酒; 黄酒</t>
  </si>
  <si>
    <t xml:space="preserve"> 果酒(含酒精); 汽酒; 烧酒; 白酒; 米酒; 葡萄酒; 蒸馏饮料; 酒精饮料原汁; 食用酒精; 黄酒</t>
  </si>
  <si>
    <t xml:space="preserve"> 威士忌; 果酒(含酒精); 烈酒(饮料); 白酒; 米酒; 葡萄酒; 蒸馏饮料; 酒精饮料(啤酒除外); 鸡尾酒; 黄酒</t>
  </si>
  <si>
    <t xml:space="preserve"> 利口酒; 开胃酒; 果酒(含酒精); 烈酒(饮料); 烧酒; 白酒; 米酒; 葡萄酒; 青稞酒; 鸡尾酒</t>
  </si>
  <si>
    <t xml:space="preserve"> 含水果酒精饮料; 清酒; 烈酒(饮料); 米酒; 葡萄酒; 蜂蜜酒; 酒精饮料(啤酒除外); 青稞酒; 食用酒精; 黄酒</t>
  </si>
  <si>
    <t xml:space="preserve"> 利口酒; 含酒精水果饮料; 开胃酒; 果酒(含酒精); 烧酒; 白酒; 米酒; 葡萄酒; 高粱酒; 黄酒</t>
  </si>
  <si>
    <t xml:space="preserve"> 伏特加酒; 威士忌; 开胃酒; 果酒(含酒精); 烈酒(饮料); 烧酒; 白酒; 米酒; 酒精饮料浓缩汁; 黄酒</t>
  </si>
  <si>
    <t xml:space="preserve"> 含牛奶的鸡尾酒; 果酒(含酒精); 樱桃酒; 清酒(日本米酒); 白酒; 薄荷酒; 起泡红葡萄酒; 酒精饮料(啤酒除外); 预调甜酒; 鸡尾酒</t>
  </si>
  <si>
    <t xml:space="preserve"> 利口酒; 果酒(含酒精); 烈酒(饮料); 烧酒; 白酒; 米酒; 葡萄酒; 酒精饮料(啤酒除外); 食用酒精; 黄酒</t>
  </si>
  <si>
    <t xml:space="preserve"> 威士忌; 果酒; 汽酒; 清酒; 甜酒; 白酒; 米酒; 葡萄酒; 高粱酒; 黄酒</t>
  </si>
  <si>
    <t xml:space="preserve"> 果酒(含酒精); 清酒(日本米酒); 烈酒(饮料); 白酒; 米酒; 葡萄酒; 蜂蜜酒; 酒精饮料(啤酒除外); 鸡尾酒; 黄酒</t>
  </si>
  <si>
    <t xml:space="preserve"> 含酒精的充气饮料(啤酒除外); 果酒; 混合威士忌酒; 烈酒; 烧酒; 甜酒; 白酒; 除啤酒外的酒精饮料; 鸡尾酒; 黄酒</t>
  </si>
  <si>
    <t xml:space="preserve"> 含水果酒精饮料; 威士忌; 果酒(含酒精); 清酒(日本米酒); 烧酒; 白酒; 米酒; 葡萄酒; 酒精饮料(啤酒除外); 黄酒</t>
  </si>
  <si>
    <t xml:space="preserve"> 利口酒; 开胃酒; 果酒(含酒精); 烈酒(饮料); 白酒; 米酒; 葡萄酒; 食用酒精; 高粱酒; 黄酒</t>
  </si>
  <si>
    <t xml:space="preserve"> 含酒精的饮料(啤酒除外); 果酒; 清酒; 烈酒; 烧酒; 甜酒; 白酒; 米酒; 老酒(中国蒸馏烈酒); 鸡尾酒</t>
  </si>
  <si>
    <t xml:space="preserve"> 含水果酒精饮料; 果酒(含酒精); 烈酒(饮料); 白酒; 米酒; 苹果酒; 蒸馏饮料; 酒精饮料(啤酒除外); 鸡尾酒; 黄酒</t>
  </si>
  <si>
    <t xml:space="preserve"> 利口酒; 开胃酒; 清酒(日本米酒); 烈酒(饮料); 烧酒; 白酒; 葡萄酒; 酒精饮料(啤酒除外); 食用酒精; 黄酒</t>
  </si>
  <si>
    <t xml:space="preserve"> 果酒(含酒精); 烈酒(饮料); 白酒; 米酒; 苹果酒; 葡萄酒; 蒸馏饮料; 谷物制蒸馏酒精饮料; 露酒; 餐后酒(利口酒和烈酒)</t>
  </si>
  <si>
    <t xml:space="preserve"> 利口酒; 汽酒; 清酒; 烧酒; 白酒; 葡萄酒; 蜂蜜酒; 青稞酒; 鸡尾酒; 黄酒</t>
  </si>
  <si>
    <t xml:space="preserve"> 五加皮酒(中国混合烈酒); 利口酒; 开胃酒; 果酒; 梅酒; 梨酒; 米酒; 葡萄酒; 蒸馏饮料; 高粱酒</t>
  </si>
  <si>
    <t xml:space="preserve"> 伏特加酒; 威士忌; 白兰地; 白酒; 葡萄酒; 酒精饮料原汁; 酸酒(低等葡萄酒); 食用酒精; 鸡尾酒; 黄酒</t>
  </si>
  <si>
    <t xml:space="preserve"> 果酒(含酒精); 汽酒; 清酒(日本米酒); 烧酒; 白酒; 米酒; 葡萄酒; 酒精饮料(啤酒除外); 青稞酒; 黄酒</t>
  </si>
  <si>
    <t xml:space="preserve"> 伏特加酒; 利口酒; 威士忌; 朗姆酒; 杜松子酒; 果酒(含酒精); 白兰地; 白酒; 葡萄酒; 黄酒</t>
  </si>
  <si>
    <t xml:space="preserve"> 威士忌; 开胃酒; 杨梅酒; 果酒; 汽酒; 甜酒; 白酒; 米酒; 酒精饮料(啤酒除外); 黄酒</t>
  </si>
  <si>
    <t xml:space="preserve"> 果酒; 梨酒; 烈酒; 烧酒; 甜酒; 白酒; 米酒; 老酒(中国蒸馏烈酒); 鸡尾酒; 黄酒</t>
  </si>
  <si>
    <t xml:space="preserve"> 伏特加酒; 利口酒; 威士忌; 开胃酒; 朗姆酒; 果酒(含酒精); 白酒; 葡萄酒; 鸡尾酒; 黄酒</t>
  </si>
  <si>
    <t xml:space="preserve"> 开胃酒; 果酒(含酒精); 烈酒(饮料); 烧酒; 白酒; 米酒; 蒸馏饮料; 酒精饮料(啤酒除外); 食用酒精; 黄酒</t>
  </si>
  <si>
    <t xml:space="preserve"> 果酒(含酒精); 清酒(日本米酒); 烧酒; 白干酒(中国白酒); 白酒; 米酒; 蒸馏饮料; 谷物制蒸馏酒精饮料; 酒精饮料(啤酒除外); 鸡尾酒</t>
  </si>
  <si>
    <t xml:space="preserve"> 以葡萄酒为主的开胃酒; 含水果酒精饮料; 杨梅酒; 果酒; 果酒(含酒精); 烈酒(饮料); 白酒; 苹果酒; 酸酒(低等葡萄酒); 高粱酒</t>
  </si>
  <si>
    <t xml:space="preserve"> 已调味的蒸馏酒; 果酒; 果酒(含酒精); 白兰地; 白酒; 米酒; 蜂蜜酒; 露酒; 高粱酒; 黄酒</t>
  </si>
  <si>
    <t xml:space="preserve"> 以葡萄酒为主的饮料; 含酒精水果饮料; 果酒(含酒精); 白酒; 蒸馏饮料; 薄荷酒; 谷物制蒸馏酒精饮料; 酒精饮料原汁; 食用酒精; 黄酒</t>
  </si>
  <si>
    <t xml:space="preserve"> 威士忌; 果酒(含酒精); 清酒(日本米酒); 烈酒(饮料); 烧酒; 白酒; 米酒; 酒精饮料原汁; 预先混合的酒精饮料(以啤酒为主的除外); 黄酒</t>
  </si>
  <si>
    <t xml:space="preserve"> 含水果酒精饮料; 果酒; 烧酒; 白酒; 米酒; 葡萄酒; 谷物制蒸馏酒精饮料; 酒精饮料(啤酒除外); 鸡尾酒; 黄酒</t>
  </si>
  <si>
    <t xml:space="preserve"> 以葡萄酒为主的饮料; 果酒(含酒精); 汽酒; 烧酒; 白干酒(中国白酒); 白酒; 米酒; 老酒(中国蒸馏烈酒); 葡萄酒; 黄酒</t>
  </si>
  <si>
    <t xml:space="preserve"> 伏特加酒; 利口酒; 果酒(含酒精); 烈酒(饮料); 白酒; 米酒; 葡萄酒; 酒精饮料(啤酒除外); 鸡尾酒; 黄酒</t>
  </si>
  <si>
    <t xml:space="preserve"> 以葡萄酒为主的饮料; 含水果酒精饮料; 果酒(含酒精); 葡萄酒; 蒸馏饮料; 谷物制蒸馏酒精饮料; 酒精饮料(啤酒除外); 酒精饮料原汁; 酒精饮料浓缩汁; 预先混合的酒精饮料(以啤酒为主的除外)</t>
  </si>
  <si>
    <t xml:space="preserve"> 含酒精的充气饮料(啤酒除外); 含酒精的鸡尾酒混合饮品; 果酒(含酒精); 烈酒(饮料); 白干酒(中国白酒); 白酒; 米酒; 葡萄酒; 酒精饮料(啤酒除外); 食用酒精</t>
  </si>
  <si>
    <t xml:space="preserve"> 烈酒; 烈酒(饮料); 烧酒; 白干酒(中国白酒); 白酒; 米酒; 老酒(中国蒸馏烈酒); 食用酒精; 高粱酒; 黄酒</t>
  </si>
  <si>
    <t xml:space="preserve"> 含酒精的饮料(啤酒除外); 威士忌; 果酒; 白干酒(中国白酒); 白酒; 米酒; 葡萄酒; 高粱酒; 鸡尾酒; 黄酒</t>
  </si>
  <si>
    <t xml:space="preserve"> 五加皮酒(中国混合烈酒); 烈酒(饮料); 烧酒; 白干酒(中国白酒); 白酒; 米酒; 红葡萄酒; 老酒(中国蒸馏烈酒); 蒸煮提取物(利口酒和烈酒); 黄酒</t>
  </si>
  <si>
    <t xml:space="preserve"> 利口酒; 果酒(含酒精); 烧酒; 白兰地; 白酒; 米酒; 葡萄酒; 青稞酒; 鸡尾酒; 黄酒</t>
  </si>
  <si>
    <t xml:space="preserve"> 伏特加酒; 威士忌; 清酒(日本米酒); 烈酒(饮料); 白酒; 米酒; 葡萄酒; 酒精饮料(啤酒除外); 酒精饮料原汁; 鸡尾酒</t>
  </si>
  <si>
    <t xml:space="preserve"> 威士忌; 果酒; 烧酒; 葡萄酒; 青稞酒</t>
  </si>
  <si>
    <t xml:space="preserve"> 加烈葡萄酒; 含酒精水果饮料; 朗姆酒; 果酒(含酒精); 清酒; 白酒; 米酒; 红葡萄酒; 葡萄酒; 黄酒</t>
  </si>
  <si>
    <t xml:space="preserve"> 含水果酒精饮料; 开胃酒; 果酒(含酒精); 烧酒; 白酒; 米酒; 苦味酒; 葡萄酒; 青稞酒; 黄酒</t>
  </si>
  <si>
    <t xml:space="preserve"> 日本梅子酒; 果酒(含酒精); 烈酒(饮料); 烧酒; 白酒; 米酒; 老酒(中国蒸馏烈酒); 葡萄酒; 酒精饮料(啤酒除外); 黄酒</t>
  </si>
  <si>
    <t xml:space="preserve"> 加香料的热葡萄酒; 果酒; 梅酒; 汽酒; 清酒; 烧酒; 甜酒; 白酒; 米酒; 黄酒</t>
  </si>
  <si>
    <t xml:space="preserve"> 果酒(含酒精); 清酒(日本米酒); 烈酒(饮料); 烧酒; 甜酒; 白酒; 米酒; 葡萄酒; 酒精饮料(啤酒除外); 黄酒</t>
  </si>
  <si>
    <t xml:space="preserve"> 开胃酒; 果酒(含酒精); 烈酒(饮料); 烧酒; 白酒; 米酒; 葡萄酒; 酒精饮料(啤酒除外); 食用酒精; 黄酒</t>
  </si>
  <si>
    <t xml:space="preserve"> 威士忌; 果酒; 清酒; 白酒; 米酒; 葡萄酒; 酒精饮料(啤酒除外); 露酒; 鸡尾酒; 黄酒</t>
  </si>
  <si>
    <t xml:space="preserve"> 含水果酒精饮料; 威士忌; 朗姆酒(酒精饮料); 梅酒; 汽酒; 烧酒; 白兰地; 白酒; 葡萄酒; 高粱酒</t>
  </si>
  <si>
    <t xml:space="preserve"> 果酒(含酒精); 烈酒(饮料); 烧酒; 白酒; 米酒; 葡萄酒; 蒸馏饮料; 预先混合的酒精饮料(以啤酒为主的除外); 鸡尾酒; 黄酒</t>
  </si>
  <si>
    <t xml:space="preserve"> 威士忌; 果酒; 烧酒; 白兰地; 白酒; 米酒; 葡萄酒; 酒精饮料原汁; 鸡尾酒; 黄酒</t>
  </si>
  <si>
    <t xml:space="preserve"> 果酒(含酒精); 烧酒; 白酒; 米酒; 葡萄酒; 酒精饮料(啤酒除外); 青稞酒; 食用酒精; 鸡尾酒; 黄酒</t>
  </si>
  <si>
    <t xml:space="preserve"> 含水果酒精饮料; 果酒; 梅酒; 白酒; 米酒; 葡萄酒; 酒精饮料(啤酒除外); 酒精饮料原汁; 酒精饮料浓缩汁; 鸡尾酒</t>
  </si>
  <si>
    <t xml:space="preserve"> 利口酒; 开胃酒; 果酒; 烧酒; 白酒; 米酒; 老酒(中国蒸馏烈酒); 葡萄酒; 高粱酒; 黄酒</t>
  </si>
  <si>
    <t xml:space="preserve"> 威士忌; 果酒(含酒精); 清酒(日本米酒); 烈酒(饮料); 烧酒; 白兰地; 白酒; 葡萄酒; 薄荷酒; 黄酒</t>
  </si>
  <si>
    <t xml:space="preserve"> 含水果酒精饮料; 开胃酒; 果酒(含酒精); 清酒; 烈酒(饮料); 蒸馏饮料; 酒精饮料(啤酒除外); 酒精饮料原汁; 预先混合的酒精饮料(以啤酒为主的除外); 鸡尾酒</t>
  </si>
  <si>
    <t xml:space="preserve"> 烈酒(饮料); 烧酒; 白酒; 米酒; 葡萄酒; 蒸煮提取物(利口酒和烈酒); 蒸馏饮料; 酒精饮料(啤酒除外); 酒精饮料原汁; 黄酒</t>
  </si>
  <si>
    <t xml:space="preserve"> 含水果酒精饮料; 含酒精水果饮料; 咖啡利口酒; 开胃酒; 果酒; 梅酒; 水果汽酒; 甜果酒; 葡萄酒; 酒精饮料浓缩汁</t>
  </si>
  <si>
    <t xml:space="preserve"> 利口酒; 果酒(含酒精); 烈酒(饮料); 白干酒(中国白酒); 米酒; 葡萄酒; 酒精饮料(啤酒除外); 青稞酒; 鸡尾酒; 黄酒</t>
  </si>
  <si>
    <t xml:space="preserve"> 开胃酒; 果酒(含酒精); 清酒(日本米酒); 烈酒(饮料); 白酒; 米酒; 葡萄酒; 酒精饮料原汁; 鸡尾酒; 黄酒</t>
  </si>
  <si>
    <t xml:space="preserve"> 威士忌; 果酒; 烧酒(烈酒); 白兰地; 白干酒(中国白酒); 白酒; 米酒; 老酒(中国蒸馏烈酒); 青稞酒; 黄酒</t>
  </si>
  <si>
    <t xml:space="preserve"> 开胃酒; 果酒(含酒精); 烈酒(饮料); 烧酒; 白酒; 米酒; 葡萄酒; 蜂蜜酒; 谷物制蒸馏酒精饮料; 酒精饮料(啤酒除外)</t>
  </si>
  <si>
    <t xml:space="preserve"> 汽酒; 清酒(日本米酒); 烧酒; 白酒; 米酒; 老酒(中国蒸馏烈酒); 葡萄酒; 酒精饮料(啤酒除外); 餐后酒(利口酒和烈酒); 黄酒</t>
  </si>
  <si>
    <t xml:space="preserve"> 开胃酒; 果酒; 果酒(含酒精); 梅酒; 烧酒; 白酒; 米酒; 葡萄酒; 蒸馏米酒(泡盛酒); 黄酒</t>
  </si>
  <si>
    <t xml:space="preserve"> 含水果酒精饮料; 开胃酒; 果酒(含酒精); 汽酒; 烈酒(饮料); 白兰地; 米酒; 蒸馏饮料; 酒精饮料(啤酒除外); 鸡尾酒</t>
  </si>
  <si>
    <t xml:space="preserve"> 果酒; 烧酒(烈酒); 由谷物蒸馏的白酒; 白干酒(中国白酒); 白酒; 米酒; 老酒(中国蒸馏烈酒); 蒸煮提取物(利口酒和烈酒); 高粱酒; 黄酒</t>
  </si>
  <si>
    <t xml:space="preserve"> 果酒; 清酒; 烈酒; 烧酒; 白酒; 米酒; 葡萄酒; 除啤酒外的酒精饮料; 鸡尾酒; 黄酒</t>
  </si>
  <si>
    <t xml:space="preserve"> 以葡萄酒为主的饮料; 伏特加酒; 含水果酒精饮料; 已调味的麦芽酿制的酒精饮料(啤酒除外); 果酒(含酒精); 烈酒; 甜酒; 白葡萄酒; 葡萄酒; 鸡尾酒</t>
  </si>
  <si>
    <t xml:space="preserve"> 伏特加酒; 威士忌; 朗姆酒; 果酒(含酒精); 水果汽酒; 烧酒; 白酒; 米酒; 葡萄酒; 鸡尾酒</t>
  </si>
  <si>
    <t xml:space="preserve"> 含水果酒精饮料; 威士忌; 烈酒(饮料); 白酒; 葡萄酒; 酒精饮料(啤酒除外); 酒精饮料原汁; 预先混合的酒精饮料(以啤酒为主的除外); 食用酒精; 餐后酒(利口酒和烈酒)</t>
  </si>
  <si>
    <t xml:space="preserve"> 含水果酒精饮料; 果酒(含酒精); 汽酒; 白兰地; 白酒; 米酒; 葡萄酒; 酒精饮料(啤酒除外); 预先混合的酒精饮料(以啤酒为主的除外); 黄酒</t>
  </si>
  <si>
    <t xml:space="preserve"> 以蒸馏酒为主的开胃酒; 杨梅酒; 烧酒; 白酒; 米酒; 葡萄酒; 酒精饮料(啤酒除外); 高粱酒; 鸡尾酒; 黄酒</t>
  </si>
  <si>
    <t xml:space="preserve"> 开胃酒; 果酒(含酒精); 汽酒; 清酒; 烧酒; 白酒; 葡萄酒; 酒精饮料(啤酒除外); 青稞酒; 黄酒</t>
  </si>
  <si>
    <t xml:space="preserve"> 开胃酒; 果酒; 烈酒; 白酒; 米酒; 葡萄酒; 蜂蜜酒; 酒精饮料(啤酒除外); 食用酒精; 鸡尾酒</t>
  </si>
  <si>
    <t xml:space="preserve"> 以葡萄酒为主的饮料; 含水果酒精饮料; 果酒(含酒精); 樱桃酒; 白酒; 米酒; 葡萄酒; 蒸馏饮料; 谷物制蒸馏酒精饮料; 酒精饮料(啤酒除外)</t>
  </si>
  <si>
    <t xml:space="preserve"> 含水果酒精饮料; 威士忌; 果酒(含酒精); 烈酒(饮料); 烧酒; 白酒; 酒精饮料(啤酒除外); 餐后酒(利口酒和烈酒); 鸡尾酒; 黄酒</t>
  </si>
  <si>
    <t xml:space="preserve"> 以葡萄酒为主的饮料; 伏特加酒; 威士忌; 果酒; 白干酒(中国白酒); 白酒; 米酒; 老酒(中国蒸馏烈酒); 高粱酒; 鸡尾酒</t>
  </si>
  <si>
    <t xml:space="preserve"> 果酒; 烧酒; 甜酒; 白酒; 米酒; 蒸馏饮料; 酒精饮料(啤酒除外); 食用酒精; 高粱酒; 黄酒</t>
  </si>
  <si>
    <t xml:space="preserve"> 伏特加酒; 威士忌; 果酒(含酒精); 烧酒; 白兰地; 白酒; 米酒; 青稞酒; 食用酒精; 黄酒</t>
  </si>
  <si>
    <t xml:space="preserve"> 果酒(含酒精); 汽酒; 烈酒(饮料); 烧酒; 白酒; 米酒; 苹果酒; 青稞酒; 鸡尾酒; 黄酒</t>
  </si>
  <si>
    <t xml:space="preserve"> 威士忌; 果酒(含酒精); 白兰地; 白酒; 米酒; 葡萄酒; 酒精饮料(啤酒除外); 酒精饮料原汁; 食用酒精; 鸡尾酒</t>
  </si>
  <si>
    <t xml:space="preserve"> 威士忌; 果酒(含酒精); 烈酒(饮料); 烧酒; 白酒; 米酒; 葡萄酒; 酒精饮料(啤酒除外); 高粱酒; 鸡尾酒</t>
  </si>
  <si>
    <t xml:space="preserve"> 含水果酒精饮料; 咖啡利口酒; 朗姆酒; 果酒(含酒精); 红葡萄酒; 苹果酒; 葡萄酒; 薄荷酒; 酒精饮料浓缩汁; 鸡尾酒</t>
  </si>
  <si>
    <t xml:space="preserve"> 果酒(含酒精); 清酒(日本米酒); 烧酒; 白干酒(中国白酒); 白酒; 米酒; 老酒(中国蒸馏烈酒); 葡萄酒; 酒精饮料(啤酒除外); 食用酒精</t>
  </si>
  <si>
    <t xml:space="preserve"> 汽酒; 烧酒; 白兰地; 白酒; 米酒; 葡萄酒; 蜂蜜酒; 青稞酒; 食用酒精; 黄酒</t>
  </si>
  <si>
    <t xml:space="preserve"> 伏特加酒; 开胃酒; 朗姆酒; 果酒(含酒精); 汽酒; 烧酒; 白酒; 米酒; 葡萄酒; 薄荷酒</t>
  </si>
  <si>
    <t xml:space="preserve"> 含水果酒精饮料; 开胃酒; 清酒(日本米酒); 烧酒; 白酒; 米酒; 蒸煮提取物(利口酒和烈酒); 谷物制蒸馏酒精饮料; 酒精饮料(啤酒除外); 青梅酒</t>
  </si>
  <si>
    <t xml:space="preserve"> 利口酒; 果酒(含酒精); 烧酒; 白酒; 米酒; 苹果酒; 葡萄酒; 酒精饮料(啤酒除外); 酒精饮料原汁; 黄酒</t>
  </si>
  <si>
    <t xml:space="preserve"> 果酒(含酒精); 清酒(日本米酒); 烧酒; 白酒; 米酒; 葡萄酒; 蜂蜜酒; 酒精饮料(啤酒除外); 青稞酒; 黄酒</t>
  </si>
  <si>
    <t xml:space="preserve"> 果酒(含酒精); 清酒; 烧酒; 白酒; 米酒; 红葡萄酒; 老酒(中国蒸馏烈酒); 葡萄酒; 起泡红葡萄酒; 黄酒</t>
  </si>
  <si>
    <t xml:space="preserve"> 开胃酒; 杜松子酒; 白酒; 米酒; 苹果酒; 葡萄酒; 蒸煮提取物(利口酒和烈酒); 蒸馏饮料; 鸡尾酒; 黄酒</t>
  </si>
  <si>
    <t xml:space="preserve"> 以葡萄酒为主的饮料; 含水果酒精饮料; 果酒(含酒精); 汽酒; 烧酒; 白酒; 米酒; 葡萄酒; 酒精饮料原汁; 青稞酒</t>
  </si>
  <si>
    <t xml:space="preserve"> 利口酒; 果酒(含酒精); 白酒; 米酒; 葡萄酒; 蒸馏饮料; 薄荷酒; 酒精饮料(啤酒除外); 鸡尾酒; 黄酒</t>
  </si>
  <si>
    <t xml:space="preserve"> 含水果酒精饮料; 汽酒; 烈酒(饮料); 烧酒; 白酒; 米酒; 葡萄酒; 蒸馏饮料; 鸡尾酒; 黄酒</t>
  </si>
  <si>
    <t xml:space="preserve"> 含水果酒精饮料; 威士忌; 果酒(含酒精); 白兰地; 白酒; 米酒; 葡萄酒; 蒸馏饮料; 酒精饮料(啤酒除外); 黄酒</t>
  </si>
  <si>
    <t xml:space="preserve"> 果酒; 烧酒; 白酒; 米酒; 老酒(中国蒸馏烈酒); 葡萄酒; 蜂蜜酒; 青梅酒; 高粱酒; 黄酒</t>
  </si>
  <si>
    <t xml:space="preserve"> 以葡萄酒为主的饮料; 含水果酒精饮料; 含酒精的气泡水; 开胃酒; 果酒(含酒精); 桃红葡萄酒; 甜果酒; 白酒; 葡萄酒; 调制好的葡萄酒鸡尾酒; 酸酒(低等葡萄酒); 食用酒精</t>
  </si>
  <si>
    <t xml:space="preserve"> 伏特加酒; 威士忌; 果酒(含酒精); 汽酒; 清酒(日本米酒); 白酒; 米酒; 葡萄酒; 酒精饮料(啤酒除外); 鸡尾酒</t>
  </si>
  <si>
    <t xml:space="preserve"> 果酒(含酒精); 烧酒; 白酒; 米酒; 葡萄酒; 蒸馏饮料; 酒精饮料(啤酒除外); 食用酒精; 餐后酒(利口酒和烈酒); 黄酒</t>
  </si>
  <si>
    <t xml:space="preserve"> 果酒(含酒精); 烈酒(饮料); 烧酒; 白酒; 米酒; 葡萄酒; 谷物制蒸馏酒精饮料; 酒精饮料(啤酒除外); 高粱酒; 黄酒</t>
  </si>
  <si>
    <t xml:space="preserve"> 汽酒; 烈酒(饮料); 烧酒; 白酒; 谷物制蒸馏酒精饮料; 酒精饮料原汁; 青稞酒; 预先混合的酒精饮料(以啤酒为主的除外); 食用酒精; 黄酒</t>
  </si>
  <si>
    <t xml:space="preserve"> 伏特加酒; 含水果酒精饮料; 杨梅酒; 清酒; 烈酒; 白酒; 葡萄酒; 酒精饮料(啤酒除外); 高粱酒; 黄酒</t>
  </si>
  <si>
    <t xml:space="preserve"> 利口酒; 威士忌; 果酒(含酒精); 清酒; 烈酒; 白兰地; 白酒; 葡萄酒; 露酒; 鸡尾酒</t>
  </si>
  <si>
    <t xml:space="preserve"> 威士忌; 开胃酒; 果酒(含酒精); 清酒(日本米酒); 烧酒; 白酒; 米酒; 葡萄酒; 鸡尾酒; 黄酒</t>
  </si>
  <si>
    <t xml:space="preserve"> 含水果酒精饮料; 果酒; 烧酒; 白酒; 米酒; 葡萄酒; 酒精饮料(啤酒除外); 酸酒(低等葡萄酒); 预先混合的酒精饮料(以啤酒为主的除外); 黄酒</t>
  </si>
  <si>
    <t xml:space="preserve"> 果酒(含酒精); 樱桃酒; 烧酒; 白酒; 米酒; 苦味酒; 苹果酒; 葡萄酒; 蜂蜜酒; 黄酒</t>
  </si>
  <si>
    <t xml:space="preserve"> 伏特加酒; 利口酒; 威士忌; 已调味的蒸馏酒; 朗姆酒; 混合威士忌酒; 烈酒; 白兰地; 葡萄酒; 露酒</t>
  </si>
  <si>
    <t xml:space="preserve"> 威士忌; 果酒(含酒精); 清酒(日本米酒); 白酒; 蒸馏饮料; 酒精饮料(啤酒除外); 酒精饮料原汁; 酒精饮料浓缩汁; 食用酒精; 黄酒</t>
  </si>
  <si>
    <t xml:space="preserve"> 威士忌; 果酒; 梨酒; 清酒; 甜酒; 白酒; 米酒; 苹果酒; 葡萄酒; 鸡尾酒</t>
  </si>
  <si>
    <t xml:space="preserve"> 利口酒; 含酒精的水果鸡尾酒饮料; 含酒精的饮料(啤酒除外); 果酒; 果酒(含酒精); 甜酒; 由谷物蒸馏的白酒; 米酒; 老酒(中国蒸馏烈酒); 谷物制蒸馏酒精饮料</t>
  </si>
  <si>
    <t xml:space="preserve"> 利口酒; 开胃酒; 果酒(含酒精); 烧酒; 葡萄酒; 蒸煮提取物(利口酒和烈酒); 酒精饮料(啤酒除外); 酒精饮料原汁; 酸酒(低等葡萄酒); 黄酒</t>
  </si>
  <si>
    <t xml:space="preserve"> 果酒(含酒精); 清酒; 烈酒(饮料); 烧酒; 白酒; 米酒; 葡萄酒; 酒精饮料(啤酒除外); 青稞酒; 黄酒</t>
  </si>
  <si>
    <t xml:space="preserve"> 威士忌; 果酒(含酒精); 烧酒; 白兰地; 白酒; 米酒; 葡萄酒; 酒精饮料(啤酒除外); 鸡尾酒; 黄酒</t>
  </si>
  <si>
    <t xml:space="preserve"> 伏特加酒; 利口酒; 威士忌; 朗姆酒; 杜松子酒; 清酒(日本米酒); 白酒; 葡萄酒; 酒精饮料(啤酒除外); 鸡尾酒</t>
  </si>
  <si>
    <t xml:space="preserve"> 威士忌; 果酒(含酒精); 烈酒(饮料); 烧酒; 白酒; 米酒; 老酒(中国蒸馏烈酒); 葡萄酒; 青稞酒; 鸡尾酒</t>
  </si>
  <si>
    <t xml:space="preserve"> 含水果酒精饮料; 果酒(含酒精); 汽酒; 清酒(日本米酒); 烈酒(饮料); 烧酒; 白酒; 米酒; 葡萄酒; 黄酒</t>
  </si>
  <si>
    <t xml:space="preserve"> 利口酒; 含水果酒精饮料; 果酒(含酒精); 烈酒(饮料); 白酒; 米酒; 葡萄酒; 酒精饮料(啤酒除外); 青稞酒; 鸡尾酒</t>
  </si>
  <si>
    <t xml:space="preserve"> 含水果酒精饮料; 干型苹果酒; 开胃酒; 果酒(含酒精); 白酒; 苹果酒; 葡萄酒; 酒精饮料(啤酒除外); 酒精饮料原汁; 青稞酒</t>
  </si>
  <si>
    <t xml:space="preserve"> 果酒(含酒精); 烈酒(饮料); 烧酒; 烧酒(烈酒); 由谷物蒸馏的白酒; 白干酒(中国白酒); 白酒; 老酒(中国蒸馏烈酒); 露酒; 高粱酒</t>
  </si>
  <si>
    <t xml:space="preserve"> 开胃酒; 果酒(含酒精); 白酒; 米酒; 葡萄酒; 酒精饮料(啤酒除外); 食用酒精; 餐后酒(利口酒和烈酒); 高粱酒; 黄酒</t>
  </si>
  <si>
    <t xml:space="preserve"> 果酒; 果酒(含酒精); 甘蔗制烈酒; 白兰地; 白干酒(中国白酒); 白酒; 谷物制蒸馏酒精饮料; 露酒; 青梅酒; 高粱酒</t>
  </si>
  <si>
    <t xml:space="preserve"> 威士忌; 果酒(含酒精); 烈酒(饮料); 烧酒; 白酒; 米酒; 蒸馏饮料; 青稞酒; 鸡尾酒; 黄酒</t>
  </si>
  <si>
    <t xml:space="preserve"> 含水果酒精饮料; 果酒(含酒精); 白酒; 米酒; 葡萄酒; 蒸馏饮料; 酒精饮料(啤酒除外); 酒精饮料原汁; 食用酒精; 鸡尾酒</t>
  </si>
  <si>
    <t xml:space="preserve"> 伏特加酒; 果酒(含酒精); 烧酒; 白兰地; 白酒; 米酒; 苦味酒; 薄荷酒; 青稞酒; 黄酒</t>
  </si>
  <si>
    <t xml:space="preserve"> 威士忌; 果酒(含酒精); 汽酒; 清酒; 烈酒; 白酒; 米酒; 葡萄酒; 酒精饮料(啤酒除外); 黄酒</t>
  </si>
  <si>
    <t xml:space="preserve"> 威士忌; 果酒(含酒精); 清酒(日本米酒); 烈酒(饮料); 烧酒; 白酒; 米酒; 葡萄酒; 鸡尾酒; 黄酒</t>
  </si>
  <si>
    <t xml:space="preserve"> 伏特加酒; 威士忌; 烈酒; 烧酒; 白兰地; 白酒; 米酒; 葡萄酒; 高粱酒; 黄酒</t>
  </si>
  <si>
    <t xml:space="preserve"> 果酒(含酒精); 烈酒(饮料); 烧酒; 甘蔗制烈酒; 白酒; 米酒; 葡萄酒; 酒精饮料(啤酒除外); 鸡尾酒; 黄酒</t>
  </si>
  <si>
    <t xml:space="preserve"> 朗姆酒; 果酒; 清酒; 烧酒; 白酒; 葡萄酒; 青稞酒; 食用酒精; 鸡尾酒; 黄酒</t>
  </si>
  <si>
    <t xml:space="preserve"> 伏特加酒; 果酒(含酒精); 烈酒(饮料); 烧酒; 白兰地; 白酒; 葡萄酒; 酒精饮料(啤酒除外); 鸡尾酒; 黄酒</t>
  </si>
  <si>
    <t xml:space="preserve"> 含酒精的饮料(啤酒除外); 烈酒; 烧酒(烈酒); 白干酒(中国白酒); 白酒; 葡萄酒; 露酒; 青稞酒; 食用酒精; 高粱酒</t>
  </si>
  <si>
    <t xml:space="preserve"> 含水果酒精饮料; 果酒(含酒精); 清酒; 烧酒; 由谷物蒸馏的白酒; 白干酒(中国白酒); 白酒; 米酒; 老酒(中国蒸馏烈酒); 葡萄酒</t>
  </si>
  <si>
    <t xml:space="preserve"> 伏特加酒; 利口酒; 威士忌; 果酒; 烧酒; 白兰地; 白酒; 米酒; 葡萄酒; 黄酒</t>
  </si>
  <si>
    <t xml:space="preserve"> 果酒(含酒精); 烈酒(饮料); 由谷物蒸馏的白酒; 白干酒(中国白酒); 白酒; 葡萄酒; 蒸馏饮料; 除啤酒外的酒精饮料; 鸡尾酒; 黄酒</t>
  </si>
  <si>
    <t xml:space="preserve"> 含水果酒精饮料; 含酒精的气泡水; 果酒(含酒精); 白酒; 米酒; 酒精饮料(啤酒除外); 酒精饮料原汁; 预先混合的酒精饮料(以啤酒为主的除外); 食用酒精; 鸡尾酒</t>
  </si>
  <si>
    <t xml:space="preserve"> 果酒(含酒精); 汽酒; 烈酒(饮料); 白酒; 米酒; 葡萄酒; 蜂蜜酒; 酒精饮料(啤酒除外); 鸡尾酒; 黄酒</t>
  </si>
  <si>
    <t xml:space="preserve"> 伏特加酒; 威士忌; 朗姆酒; 果酒(含酒精); 烈酒(饮料); 白兰地; 白酒; 葡萄酒; 食用酒精; 黄酒</t>
  </si>
  <si>
    <t xml:space="preserve"> 朗姆酒; 酒精饮料(啤酒除外)</t>
  </si>
  <si>
    <t xml:space="preserve"> 开胃酒; 果酒(含酒精); 烧酒; 白酒; 米酒; 葡萄酒; 蜂蜜酒; 青稞酒; 鸡尾酒; 黄酒</t>
  </si>
  <si>
    <t xml:space="preserve"> 汽酒; 烈酒(饮料); 烧酒; 白酒; 葡萄酒; 蒸馏饮料; 谷物制蒸馏酒精饮料; 酒精饮料(啤酒除外); 鸡尾酒; 黄酒</t>
  </si>
  <si>
    <t xml:space="preserve"> 含水果酒精饮料; 已调味的麦芽酿制的酒精饮料(啤酒除外); 果酒(含酒精); 烧酒; 白酒; 蒸馏饮料; 谷物制蒸馏酒精饮料; 预先混合的酒精饮料(以啤酒为主的除外); 餐后酒(利口酒和烈酒); 黄酒</t>
  </si>
  <si>
    <t xml:space="preserve"> 含水果酒精饮料; 开胃酒; 果酒(含酒精); 清酒; 烧酒; 白酒; 米酒; 酒精饮料(啤酒除外); 鸡尾酒; 黄酒</t>
  </si>
  <si>
    <t xml:space="preserve"> 含水果酒精饮料; 含酒精的水果鸡尾酒饮料; 威士忌; 果酒(含酒精); 樱桃酒; 烧酒; 白兰地; 葡萄酒; 鸡尾酒; 黄酒</t>
  </si>
  <si>
    <t xml:space="preserve"> 果酒(含酒精); 烧酒; 烧酒(烈酒); 白酒; 米酒; 葡萄酒; 蒸煮提取物(利口酒和烈酒); 酒精饮料(啤酒除外); 酒精饮料浓缩汁; 食用酒精</t>
  </si>
  <si>
    <t xml:space="preserve"> 果酒; 果酒含酒精; 甘蔗制烈酒; 白兰地; 白干酒中国白酒; 白酒; 谷物制蒸馏酒精饮料; 露酒; 青梅酒; 高粱酒</t>
  </si>
  <si>
    <t xml:space="preserve"> 以葡萄酒为主的饮料; 含酒精的气泡水; 威士忌; 果酒(含酒精); 白兰地; 白酒; 米酒; 苹果酒; 葡萄酒; 黄酒</t>
  </si>
  <si>
    <t xml:space="preserve"> 伏特加酒; 含水果酒精饮料; 开胃酒; 果酒(含酒精); 白兰地; 白酒; 葡萄酒; 青稞酒; 食用酒精; 鸡尾酒</t>
  </si>
  <si>
    <t xml:space="preserve"> 威士忌; 果酒(含酒精); 烈酒(饮料); 烧酒; 白酒; 米酒; 葡萄酒; 蒸馏饮料; 食用酒精; 黄酒</t>
  </si>
  <si>
    <t xml:space="preserve"> 威士忌; 朗姆酒; 果酒(含酒精); 烈酒(饮料); 白酒; 米酒; 葡萄酒; 食用酒精; 鸡尾酒; 黄酒</t>
  </si>
  <si>
    <t xml:space="preserve"> 果酒; 果酒(含酒精); 清酒(日本米酒); 烈酒(饮料); 白干酒(中国白酒); 白酒; 蒸馏饮料; 酒精饮料(啤酒除外); 鸡尾酒; 黄酒</t>
  </si>
  <si>
    <t xml:space="preserve"> 威士忌; 果酒(含酒精); 清酒; 烈酒; 烧酒; 白酒; 米酒; 葡萄酒; 高粱酒; 黄酒</t>
  </si>
  <si>
    <t xml:space="preserve"> 利口酒; 果酒; 烧酒; 白酒; 米酒; 葡萄酒; 蒸馏饮料; 酒精饮料(啤酒除外); 青稞酒; 黄酒</t>
  </si>
  <si>
    <t xml:space="preserve"> 伏特加酒; 威士忌; 果酒(含酒精); 烧酒; 白兰地; 白酒; 米酒; 葡萄酒; 酒精饮料原汁; 鸡尾酒</t>
  </si>
  <si>
    <t xml:space="preserve"> 果酒(含酒精); 清酒(日本米酒); 烈酒(饮料); 烧酒; 白酒; 米酒; 蒸馏饮料; 酒精饮料(啤酒除外); 食用酒精; 黄酒</t>
  </si>
  <si>
    <t xml:space="preserve"> 伏特加酒; 开胃酒; 汽酒; 烈酒(饮料); 白酒; 蒸馏饮料; 薄荷酒; 酒精饮料(啤酒除外); 食用酒精; 黄酒</t>
  </si>
  <si>
    <t xml:space="preserve"> 含水果酒精饮料; 开胃酒; 果酒; 清酒; 白酒; 苹果酒; 葡萄酒; 蒸馏饮料; 酒精饮料(啤酒除外); 黄酒</t>
  </si>
  <si>
    <t xml:space="preserve"> 伏特加酒; 果酒(含酒精); 汽酒; 清酒(日本米酒); 烈酒; 白兰地; 白酒; 葡萄酒; 除啤酒外的酒精饮料; 黄酒</t>
  </si>
  <si>
    <t xml:space="preserve"> 含水果酒精饮料; 威士忌; 果酒(含酒精); 烧酒; 白酒; 米酒; 葡萄酒; 青稞酒; 鸡尾酒; 黄酒</t>
  </si>
  <si>
    <t xml:space="preserve"> 果酒(含酒精); 清酒(日本米酒); 烧酒; 白酒; 米酒; 葡萄酒; 蒸馏饮料; 酒精饮料原汁; 食用酒精; 黄酒</t>
  </si>
  <si>
    <t xml:space="preserve"> 威士忌; 开胃酒; 果酒; 烈酒; 烧酒; 白酒; 米酒; 青稞酒; 鸡尾酒; 黄酒</t>
  </si>
  <si>
    <t xml:space="preserve"> 以葡萄酒为主的饮料; 果酒(含酒精); 烈酒(饮料); 白酒; 米酒; 葡萄酒; 酒精饮料(啤酒除外); 青稞酒; 食用酒精; 黄酒</t>
  </si>
  <si>
    <t xml:space="preserve"> 含酒精的鸡尾酒混合饮品; 果酒(含酒精); 烧酒; 白酒; 米酒; 葡萄酒; 预先混合的酒精饮料(以啤酒为主的除外); 高粱酒; 鸡尾酒; 黄酒</t>
  </si>
  <si>
    <t xml:space="preserve"> 含水果酒精饮料; 威士忌; 开胃酒; 果酒; 烧酒; 白酒; 米酒; 葡萄酒; 鸡尾酒; 黄酒</t>
  </si>
  <si>
    <t xml:space="preserve"> 伏特加酒; 已调味的麦芽酿制的酒精饮料(啤酒除外); 果酒(含酒精); 白兰地; 白酒; 葡萄酒; 蒸馏饮料; 酒精饮料(啤酒除外); 黄酒</t>
  </si>
  <si>
    <t xml:space="preserve"> 含酒精水果饮料; 果酒(含酒精); 水果汽酒; 烧酒; 白酒; 葡萄酒; 酒精饮料(啤酒除外); 酒精饮料原汁; 鸡尾酒; 黄酒</t>
  </si>
  <si>
    <t xml:space="preserve"> 含水果酒精饮料; 威士忌; 果酒(含酒精); 白兰地; 白酒; 米酒; 葡萄酒; 蒸馏饮料; 蜂蜜酒; 鸡尾酒</t>
  </si>
  <si>
    <t xml:space="preserve"> 果酒(含酒精); 清酒; 烧酒; 白干酒(中国白酒); 白酒; 米酒; 露酒; 青稞酒; 食用酒精; 黄酒</t>
  </si>
  <si>
    <t xml:space="preserve"> 开胃酒; 果酒(含酒精); 烈酒(饮料); 白酒; 米酒; 蒸馏饮料; 青稞酒; 高粱酒; 黄酒</t>
  </si>
  <si>
    <t xml:space="preserve"> 果酒(含酒精); 烈酒(饮料); 烧酒; 白酒; 葡萄酒; 蒸馏饮料; 酒精饮料(啤酒除外); 酒精饮料原汁; 预先混合的酒精饮料(以啤酒为主的除外); 食用酒精</t>
  </si>
  <si>
    <t xml:space="preserve"> 利口酒; 杜松子酒; 樱桃酒; 烈酒(饮料); 白酒; 葡萄酒; 蜂蜜酒; 酒精饮料(啤酒除外); 餐后酒(利口酒和烈酒); 黄酒</t>
  </si>
  <si>
    <t xml:space="preserve"> 含水果酒精饮料; 天然汽酒; 日本梅子酒; 果酒; 果酒(含酒精); 梅酒; 葡萄酒; 露酒; 青梅酒; 预先混合的酒精饮料(以啤酒为主的除外)</t>
  </si>
  <si>
    <t xml:space="preserve"> 威士忌; 果酒(含酒精); 烈酒(饮料); 白兰地; 白酒; 老酒(中国蒸馏烈酒); 葡萄酒; 酒精饮料(啤酒除外); 鸡尾酒; 黄酒</t>
  </si>
  <si>
    <t xml:space="preserve"> 开胃酒; 烈酒(饮料); 烧酒; 白兰地; 白酒; 葡萄酒; 蒸馏饮料; 蜂蜜酒; 食用酒精; 黄酒</t>
  </si>
  <si>
    <t xml:space="preserve"> 果酒(含酒精); 烈酒(饮料); 烧酒; 白酒; 米酒; 葡萄酒; 酒精饮料(啤酒除外); 酒精饮料浓缩汁; 鸡尾酒; 黄酒</t>
  </si>
  <si>
    <t xml:space="preserve"> 伏特加酒; 利口酒; 含水果酒精饮料; 威士忌; 烈酒(饮料); 白兰地; 白酒; 葡萄酒; 预先混合的酒精饮料(以啤酒为主的除外); 鸡尾酒</t>
  </si>
  <si>
    <t xml:space="preserve"> 开胃酒; 果酒(含酒精); 烈酒; 烧酒; 白干酒(中国白酒); 白酒; 米酒; 苦荞酒; 高粱酒; 黄酒</t>
  </si>
  <si>
    <t xml:space="preserve"> 开胃酒; 果酒(含酒精); 烧酒; 白酒; 米酒; 葡萄酒; 蒸煮提取物(利口酒和烈酒); 酒精饮料(啤酒除外); 食用酒精; 黄酒</t>
  </si>
  <si>
    <t xml:space="preserve"> 樱桃酒; 烈酒; 烧酒; 甘蔗制酒精饮料; 白酒; 米酒; 谷物制蒸馏酒精饮料; 青稞酒; 食用酒精; 黄酒</t>
  </si>
  <si>
    <t xml:space="preserve"> 果酒; 清酒; 烧酒; 白兰地; 白酒; 米酒; 葡萄酒; 青稞酒; 食用酒精; 黄酒</t>
  </si>
  <si>
    <t xml:space="preserve"> 开胃酒; 果酒(含酒精); 烈酒(饮料); 烧酒; 白兰地; 米酒; 葡萄酒; 谷物制蒸馏酒精饮料; 酒精饮料(啤酒除外); 黄酒</t>
  </si>
  <si>
    <t xml:space="preserve"> 威士忌; 果酒(含酒精); 白兰地; 白酒; 米酒; 葡萄酒; 蒸馏饮料; 酒精饮料(啤酒除外); 食用酒精; 黄酒</t>
  </si>
  <si>
    <t xml:space="preserve"> 果酒; 清酒; 烈酒; 烧酒; 白酒; 米酒; 葡萄酒; 除啤酒外的酒精饮料; 食用酒精; 黄酒</t>
  </si>
  <si>
    <t xml:space="preserve"> 果酒(含酒精); 烈酒; 烧酒; 白干酒(中国白酒); 白酒; 米酒; 老酒(中国蒸馏烈酒); 葡萄酒; 高粱酒; 黄酒</t>
  </si>
  <si>
    <t xml:space="preserve"> 伏特加酒; 含水果酒精饮料; 果酒(含酒精); 汽酒; 烈酒(饮料); 烧酒; 白酒; 葡萄酒; 青稞酒; 黄酒</t>
  </si>
  <si>
    <t xml:space="preserve"> 果酒(含酒精); 烧酒; 白酒; 米酒; 葡萄酒; 蒸煮提取物(利口酒和烈酒); 酒精饮料(啤酒除外); 预先混合的酒精饮料(以啤酒为主的除外); 高粱酒; 黄酒</t>
  </si>
  <si>
    <t xml:space="preserve"> 开胃酒; 果酒; 烧酒; 白酒; 米酒; 葡萄酒; 蒸馏饮料; 酒精饮料(啤酒除外); 酒精饮料浓缩汁; 黄酒</t>
  </si>
  <si>
    <t xml:space="preserve"> 含水果酒精饮料; 果酒; 烧酒; 白兰地; 白酒; 米酒; 红葡萄酒; 葡萄酒; 青稞酒; 鸡尾酒</t>
  </si>
  <si>
    <t xml:space="preserve"> 果酒(含酒精); 烈酒; 白干酒(中国白酒); 白酒; 米酒; 老酒(中国蒸馏烈酒); 葡萄酒; 酒精饮料(啤酒除外); 高粱酒; 黄酒</t>
  </si>
  <si>
    <t xml:space="preserve"> 含水果酒精饮料; 威士忌; 果酒(含酒精); 清酒(日本米酒); 烈酒(饮料); 烧酒; 米酒; 葡萄酒; 蒸馏饮料; 酒精饮料原汁</t>
  </si>
  <si>
    <t xml:space="preserve"> 含水果酒精饮料; 果酒(含酒精); 烈酒(饮料); 烧酒; 白酒; 米酒; 葡萄酒; 酒精饮料(啤酒除外); 酒精饮料浓缩汁; 黄酒</t>
  </si>
  <si>
    <t xml:space="preserve"> 含水果酒精饮料; 威士忌; 果酒(含酒精); 水果汽酒; 白酒; 米酒; 谷物制蒸馏酒精饮料; 酒精饮料(啤酒除外); 酒精饮料原汁; 鸡尾酒</t>
  </si>
  <si>
    <t xml:space="preserve"> 含酒精水果饮料; 含酒精的充气饮料(啤酒除外); 含酒精的饮料(啤酒除外); 果酒; 果酒(含酒精); 梅酒; 水果汽酒; 烈酒; 由谷物蒸馏的白酒; 白酒; 露酒; 青梅酒</t>
  </si>
  <si>
    <t xml:space="preserve"> 威士忌; 果酒(含酒精); 烈酒(饮料); 烧酒; 白酒; 米酒; 葡萄酒; 蒸煮提取物(利口酒和烈酒); 酒精饮料(啤酒除外); 鸡尾酒</t>
  </si>
  <si>
    <t xml:space="preserve"> 含酒精的饮料(啤酒除外); 开胃酒; 果酒(含酒精); 由谷物蒸馏的白酒; 白干酒(中国白酒); 白酒; 米酒; 老酒(中国蒸馏烈酒); 高粱酒; 黄酒</t>
  </si>
  <si>
    <t xml:space="preserve"> 果酒; 烈酒; 烧酒; 白干酒(中国白酒); 白酒; 米酒; 蒸煮提取物(利口酒和烈酒); 蒸馏饮料; 酒精饮料原汁; 黄酒</t>
  </si>
  <si>
    <t xml:space="preserve"> 利口酒; 含水果酒精饮料; 含酒精水果饮料; 含酒精的气泡水; 含酒精的饮料(啤酒除外); 咖啡利口酒; 果酒(含酒精); 苦味酒; 蒸馏饮料; 预先混合的酒精饮料(以啤酒为主的除外)</t>
  </si>
  <si>
    <t xml:space="preserve"> 含酒精水果饮料; 天然汽酒; 果酒(含酒精); 白酒; 米酒; 老酒(中国蒸馏烈酒); 葡萄酒; 蒸馏米酒(泡盛酒); 青稞酒; 食用酒精</t>
  </si>
  <si>
    <t xml:space="preserve"> 果酒; 清酒; 烈酒; 烧酒; 甜酒; 白酒; 米酒; 葡萄酒; 食用酒精; 黄酒</t>
  </si>
  <si>
    <t xml:space="preserve"> 含水果酒精饮料; 果酒(含酒精); 白酒; 米酒; 苹果酒; 蒸馏饮料; 薄荷酒; 酒精饮料(啤酒除外); 鸡尾酒; 黄酒</t>
  </si>
  <si>
    <t xml:space="preserve"> 威士忌; 果酒(含酒精); 清酒(日本米酒); 烧酒; 白兰地; 白酒; 米酒; 葡萄酒; 青稞酒; 鸡尾酒</t>
  </si>
  <si>
    <t xml:space="preserve"> 五加皮酒(中国混合烈酒); 已调味的蒸馏酒; 由谷物蒸馏的白酒; 白干酒(中国白酒); 白酒; 米酒; 老酒(中国蒸馏烈酒); 蒸馏米酒(泡盛酒); 除啤酒外的酒精饮料; 预先混合的酒精饮料(以啤酒为主的除外)</t>
  </si>
  <si>
    <t xml:space="preserve"> 果酒(含酒精); 烈酒(饮料); 由谷物蒸馏的白酒; 白兰地; 白干酒(中国白酒); 白酒; 葡萄酒; 酒精饮料浓缩汁; 鸡尾酒; 黄酒</t>
  </si>
  <si>
    <t xml:space="preserve"> 利口酒; 烈酒; 烧酒; 白酒; 老酒(中国蒸馏烈酒); 葡萄酒; 薄荷酒; 酒精饮料(啤酒除外); 酒精饮料浓缩汁; 餐后酒(利口酒和烈酒)</t>
  </si>
  <si>
    <t xml:space="preserve"> 含水果酒精饮料; 果酒(含酒精); 清酒(日本米酒); 烈酒(饮料); 甘蔗制酒精饮料; 米酒; 谷物制蒸馏酒精饮料; 酒精饮料(啤酒除外); 酒精饮料原汁; 餐后酒(利口酒和烈酒)</t>
  </si>
  <si>
    <t xml:space="preserve"> 已调味的蒸馏酒; 果酒; 烈酒; 烧酒; 烧酒(烈酒); 甜酒; 白干酒(中国白酒); 白酒; 谷物制蒸馏酒精饮料; 食用酒精</t>
  </si>
  <si>
    <t xml:space="preserve"> 伏特加酒; 含牛奶的鸡尾酒; 梅酒; 水果汽酒; 白酒; 苦艾酒; 葡萄酒; 酒精饮料(啤酒除外); 酒精饮料原汁; 阿蒙蒂拉多白葡萄酒</t>
  </si>
  <si>
    <t xml:space="preserve"> 利口酒; 开胃酒; 烈酒(饮料); 烧酒; 白酒; 米酒; 葡萄酒; 青稞酒; 鸡尾酒; 黄酒</t>
  </si>
  <si>
    <t xml:space="preserve"> 含水果酒精饮料; 威士忌; 果酒(含酒精); 烈酒; 米酒; 苹果酒; 葡萄酒; 薄荷酒; 预先混合的酒精饮料(以啤酒为主的除外); 鸡尾酒</t>
  </si>
  <si>
    <t xml:space="preserve"> 含水果酒精饮料; 威士忌; 朗姆酒; 果酒(含酒精); 清酒(日本米酒); 白酒; 米酒; 酒精饮料(啤酒除外); 酒精饮料原汁; 鸡尾酒</t>
  </si>
  <si>
    <t xml:space="preserve"> 朗姆酒; 白兰地; 白葡萄酒; 白酒; 红葡萄酒; 葡萄汽酒; 葡萄酒; 调制好的葡萄酒鸡尾酒; 酒精饮料(啤酒除外); 餐后酒(利口酒和烈酒)</t>
  </si>
  <si>
    <t xml:space="preserve"> 开胃酒; 果酒; 烈酒; 烧酒; 白干酒(中国白酒); 白酒; 葡萄酒; 酒精饮料原汁; 露酒; 高粱酒</t>
  </si>
  <si>
    <t xml:space="preserve"> 伏特加酒; 利口酒; 含水果酒精饮料; 威士忌; 汽酒; 白兰地; 葡萄酒; 酒精饮料(啤酒除外); 鸡尾酒; 黄酒</t>
  </si>
  <si>
    <t xml:space="preserve"> 果酒; 清酒; 烈酒; 烧酒; 白酒; 米酒; 老酒(中国蒸馏烈酒); 葡萄酒; 酒精饮料(啤酒除外); 黄酒</t>
  </si>
  <si>
    <t xml:space="preserve"> 含酒精的饮料(啤酒除外); 果酒(含酒精); 烈酒(饮料); 由谷物蒸馏的白酒; 白干酒(中国白酒); 白酒; 葡萄酒; 除啤酒外的酒精饮料; 鸡尾酒; 黄酒</t>
  </si>
  <si>
    <t xml:space="preserve"> 威士忌; 开胃酒; 果酒(含酒精); 烈酒(饮料); 烧酒; 白酒; 葡萄酒; 谷物制蒸馏酒精饮料; 鸡尾酒; 黄酒</t>
  </si>
  <si>
    <t xml:space="preserve"> 亚力酒; 开胃酒; 朝鲜烧酒; 清酒(日本米酒); 烈性干酒; 白酒; 蒸馏饮料; 调制好的葡萄酒鸡尾酒; 食用酒精; 黄酒</t>
  </si>
  <si>
    <t xml:space="preserve"> 果酒(含酒精); 烈酒(饮料); 烧酒; 白酒; 米酒; 葡萄酒; 酒精饮料(啤酒除外); 餐后酒(利口酒和烈酒); 鸡尾酒; 黄酒</t>
  </si>
  <si>
    <t xml:space="preserve"> 威士忌; 果酒(含酒精); 清酒; 烧酒(烈酒); 由谷物蒸馏的白酒; 白酒; 米酒; 葡萄酒; 鸡尾酒; 黄酒</t>
  </si>
  <si>
    <t xml:space="preserve"> 以葡萄酒为主的饮料; 含水果酒精饮料; 开胃酒; 果酒(含酒精); 清酒(日本米酒); 烧酒; 白酒; 米酒; 葡萄酒; 鸡尾酒</t>
  </si>
  <si>
    <t xml:space="preserve"> 含酒精的饮料(啤酒除外); 果酒(含酒精); 烈酒(饮料); 烧酒; 白干酒(中国白酒); 白酒; 老酒(中国蒸馏烈酒); 酒精饮料(啤酒除外); 高粱酒; 黄酒</t>
  </si>
  <si>
    <t xml:space="preserve"> 伏特加酒; 威士忌; 朗姆酒; 杜松子酒; 果酒(含酒精); 烈酒(饮料); 白兰地; 白酒; 葡萄酒; 鸡尾酒</t>
  </si>
  <si>
    <t xml:space="preserve"> 威士忌; 烈酒(饮料); 烧酒; 白兰地; 白酒; 米酒; 葡萄酒; 薄荷酒; 鸡尾酒; 黄酒</t>
  </si>
  <si>
    <t xml:space="preserve"> 伏特加酒; 含酒精的气泡水; 含酒精的水果鸡尾酒饮料; 日本梅子酒; 汽酒; 清酒; 烧酒; 白酒; 葡萄酒; 高粱酒</t>
  </si>
  <si>
    <t xml:space="preserve"> 白酒</t>
  </si>
  <si>
    <t xml:space="preserve"> 利口酒; 朗姆酒; 果酒(含酒精); 烈酒(饮料); 烧酒; 白干酒(中国白酒); 白酒; 米酒; 高粱酒; 黄酒</t>
  </si>
  <si>
    <t xml:space="preserve"> 佐餐酒; 威士忌; 果酒; 白葡萄酒; 白酒; 红葡萄酒; 苹果酒; 葡萄酒; 酒精饮料(啤酒除外); 鸡尾酒</t>
  </si>
  <si>
    <t xml:space="preserve"> 伏特加酒; 威士忌; 果酒(含酒精); 清酒(日本米酒); 白兰地; 米酒; 酒精饮料(啤酒除外); 青稞酒; 食用酒精; 鸡尾酒</t>
  </si>
  <si>
    <t xml:space="preserve"> 烈酒; 烧酒; 白干酒(中国白酒); 白酒; 米酒; 葡萄酒; 除啤酒外的酒精饮料; 高粱酒; 鸡尾酒; 黄酒</t>
  </si>
  <si>
    <t xml:space="preserve"> 开胃酒; 果酒(含酒精); 清酒(日本米酒); 烈酒(饮料); 烧酒; 白酒; 米酒; 蒸煮提取物(利口酒和烈酒); 食用酒精; 黄酒</t>
  </si>
  <si>
    <t xml:space="preserve"> 含酒精的饮料(啤酒除外); 威士忌; 开胃酒; 果酒; 烈酒; 白兰地; 白酒; 米酒; 葡萄酒; 黄酒</t>
  </si>
  <si>
    <t xml:space="preserve"> 伏特加酒; 果酒(含酒精); 清酒(日本米酒); 烧酒; 白酒; 米酒; 葡萄酒; 酒精饮料(啤酒除外); 青稞酒; 黄酒</t>
  </si>
  <si>
    <t xml:space="preserve"> 含水果酒精饮料; 含酒精的气泡水; 开胃酒; 果酒; 烈酒; 白酒; 米酒; 蒸煮提取物(利口酒和烈酒); 酒精饮料(啤酒除外); 高粱酒</t>
  </si>
  <si>
    <t xml:space="preserve"> 已调味的蒸馏酒; 烈酒; 烈酒(饮料); 烧酒(烈酒); 白酒; 老酒(中国蒸馏烈酒); 苹果酒; 葡萄酒; 除啤酒外的酒精饮料; 高粱酒</t>
  </si>
  <si>
    <t xml:space="preserve"> 伏特加酒; 利口酒; 含水果酒精饮料; 威士忌; 朗姆酒; 杜松子酒; 果酒; 汽酒; 白兰地; 预先混合的酒精饮料(以啤酒为主的除外)</t>
  </si>
  <si>
    <t xml:space="preserve"> 含酒精水果饮料; 含酒精的饮料(啤酒除外); 威士忌; 果酒; 果酒(含酒精); 白兰地; 白酒; 葡萄酒; 鸡尾酒; 黄酒</t>
  </si>
  <si>
    <t xml:space="preserve"> 利口酒; 威士忌; 果酒(含酒精); 烈酒(饮料); 白酒; 米酒; 葡萄酒; 餐后酒(利口酒和烈酒); 鸡尾酒; 黄酒</t>
  </si>
  <si>
    <t xml:space="preserve"> 果酒(含酒精); 烧酒; 白酒; 米酒; 葡萄酒; 蒸馏饮料; 酒精饮料(啤酒除外); 青稞酒; 食用酒精; 黄酒</t>
  </si>
  <si>
    <t xml:space="preserve"> 伏特加酒; 含水果酒精饮料; 威士忌; 果酒(含酒精); 白兰地; 白酒; 米酒; 苹果酒; 薄荷酒; 蜂蜜酒</t>
  </si>
  <si>
    <t xml:space="preserve"> 威士忌; 果酒(含酒精); 汽酒; 白兰地; 白干酒(中国白酒); 白酒; 老酒(中国蒸馏烈酒); 葡萄酒; 酒精饮料(啤酒除外); 黄酒</t>
  </si>
  <si>
    <t xml:space="preserve"> 五加皮酒(中国混合烈酒); 以葡萄酒为主的饮料; 烧酒; 烧酒(烈酒); 由谷物蒸馏的白酒; 老酒(中国蒸馏烈酒); 露酒; 预先混合的酒精饮料(以啤酒为主的除外); 高粱酒; 黑覆盆子酒</t>
  </si>
  <si>
    <t xml:space="preserve"> 利口酒; 开胃酒; 果酒(含酒精); 烧酒; 白酒; 米酒; 老酒(中国蒸馏烈酒); 葡萄酒; 酒精饮料(啤酒除外); 黄酒</t>
  </si>
  <si>
    <t xml:space="preserve"> 含酒精的饮料(啤酒除外); 清酒; 烈酒; 烈酒(饮料); 由谷物蒸馏的白酒; 白干酒(中国白酒); 白酒; 蒸馏饮料; 酒精饮料(啤酒除外); 预先混合的酒精饮料(以啤酒为主的除外)</t>
  </si>
  <si>
    <t xml:space="preserve"> 五加皮酒(中国混合烈酒); 含水果酒精饮料; 威士忌; 果酒(含酒精); 白兰地; 白干酒(中国白酒); 白酒; 葡萄酒; 酒精饮料(啤酒除外); 鸡尾酒</t>
  </si>
  <si>
    <t xml:space="preserve"> 果酒(含酒精); 梅酒; 烈酒; 甜酒; 白酒; 米酒; 苹果酒; 葡萄酒; 高粱酒; 鸡尾酒</t>
  </si>
  <si>
    <t xml:space="preserve"> 开胃酒; 果酒(含酒精); 清酒; 烧酒; 白兰地; 白酒; 葡萄酒; 酒精饮料(啤酒除外); 鸡尾酒; 黄酒</t>
  </si>
  <si>
    <t xml:space="preserve"> 开胃酒; 果酒; 清酒; 烧酒; 白酒; 米酒; 葡萄酒; 蜂蜜酒; 酒精饮料(啤酒除外); 黄酒</t>
  </si>
  <si>
    <t xml:space="preserve"> 果酒(含酒精); 烧酒; 白酒; 米酒; 葡萄酒; 酒精饮料(啤酒除外); 青稞酒; 高粱酒; 鸡尾酒; 黄酒</t>
  </si>
  <si>
    <t xml:space="preserve"> 伏特加酒; 威士忌; 清酒(日本米酒); 烈酒(饮料); 烧酒; 白酒; 葡萄酒; 蒸馏饮料; 酒精饮料(啤酒除外); 高粱酒</t>
  </si>
  <si>
    <t xml:space="preserve"> 威士忌; 果酒; 清酒; 烧酒(烈酒); 白兰地; 白酒; 米酒; 红葡萄酒; 老酒(中国蒸馏烈酒); 蜂蜜酒</t>
  </si>
  <si>
    <t xml:space="preserve"> 伏特加酒; 威士忌; 朗姆酒; 果酒(含酒精); 烧酒; 白兰地; 白酒; 葡萄酒; 鸡尾酒; 黄酒</t>
  </si>
  <si>
    <t xml:space="preserve"> 果酒(含酒精); 烧酒; 白干酒(中国白酒); 白酒; 米酒; 老酒(中国蒸馏烈酒); 葡萄酒; 酒精饮料(啤酒除外); 食用酒精; 高粱酒</t>
  </si>
  <si>
    <t xml:space="preserve"> 含水果酒精饮料; 威士忌; 清酒(日本米酒); 烈酒(饮料); 烧酒; 白酒; 蒸馏饮料; 谷物制蒸馏酒精饮料; 鸡尾酒; 黄酒</t>
  </si>
  <si>
    <t xml:space="preserve"> 果酒(含酒精); 烈酒(饮料); 烧酒; 白酒; 米酒; 葡萄酒; 酒精饮料(啤酒除外); 青稞酒; 高粱酒; 黄酒</t>
  </si>
  <si>
    <t xml:space="preserve"> 利口酒; 果酒(含酒精); 烈酒(饮料); 白酒; 米酒; 葡萄酒; 蒸馏饮料; 酒精饮料(啤酒除外); 预先混合的酒精饮料(以啤酒为主的除外); 黄酒</t>
  </si>
  <si>
    <t xml:space="preserve"> 以蒸馏酒为主的开胃酒; 已调味的蒸馏酒; 蒸馏米酒(泡盛酒); 蒸馏饮料; 谷物制蒸馏酒精饮料; 酒精饮料(啤酒除外)</t>
  </si>
  <si>
    <t xml:space="preserve"> 利口酒; 威士忌; 果酒(含酒精); 清酒(日本米酒); 烈酒(饮料); 白酒; 葡萄酒; 蒸馏饮料; 酒精饮料(啤酒除外); 鸡尾酒</t>
  </si>
  <si>
    <t xml:space="preserve"> 含水果酒精饮料; 开胃酒; 果酒(含酒精); 烈酒(饮料); 烧酒; 米酒; 蒸馏饮料; 蜂蜜酒; 酒精饮料(啤酒除外); 食用酒精</t>
  </si>
  <si>
    <t xml:space="preserve"> 含水果酒精饮料; 果酒(含酒精); 汽酒; 烧酒; 白酒; 米酒; 葡萄酒; 酒精饮料(啤酒除外); 鸡尾酒; 黄酒</t>
  </si>
  <si>
    <t xml:space="preserve"> 果酒(含酒精); 清酒(日本米酒); 烧酒; 白酒; 米酒; 葡萄酒; 青稞酒; 食用酒精; 鸡尾酒; 黄酒</t>
  </si>
  <si>
    <t xml:space="preserve"> 果酒(含酒精); 桑葚酒; 白酒; 米酒; 老酒(中国蒸馏烈酒); 葡萄酒; 酒精饮料(啤酒除外); 露酒; 高粱酒; 黄酒</t>
  </si>
  <si>
    <t xml:space="preserve"> 以葡萄酒为主的饮料; 果酒(含酒精); 烧酒; 由谷物蒸馏的白酒; 白酒; 葡萄酒; 谷物制蒸馏酒精饮料; 预先混合的酒精饮料(以啤酒为主的除外); 食用酒精; 黄酒</t>
  </si>
  <si>
    <t xml:space="preserve"> 含酒精的饮料(啤酒除外); 威士忌; 开胃酒; 果酒(含酒精); 烈酒(饮料); 烧酒; 白酒; 米酒; 葡萄酒; 鸡尾酒</t>
  </si>
  <si>
    <t xml:space="preserve"> 威士忌; 果酒(含酒精); 清酒; 烈酒(饮料); 甜酒; 白葡萄酒; 白酒; 米酒; 红葡萄酒; 老酒(中国蒸馏烈酒)</t>
  </si>
  <si>
    <t xml:space="preserve"> 含水果酒精饮料; 开胃酒; 果酒(含酒精); 白酒; 米酒; 苹果酒; 葡萄酒; 蒸馏饮料; 酒精饮料原汁; 黄酒</t>
  </si>
  <si>
    <t xml:space="preserve"> 开胃酒; 汽酒; 烧酒; 白兰地; 米酒; 苹果酒; 葡萄酒; 食用酒精; 鸡尾酒; 黄酒</t>
  </si>
  <si>
    <t xml:space="preserve"> 利口酒; 威士忌; 果酒(含酒精); 烈酒(饮料); 烧酒; 白酒; 米酒; 葡萄酒; 预先混合的酒精饮料(以啤酒为主的除外); 黄酒</t>
  </si>
  <si>
    <t xml:space="preserve"> 果酒(含酒精); 梨酒; 烈酒; 甜酒; 白酒; 米酒; 葡萄酒; 蒸煮提取物(利口酒和烈酒); 蜂蜜酒; 食用酒精</t>
  </si>
  <si>
    <t xml:space="preserve"> 伏特加酒; 含水果酒精饮料; 烈酒(饮料); 烧酒; 白酒; 米酒; 葡萄酒; 蒸煮提取物(利口酒和烈酒); 食用酒精; 黄酒</t>
  </si>
  <si>
    <t xml:space="preserve"> 利口酒; 含酒精的鸡尾酒混合饮品; 杨梅酒; 果酒(含酒精); 白干酒(中国白酒); 白酒; 苦荞酒; 食用酒精; 高粱酒; 黄酒</t>
  </si>
  <si>
    <t xml:space="preserve"> 威士忌; 果酒(含酒精); 清酒(日本米酒); 烈酒(饮料); 白兰地; 白酒; 米酒; 葡萄酒; 酒精饮料(啤酒除外); 酸酒(低等葡萄酒)</t>
  </si>
  <si>
    <t xml:space="preserve"> 含水果酒精饮料; 杨梅酒; 果酒(含酒精); 樱桃酒; 烧酒; 白酒; 米酒; 葡萄酒; 薄荷酒; 黄酒</t>
  </si>
  <si>
    <t xml:space="preserve"> 利口酒; 开胃酒; 果酒(含酒精); 烈酒(饮料); 白酒; 米酒; 葡萄酒; 酒精饮料(啤酒除外); 酒精饮料原汁; 鸡尾酒</t>
  </si>
  <si>
    <t xml:space="preserve"> 含酒精的饮料(啤酒除外); 已调味的麦芽酿制的酒精饮料(啤酒除外); 烈酒(饮料); 白酒; 米酒; 老酒(中国蒸馏烈酒); 酒精饮料(啤酒除外); 酒精饮料原汁; 酒精饮料浓缩汁; 预先混合的酒精饮料(以啤酒为主的除外)</t>
  </si>
  <si>
    <t xml:space="preserve"> 含水果酒精饮料; 开胃酒; 果酒(含酒精); 烈酒(饮料); 烧酒; 米酒; 葡萄酒; 蜂蜜酒; 酒精饮料原汁; 鸡尾酒</t>
  </si>
  <si>
    <t xml:space="preserve"> 含水果酒精饮料; 朗姆酒; 果酒; 清酒; 烈酒; 甜酒; 白酒; 米酒; 谷物制蒸馏酒精饮料; 黄酒</t>
  </si>
  <si>
    <t xml:space="preserve"> 果酒(含酒精); 白酒; 米酒; 红葡萄酒; 葡萄酒; 除啤酒外的酒精饮料</t>
  </si>
  <si>
    <t xml:space="preserve"> 果酒(含酒精); 汽酒; 烈酒(饮料); 烧酒; 白葡萄酒; 白酒; 米酒; 葡萄酒; 酒精饮料原汁; 黄酒</t>
  </si>
  <si>
    <t xml:space="preserve"> 威士忌; 果酒; 清酒; 白酒; 米酒; 老酒(中国蒸馏烈酒); 葡萄酒; 餐后酒(利口酒和烈酒); 高粱酒; 鸡尾酒</t>
  </si>
  <si>
    <t xml:space="preserve"> 伏特加酒; 含水果酒精饮料; 威士忌; 清酒(日本米酒); 白兰地; 苹果酒; 葡萄酒; 蜂蜜酒; 食用酒精; 黄酒</t>
  </si>
  <si>
    <t xml:space="preserve"> 果酒; 汽酒; 清酒; 烧酒; 白酒; 米酒; 红葡萄酒; 露酒; 高粱酒; 黄酒</t>
  </si>
  <si>
    <t xml:space="preserve"> 伏特加酒; 开胃酒; 果酒; 烈酒; 烧酒; 白酒; 老酒(中国蒸馏烈酒); 葡萄酒; 蒸馏饮料; 酒精饮料(啤酒除外)</t>
  </si>
  <si>
    <t xml:space="preserve"> 威士忌; 果酒; 烧酒; 白酒; 米酒; 葡萄酒; 青稞酒; 高粱酒; 鸡尾酒; 黄酒</t>
  </si>
  <si>
    <t xml:space="preserve"> 伏特加酒; 威士忌; 烧酒(烈酒); 白干酒(中国白酒); 白酒; 米酒; 葡萄酒; 高粱酒; 鸡尾酒; 黄酒</t>
  </si>
  <si>
    <t xml:space="preserve"> 伏特加酒; 威士忌; 果酒(含酒精); 白兰地; 白酒; 米酒; 葡萄酒; 蒸煮提取物(利口酒和烈酒); 蜂蜜酒; 鸡尾酒</t>
  </si>
  <si>
    <t xml:space="preserve"> 含水果酒精饮料; 果酒; 白酒; 米酒; 葡萄酒; 蒸煮提取物(利口酒和烈酒); 蒸馏饮料; 酒精饮料浓缩汁; 食用酒精; 鸡尾酒</t>
  </si>
  <si>
    <t xml:space="preserve"> 含水果酒精饮料; 果酒(含酒精); 烧酒; 白酒; 米酒; 苹果酒; 葡萄酒; 青稞酒; 食用酒精; 黄酒</t>
  </si>
  <si>
    <t xml:space="preserve"> 威士忌; 开胃酒; 果酒(含酒精); 清酒(日本米酒); 白酒; 葡萄酒; 蒸煮提取物(利口酒和烈酒); 酒精饮料(啤酒除外); 鸡尾酒; 黄酒</t>
  </si>
  <si>
    <t xml:space="preserve"> 含酒精的气泡水; 威士忌; 果酒(含酒精); 烈酒(饮料); 烧酒; 白酒; 谷物制蒸馏酒精饮料; 青稞酒; 鸡尾酒; 黄酒</t>
  </si>
  <si>
    <t xml:space="preserve"> 含水果酒精饮料; 开胃酒; 果酒(含酒精); 烈酒(饮料); 烧酒; 白酒; 葡萄酒; 酒精饮料原汁; 食用酒精; 鸡尾酒</t>
  </si>
  <si>
    <t xml:space="preserve"> 以葡萄酒为主的饮料; 威士忌; 果酒(含酒精); 樱桃酒; 烈酒(饮料); 白酒; 米酒; 蜂蜜酒; 谷物制蒸馏酒精饮料; 黄酒</t>
  </si>
  <si>
    <t xml:space="preserve"> 含水果酒精饮料; 果酒; 清酒; 烈酒(饮料); 烧酒; 白酒; 苹果酒; 葡萄酒; 酒精饮料(啤酒除外); 鸡尾酒</t>
  </si>
  <si>
    <t xml:space="preserve"> 伏特加酒; 威士忌; 开胃酒; 朗姆酒; 汽酒; 白兰地; 白酒; 葡萄酒; 鸡尾酒; 黄酒</t>
  </si>
  <si>
    <t xml:space="preserve"> 利口酒; 果酒(含酒精); 烧酒(烈酒); 白酒; 米酒; 老酒(中国蒸馏烈酒); 葡萄酒; 酒精饮料(啤酒除外); 高粱酒; 鸡尾酒</t>
  </si>
  <si>
    <t xml:space="preserve"> 果酒(含酒精); 白兰地; 白酒; 米酒; 红葡萄酒; 老酒(中国蒸馏烈酒); 酒精饮料(啤酒除外); 酒精饮料原汁; 鸡尾酒; 黄酒</t>
  </si>
  <si>
    <t xml:space="preserve"> 利口酒; 威士忌; 干型苹果酒; 果酒; 清酒(日本米酒); 烈酒; 白酒; 葡萄酒</t>
  </si>
  <si>
    <t xml:space="preserve"> 果酒(含酒精); 梅酒; 清酒(日本米酒); 烈酒(饮料); 白酒; 米酒; 老酒(中国蒸馏烈酒); 葡萄酒; 鸡尾酒; 黄酒</t>
  </si>
  <si>
    <t xml:space="preserve"> 伏特加酒; 威士忌; 开胃酒; 烧酒; 白兰地; 白酒; 苹果酒; 葡萄酒; 薄荷酒; 鸡尾酒</t>
  </si>
  <si>
    <t xml:space="preserve"> 含酒精的气泡水; 威士忌; 果酒(含酒精); 烈酒(饮料); 烧酒; 白酒; 米酒; 葡萄酒; 预先混合的酒精饮料(以啤酒为主的除外); 黄酒</t>
  </si>
  <si>
    <t xml:space="preserve"> 汽酒; 清酒(日本米酒); 烧酒; 白兰地; 白酒; 米酒; 葡萄酒; 酒精饮料(啤酒除外); 鸡尾酒; 黄酒</t>
  </si>
  <si>
    <t xml:space="preserve"> 含水果酒精饮料; 果酒(含酒精); 烧酒; 白酒; 米酒; 葡萄酒; 酒精饮料(啤酒除外); 酒精饮料原汁; 酒精饮料浓缩汁; 黄酒</t>
  </si>
  <si>
    <t xml:space="preserve"> 果酒(含酒精); 烈酒(饮料); 烧酒; 白兰地; 白酒; 米酒; 茴芹酒(利口酒); 葡萄酒; 鸡尾酒; 黄酒</t>
  </si>
  <si>
    <t xml:space="preserve"> 含酒精水果饮料; 开胃酒; 果酒(含酒精); 烧酒; 白酒; 米酒; 葡萄酒; 青稞酒; 高粱酒; 鸡尾酒</t>
  </si>
  <si>
    <t xml:space="preserve"> 威士忌; 果酒; 梅酒; 烧酒; 白酒; 米酒; 老酒(中国蒸馏烈酒); 葡萄酒; 酒精饮料(啤酒除外); 黄酒</t>
  </si>
  <si>
    <t xml:space="preserve"> 利口酒; 威士忌; 开胃酒; 果酒(含酒精); 白酒; 米酒; 葡萄酒; 蒸馏饮料; 鸡尾酒; 黄酒</t>
  </si>
  <si>
    <t xml:space="preserve"> 亚力酒; 开胃酒; 果酒(含酒精); 白兰地; 白酒; 苹果酒; 葡萄酒; 薄荷酒; 酒精饮料浓缩汁; 鸡尾酒</t>
  </si>
  <si>
    <t xml:space="preserve"> 利口酒; 威士忌; 开胃酒; 果酒(含酒精); 清酒(日本米酒); 烈酒(饮料); 白酒; 米酒; 食用酒精; 鸡尾酒</t>
  </si>
  <si>
    <t xml:space="preserve"> 含水果酒精饮料; 含酒精的饮料(啤酒除外); 开胃酒; 果酒(含酒精); 白酒; 米酒; 苦味酒; 茴芹酒(利口酒); 茴香酒(利口酒); 薄荷酒; 酒精饮料(啤酒除外); 酒精饮料原汁; 酒精饮料浓缩汁; 预先混合的酒精饮料(以啤酒为主的除外)</t>
  </si>
  <si>
    <t xml:space="preserve"> 含水果酒精饮料; 威士忌; 果酒(含酒精); 烈酒(饮料); 烧酒; 白酒; 米酒; 青稞酒; 食用酒精; 黄酒</t>
  </si>
  <si>
    <t xml:space="preserve"> 利口酒; 含水果酒精饮料; 果酒(含酒精); 汽酒; 清酒; 白酒; 葡萄酒; 蒸馏饮料; 酒精饮料浓缩汁; 黄酒</t>
  </si>
  <si>
    <t xml:space="preserve"> 威士忌; 果酒(含酒精); 烈酒(饮料); 烧酒; 白兰地; 白酒; 米酒; 葡萄酒; 酒精饮料(啤酒除外); 鸡尾酒</t>
  </si>
  <si>
    <t xml:space="preserve"> 果酒(含酒精); 烈酒(饮料); 烧酒; 白酒; 米酒; 苹果酒; 葡萄酒; 酒精饮料(啤酒除外); 鸡尾酒; 黄酒</t>
  </si>
  <si>
    <t xml:space="preserve"> 威士忌; 果酒; 烈酒; 烧酒; 白酒; 米酒; 谷物制蒸馏酒精饮料; 预先混合的酒精饮料(以啤酒为主的除外); 食用酒精; 黄酒</t>
  </si>
  <si>
    <t xml:space="preserve"> 果酒(含酒精); 烈酒(饮料); 烧酒; 白酒; 米酒; 葡萄酒; 蒸馏饮料; 谷物制蒸馏酒精饮料; 酒精饮料(啤酒除外); 黄酒</t>
  </si>
  <si>
    <t xml:space="preserve"> 果酒(含酒精); 樱桃酒; 烧酒; 白兰地; 白酒; 米酒; 苹果酒; 葡萄酒; 蜂蜜酒; 黄酒</t>
  </si>
  <si>
    <t xml:space="preserve"> 威士忌; 烈酒(饮料); 蒸馏饮料; 酒精饮料(啤酒除外); 酒精饮料原汁; 酒精饮料浓缩汁</t>
  </si>
  <si>
    <t xml:space="preserve"> 威士忌; 烈酒; 烧酒; 白酒; 米酒; 老酒(中国蒸馏烈酒); 葡萄酒; 酒精饮料(啤酒除外); 高粱酒; 鸡尾酒</t>
  </si>
  <si>
    <t xml:space="preserve"> 果酒; 烈酒(饮料); 烧酒; 甜果酒; 白酒; 酒精饮料(啤酒除外); 预先混合的酒精饮料(以啤酒为主的除外); 食用酒精</t>
  </si>
  <si>
    <t xml:space="preserve"> 含水果酒精饮料; 果酒(含酒精); 烧酒; 白酒; 米酒; 葡萄酒; 蒸馏米酒(泡盛酒); 蒸馏饮料; 青梅酒; 高粱酒</t>
  </si>
  <si>
    <t xml:space="preserve"> 杜松子酒</t>
  </si>
  <si>
    <t xml:space="preserve"> 含酒精水果饮料; 果酒; 烧酒; 白酒; 米酒; 葡萄酒; 除啤酒外的酒精饮料; 食用酒精; 鸡尾酒; 黄酒</t>
  </si>
  <si>
    <t xml:space="preserve"> 利口酒; 威士忌; 朗姆酒; 果酒; 果酒(含酒精); 白兰地; 白酒; 葡萄酒; 鸡尾酒; 麦芽威士忌</t>
  </si>
  <si>
    <t xml:space="preserve"> 伏特加酒; 威士忌; 果酒; 清酒; 烧酒; 白酒; 米酒; 葡萄酒; 蜂蜜酒; 黄酒</t>
  </si>
  <si>
    <t xml:space="preserve"> 威士忌; 朗姆酒; 果酒; 清酒(日本米酒); 白兰地; 白酒; 米酒; 葡萄酒; 鸡尾酒; 黄酒</t>
  </si>
  <si>
    <t xml:space="preserve"> 含水果酒精饮料; 果酒(含酒精); 汽酒; 清酒; 烧酒; 米酒; 葡萄酒; 蜂蜜酒; 酒精饮料(啤酒除外); 鸡尾酒</t>
  </si>
  <si>
    <t xml:space="preserve"> 果酒; 烈酒; 烧酒; 白酒; 米酒; 老酒(中国蒸馏烈酒); 葡萄酒; 露酒; 食用酒精; 黄酒</t>
  </si>
  <si>
    <t xml:space="preserve"> 果酒(含酒精); 烈酒(饮料); 烧酒; 白酒; 红葡萄酒; 苹果酒; 葡萄酒; 酒精饮料(啤酒除外); 酒精饮料原汁; 鸡尾酒</t>
  </si>
  <si>
    <t xml:space="preserve"> 威士忌; 清酒(日本米酒); 烧酒; 白酒; 葡萄酒; 蒸煮提取物(利口酒和烈酒); 蒸馏饮料; 酒精饮料(啤酒除外); 鸡尾酒; 黄酒</t>
  </si>
  <si>
    <t xml:space="preserve"> 果酒; 烈酒(饮料); 烧酒; 白酒; 米酒; 葡萄酒; 蜂蜜酒; 高粱酒; 鸡尾酒; 黄酒</t>
  </si>
  <si>
    <t xml:space="preserve"> 含酒精的饮料(啤酒除外); 果酒(含酒精); 清酒; 烈酒(饮料); 烧酒; 白酒; 米酒; 葡萄酒; 鸡尾酒; 黄酒</t>
  </si>
  <si>
    <t xml:space="preserve"> 含水果酒精饮料; 开胃酒; 果酒(含酒精); 梨酒; 烧酒; 白酒; 米酒; 葡萄酒; 酒精饮料原汁; 黄酒</t>
  </si>
  <si>
    <t xml:space="preserve"> 威士忌; 开胃酒; 果酒; 清酒; 烧酒; 白酒; 米酒; 食用酒精; 鸡尾酒; 黄酒</t>
  </si>
  <si>
    <t xml:space="preserve"> 利口酒; 果酒(含酒精); 清酒(日本米酒); 烈酒(饮料); 白酒; 葡萄酒; 预先混合的酒精饮料(以啤酒为主的除外); 鸡尾酒; 黄酒</t>
  </si>
  <si>
    <t xml:space="preserve"> 含水果酒精饮料; 威士忌; 果酒; 清酒; 烈酒; 烧酒; 白酒; 葡萄酒; 酒精饮料(啤酒除外); 鸡尾酒</t>
  </si>
  <si>
    <t xml:space="preserve"> 威士忌; 果酒(含酒精); 汽酒; 白酒; 米酒; 葡萄酒; 酒精饮料(啤酒除外); 青稞酒; 鸡尾酒; 黄酒</t>
  </si>
  <si>
    <t xml:space="preserve"> 利口酒; 开胃酒; 果酒(含酒精); 烈酒(饮料); 烧酒; 白酒; 蒸煮提取物(利口酒和烈酒); 蒸馏饮料; 酒精饮料原汁; 食用酒精</t>
  </si>
  <si>
    <t xml:space="preserve"> 含水果酒精饮料; 已调味的蒸馏酒; 果酒; 汽酒; 烧酒; 白酒; 米酒; 苦味酒; 谷物制蒸馏酒精饮料; 高粱酒</t>
  </si>
  <si>
    <t xml:space="preserve"> 利口酒; 含水果酒精饮料; 果酒(含酒精); 汽酒; 烈酒(饮料); 烧酒; 白酒; 葡萄酒; 蒸馏饮料; 酒精饮料(啤酒除外)</t>
  </si>
  <si>
    <t xml:space="preserve"> 含酒精水果饮料; 果酒(含酒精); 烈酒(饮料); 白兰地; 白酒; 米酒; 葡萄酒; 酒精饮料(啤酒除外); 青稞酒; 黄酒</t>
  </si>
  <si>
    <t xml:space="preserve"> 利口酒; 杨梅酒; 烈酒; 烧酒; 白干酒(中国白酒); 白酒; 米酒; 蜂蜜酒; 青梅酒; 高粱酒</t>
  </si>
  <si>
    <t xml:space="preserve"> 含水果酒精饮料; 含酒精的饮料(啤酒除外); 开胃酒; 果酒(含酒精); 烈酒; 烧酒; 白酒; 米酒; 葡萄酒; 黄酒</t>
  </si>
  <si>
    <t xml:space="preserve"> 利口酒; 含水果酒精饮料; 开胃酒; 果酒(含酒精); 烧酒; 白酒; 葡萄酒; 酒精饮料(啤酒除外); 酒精饮料原汁; 黄酒</t>
  </si>
  <si>
    <t xml:space="preserve"> 伏特加酒; 果酒(含酒精); 清酒; 烈酒(饮料); 白酒; 米酒; 葡萄酒; 酒精饮料(啤酒除外); 鸡尾酒; 黄酒</t>
  </si>
  <si>
    <t xml:space="preserve"> 以葡萄酒为主的饮料; 日本梅子酒; 白葡萄酒; 白酒; 米酒; 老酒(中国蒸馏烈酒); 苦荞酒; 葡萄酒; 高粱酒; 黄酒</t>
  </si>
  <si>
    <t xml:space="preserve"> 伏特加酒; 利口酒; 含水果酒精饮料; 威士忌; 朗姆酒; 果酒(含酒精); 白兰地; 白酒; 葡萄酒; 食用酒精</t>
  </si>
  <si>
    <t xml:space="preserve"> 清酒; 烈酒; 烧酒; 烧酒(烈酒); 由谷物蒸馏的白酒; 白干酒(中国白酒); 白酒; 老酒(中国蒸馏烈酒); 蒸煮提取物(利口酒和烈酒); 高粱酒</t>
  </si>
  <si>
    <t xml:space="preserve"> 果酒(含酒精); 烈酒(饮料); 烧酒; 白酒; 米酒; 葡萄酒; 酒精饮料原汁; 青稞酒; 预先混合的酒精饮料(以啤酒为主的除外); 黄酒</t>
  </si>
  <si>
    <t xml:space="preserve"> 威士忌; 果酒(含酒精); 烧酒(烈酒); 白兰地; 白干酒(中国白酒); 白酒; 红葡萄酒; 苦荞酒; 高粱酒; 黄酒</t>
  </si>
  <si>
    <t xml:space="preserve"> 果酒; 汽酒; 清酒; 烧酒; 白酒; 米酒; 葡萄酒; 酒精饮料(啤酒除外); 食用酒精; 黄酒</t>
  </si>
  <si>
    <t xml:space="preserve"> 伏特加酒; 威士忌; 开胃酒; 果酒(含酒精); 白兰地; 白干酒(中国白酒); 葡萄酒; 蒸馏饮料; 除啤酒外的酒精饮料; 鸡尾酒</t>
  </si>
  <si>
    <t xml:space="preserve"> 伏特加酒; 威士忌; 朗姆酒; 果酒(含酒精); 白兰地; 白酒; 米酒; 葡萄酒; 酒精饮料(啤酒除外); 鸡尾酒</t>
  </si>
  <si>
    <t xml:space="preserve"> 含水果酒精饮料; 果酒(含酒精); 清酒(日本米酒); 白兰地; 白酒; 葡萄酒; 蒸馏饮料; 酒精饮料(啤酒除外); 鸡尾酒; 黄酒</t>
  </si>
  <si>
    <t xml:space="preserve"> 伏特加酒; 威士忌; 开胃酒; 果酒; 清酒; 烈酒(饮料); 烧酒; 白酒; 米酒; 黄酒</t>
  </si>
  <si>
    <t xml:space="preserve"> 开胃酒; 烈酒; 烈酒(饮料); 烧酒; 烧酒(烈酒); 白酒; 蒸煮提取物(利口酒和烈酒); 蒸馏饮料; 谷物制蒸馏酒精饮料; 高粱酒</t>
  </si>
  <si>
    <t xml:space="preserve"> 含水果酒精饮料; 开胃酒; 果酒(含酒精); 烈酒(饮料); 烧酒; 白酒; 米酒; 蒸馏饮料; 酒精饮料原汁; 预先混合的酒精饮料(以啤酒为主的除外)</t>
  </si>
  <si>
    <t xml:space="preserve"> 果酒(含酒精); 樱桃酒; 烧酒; 白酒; 米酒; 葡萄酒; 蒸馏饮料; 谷物制蒸馏酒精饮料; 青稞酒; 黄酒</t>
  </si>
  <si>
    <t xml:space="preserve"> 果酒; 烈酒; 烧酒; 白酒; 米酒; 葡萄酒; 酒精饮料(啤酒除外); 食用酒精; 鸡尾酒; 黄酒</t>
  </si>
  <si>
    <t xml:space="preserve"> 以葡萄酒为主的饮料; 利口酒; 加烈葡萄酒; 威士忌; 果酒(含酒精); 汽酒; 烈酒(饮料); 白兰地; 白葡萄酒; 葡萄酒; 酒精饮料(啤酒除外)</t>
  </si>
  <si>
    <t xml:space="preserve"> 烈性干酒; 烈酒; 烧酒; 白干酒(中国白酒); 白酒; 米酒; 老酒(中国蒸馏烈酒); 露酒; 食用酒精</t>
  </si>
  <si>
    <t xml:space="preserve"> 以蒸馏酒为主的开胃酒; 含酒精的充气饮料(啤酒除外); 果酒; 烈性干酒; 烧酒(烈酒); 白干酒(中国白酒); 老酒(中国蒸馏烈酒); 苦荞酒; 蒸煮提取物(利口酒和烈酒); 高粱酒</t>
  </si>
  <si>
    <t xml:space="preserve"> 果酒; 梅酒; 甜酒; 白兰地; 白酒; 米酒; 葡萄酒; 酒精饮料(啤酒除外); 预先混合的酒精饮料(以啤酒为主的除外); 鸡尾酒</t>
  </si>
  <si>
    <t xml:space="preserve"> 开胃酒; 果酒(含酒精); 樱桃酒; 白酒; 米酒; 葡萄酒; 谷物制蒸馏酒精饮料; 酒精饮料原汁; 鸡尾酒; 黄酒</t>
  </si>
  <si>
    <t xml:space="preserve"> 清酒(日本米酒)</t>
  </si>
  <si>
    <t xml:space="preserve"> 含酒精的饮料(啤酒除外); 果酒; 烧酒; 白干酒(中国白酒); 白酒; 米酒; 老酒(中国蒸馏烈酒); 葡萄酒; 鸡尾酒; 黄酒</t>
  </si>
  <si>
    <t xml:space="preserve"> 含奶油利口酒; 含水果酒精饮料; 含牛奶的鸡尾酒; 樱桃酒; 苹果酒; 葡萄酒; 蒸馏饮料; 青稞酒; 餐后酒(利口酒和烈酒); 黄酒</t>
  </si>
  <si>
    <t xml:space="preserve"> 已调味的蒸馏酒; 清酒(日本米酒); 烈性干酒; 烈酒; 烈酒(饮料); 烧酒; 由谷物蒸馏的白酒; 白干酒(中国白酒); 白酒; 老酒(中国蒸馏烈酒)</t>
  </si>
  <si>
    <t xml:space="preserve"> 伏特加酒; 威士忌; 开胃酒; 果酒(含酒精); 烧酒; 葡萄酒; 蒸馏饮料; 酒精饮料(啤酒除外); 酒精饮料浓缩汁; 黄酒</t>
  </si>
  <si>
    <t xml:space="preserve"> 伏特加酒; 威士忌; 清酒(日本米酒); 烈酒(饮料); 烧酒; 白兰地; 白酒; 葡萄酒; 食用酒精; 黄酒</t>
  </si>
  <si>
    <t xml:space="preserve"> 开胃酒; 果酒(含酒精); 汽酒; 清酒; 甜酒; 白酒; 米酒; 葡萄酒; 蜂蜜酒; 鸡尾酒</t>
  </si>
  <si>
    <t xml:space="preserve"> 伏特加酒; 果酒(含酒精); 樱桃酒; 烈酒(饮料); 白酒; 苹果酒; 葡萄酒; 蒸馏饮料; 酒精饮料原汁; 食用酒精</t>
  </si>
  <si>
    <t xml:space="preserve"> 伏特加酒; 利口酒; 威士忌; 果酒; 清酒(日本米酒); 烈酒(饮料); 白酒; 米酒; 红葡萄酒; 鸡尾酒</t>
  </si>
  <si>
    <t xml:space="preserve"> 威士忌; 果酒(含酒精); 清酒; 烈酒(饮料); 烧酒; 白酒; 米酒; 葡萄酒; 鸡尾酒; 黄酒</t>
  </si>
  <si>
    <t xml:space="preserve"> 开胃酒; 果酒(含酒精); 清酒(日本米酒); 白兰地; 白酒; 米酒; 苹果酒; 青稞酒; 鸡尾酒; 黄酒</t>
  </si>
  <si>
    <t xml:space="preserve"> 果酒(含酒精); 清酒; 烧酒; 由谷物蒸馏的白酒; 白酒; 米酒; 葡萄酒; 除啤酒外的酒精饮料; 食用酒精; 黄酒</t>
  </si>
  <si>
    <t xml:space="preserve"> 含酒精的充气饮料(啤酒除外); 果酒(含酒精); 清酒; 烧酒; 由谷物蒸馏的白酒; 白酒; 米酒; 老酒(中国蒸馏烈酒); 葡萄酒; 高粱酒</t>
  </si>
  <si>
    <t xml:space="preserve"> 含酒精水果饮料; 果酒(含酒精); 烈酒(饮料); 由谷物蒸馏的白酒; 白兰地; 白酒; 米酒; 葡萄酒; 蜂蜜酒; 高粱酒</t>
  </si>
  <si>
    <t xml:space="preserve"> 含水果酒精饮料; 开胃酒; 果酒(含酒精); 清酒(日本米酒); 烈酒(饮料); 白酒; 米酒; 葡萄酒; 酒精饮料原汁; 黄酒</t>
  </si>
  <si>
    <t xml:space="preserve"> 含水果酒精饮料; 开胃酒; 果酒(含酒精); 汽酒; 烈酒(饮料); 烧酒; 白酒; 米酒; 葡萄酒; 鸡尾酒</t>
  </si>
  <si>
    <t xml:space="preserve"> 含酒精的饮料(啤酒除外); 果酒; 梅酒; 烧酒; 白酒; 米酒; 葡萄酒; 青稞酒; 高粱酒; 黄酒</t>
  </si>
  <si>
    <t xml:space="preserve"> 利口酒; 含酒精的饮料(啤酒除外); 威士忌; 开胃酒; 果酒; 烈酒(饮料); 白酒; 苹果酒; 葡萄酒; 鸡尾酒</t>
  </si>
  <si>
    <t xml:space="preserve"> 利口酒; 含水果酒精饮料; 汽酒; 烧酒; 白酒; 米酒; 老酒(中国蒸馏烈酒); 葡萄酒; 酒精饮料(啤酒除外); 黄酒</t>
  </si>
  <si>
    <t xml:space="preserve"> 开胃酒; 果酒(含酒精); 烧酒; 白酒; 米酒; 葡萄酒; 酒精饮料(啤酒除外); 青稞酒; 鸡尾酒; 黄酒</t>
  </si>
  <si>
    <t xml:space="preserve"> 佐餐酒; 含酒精水果饮料; 含酒精的饮料(啤酒除外); 开胃酒; 果酒; 汽酒; 清酒; 米酒; 青稞酒; 黄酒</t>
  </si>
  <si>
    <t xml:space="preserve"> 含水果酒精饮料; 烧酒; 蒸馏饮料; 薄荷酒; 谷物制蒸馏酒精饮料; 酒精饮料(啤酒除外); 青稞酒; 预先混合的酒精饮料(以啤酒为主的除外); 食用酒精; 黄酒</t>
  </si>
  <si>
    <t xml:space="preserve"> 伏特加酒; 果酒(含酒精); 清酒(日本米酒); 烈酒(饮料); 烧酒; 白酒; 葡萄酒; 酒精饮料(啤酒除外); 食用酒精; 鸡尾酒</t>
  </si>
  <si>
    <t xml:space="preserve"> 开胃酒; 果酒(含酒精); 烧酒; 白酒; 葡萄酒; 蒸馏饮料; 酒精饮料(啤酒除外); 酒精饮料原汁; 酒精饮料浓缩汁; 食用酒精</t>
  </si>
  <si>
    <t xml:space="preserve"> 清酒; 烈酒; 烈酒(饮料); 烧酒; 甜酒; 白酒; 草莓酒; 露酒; 食用酒精; 高粱酒</t>
  </si>
  <si>
    <t xml:space="preserve"> 开胃酒; 果酒; 清酒(日本米酒); 烧酒; 白酒; 葡萄酒; 蜂蜜酒; 酒精饮料(啤酒除外); 青稞酒; 食用酒精</t>
  </si>
  <si>
    <t xml:space="preserve"> 以葡萄酒为主的饮料; 果酒(含酒精); 清酒; 白干酒(中国白酒); 白酒; 红葡萄酒; 葡萄酒; 酒精饮料(啤酒除外); 食用酒精; 黄酒</t>
  </si>
  <si>
    <t xml:space="preserve"> 开胃酒; 果酒(含酒精); 烧酒; 白酒; 米酒; 苹果酒; 葡萄酒; 蒸煮提取物(利口酒和烈酒); 酒精饮料(啤酒除外); 鸡尾酒</t>
  </si>
  <si>
    <t xml:space="preserve"> 以葡萄酒为主的开胃酒; 以蒸馏酒为主的开胃酒; 天然汽酒; 开胃酒; 果酒(含酒精); 柑香酒; 白酒; 苦味酒; 苹果酒; 葡萄酒</t>
  </si>
  <si>
    <t xml:space="preserve"> 以朗姆酒为主的饮料; 含酒精的鸡尾酒混合饮品; 果酒(含酒精); 白酒; 葡萄酒; 蒸馏饮料; 调制好的葡萄酒鸡尾酒; 谷物制蒸馏酒精饮料; 酒精饮料(啤酒除外); 黄酒</t>
  </si>
  <si>
    <t xml:space="preserve"> 烈酒(饮料); 烧酒; 白兰地; 白酒; 老酒(中国蒸馏烈酒); 葡萄酒; 酒精饮料(啤酒除外); 预先混合的酒精饮料(以啤酒为主的除外); 食用酒精; 鸡尾酒</t>
  </si>
  <si>
    <t xml:space="preserve"> 含水果酒精饮料; 果酒(含酒精); 烈酒(饮料); 烧酒; 白酒; 葡萄酒; 蒸馏饮料; 酒精饮料(啤酒除外); 酒精饮料原汁; 鸡尾酒</t>
  </si>
  <si>
    <t xml:space="preserve"> 威士忌; 果酒(含酒精); 清酒(日本米酒); 烧酒; 白兰地; 白酒; 米酒; 葡萄酒; 酒精饮料(啤酒除外); 鸡尾酒</t>
  </si>
  <si>
    <t xml:space="preserve"> 威士忌; 果酒(含酒精); 清酒(日本米酒); 烧酒; 白酒; 米酒; 葡萄酒; 酒精饮料(啤酒除外); 鸡尾酒; 黄酒</t>
  </si>
  <si>
    <t xml:space="preserve"> 威士忌; 果酒(含酒精); 烈酒(饮料); 烧酒; 白酒; 米酒; 葡萄酒; 蜂蜜酒; 酒精饮料(啤酒除外); 黄酒</t>
  </si>
  <si>
    <t xml:space="preserve"> 伏特加酒; 开胃酒; 果酒(含酒精); 白兰地; 白酒; 米酒; 葡萄酒; 薄荷酒; 蜂蜜酒; 食用酒精</t>
  </si>
  <si>
    <t xml:space="preserve"> 加烈葡萄酒; 烈酒(饮料); 白兰地; 白酒; 葡萄汽酒; 葡萄酒; 起泡白葡萄酒; 起泡红葡萄酒; 酒精饮料(啤酒除外); 餐后酒(利口酒和烈酒)</t>
  </si>
  <si>
    <t xml:space="preserve"> 开胃酒; 烈酒(饮料); 烧酒; 白兰地; 米酒; 葡萄酒; 蜂蜜酒; 酒精饮料(啤酒除外); 食用酒精; 鸡尾酒</t>
  </si>
  <si>
    <t xml:space="preserve"> 烧酒; 烧酒(烈酒)</t>
  </si>
  <si>
    <t xml:space="preserve"> 利口酒; 威士忌; 果酒(含酒精); 烧酒; 白酒; 米酒; 葡萄酒; 蒸馏饮料; 酒精饮料(啤酒除外); 鸡尾酒</t>
  </si>
  <si>
    <t xml:space="preserve"> 含水果酒精饮料; 果酒(含酒精); 樱桃酒; 汽酒; 烧酒; 白兰地; 白酒; 苹果酒; 葡萄酒; 黄酒</t>
  </si>
  <si>
    <t xml:space="preserve"> 清酒; 烧酒; 烧酒(烈酒); 由谷物蒸馏的白酒; 白酒; 米酒; 葡萄酒; 酒精饮料(啤酒除外); 鸡尾酒; 黄酒</t>
  </si>
  <si>
    <t xml:space="preserve"> 伏特加酒; 威士忌; 开胃酒; 果酒(含酒精); 清酒(日本米酒); 烈酒(饮料); 白兰地; 白酒; 葡萄酒; 酒精饮料浓缩汁</t>
  </si>
  <si>
    <t xml:space="preserve"> 利口酒; 含水果酒精饮料; 开胃酒; 果酒(含酒精); 烈酒(饮料); 烧酒; 白酒; 米酒; 酒精饮料(啤酒除外); 黄酒</t>
  </si>
  <si>
    <t xml:space="preserve"> 佐餐酒; 威士忌; 果酒; 清酒; 烧酒(烈酒); 甘蔗制烈酒; 甜果酒; 白酒; 葡萄酒; 高粱酒</t>
  </si>
  <si>
    <t xml:space="preserve"> 果酒(含酒精); 汽酒; 白酒; 葡萄酒; 谷物制蒸馏酒精饮料; 酒精饮料(啤酒除外); 预先混合的酒精饮料(以啤酒为主的除外); 餐后酒(利口酒和烈酒); 鸡尾酒; 黄酒</t>
  </si>
  <si>
    <t xml:space="preserve"> 利口酒; 开胃酒; 朗姆酒; 果酒; 清酒(日本米酒); 烧酒; 白酒; 葡萄酒; 酒精饮料(啤酒除外); 鸡尾酒</t>
  </si>
  <si>
    <t xml:space="preserve"> 果酒(含酒精); 烈酒(饮料); 烧酒; 白酒; 米酒; 葡萄酒; 蒸馏饮料; 酒精饮料(啤酒除外); 食用酒精; 黄酒</t>
  </si>
  <si>
    <t xml:space="preserve"> 含酒精水果饮料; 含酒精的充气饮料(啤酒除外); 含酒精的气泡水; 威士忌; 果酒(含酒精); 白兰地; 白酒; 米酒; 葡萄酒; 黄酒</t>
  </si>
  <si>
    <t xml:space="preserve"> 加烈葡萄酒; 含酒精水果饮料; 果酒; 清酒; 烧酒; 白酒; 红葡萄酒; 老酒(中国蒸馏烈酒); 蒸馏米酒(泡盛酒); 高粱酒</t>
  </si>
  <si>
    <t xml:space="preserve"> 威士忌; 果酒(含酒精); 烧酒; 白酒; 米酒; 葡萄酒; 蒸馏饮料; 除啤酒外的酒精饮料; 鸡尾酒; 黄酒</t>
  </si>
  <si>
    <t xml:space="preserve"> 含水果酒精饮料; 开胃酒; 果酒(含酒精); 汽酒; 清酒(日本米酒); 烈酒(饮料); 白酒; 葡萄酒; 蒸馏饮料; 鸡尾酒</t>
  </si>
  <si>
    <t xml:space="preserve"> 果酒; 清酒(日本米酒); 烧酒; 白酒; 米酒; 葡萄酒; 酒精饮料(啤酒除外); 预先混合的酒精饮料(以啤酒为主的除外); 鸡尾酒; 黄酒</t>
  </si>
  <si>
    <t xml:space="preserve"> 含水果酒精饮料; 威士忌; 果酒; 果酒(含酒精); 烈酒; 烈酒(饮料); 烧酒; 白兰地; 白酒; 葡萄酒</t>
  </si>
  <si>
    <t xml:space="preserve"> 开胃酒; 果酒(含酒精); 梨酒; 汽酒; 烈酒(饮料); 烧酒; 白酒; 米酒; 蜂蜜酒; 黄酒</t>
  </si>
  <si>
    <t xml:space="preserve"> 果酒(含酒精); 烈酒(饮料); 烧酒; 白酒; 老酒(中国蒸馏烈酒); 葡萄酒; 酒精饮料(啤酒除外); 食用酒精; 鸡尾酒; 黄酒</t>
  </si>
  <si>
    <t xml:space="preserve"> 果酒(含酒精); 清酒; 烧酒(烈酒); 白酒; 米酒; 酒精饮料(啤酒除外); 酒精饮料浓缩汁; 青稞酒; 高粱酒; 黄酒</t>
  </si>
  <si>
    <t xml:space="preserve"> 伏特加酒; 威士忌; 朗姆酒; 果酒(含酒精); 烈酒(饮料); 白兰地; 葡萄酒; 谷物制蒸馏酒精饮料; 食用酒精; 黄酒</t>
  </si>
  <si>
    <t xml:space="preserve"> 白酒酱香型</t>
  </si>
  <si>
    <t xml:space="preserve"> 开胃酒; 果酒(含酒精); 烈酒(饮料); 烧酒; 白酒; 米酒; 葡萄酒; 酒精饮料(啤酒除外); 鸡尾酒; 黄酒</t>
  </si>
  <si>
    <t xml:space="preserve"> 果酒(含酒精); 烈酒(饮料); 烧酒; 白酒; 米酒; 老酒(中国蒸馏烈酒); 葡萄酒; 酒精饮料(啤酒除外); 鸡尾酒; 黄酒</t>
  </si>
  <si>
    <t xml:space="preserve"> 烈酒; 烧酒; 由谷物蒸馏的白酒; 白干酒(中国白酒); 白酒; 苦荞酒; 薄荷酒; 青稞酒; 高粱酒; 黄酒</t>
  </si>
  <si>
    <t xml:space="preserve"> 含酒精水果饮料; 含酒精的气泡水; 含酒精的饮料(啤酒除外); 果酒(含酒精); 梅酒; 水果汽酒; 清酒; 米酒; 葡萄酒; 青梅酒</t>
  </si>
  <si>
    <t xml:space="preserve"> 含酒精的饮料(啤酒除外); 果酒(含酒精); 烧酒; 由谷物蒸馏的白酒; 白干酒(中国白酒); 白酒; 老酒(中国蒸馏烈酒); 葡萄酒; 蒸煮提取物(利口酒和烈酒); 酒精饮料(啤酒除外)</t>
  </si>
  <si>
    <t xml:space="preserve"> 威士忌; 果酒(含酒精); 清酒; 烈酒(饮料); 白酒; 米酒; 葡萄酒; 酒精饮料(啤酒除外); 食用酒精; 黄酒</t>
  </si>
  <si>
    <t xml:space="preserve"> 伏特加酒; 利口酒; 威士忌; 朗姆酒; 果酒(含酒精); 白兰地; 白酒; 葡萄酒; 酒精饮料(啤酒除外); 黄酒</t>
  </si>
  <si>
    <t xml:space="preserve"> 含水果酒精饮料; 含酒精水果饮料; 开胃酒; 果酒(含酒精); 梅酒; 水果汽酒; 米酒; 葡萄酒; 蜂蜜酒; 酒精饮料(啤酒除外)</t>
  </si>
  <si>
    <t xml:space="preserve"> 开胃酒; 果酒; 清酒; 烧酒; 白酒; 米酒; 葡萄酒; 蒸煮提取物(利口酒和烈酒); 酒精饮料(啤酒除外); 黄酒</t>
  </si>
  <si>
    <t xml:space="preserve"> 日本梅子酒; 汽酒; 清酒(日本米酒); 甜酒; 白酒; 米酒; 葡萄酒; 酒精饮料(啤酒除外); 鸡尾酒; 黄酒</t>
  </si>
  <si>
    <t xml:space="preserve"> 开胃酒; 果酒(含酒精); 烈酒; 烧酒; 白酒; 米酒; 葡萄酒; 酒精饮料(啤酒除外); 鸡尾酒; 黄酒</t>
  </si>
  <si>
    <t xml:space="preserve"> 威士忌; 果酒(含酒精); 清酒(日本米酒); 烧酒; 葡萄酒; 酒精饮料(啤酒除外); 酒精饮料浓缩汁; 预先混合的酒精饮料(以啤酒为主的除外); 食用酒精; 鸡尾酒</t>
  </si>
  <si>
    <t xml:space="preserve"> 果酒(含酒精); 白酒; 米酒; 葡萄酒; 蒸煮提取物(利口酒和烈酒); 蜂蜜酒; 酒精饮料(啤酒除外); 酒精饮料浓缩汁; 食用酒精; 高粱酒</t>
  </si>
  <si>
    <t xml:space="preserve"> 果酒; 白酒; 米酒; 老酒(中国蒸馏烈酒); 葡萄酒; 蜂蜜酒; 酒精饮料(啤酒除外); 青稞酒; 高粱酒; 黄酒</t>
  </si>
  <si>
    <t xml:space="preserve"> 伏特加酒; 含水果酒精饮料; 烧酒; 白兰地; 白酒; 米酒; 葡萄酒; 蜂蜜酒; 谷物制蒸馏酒精饮料; 酒精饮料浓缩汁</t>
  </si>
  <si>
    <t xml:space="preserve"> 伏特加酒; 威士忌; 日式甜米酒; 日本梅子酒; 朗姆酒; 杨梅酒; 果酒; 果酒(含酒精); 梅酒; 清酒; 清酒(日本米酒); 烈酒; 烧酒; 烧酒(烈酒); 白兰地; 白酒; 米酒; 老酒(中国蒸馏烈酒); 葡萄酒; 露酒; 青梅酒; 高粱酒; 麦芽威士忌; 黄酒</t>
  </si>
  <si>
    <t xml:space="preserve"> 白酒; 食用酒精; 黄酒</t>
  </si>
  <si>
    <t xml:space="preserve"> 开胃酒; 果酒(含酒精); 清酒(日本米酒); 烈酒(饮料); 烧酒; 白酒; 米酒; 葡萄酒; 酒精饮料(啤酒除外); 黄酒</t>
  </si>
  <si>
    <t xml:space="preserve"> 果酒(含酒精); 梨酒; 清酒(日本米酒); 白酒; 米酒; 葡萄酒; 酒精饮料原汁; 露酒; 青稞酒; 黄酒</t>
  </si>
  <si>
    <t xml:space="preserve"> 开胃酒; 果酒(含酒精); 烧酒; 白酒; 米酒; 葡萄酒; 蜂蜜酒; 酒精饮料(啤酒除外); 食用酒精; 黄酒</t>
  </si>
  <si>
    <t xml:space="preserve"> 以朗姆酒为主的饮料; 含酒精的水果鸡尾酒饮料; 果酒; 水果汽酒; 汽酒; 清酒; 白酒; 红葡萄酒; 酒精饮料(啤酒除外); 黄酒</t>
  </si>
  <si>
    <t xml:space="preserve"> 果酒; 烈酒; 烧酒; 甜酒; 白干酒(中国白酒); 白酒; 米酒; 葡萄酒; 酒精饮料原汁; 黄酒</t>
  </si>
  <si>
    <t xml:space="preserve"> 利口酒; 威士忌; 果酒(含酒精); 清酒(日本米酒); 烈酒(饮料); 烧酒; 白兰地; 白酒; 米酒; 苹果酒; 葡萄酒; 酒精饮料(啤酒除外); 鸡尾酒; 黄酒</t>
  </si>
  <si>
    <t xml:space="preserve"> 威士忌; 开胃酒; 果酒(含酒精); 烧酒; 白酒; 米酒; 葡萄酒; 酒精饮料(啤酒除外); 食用酒精; 黄酒</t>
  </si>
  <si>
    <t xml:space="preserve"> 开胃酒; 果酒(含酒精); 清酒(日本米酒); 甜酒; 白酒; 米酒; 葡萄酒; 酒精饮料原汁; 食用酒精; 黄酒</t>
  </si>
  <si>
    <t xml:space="preserve"> 伏特加酒; 威士忌; 烈酒(饮料); 烧酒; 白兰地; 白酒; 米酒; 葡萄酒; 高粱酒; 黄酒</t>
  </si>
  <si>
    <t xml:space="preserve"> 威士忌; 开胃酒; 果酒(含酒精); 清酒(日本米酒); 烧酒; 白兰地; 白酒; 酒精饮料原汁; 鸡尾酒; 黄酒</t>
  </si>
  <si>
    <t xml:space="preserve"> 伏特加酒; 威士忌; 果酒(含酒精); 烈酒(饮料); 烧酒; 白兰地; 白酒; 米酒; 葡萄酒; 黄酒</t>
  </si>
  <si>
    <t xml:space="preserve"> 已调味的蒸馏酒; 果酒(含酒精); 烧酒; 白兰地; 白酒; 米酒; 葡萄酒; 蜂蜜酒; 酒精饮料(啤酒除外); 黄酒</t>
  </si>
  <si>
    <t xml:space="preserve"> 利口酒; 威士忌; 开胃酒; 果酒(含酒精); 烈酒(饮料); 白酒; 米酒; 葡萄酒; 酒精饮料(啤酒除外); 鸡尾酒</t>
  </si>
  <si>
    <t xml:space="preserve"> 含酒精水果饮料; 果酒(含酒精); 白兰地; 白酒; 米酒; 葡萄酒; 酒精饮料(啤酒除外); 食用酒精; 鸡尾酒; 黄酒</t>
  </si>
  <si>
    <t xml:space="preserve"> 威士忌; 果酒; 梅酒; 汽酒; 烧酒; 白酒; 米酒; 老酒(中国蒸馏烈酒); 葡萄酒; 黄酒</t>
  </si>
  <si>
    <t xml:space="preserve"> 果酒(含酒精); 烈酒(饮料); 甜酒; 白酒; 米酒; 葡萄酒; 谷物制蒸馏酒精饮料; 酒精饮料(啤酒除外); 高粱酒; 鸡尾酒</t>
  </si>
  <si>
    <t xml:space="preserve"> 利口酒; 含酒精的饮料(啤酒除外); 开胃酒; 烈酒(饮料); 烧酒; 白酒; 米酒; 葡萄酒; 鸡尾酒; 黄酒</t>
  </si>
  <si>
    <t xml:space="preserve"> 开胃酒; 果酒; 汽酒; 甜酒; 白酒; 米酒; 葡萄酒; 食用酒精; 高粱酒; 黄酒</t>
  </si>
  <si>
    <t xml:space="preserve"> 果酒(含酒精); 烧酒; 白酒; 米酒; 薄荷酒; 蜂蜜酒; 酒精饮料原汁; 预先混合的酒精饮料(以啤酒为主的除外); 餐后酒(利口酒和烈酒); 鸡尾酒</t>
  </si>
  <si>
    <t xml:space="preserve"> 利口酒; 果酒; 清酒(日本米酒); 烧酒; 白酒; 米酒; 老酒(中国蒸馏烈酒); 草莓酒; 葡萄酒; 黄酒</t>
  </si>
  <si>
    <t xml:space="preserve"> 开胃酒; 朗姆酒; 果酒(含酒精); 烈酒(饮料); 白酒; 苦味酒; 葡萄酒; 酒精饮料原汁; 餐后酒(利口酒和烈酒); 鸡尾酒</t>
  </si>
  <si>
    <t xml:space="preserve"> 含酒精的气泡水; 朝鲜族米酒; 烧酒; 白酒; 苦味酒; 茴芹酒(利口酒); 薄荷酒; 酒精饮料浓缩汁; 预先混合的酒精饮料(以啤酒为主的除外); 黄酒</t>
  </si>
  <si>
    <t xml:space="preserve"> 汽酒; 烧酒; 白兰地; 白酒; 米酒; 葡萄酒; 青稞酒; 食用酒精; 鸡尾酒; 黄酒</t>
  </si>
  <si>
    <t xml:space="preserve"> 威士忌; 果酒(含酒精); 清酒(日本米酒); 烈酒(饮料); 白酒; 米酒; 葡萄酒; 蒸煮提取物(利口酒和烈酒); 酒精饮料(啤酒除外); 黄酒</t>
  </si>
  <si>
    <t xml:space="preserve"> 含酒精的气泡水; 开胃酒; 果酒(含酒精); 烧酒; 白酒; 米酒; 葡萄酒; 蒸馏饮料; 酒精饮料(啤酒除外); 黄酒</t>
  </si>
  <si>
    <t xml:space="preserve"> 含水果酒精饮料; 果酒(含酒精); 清酒(日本米酒); 烈酒(饮料); 烧酒; 白酒; 米酒; 葡萄酒; 酒精饮料(啤酒除外); 黄酒</t>
  </si>
  <si>
    <t xml:space="preserve"> 朗姆酒; 果酒(含酒精); 汽酒; 清酒; 白酒; 米酒; 葡萄酒; 酒精饮料(啤酒除外); 青稞酒; 鸡尾酒</t>
  </si>
  <si>
    <t xml:space="preserve"> 利口酒; 开胃酒; 果酒(含酒精); 清酒(日本米酒); 烧酒; 白兰地; 白酒; 米酒; 葡萄酒; 酒精饮料(啤酒除外)</t>
  </si>
  <si>
    <t xml:space="preserve"> 含酒精水果饮料; 开胃酒; 果酒; 烧酒(烈酒); 白酒; 米酒; 葡萄酒; 酒精饮料(啤酒除外); 露酒; 黄酒</t>
  </si>
  <si>
    <t xml:space="preserve"> 含水果酒精饮料; 果酒(含酒精); 烈酒(饮料); 甜果酒; 白酒; 米酒; 葡萄酒; 除啤酒外的酒精饮料; 高粱酒; 黄酒</t>
  </si>
  <si>
    <t xml:space="preserve"> 开胃酒; 果酒; 清酒; 烈酒(饮料); 烧酒; 白酒; 米酒; 葡萄酒; 青稞酒; 黄酒</t>
  </si>
  <si>
    <t xml:space="preserve"> 烧酒; 白酒; 葡萄酒; 黄酒</t>
  </si>
  <si>
    <t xml:space="preserve"> 果酒(含酒精); 烈酒(饮料); 白酒; 米酒; 老酒(中国蒸馏烈酒); 葡萄酒; 酒精饮料(啤酒除外); 食用酒精; 高粱酒; 黄酒</t>
  </si>
  <si>
    <t xml:space="preserve"> 开胃酒; 果酒(含酒精); 白酒; 米酒; 葡萄酒; 蒸馏饮料; 蜂蜜酒; 酒精饮料(啤酒除外); 鸡尾酒; 黄酒</t>
  </si>
  <si>
    <t xml:space="preserve"> 果酒(含酒精); 烈酒(饮料); 烧酒; 白酒; 米酒; 葡萄酒; 酒精饮料(啤酒除外); 食用酒精; 餐后酒(利口酒和烈酒); 黄酒</t>
  </si>
  <si>
    <t xml:space="preserve"> 含水果酒精饮料; 已调味的麦芽酿制的酒精饮料(啤酒除外); 果酒(含酒精); 烧酒; 白酒; 米酒; 葡萄酒; 谷物制蒸馏酒精饮料; 酒精饮料(啤酒除外); 预先混合的酒精饮料(以啤酒为主的除外)</t>
  </si>
  <si>
    <t xml:space="preserve"> 威士忌; 果酒(含酒精); 清酒(日本米酒); 烈酒(饮料); 烧酒; 白酒; 葡萄酒; 薄荷酒; 酒精饮料(啤酒除外); 黄酒</t>
  </si>
  <si>
    <t xml:space="preserve"> 威士忌; 烈酒(饮料); 烧酒; 甜酒; 白兰地; 白干酒(中国白酒); 白酒; 葡萄酒; 高粱酒; 鸡尾酒</t>
  </si>
  <si>
    <t xml:space="preserve"> 伏特加酒; 威士忌; 果酒; 清酒; 白兰地; 白酒; 米酒; 葡萄酒; 鸡尾酒; 黄酒</t>
  </si>
  <si>
    <t xml:space="preserve"> 尼瓦(以甘蔗为主的酒精饮料); 汽酒; 烈酒(饮料); 烧酒; 白酒; 米酒; 青稞酒; 食用酒精; 鸡尾酒; 黄酒</t>
  </si>
  <si>
    <t xml:space="preserve"> 威士忌; 果酒(含酒精); 白兰地; 白酒; 米酒; 葡萄酒; 酒精饮料(啤酒除外); 预先混合的酒精饮料(以啤酒为主的除外); 鸡尾酒; 黄酒</t>
  </si>
  <si>
    <t xml:space="preserve"> 果酒; 清酒; 烧酒; 白干酒(中国白酒); 白酒; 米酒; 苦荞酒; 谷物制蒸馏酒精饮料; 食用酒精; 高粱酒</t>
  </si>
  <si>
    <t xml:space="preserve"> 开胃酒; 果酒(含酒精); 白酒; 米酒; 苹果酒; 葡萄酒; 谷物制蒸馏酒精饮料; 青稞酒; 鸡尾酒; 黄酒</t>
  </si>
  <si>
    <t xml:space="preserve"> 伏特加酒; 朗姆酒; 烧酒; 白葡萄酒; 米酒; 红葡萄酒; 老酒(中国蒸馏烈酒); 高粱酒; 鸡尾酒; 黄酒</t>
  </si>
  <si>
    <t xml:space="preserve"> 含水果酒精饮料; 汽酒; 清酒; 烈酒; 由谷物蒸馏的白酒; 白酒; 红葡萄酒; 老酒(中国蒸馏烈酒); 蒸馏米酒(泡盛酒); 除啤酒外的酒精饮料</t>
  </si>
  <si>
    <t xml:space="preserve"> 开胃酒; 杨梅酒; 樱桃酒; 清酒; 烈酒(饮料); 烧酒; 白酒; 米酒; 蜂蜜酒; 黄酒</t>
  </si>
  <si>
    <t xml:space="preserve"> 利口酒; 朗姆酒(酒精饮料); 果酒(含酒精); 烈酒(饮料); 烧酒(烈酒); 白酒; 老酒(中国蒸馏烈酒); 酒精饮料原汁; 食用酒精; 高粱酒</t>
  </si>
  <si>
    <t xml:space="preserve"> 果酒; 烧酒; 白酒; 米酒; 葡萄酒; 露酒; 青稞酒; 高粱酒; 鸡尾酒; 黄酒</t>
  </si>
  <si>
    <t xml:space="preserve"> 以葡萄酒为主的饮料; 烧酒; 白干酒(中国白酒); 白酒; 老酒(中国蒸馏烈酒); 蒸馏米酒(泡盛酒); 青稞酒; 食用酒精; 餐后酒(利口酒和烈酒); 高粱酒</t>
  </si>
  <si>
    <t xml:space="preserve"> 伏特加酒; 威士忌; 朗姆酒; 白兰地; 白酒; 米酒; 葡萄酒; 青稞酒; 鸡尾酒; 黄酒</t>
  </si>
  <si>
    <t xml:space="preserve"> 开胃酒; 果酒(含酒精); 汽酒; 烧酒; 白酒; 葡萄酒; 蜂蜜酒; 青稞酒; 食用酒精; 黄酒</t>
  </si>
  <si>
    <t xml:space="preserve"> 威士忌; 果酒; 清酒; 烈酒; 白兰地; 白酒; 米酒; 葡萄酒; 鸡尾酒; 黄酒</t>
  </si>
  <si>
    <t xml:space="preserve"> 含酒精的饮料(啤酒除外); 果酒(含酒精); 由谷物蒸馏的白酒; 白干酒(中国白酒); 白酒; 葡萄酒; 蒸馏饮料; 除啤酒外的酒精饮料; 鸡尾酒; 黄酒</t>
  </si>
  <si>
    <t xml:space="preserve"> 威士忌; 果酒; 梅酒; 汽酒; 清酒; 烈酒; 白酒; 米酒; 葡萄酒; 黄酒</t>
  </si>
  <si>
    <t xml:space="preserve"> 利口酒; 含水果酒精饮料; 威士忌; 果酒; 烧酒; 白兰地; 白酒; 葡萄酒; 餐后酒(利口酒和烈酒); 鸡尾酒</t>
  </si>
  <si>
    <t xml:space="preserve"> 果酒(含酒精); 烈酒(饮料); 白兰地; 白酒; 茴香酒(利口酒); 葡萄酒; 谷物制蒸馏酒精饮料; 酒精饮料(啤酒除外); 青稞酒; 黄酒</t>
  </si>
  <si>
    <t xml:space="preserve"> 伏特加酒; 果酒(含酒精); 烧酒; 白兰地; 白酒; 米酒; 葡萄酒; 谷物制蒸馏酒精饮料; 食用酒精; 黄酒</t>
  </si>
  <si>
    <t xml:space="preserve"> 威士忌; 开胃酒; 果酒(含酒精); 烈酒(饮料); 烧酒; 白兰地; 米酒; 葡萄酒; 酒精饮料(啤酒除外); 黄酒</t>
  </si>
  <si>
    <t xml:space="preserve"> 威士忌; 果酒(含酒精); 白兰地; 白干酒(中国白酒); 白酒; 米酒; 葡萄酒; 蒸煮提取物(利口酒和烈酒); 酒精饮料(啤酒除外); 青稞酒</t>
  </si>
  <si>
    <t xml:space="preserve"> 含水果酒精饮料; 果酒(含酒精); 葡萄酒; 酒精饮料(啤酒除外); 酒精饮料原汁; 酒精饮料浓缩汁</t>
  </si>
  <si>
    <t xml:space="preserve"> 含酒精的饮料(啤酒除外); 已调味的蒸馏酒; 果酒; 烈酒; 烧酒(烈酒); 白酒; 老酒(中国蒸馏烈酒); 苹果酒; 除啤酒外的酒精饮料; 高粱酒</t>
  </si>
  <si>
    <t xml:space="preserve"> 佐餐酒; 果酒(含酒精); 烧酒; 白酒; 米酒; 葡萄酒; 蒸煮提取物(利口酒和烈酒); 酒精饮料(啤酒除外); 酒精饮料浓缩汁; 食用酒精</t>
  </si>
  <si>
    <t xml:space="preserve"> 果酒(含酒精); 汽酒; 白酒; 米酒; 老酒(中国蒸馏烈酒); 葡萄酒; 蒸馏饮料; 酒精饮料(啤酒除外); 预先混合的酒精饮料(以啤酒为主的除外); 鸡尾酒</t>
  </si>
  <si>
    <t xml:space="preserve"> 威士忌; 烈酒(饮料); 烧酒; 白兰地; 白酒; 米酒; 葡萄酒; 酒精饮料原汁; 青稞酒; 黄酒</t>
  </si>
  <si>
    <t xml:space="preserve"> 含水果酒精饮料; 果酒(含酒精); 烧酒; 白酒; 米酒; 苹果酒; 葡萄酒; 蒸煮提取物(利口酒和烈酒); 食用酒精; 黄酒</t>
  </si>
  <si>
    <t xml:space="preserve"> 伏特加酒; 威士忌; 开胃酒; 果酒(含酒精); 清酒(日本米酒); 烧酒; 白兰地; 白酒; 鸡尾酒; 黄酒</t>
  </si>
  <si>
    <t xml:space="preserve"> 威士忌; 果酒; 烈酒(饮料); 烧酒; 白酒; 米酒; 葡萄酒; 青稞酒; 鸡尾酒; 黄酒</t>
  </si>
  <si>
    <t xml:space="preserve"> 威士忌; 开胃酒; 果酒(含酒精); 烧酒; 白酒; 米酒; 谷物制蒸馏酒精饮料; 食用酒精; 鸡尾酒; 黄酒</t>
  </si>
  <si>
    <t xml:space="preserve"> 利口酒; 含水果酒精饮料; 含酒精的饮料(啤酒除外); 果酒; 果酒(含酒精); 水果汽酒; 汽酒; 烈酒; 白兰地; 葡萄酒</t>
  </si>
  <si>
    <t xml:space="preserve"> 威士忌; 果酒(含酒精); 清酒(日本米酒); 烈酒(饮料); 白酒; 米酒; 葡萄酒; 蜂蜜酒; 鸡尾酒; 黄酒</t>
  </si>
  <si>
    <t xml:space="preserve"> 伏特加酒; 威士忌; 烈酒(饮料); 由谷物蒸馏的白酒; 白酒; 米酒; 葡萄酒; 酒精饮料(啤酒除外); 酒精饮料原汁; 鸡尾酒</t>
  </si>
  <si>
    <t xml:space="preserve"> 加烈葡萄酒; 烈酒; 烈酒(饮料); 烧酒; 烧酒(烈酒); 白干酒(中国白酒); 白酒; 老酒(中国蒸馏烈酒); 葡萄酒; 酒精饮料(啤酒除外)</t>
  </si>
  <si>
    <t xml:space="preserve"> 威士忌; 开胃酒; 果酒(含酒精); 清酒(日本米酒); 烈酒(饮料); 白酒; 葡萄酒; 酒精饮料(啤酒除外); 鸡尾酒; 黄酒</t>
  </si>
  <si>
    <t xml:space="preserve"> 开胃酒; 果酒(含酒精); 烧酒; 白兰地; 白酒; 米酒; 酒精饮料(啤酒除外); 青稞酒; 鸡尾酒; 黄酒</t>
  </si>
  <si>
    <t xml:space="preserve"> 伏特加酒; 含水果酒精饮料; 威士忌; 果酒(含酒精); 烈酒(饮料); 烧酒; 白酒; 米酒; 葡萄酒; 鸡尾酒</t>
  </si>
  <si>
    <t xml:space="preserve"> 含酒精的充气饮料(啤酒除外); 含酒精的饮料(啤酒除外); 含酒精的鸡尾酒混合饮品; 尼瓦(以甘蔗为主的酒精饮料); 白酒; 蒸馏米酒(泡盛酒); 蒸馏饮料; 除啤酒外的酒精饮料; 预先混合的酒精饮料(以啤酒为主的除外); 食用酒精</t>
  </si>
  <si>
    <t xml:space="preserve"> 威士忌; 开胃酒; 果酒(含酒精); 烧酒; 白酒; 葡萄酒; 蒸馏饮料; 谷物制蒸馏酒精饮料; 餐后酒(利口酒和烈酒); 鸡尾酒</t>
  </si>
  <si>
    <t xml:space="preserve"> 果酒; 汽酒; 清酒; 烧酒; 白酒; 葡萄酒; 蒸馏饮料; 酒精饮料(啤酒除外); 食用酒精; 鸡尾酒</t>
  </si>
  <si>
    <t xml:space="preserve"> 果酒(含酒精); 烧酒; 白酒; 米酒; 苦荞酒; 葡萄酒; 蜂蜜酒; 酒精饮料(啤酒除外); 青梅酒; 食用酒精</t>
  </si>
  <si>
    <t xml:space="preserve"> 威士忌; 果酒(含酒精); 汽酒; 白酒; 米酒; 葡萄酒; 蒸馏饮料; 青稞酒; 鸡尾酒; 黄酒</t>
  </si>
  <si>
    <t xml:space="preserve"> 含水果酒精饮料; 威士忌; 果酒(含酒精); 汽酒; 烈酒(饮料); 白兰地; 白酒; 葡萄酒; 鸡尾酒; 黄酒</t>
  </si>
  <si>
    <t xml:space="preserve"> 含水果酒精饮料; 开胃酒; 果酒(含酒精); 汽酒; 烈酒(饮料); 烧酒; 烧酒(烈酒); 白酒; 米酒; 葡萄酒</t>
  </si>
  <si>
    <t xml:space="preserve"> 伏特加酒; 威士忌; 果酒(含酒精); 白兰地; 白酒; 米酒; 葡萄酒; 酒精饮料(啤酒除外); 青稞酒; 黄酒</t>
  </si>
  <si>
    <t xml:space="preserve"> 含酒精水果饮料; 水果汽酒; 清酒(日本米酒); 烈酒(饮料); 烧酒; 甜果酒; 白酒; 红葡萄酒; 酒精饮料原汁; 除啤酒外的酒精饮料</t>
  </si>
  <si>
    <t xml:space="preserve"> 刺五加酒; 杨梅酒; 松叶酒; 水果汽酒; 甜酒; 红葡萄酒; 苦艾酒; 茴香酒; 露酒; 黑覆盆子酒</t>
  </si>
  <si>
    <t xml:space="preserve"> 以葡萄酒为主的饮料; 开胃酒; 果酒(含酒精); 柑香酒; 梨酒; 樱桃酒; 苹果酒; 葡萄酒; 薄荷酒; 鸡尾酒</t>
  </si>
  <si>
    <t xml:space="preserve"> 含酒精的饮料(啤酒除外); 威士忌; 果酒; 烈酒; 白酒; 葡萄酒; 食用酒精; 高粱酒; 鸡尾酒; 黄酒</t>
  </si>
  <si>
    <t xml:space="preserve"> 利口酒; 汽酒; 烈酒; 烧酒; 白酒; 米酒; 葡萄酒; 青稞酒; 食用酒精; 高粱酒</t>
  </si>
  <si>
    <t xml:space="preserve"> 利口酒; 加烈葡萄酒; 威士忌; 果酒; 樱桃酒; 烧酒; 烧酒(烈酒); 白兰地; 白酒; 葡萄酒</t>
  </si>
  <si>
    <t xml:space="preserve"> 含水果酒精饮料; 果酒(含酒精); 烈酒(饮料); 白兰地; 白酒; 蒸煮提取物(利口酒和烈酒); 蒸馏饮料; 酒精饮料(啤酒除外); 酒精饮料浓缩汁; 预先混合的酒精饮料(以啤酒为主的除外)</t>
  </si>
  <si>
    <t xml:space="preserve"> 含水果酒精饮料; 果酒(含酒精); 白酒; 米酒; 葡萄酒; 蒸馏饮料; 蜂蜜酒; 谷物制蒸馏酒精饮料; 预先混合的酒精饮料(以啤酒为主的除外); 黄酒</t>
  </si>
  <si>
    <t xml:space="preserve"> 果酒; 梅酒; 烈酒; 烧酒; 白干酒(中国白酒); 白酒; 红葡萄酒; 老酒(中国蒸馏烈酒); 高粱酒; 黄酒</t>
  </si>
  <si>
    <t xml:space="preserve"> 果酒(含酒精); 清酒(日本米酒); 烈酒(饮料); 烧酒; 白葡萄酒; 白酒; 米酒; 葡萄酒; 酒精饮料(啤酒除外); 鸡尾酒</t>
  </si>
  <si>
    <t xml:space="preserve"> 威士忌; 果酒; 梅酒; 烧酒; 甜酒; 白兰地; 白酒; 米酒; 葡萄酒; 黄酒</t>
  </si>
  <si>
    <t xml:space="preserve"> 含水果酒精饮料; 尼瓦(以甘蔗为主的酒精饮料); 开胃酒; 果酒(含酒精); 清酒; 烈酒(饮料); 白酒; 茴芹酒(利口酒); 蒸煮提取物(利口酒和烈酒); 蒸馏饮料</t>
  </si>
  <si>
    <t xml:space="preserve"> 伏特加酒; 果酒(含酒精); 烈酒(饮料); 烧酒; 白兰地; 白酒; 米酒; 蜂蜜酒; 鸡尾酒; 黄酒</t>
  </si>
  <si>
    <t xml:space="preserve"> 汽酒; 清酒(日本米酒); 烧酒; 白酒; 米酒; 葡萄酒; 蒸馏饮料; 酒精饮料(啤酒除外); 鸡尾酒; 黄酒</t>
  </si>
  <si>
    <t xml:space="preserve"> 果酒; 梅酒; 汽酒; 清酒; 烧酒; 白酒; 米酒; 老酒(中国蒸馏烈酒); 葡萄酒; 黄酒</t>
  </si>
  <si>
    <t xml:space="preserve"> 利口酒; 开胃酒; 果酒(含酒精); 烧酒; 白酒; 米酒; 葡萄酒; 酒精饮料(啤酒除外); 青稞酒; 黄酒</t>
  </si>
  <si>
    <t xml:space="preserve"> 含酒精的充气饮料(啤酒除外); 威士忌; 日本梅子酒; 梅酒; 梨酒; 清酒(日本米酒); 白酒; 米酒; 酒精饮料(啤酒除外); 黄酒</t>
  </si>
  <si>
    <t xml:space="preserve"> 利口酒; 开胃酒; 清酒; 烈酒(饮料); 烧酒(烈酒); 白干酒(中国白酒); 白酒; 米酒; 老酒(中国蒸馏烈酒); 谷物制蒸馏酒精饮料</t>
  </si>
  <si>
    <t xml:space="preserve"> 利口酒; 烧酒; 由谷物蒸馏的白酒; 白酒; 米酒; 葡萄酒; 青稞酒; 食用酒精; 高粱酒; 黄酒</t>
  </si>
  <si>
    <t xml:space="preserve"> 果酒; 烧酒(烈酒); 由谷物蒸馏的白酒; 白干酒(中国白酒); 白酒; 米酒; 老酒(中国蒸馏烈酒); 酒精饮料(啤酒除外); 高粱酒; 黄酒</t>
  </si>
  <si>
    <t xml:space="preserve"> 果酒(含酒精); 清酒; 白葡萄酒; 白酒; 米酒; 红葡萄酒; 起泡红葡萄酒; 酒精饮料(啤酒除外); 高粱酒; 麦芽威士忌</t>
  </si>
  <si>
    <t xml:space="preserve"> 果酒(含酒精); 樱桃酒; 烧酒; 白酒; 葡萄酒; 蒸馏饮料; 蜂蜜酒; 酒精饮料(啤酒除外); 酒精饮料原汁; 鸡尾酒</t>
  </si>
  <si>
    <t xml:space="preserve"> 果酒(含酒精); 烈酒(饮料); 烧酒; 白酒; 米酒; 葡萄酒; 酒精饮料(啤酒除外); 青稞酒; 鸡尾酒; 黄酒</t>
  </si>
  <si>
    <t xml:space="preserve"> 含水果酒精饮料; 果酒(含酒精); 烧酒; 白酒; 葡萄酒; 薄荷酒; 谷物制蒸馏酒精饮料; 酒精饮料(啤酒除外); 预先混合的酒精饮料(以啤酒为主的除外); 食用酒精</t>
  </si>
  <si>
    <t xml:space="preserve"> 果酒(含酒精); 烧酒; 白酒; 米酒; 葡萄酒; 高粱酒; 鸡尾酒; 黄酒</t>
  </si>
  <si>
    <t xml:space="preserve"> 以葡萄酒为主的开胃酒; 以葡萄酒为主的饮料; 利口酒; 白葡萄酒; 红葡萄酒; 苦味酒; 葡萄酒</t>
  </si>
  <si>
    <t xml:space="preserve"> 朗姆酒; 果酒(含酒精); 汽酒; 烈酒(饮料); 烧酒; 白兰地; 白酒; 米酒; 谷物制蒸馏酒精饮料; 鸡尾酒</t>
  </si>
  <si>
    <t xml:space="preserve"> 含酒精水果饮料; 含酒精的饮料(啤酒除外); 含酒精的鸡尾酒混合饮品; 威士忌; 朗姆酒; 汽酒; 烈酒(饮料); 甜酒; 白酒; 米酒</t>
  </si>
  <si>
    <t xml:space="preserve"> 含水果酒精饮料; 开胃酒; 烧酒; 白酒; 米酒; 蒸馏饮料; 谷物制蒸馏酒精饮料; 青稞酒; 餐后酒(利口酒和烈酒); 黄酒</t>
  </si>
  <si>
    <t xml:space="preserve"> 含酒精水果饮料; 烈性干酒; 甜酒; 白干酒(中国白酒); 白酒; 米酒; 葡萄酒; 食用酒精; 高粱酒; 黄酒</t>
  </si>
  <si>
    <t xml:space="preserve"> 含水果酒精饮料; 开胃酒; 梅酒; 烈酒; 白酒; 米酒; 酒精饮料(啤酒除外); 预先混合的酒精饮料(以啤酒为主的除外); 高粱酒; 黄酒</t>
  </si>
  <si>
    <t xml:space="preserve"> 开胃酒; 朗姆酒; 果酒(含酒精); 汽酒; 烈酒(饮料); 米酒; 蒸馏饮料; 薄荷酒; 酒精饮料原汁; 食用酒精</t>
  </si>
  <si>
    <t xml:space="preserve"> 果酒; 清酒; 烈酒(饮料); 由谷物蒸馏的白酒; 白干酒(中国白酒); 白酒; 米酒; 葡萄酒; 高粱酒; 黄酒</t>
  </si>
  <si>
    <t xml:space="preserve"> 伏特加酒; 威士忌; 汽酒; 清酒(日本米酒); 白兰地; 白酒; 米酒; 酒精饮料(啤酒除外); 青稞酒; 黄酒</t>
  </si>
  <si>
    <t xml:space="preserve"> 果酒(含酒精); 烧酒; 白酒; 米酒; 葡萄酒; 蒸馏饮料; 露酒; 餐后酒(利口酒和烈酒); 高粱酒; 黄酒</t>
  </si>
  <si>
    <t xml:space="preserve"> 果酒(含酒精); 汽酒; 烈酒(饮料); 烧酒; 白酒; 葡萄酒; 蒸馏饮料; 谷物制蒸馏酒精饮料; 酒精饮料(啤酒除外); 鸡尾酒</t>
  </si>
  <si>
    <t xml:space="preserve"> 果酒; 烈酒(饮料); 烧酒(烈酒); 白酒; 米酒; 葡萄酒; 酒精饮料(啤酒除外); 露酒; 高粱酒; 鸡尾酒</t>
  </si>
  <si>
    <t xml:space="preserve"> 果酒(含酒精); 清酒; 烈酒; 白酒; 米酒; 葡萄酒; 蒸煮提取物(利口酒和烈酒); 酒精饮料(啤酒除外); 青稞酒; 黄酒</t>
  </si>
  <si>
    <t xml:space="preserve"> 果酒(含酒精); 汽酒; 烈酒(饮料); 烧酒; 白葡萄酒; 白酒; 米酒; 红葡萄酒; 鸡尾酒; 黄酒</t>
  </si>
  <si>
    <t xml:space="preserve"> 果酒(含酒精); 烈酒; 烧酒; 甜酒; 白酒; 米酒; 老酒(中国蒸馏烈酒); 葡萄酒; 蜂蜜酒; 食用酒精</t>
  </si>
  <si>
    <t xml:space="preserve"> 含酒精的饮料(啤酒除外); 果酒(含酒精); 烈酒(饮料); 由谷物蒸馏的白酒; 白干酒(中国白酒); 白酒; 葡萄酒; 蒸馏饮料; 鸡尾酒; 黄酒</t>
  </si>
  <si>
    <t xml:space="preserve"> 果酒(含酒精); 清酒(日本米酒); 烧酒; 白酒; 米酒; 葡萄酒; 蒸馏饮料; 酒精饮料(啤酒除外); 青稞酒; 食用酒精</t>
  </si>
  <si>
    <t xml:space="preserve"> 威士忌; 开胃酒; 果酒(含酒精); 清酒(日本米酒); 烈酒(饮料); 烧酒; 白酒; 米酒; 葡萄酒; 谷物制蒸馏酒精饮料</t>
  </si>
  <si>
    <t xml:space="preserve"> 果酒(含酒精); 烧酒; 白兰地; 白酒; 米酒; 葡萄酒; 酸酒(低等葡萄酒); 青稞酒; 食用酒精; 高粱酒</t>
  </si>
  <si>
    <t xml:space="preserve"> 利口酒; 开胃酒; 果酒; 烈酒(饮料); 烧酒; 白酒; 米酒; 葡萄酒; 酒精饮料(啤酒除外); 黄酒</t>
  </si>
  <si>
    <t xml:space="preserve"> 以葡萄酒为主的饮料; 果酒(含酒精); 烧酒; 米酒; 红葡萄酒; 葡萄酒; 薄荷酒; 酒精饮料(啤酒除外); 鸡尾酒; 黄酒</t>
  </si>
  <si>
    <t xml:space="preserve"> 五加皮酒(中国混合烈酒); 已调味的蒸馏酒; 果酒; 清酒(日本米酒); 烧酒; 白酒; 老酒(中国蒸馏烈酒); 预先混合的酒精饮料(以啤酒为主的除外); 高粱酒; 黄酒</t>
  </si>
  <si>
    <t xml:space="preserve"> 果酒(含酒精); 汽酒; 清酒; 烧酒(烈酒); 白干酒(中国白酒); 白酒; 青梅酒; 青稞酒; 食用酒精; 黄酒</t>
  </si>
  <si>
    <t xml:space="preserve"> 果酒; 清酒; 烧酒; 甜酒; 白酒; 米酒; 葡萄酒; 食用酒精; 高粱酒; 黄酒</t>
  </si>
  <si>
    <t xml:space="preserve"> 果酒; 烧酒; 烧酒(烈酒); 由谷物蒸馏的白酒; 白干酒(中国白酒); 白酒; 红葡萄酒; 葡萄酒; 露酒; 高粱酒</t>
  </si>
  <si>
    <t xml:space="preserve"> 不起泡葡萄酒; 以葡萄酒为主的饮料; 日本梅子酒; 果酒(含酒精); 梅酒; 汽酒; 白兰地; 米酒; 红葡萄酒; 草莓酒</t>
  </si>
  <si>
    <t xml:space="preserve"> 利口酒; 含水果酒精饮料; 烈酒(饮料); 烧酒; 白酒; 老酒(中国蒸馏烈酒); 葡萄酒; 酒精饮料(啤酒除外); 酒精饮料原汁; 食用酒精</t>
  </si>
  <si>
    <t xml:space="preserve"> 以葡萄酒为主的饮料; 含酒精水果饮料; 果酒; 果酒(含酒精); 清酒(日本米酒); 烈性干酒; 烧酒; 由谷物蒸馏的白酒; 白干酒(中国白酒); 酒精饮料(啤酒除外)</t>
  </si>
  <si>
    <t xml:space="preserve"> 含水果酒精饮料; 朝鲜族米酒; 果酒(含酒精); 米酒; 蒸馏米酒(泡盛酒); 蒸馏饮料; 酒精饮料(啤酒除外); 预先混合的酒精饮料(以啤酒为主的除外); 马格利酒(朝鲜传统米酒)</t>
  </si>
  <si>
    <t xml:space="preserve"> 威士忌; 清酒; 烈酒; 烧酒; 白酒; 米酒; 红葡萄酒; 老酒(中国蒸馏烈酒); 酒精饮料(啤酒除外); 高粱酒</t>
  </si>
  <si>
    <t xml:space="preserve"> 以葡萄酒为主的饮料; 含酒精的饮料(啤酒除外); 威士忌; 汽酒; 烧酒; 白酒; 米酒; 葡萄酒; 高粱酒; 黄酒</t>
  </si>
  <si>
    <t xml:space="preserve"> 以葡萄酒为主的饮料; 含水果酒精饮料; 含酒精的气泡水; 果酒(含酒精); 汽酒; 白酒; 米酒; 葡萄酒; 酒精饮料(啤酒除外); 黄酒</t>
  </si>
  <si>
    <t xml:space="preserve"> 利口酒; 开胃酒; 果酒; 烈酒(饮料); 烧酒; 白酒; 米酒; 葡萄酒; 鸡尾酒; 黄酒</t>
  </si>
  <si>
    <t xml:space="preserve"> 威士忌; 朗姆酒; 果酒(含酒精); 烧酒; 白兰地; 白酒; 蒸煮提取物(利口酒和烈酒); 蒸馏饮料; 酒精饮料(啤酒除外); 鸡尾酒</t>
  </si>
  <si>
    <t xml:space="preserve"> 威士忌; 果酒(含酒精); 烧酒; 白酒; 苹果酒; 葡萄酒; 薄荷酒; 青稞酒; 鸡尾酒; 黄酒</t>
  </si>
  <si>
    <t xml:space="preserve"> 杨梅酒; 果酒; 烈酒; 白酒; 米酒; 葡萄酒; 酒精饮料(啤酒除外); 露酒; 食用酒精; 黄酒</t>
  </si>
  <si>
    <t xml:space="preserve"> 果酒; 甜酒; 白酒; 米酒; 葡萄酒; 谷物制蒸馏酒精饮料; 酒精饮料(啤酒除外); 高粱酒; 鸡尾酒; 黄酒</t>
  </si>
  <si>
    <t xml:space="preserve"> 伏特加酒; 朗姆酒; 果酒(含酒精); 汽酒; 烧酒; 白酒; 米酒; 葡萄酒; 薄荷酒; 酒精饮料(啤酒除外)</t>
  </si>
  <si>
    <t xml:space="preserve"> 含水果酒精饮料; 威士忌; 梅酒; 清酒; 甜酒; 白酒; 蒸馏饮料; 酒精饮料(啤酒除外); 露酒; 预先混合的酒精饮料(以啤酒为主的除外)</t>
  </si>
  <si>
    <t xml:space="preserve"> 利口酒; 果酒(含酒精); 烈酒(饮料); 烧酒; 白酒; 葡萄酒; 蒸煮提取物(利口酒和烈酒); 酒精饮料(啤酒除外); 预先混合的酒精饮料(以啤酒为主的除外); 食用酒精</t>
  </si>
  <si>
    <t xml:space="preserve"> 果酒(含酒精); 烈酒(饮料); 烧酒; 白干酒(中国白酒); 白酒; 米酒; 老酒(中国蒸馏烈酒); 葡萄酒; 酒精饮料(啤酒除外); 食用酒精</t>
  </si>
  <si>
    <t xml:space="preserve"> 威士忌; 果酒(含酒精); 清酒(日本米酒); 烈酒(饮料); 烧酒; 白酒; 米酒; 葡萄酒; 酒精饮料(啤酒除外); 黄酒</t>
  </si>
  <si>
    <t xml:space="preserve"> 利口酒; 含水果酒精饮料; 开胃酒; 果酒; 烈酒; 白酒; 米酒; 葡萄酒; 鸡尾酒; 黄酒</t>
  </si>
  <si>
    <t xml:space="preserve"> 以葡萄酒为主的饮料; 果酒(含酒精); 烧酒; 米酒; 蒸馏饮料; 酒精饮料(啤酒除外); 青稞酒; 食用酒精; 鸡尾酒; 黄酒</t>
  </si>
  <si>
    <t xml:space="preserve"> 果酒(含酒精); 烈酒(饮料); 白酒; 米酒; 老酒(中国蒸馏烈酒); 葡萄酒; 酒精饮料(啤酒除外); 预先混合的酒精饮料(以啤酒为主的除外); 食用酒精; 黄酒</t>
  </si>
  <si>
    <t xml:space="preserve"> 含酒精的气泡水; 威士忌; 果酒(含酒精); 汽酒; 烈酒(饮料); 白兰地; 葡萄酒; 起泡白葡萄酒; 起泡红葡萄酒; 酒精饮料(啤酒除外)</t>
  </si>
  <si>
    <t xml:space="preserve"> 含水果酒精饮料; 果酒(含酒精); 烈酒(饮料); 白兰地; 白酒; 米酒; 酒精饮料(啤酒除外); 酒精饮料原汁; 酒精饮料浓缩汁; 酸酒(低等葡萄酒)</t>
  </si>
  <si>
    <t xml:space="preserve"> 含水果酒精饮料; 含酒精的饮料(啤酒除外); 烧酒(烈酒); 由谷物蒸馏的白酒; 白干酒(中国白酒); 白酒; 米酒; 老酒(中国蒸馏烈酒); 食用酒精; 高粱酒</t>
  </si>
  <si>
    <t xml:space="preserve"> 威士忌; 果酒; 汽酒; 烧酒; 白酒; 葡萄酒; 蒸馏饮料; 酒精饮料(啤酒除外); 鸡尾酒; 黄酒</t>
  </si>
  <si>
    <t xml:space="preserve"> 含水果酒精饮料; 烈酒(饮料); 烧酒; 白酒; 米酒; 蒸煮提取物(利口酒和烈酒); 酒精饮料原汁; 酒精饮料浓缩汁; 预先混合的酒精饮料(以啤酒为主的除外); 黄酒</t>
  </si>
  <si>
    <t xml:space="preserve"> 含酒精的饮料(啤酒除外); 果酒; 烈酒; 烧酒; 白酒; 米酒; 老酒(中国蒸馏烈酒); 葡萄酒; 鸡尾酒; 黄酒</t>
  </si>
  <si>
    <t xml:space="preserve"> 果酒; 果酒(含酒精); 烈酒; 烈酒(饮料); 烧酒; 白酒; 红葡萄酒; 酒精饮料(啤酒除外); 除啤酒外的酒精饮料; 高粱酒</t>
  </si>
  <si>
    <t xml:space="preserve"> 果酒(含酒精); 梅酒; 清酒; 烧酒; 白酒; 米酒; 葡萄酒; 青稞酒; 鸡尾酒; 黄酒</t>
  </si>
  <si>
    <t xml:space="preserve"> 开胃酒; 果酒(含酒精); 梅酒; 清酒(日本米酒); 烈酒(饮料); 白酒; 米酒; 酒精饮料(啤酒除外); 高粱酒; 黄酒</t>
  </si>
  <si>
    <t xml:space="preserve"> 果酒; 烧酒; 甜酒; 白兰地; 白酒; 米酒; 葡萄酒; 酒精饮料(啤酒除外); 鸡尾酒; 黄酒</t>
  </si>
  <si>
    <t xml:space="preserve"> 含水果酒精饮料; 已调味的蒸馏酒; 果酒; 烧酒(烈酒); 白酒; 米酒; 红葡萄酒; 露酒; 食用酒精; 黄酒</t>
  </si>
  <si>
    <t xml:space="preserve"> 威士忌; 果酒(含酒精); 白兰地; 白酒; 米酒; 葡萄酒; 酒精饮料(啤酒除外); 露酒; 食用酒精; 鸡尾酒</t>
  </si>
  <si>
    <t xml:space="preserve"> 白酒; 酒精饮料(啤酒除外)</t>
  </si>
  <si>
    <t xml:space="preserve"> 伏特加酒; 威士忌; 果酒; 烈酒(饮料); 烧酒; 白兰地; 白酒; 葡萄酒; 薄荷酒; 鸡尾酒</t>
  </si>
  <si>
    <t xml:space="preserve"> 威士忌; 开胃酒; 果酒(含酒精); 清酒; 烈酒(饮料); 烧酒; 白酒; 米酒; 葡萄酒; 黄酒</t>
  </si>
  <si>
    <t xml:space="preserve"> 果酒; 烈酒; 烧酒; 甜酒; 米酒; 红葡萄酒; 老酒(中国蒸馏烈酒); 苹果酒; 高粱酒; 黄酒</t>
  </si>
  <si>
    <t xml:space="preserve"> 果酒; 梨酒; 清酒(日本米酒); 烧酒; 白酒; 米酒; 老酒(中国蒸馏烈酒); 葡萄酒; 高粱酒; 黄酒</t>
  </si>
  <si>
    <t xml:space="preserve"> 果酒(含酒精); 梨酒; 樱桃酒; 清酒(日本米酒); 白酒; 米酒; 苹果酒; 葡萄酒; 酒精饮料(啤酒除外); 鸡尾酒</t>
  </si>
  <si>
    <t xml:space="preserve"> 含水果酒精饮料; 烈酒(饮料); 甜酒; 白干酒(中国白酒); 白酒; 米酒; 老酒(中国蒸馏烈酒); 葡萄酒; 酒精饮料(啤酒除外); 酒精饮料原汁; 黄酒</t>
  </si>
  <si>
    <t xml:space="preserve"> 伏特加酒; 利口酒; 威士忌; 开胃酒; 果酒(含酒精); 梨酒; 白酒; 米酒; 葡萄酒; 鸡尾酒</t>
  </si>
  <si>
    <t xml:space="preserve"> 烧酒; 由谷物蒸馏的白酒; 白干酒(中国白酒); 白酒; 米酒; 老酒(中国蒸馏烈酒); 蒸馏饮料; 谷物制蒸馏酒精饮料; 酒精饮料(啤酒除外); 黄酒</t>
  </si>
  <si>
    <t xml:space="preserve"> 开胃酒; 果酒(含酒精); 清酒(日本米酒); 烈酒(饮料); 烧酒; 白酒; 葡萄酒; 酒精饮料(啤酒除外); 鸡尾酒; 黄酒</t>
  </si>
  <si>
    <t xml:space="preserve"> 利口酒; 开胃酒; 果酒(含酒精); 烧酒; 白酒; 米酒; 葡萄酒; 蜂蜜酒; 谷物制蒸馏酒精饮料; 食用酒精</t>
  </si>
  <si>
    <t xml:space="preserve"> 含水果酒精饮料; 果酒; 梅酒; 汽酒; 烈酒; 烧酒; 甜酒; 白酒; 米酒; 葡萄酒</t>
  </si>
  <si>
    <t xml:space="preserve"> 含酒精的气泡水; 威士忌; 果酒(含酒精); 烈酒(饮料); 白兰地; 白酒; 米酒; 葡萄酒; 酒精饮料(啤酒除外); 黄酒</t>
  </si>
  <si>
    <t xml:space="preserve"> 利口酒; 朗姆酒; 果酒(含酒精); 白兰地; 白酒; 米酒; 葡萄酒; 蒸馏饮料; 酒精饮料(啤酒除外); 黄酒</t>
  </si>
  <si>
    <t xml:space="preserve"> 清酒; 烈酒(饮料); 烧酒; 白兰地; 白酒; 米酒; 蜂蜜酒; 酒精饮料(啤酒除外); 酒精饮料原汁; 鸡尾酒</t>
  </si>
  <si>
    <t xml:space="preserve"> 果酒(含酒精); 烈酒(饮料); 烧酒; 甜酒; 白酒; 米酒; 葡萄酒; 酒精饮料(啤酒除外); 高粱酒; 黄酒</t>
  </si>
  <si>
    <t xml:space="preserve"> 开胃酒; 果酒; 清酒(日本米酒); 烧酒; 白葡萄酒; 白酒; 米酒; 葡萄酒; 酒精饮料(啤酒除外); 黄酒</t>
  </si>
  <si>
    <t xml:space="preserve"> 伏特加酒; 含水果酒精饮料; 威士忌; 果酒(含酒精); 清酒(日本米酒); 白酒; 米酒; 葡萄酒; 酒精饮料(啤酒除外); 黄酒</t>
  </si>
  <si>
    <t xml:space="preserve"> 伏特加酒; 威士忌; 开胃酒; 果酒(含酒精); 白酒; 米酒; 葡萄酒; 酒精饮料(啤酒除外); 酒精饮料原汁; 黄酒</t>
  </si>
  <si>
    <t xml:space="preserve"> 开胃酒; 果酒(含酒精); 白酒; 米酒; 葡萄酒; 谷物制蒸馏酒精饮料; 酒精饮料原汁; 青稞酒; 食用酒精; 鸡尾酒</t>
  </si>
  <si>
    <t xml:space="preserve"> 含酒精的气泡水; 果酒(含酒精); 烈酒(饮料); 烧酒; 白兰地; 白酒; 米酒; 葡萄酒; 酒精饮料(啤酒除外); 鸡尾酒</t>
  </si>
  <si>
    <t xml:space="preserve"> 果酒(含酒精); 烧酒; 由谷物蒸馏的白酒; 白酒; 米酒; 谷物制蒸馏酒精饮料; 酒精饮料(啤酒除外); 预先混合的酒精饮料(以啤酒为主的除外); 食用酒精; 黄酒</t>
  </si>
  <si>
    <t xml:space="preserve"> 含水果酒精饮料; 开胃酒; 烈酒(饮料); 烧酒; 白酒; 米酒; 葡萄酒; 酒精饮料(啤酒除外); 鸡尾酒; 黄酒</t>
  </si>
  <si>
    <t xml:space="preserve"> 威士忌; 果酒(含酒精); 白兰地; 白酒; 米酒; 老酒(中国蒸馏烈酒); 葡萄酒; 蒸馏饮料; 酒精饮料(啤酒除外); 黄酒</t>
  </si>
  <si>
    <t xml:space="preserve"> 含水果酒精饮料; 威士忌; 开胃酒; 果酒(含酒精); 烧酒; 白酒; 米酒; 食用酒精; 高粱酒; 鸡尾酒</t>
  </si>
  <si>
    <t xml:space="preserve"> 以葡萄酒为主的饮料; 含酒精的鸡尾酒混合饮品; 已调味的蒸馏酒; 已调味的麦芽酿制的酒精饮料(啤酒除外); 果酒(含酒精); 烈酒(饮料); 烧酒(烈酒); 白酒; 老酒(中国蒸馏烈酒); 高粱酒</t>
  </si>
  <si>
    <t xml:space="preserve"> 果酒(含酒精); 清酒; 烧酒; 白酒; 米酒; 红葡萄酒; 谷物制蒸馏酒精饮料; 露酒; 预调甜酒; 黄酒</t>
  </si>
  <si>
    <t xml:space="preserve"> 利口酒; 开胃酒; 果酒(含酒精); 清酒(日本米酒); 烈酒(饮料); 烧酒; 白酒; 葡萄酒; 鸡尾酒; 黄酒</t>
  </si>
  <si>
    <t xml:space="preserve"> 伏特加酒; 利口酒; 加烈葡萄酒; 威士忌; 威末酒; 朗姆酒; 杜松子酒; 清酒; 白兰地; 茴香酒</t>
  </si>
  <si>
    <t xml:space="preserve"> 伏特加酒; 果酒(含酒精); 烧酒; 白兰地; 白酒; 米酒; 葡萄酒; 蒸煮提取物(利口酒和烈酒); 鸡尾酒; 黄酒</t>
  </si>
  <si>
    <t xml:space="preserve"> 果酒(含酒精); 烈酒(饮料); 烧酒; 白酒; 米酒; 葡萄酒; 酒精饮料(啤酒除外); 酒精饮料浓缩汁; 食用酒精; 黄酒</t>
  </si>
  <si>
    <t xml:space="preserve"> 开胃酒; 果酒; 烧酒; 白酒; 米酒; 老酒(中国蒸馏烈酒); 葡萄酒; 食用酒精; 高粱酒; 鸡尾酒</t>
  </si>
  <si>
    <t xml:space="preserve"> 果酒(含酒精); 烈酒(饮料); 烧酒; 白酒; 老酒(中国蒸馏烈酒); 葡萄酒; 谷物制蒸馏酒精饮料; 酒精饮料(啤酒除外); 露酒; 食用酒精</t>
  </si>
  <si>
    <t xml:space="preserve"> 利口酒; 含水果酒精饮料; 开胃酒; 果酒; 烧酒; 白兰地; 白酒; 葡萄酒; 酒精饮料(啤酒除外); 食用酒精</t>
  </si>
  <si>
    <t xml:space="preserve"> 以葡萄酒为主的饮料; 含酒精的气泡水; 含酒精的鸡尾酒混合饮品; 果酒(含酒精); 汽酒; 烈酒; 白酒; 葡萄酒; 酒精饮料(啤酒除外); 鸡尾酒</t>
  </si>
  <si>
    <t xml:space="preserve"> 伏特加酒; 利口酒; 含水果酒精饮料; 威士忌; 果酒(含酒精); 烧酒; 白兰地; 白酒; 葡萄酒; 鸡尾酒</t>
  </si>
  <si>
    <t xml:space="preserve"> 威士忌; 果酒(含酒精); 梅酒; 清酒(日本米酒); 烈酒(饮料); 白酒; 米酒; 葡萄酒; 鸡尾酒; 黄酒</t>
  </si>
  <si>
    <t xml:space="preserve"> 含水果酒精饮料; 烈酒(饮料); 白干酒(中国白酒); 白酒; 米酒; 老酒(中国蒸馏烈酒); 葡萄酒; 酒精饮料(啤酒除外); 酒精饮料原汁; 黄酒</t>
  </si>
  <si>
    <t xml:space="preserve"> 利口酒; 果酒(含酒精); 清酒(日本米酒); 烈酒(饮料); 烧酒; 白酒; 米酒; 葡萄酒; 青稞酒; 黄酒</t>
  </si>
  <si>
    <t xml:space="preserve"> 含酒精的充气饮料(啤酒除外); 果酒(含酒精); 清酒(日本米酒); 甜果酒; 白干酒(中国白酒); 白酒; 老酒(中国蒸馏烈酒); 酒精饮料原汁; 酒精饮料浓缩汁; 食用酒精</t>
  </si>
  <si>
    <t xml:space="preserve"> 威士忌; 烈酒(饮料); 白干酒(中国白酒); 白酒; 米酒; 老酒(中国蒸馏烈酒); 葡萄酒; 酒精饮料(啤酒除外); 高粱酒; 黄酒</t>
  </si>
  <si>
    <t xml:space="preserve"> 威士忌; 果酒(含酒精); 白酒; 米酒; 葡萄酒; 蒸馏饮料; 酒精饮料(啤酒除外); 酒精饮料原汁; 鸡尾酒; 黄酒</t>
  </si>
  <si>
    <t xml:space="preserve"> 含酒精的气泡水; 含酒精的饮料(啤酒除外); 开胃酒; 果酒; 汽酒; 米酒; 葡萄酒; 蒸馏饮料; 鸡尾酒; 黄酒</t>
  </si>
  <si>
    <t xml:space="preserve"> 果酒(含酒精); 汽酒; 清酒(日本米酒); 烈酒(饮料); 白酒; 葡萄酒; 蒸煮提取物(利口酒和烈酒); 蒸馏饮料; 酒精饮料(啤酒除外); 鸡尾酒</t>
  </si>
  <si>
    <t xml:space="preserve"> 含水果酒精饮料; 果酒(含酒精); 梨酒; 烈酒(饮料); 白酒; 米酒; 葡萄酒; 蜂蜜酒; 青稞酒; 黄酒</t>
  </si>
  <si>
    <t xml:space="preserve"> 含水果酒精饮料; 果酒; 白酒; 米酒; 红葡萄酒; 苹果酒; 葡萄酒; 蒸馏饮料; 酒精饮料原汁; 青梅酒</t>
  </si>
  <si>
    <t xml:space="preserve"> 果酒(含酒精); 白酒; 米酒; 葡萄酒; 蒸馏饮料; 蜂蜜酒; 谷物制蒸馏酒精饮料; 酒精饮料(啤酒除外); 食用酒精; 黄酒</t>
  </si>
  <si>
    <t xml:space="preserve"> 利口酒; 威士忌; 开胃酒; 果酒(含酒精); 烈酒(饮料); 烧酒; 白酒; 米酒; 酒精饮料(啤酒除外); 鸡尾酒</t>
  </si>
  <si>
    <t xml:space="preserve"> 果酒(含酒精); 烧酒; 白酒; 米酒; 葡萄酒; 蒸煮提取物(利口酒和烈酒); 酒精饮料(啤酒除外); 酒精饮料浓缩汁; 食用酒精; 高粱酒</t>
  </si>
  <si>
    <t xml:space="preserve"> 烈酒(饮料); 烧酒; 白酒; 米酒; 蜂蜜酒; 谷物制蒸馏酒精饮料; 酒精饮料原汁; 露酒; 鸡尾酒; 黄酒</t>
  </si>
  <si>
    <t xml:space="preserve"> 果酒; 梅酒; 清酒; 白葡萄酒; 白酒; 米酒; 红葡萄酒; 高粱酒; 鸡尾酒; 黄酒</t>
  </si>
  <si>
    <t xml:space="preserve"> 杨梅酒; 烈性干酒; 烈酒; 烧酒; 烧酒(烈酒); 甜酒; 由谷物蒸馏的白酒; 白酒; 蒸煮提取物(利口酒和烈酒); 黄酒</t>
  </si>
  <si>
    <t xml:space="preserve"> 含水果酒精饮料; 开胃酒; 果酒(含酒精); 烧酒; 白酒; 葡萄酒; 蒸馏饮料; 酒精饮料(啤酒除外); 食用酒精; 黄酒</t>
  </si>
  <si>
    <t xml:space="preserve"> 含水果酒精饮料; 开胃酒; 烈酒(饮料); 烧酒; 白酒; 葡萄酒; 蒸煮提取物(利口酒和烈酒); 酒利口酒; 酒精饮料(啤酒除外); 食用酒精</t>
  </si>
  <si>
    <t xml:space="preserve"> 果酒(含酒精); 梨酒; 樱桃酒; 清酒(日本米酒); 白酒; 米酒; 苹果酒; 葡萄酒; 蜂蜜酒; 青稞酒</t>
  </si>
  <si>
    <t xml:space="preserve"> 果酒(含酒精); 清酒; 烈酒(饮料); 烧酒; 白酒; 米酒; 葡萄酒; 酒精饮料(啤酒除外); 预先混合的酒精饮料(以啤酒为主的除外); 黄酒</t>
  </si>
  <si>
    <t xml:space="preserve"> 杨梅酒; 果酒(含酒精); 清酒; 白干酒(中国白酒); 白酒; 米酒; 老酒(中国蒸馏烈酒); 葡萄酒; 鸡尾酒; 黄酒</t>
  </si>
  <si>
    <t xml:space="preserve"> 威士忌; 开胃酒; 清酒(日本米酒); 烈酒(饮料); 烧酒; 白酒; 蜂蜜酒; 青稞酒; 鸡尾酒; 黄酒</t>
  </si>
  <si>
    <t xml:space="preserve"> 开胃酒; 果酒(含酒精); 清酒(日本米酒); 烧酒; 白酒; 米酒; 葡萄酒; 酒精饮料(啤酒除外); 鸡尾酒; 黄酒</t>
  </si>
  <si>
    <t xml:space="preserve"> 利口酒; 开胃酒; 果酒(含酒精); 清酒(日本米酒); 烈酒(饮料); 烧酒; 甜果酒; 白酒; 葡萄酒; 蒸馏饮料</t>
  </si>
  <si>
    <t xml:space="preserve"> 五加皮酒(中国混合烈酒); 开胃酒; 清酒; 烧酒; 由谷物蒸馏的白酒; 白干酒(中国白酒); 白酒; 蒸煮提取物(利口酒和烈酒); 高粱酒; 黄酒</t>
  </si>
  <si>
    <t xml:space="preserve"> 已调味的蒸馏酒; 果酒(含酒精); 烧酒; 白酒; 米酒; 葡萄酒; 露酒; 预先混合的酒精饮料(以啤酒为主的除外); 高粱酒; 黄酒</t>
  </si>
  <si>
    <t xml:space="preserve"> 利口酒; 威士忌; 朗姆酒; 杜松子酒; 混合威士忌酒; 烈酒(饮料); 白兰地; 白干酒(中国白酒); 葡萄酒; 麦芽威士忌</t>
  </si>
  <si>
    <t xml:space="preserve"> 开胃酒; 烈酒(饮料); 烧酒; 白酒; 米酒; 葡萄酒; 薄荷酒; 谷物制蒸馏酒精饮料; 餐后酒(利口酒和烈酒); 黄酒</t>
  </si>
  <si>
    <t xml:space="preserve"> 开胃酒; 果酒(含酒精); 清酒(日本米酒); 烧酒; 白酒; 米酒; 葡萄酒; 蒸煮提取物(利口酒和烈酒); 酒精饮料(啤酒除外); 露酒</t>
  </si>
  <si>
    <t xml:space="preserve"> 果酒; 清酒; 烧酒; 白干酒(中国白酒); 白酒; 米酒; 老酒(中国蒸馏烈酒); 露酒; 食用酒精; 黄酒</t>
  </si>
  <si>
    <t xml:space="preserve"> 利口酒; 果酒(含酒精); 清酒(日本米酒); 白兰地; 白酒; 米酒; 苹果酒; 葡萄酒; 酒精饮料(啤酒除外); 黄酒</t>
  </si>
  <si>
    <t xml:space="preserve"> 伏特加酒; 利口酒; 威士忌; 果酒(含酒精); 烈酒(饮料); 白兰地; 白酒; 米酒; 酒精饮料(啤酒除外); 黄酒</t>
  </si>
  <si>
    <t xml:space="preserve"> 果酒(含酒精); 汽酒; 烈酒; 白酒; 米酒; 葡萄酒; 酒精饮料(啤酒除外); 酒精饮料原汁; 鸡尾酒; 黄酒</t>
  </si>
  <si>
    <t xml:space="preserve"> 开胃酒; 烈酒(饮料); 烧酒; 白酒; 米酒; 老酒(中国蒸馏烈酒); 葡萄酒; 酒精饮料(啤酒除外); 除啤酒外的酒精饮料; 黄酒</t>
  </si>
  <si>
    <t xml:space="preserve"> 含水果酒精饮料; 威士忌; 果酒(含酒精); 清酒(日本米酒); 白酒; 葡萄酒; 蒸馏饮料; 蜂蜜酒; 食用酒精; 鸡尾酒</t>
  </si>
  <si>
    <t xml:space="preserve"> 果酒(含酒精); 清酒(日本米酒); 烈酒(饮料); 烧酒; 白酒; 米酒; 葡萄酒; 青稞酒; 高粱酒; 黄酒</t>
  </si>
  <si>
    <t xml:space="preserve"> 伏特加酒; 威士忌; 果酒(含酒精); 汽酒; 白酒; 米酒; 葡萄酒; 酒精饮料(啤酒除外); 鸡尾酒; 黄酒</t>
  </si>
  <si>
    <t xml:space="preserve"> 伏特加酒; 含水果酒精饮料; 开胃酒; 果酒(含酒精); 白酒; 米酒; 葡萄酒; 蒸馏饮料; 蜂蜜酒; 预先混合的酒精饮料(以啤酒为主的除外)</t>
  </si>
  <si>
    <t xml:space="preserve"> 以葡萄酒为主的饮料; 威士忌; 开胃酒; 果酒(含酒精); 白酒; 米酒; 葡萄酒; 蒸馏饮料; 蜂蜜酒; 青稞酒</t>
  </si>
  <si>
    <t xml:space="preserve"> 以葡萄酒为主的饮料; 含水果酒精饮料; 威士忌; 开胃酒; 朗姆酒; 白酒; 米酒; 葡萄酒; 蒸馏饮料; 酒精饮料(啤酒除外)</t>
  </si>
  <si>
    <t xml:space="preserve"> 含酒精的饮料(啤酒除外); 开胃酒; 果酒(含酒精); 清酒(日本米酒); 烈酒(饮料); 白酒; 米酒; 葡萄酒; 青稞酒; 鸡尾酒</t>
  </si>
  <si>
    <t xml:space="preserve"> 含水果酒精饮料; 威士忌; 杜松子酒; 果酒(含酒精); 烈酒; 烧酒; 白兰地; 白酒; 葡萄酒; 黄酒</t>
  </si>
  <si>
    <t xml:space="preserve"> 含水果酒精饮料; 果酒(含酒精); 清酒(日本米酒); 烈酒(饮料); 白兰地; 白酒; 米酒; 葡萄酒; 蒸馏饮料; 酒精饮料(啤酒除外)</t>
  </si>
  <si>
    <t xml:space="preserve"> 利口酒; 果酒(含酒精); 烧酒; 白酒; 米酒; 葡萄酒; 酒精饮料(啤酒除外); 酸酒(低等葡萄酒); 青稞酒; 黄酒</t>
  </si>
  <si>
    <t xml:space="preserve"> 威士忌; 果酒; 汽酒; 清酒; 白酒; 米酒; 葡萄汽酒; 葡萄酒; 青稞酒; 黄酒</t>
  </si>
  <si>
    <t xml:space="preserve"> 伏特加酒; 含酒精的鸡尾酒混合饮品; 威士忌; 朗姆酒; 烈酒(饮料); 烧酒; 白兰地; 白酒; 蒸馏饮料; 麦芽威士忌</t>
  </si>
  <si>
    <t xml:space="preserve"> 果酒(含酒精); 汽酒; 烈酒(饮料); 白兰地; 葡萄酒; 蒸馏饮料; 酒精饮料原汁; 酒精饮料浓缩汁; 酸酒(低等葡萄酒); 预先混合的酒精饮料(以啤酒为主的除外)</t>
  </si>
  <si>
    <t xml:space="preserve"> 果酒(含酒精); 清酒; 烈酒; 烧酒; 白干酒(中国白酒); 白酒; 米酒; 老酒(中国蒸馏烈酒); 葡萄酒; 高粱酒</t>
  </si>
  <si>
    <t xml:space="preserve"> 开胃酒; 清酒(日本米酒); 烈酒(饮料); 烧酒; 白酒; 葡萄酒; 蜂蜜酒; 预先混合的酒精饮料(以啤酒为主的除外); 鸡尾酒; 黄酒</t>
  </si>
  <si>
    <t xml:space="preserve"> 含酒精的水果鸡尾酒饮料; 开胃酒; 果酒(含酒精); 烧酒; 白酒; 米酒; 葡萄酒; 蒸馏饮料; 蜂蜜酒; 黄酒</t>
  </si>
  <si>
    <t xml:space="preserve"> 含水果酒精饮料; 威士忌; 果酒(含酒精); 白兰地; 白葡萄酒; 白酒; 红葡萄酒; 葡萄酒; 酒精饮料(啤酒除外); 鸡尾酒</t>
  </si>
  <si>
    <t xml:space="preserve"> 含水果酒精饮料; 果酒(含酒精); 清酒(日本米酒); 烈酒(饮料); 白兰地; 白酒; 米酒; 葡萄酒; 酒精饮料(啤酒除外); 黄酒</t>
  </si>
  <si>
    <t xml:space="preserve"> 果酒(含酒精); 清酒(日本米酒); 烧酒; 白兰地; 白酒; 米酒; 苹果酒; 青稞酒; 鸡尾酒; 黄酒</t>
  </si>
  <si>
    <t xml:space="preserve"> 果酒; 烈酒; 烧酒; 白酒; 米酒; 老酒(中国蒸馏烈酒); 葡萄酒; 酒精饮料(啤酒除外); 高粱酒; 黄酒</t>
  </si>
  <si>
    <t xml:space="preserve"> 果酒(含酒精); 桃红葡萄酒; 烈酒(饮料); 烧酒; 烧酒(烈酒); 白干酒(中国白酒); 白酒; 青稞酒; 高粱酒; 黄酒</t>
  </si>
  <si>
    <t xml:space="preserve"> 利口酒; 威士忌; 果酒(含酒精); 烈酒(饮料); 烧酒; 白酒; 苹果酒; 葡萄酒; 鸡尾酒; 黄酒</t>
  </si>
  <si>
    <t xml:space="preserve"> 开胃酒; 果酒(含酒精); 烈酒(饮料); 烧酒; 白酒; 米酒; 葡萄酒; 蒸煮提取物(利口酒和烈酒); 酒精饮料原汁; 黄酒</t>
  </si>
  <si>
    <t xml:space="preserve"> 含酒精水果饮料; 果酒(含酒精); 烈酒; 烧酒; 白酒; 米酒; 葡萄酒; 露酒; 高粱酒; 黄酒</t>
  </si>
  <si>
    <t xml:space="preserve"> 含酒精的气泡水; 开胃酒; 果酒(含酒精); 甜果酒; 白酒; 米酒; 葡萄酒; 蒸馏饮料; 谷物制蒸馏酒精饮料; 黄酒</t>
  </si>
  <si>
    <t xml:space="preserve"> 果酒(含酒精); 清酒; 烈酒(饮料); 白酒; 米酒; 葡萄酒; 蒸馏饮料; 酒精饮料(啤酒除外); 鸡尾酒; 黄酒</t>
  </si>
  <si>
    <t xml:space="preserve"> 利口酒; 含水果酒精饮料; 果酒(含酒精); 樱桃酒; 汽酒; 甜酒; 白酒; 葡萄酒; 蒸馏饮料; 鸡尾酒</t>
  </si>
  <si>
    <t xml:space="preserve"> 利口酒; 开胃酒; 白酒; 米酒; 苦荞酒; 酒精饮料(啤酒除外); 青稞酒; 食用酒精; 高粱酒; 鸡尾酒</t>
  </si>
  <si>
    <t xml:space="preserve"> 伏特加酒; 果酒(含酒精); 烈酒(饮料); 烧酒(烈酒); 白酒; 苹果酒; 葡萄酒; 酒精饮料(啤酒除外); 餐后酒(利口酒和烈酒); 黄酒</t>
  </si>
  <si>
    <t xml:space="preserve"> 以葡萄酒为主的饮料; 含水果酒精饮料; 含酒精水果饮料; 含酒精的气泡水; 汽酒; 烧酒; 白酒; 红葡萄酒; 葡萄酒; 黄酒</t>
  </si>
  <si>
    <t xml:space="preserve"> 果酒; 烈酒(饮料); 烧酒(烈酒); 白干酒(中国白酒); 白酒; 老酒(中国蒸馏烈酒); 葡萄酒; 高粱酒; 鸡尾酒; 黄酒</t>
  </si>
  <si>
    <t xml:space="preserve"> 威士忌; 果酒(含酒精); 烈酒; 烧酒; 白酒; 米酒; 红葡萄酒; 老酒(中国蒸馏烈酒); 葡萄酒; 黄酒</t>
  </si>
  <si>
    <t xml:space="preserve"> 含酒精水果饮料; 威士忌; 果酒(含酒精); 烧酒; 白兰地; 白酒; 米酒; 葡萄酒; 谷物制蒸馏酒精饮料; 黄酒</t>
  </si>
  <si>
    <t xml:space="preserve"> 以葡萄酒为主的饮料; 利口酒; 加烈葡萄酒; 含水果酒精饮料; 威士忌; 开胃酒; 果酒; 葡萄酒; 酸酒(低等葡萄酒); 鸡尾酒</t>
  </si>
  <si>
    <t xml:space="preserve"> 伏特加酒; 威士忌; 混合威士忌酒; 白兰地; 白干酒(中国白酒); 白酒; 红葡萄酒; 老酒(中国蒸馏烈酒); 葡萄酒; 高粱酒</t>
  </si>
  <si>
    <t xml:space="preserve"> 伏特加酒; 果酒(含酒精); 烈酒(饮料); 烧酒; 白兰地; 白酒; 米酒; 葡萄酒; 鸡尾酒; 黄酒</t>
  </si>
  <si>
    <t xml:space="preserve"> 果酒(含酒精); 汽酒; 烈酒(饮料); 烧酒; 由谷物蒸馏的白酒; 白酒; 米酒; 葡萄酒; 酒精饮料原汁; 食用酒精</t>
  </si>
  <si>
    <t xml:space="preserve"> 含酒精的充气饮料(啤酒除外); 咖啡利口酒; 果酒; 樱桃酒; 水果汽酒; 甘蔗制酒精饮料; 甜果酒; 苹果酒; 葡萄酒; 蜂蜜酒</t>
  </si>
  <si>
    <t xml:space="preserve"> 朗姆酒; 果酒(含酒精); 白兰地; 白酒; 老酒(中国蒸馏烈酒); 葡萄酒; 酒精饮料(啤酒除外); 露酒; 青梅酒; 鸡尾酒</t>
  </si>
  <si>
    <t xml:space="preserve"> 含水果酒精饮料; 烈酒(饮料); 烧酒; 白酒; 米酒; 薄荷酒; 露酒; 青稞酒; 餐后酒(利口酒和烈酒); 黄酒</t>
  </si>
  <si>
    <t xml:space="preserve"> 开胃酒; 果酒(含酒精); 柑香酒; 烧酒; 白酒; 米酒; 葡萄酒; 酒精饮料(啤酒除外); 青稞酒; 黄酒</t>
  </si>
  <si>
    <t xml:space="preserve"> 含酒精水果饮料; 威士忌; 汽酒; 烈酒(饮料); 烧酒; 白酒; 葡萄酒; 蒸煮提取物(利口酒和烈酒); 酒精饮料(啤酒除外); 食用酒精</t>
  </si>
  <si>
    <t xml:space="preserve"> 利口酒; 开胃酒; 果酒(含酒精); 清酒; 米酒; 葡萄酒; 蒸煮提取物(利口酒和烈酒); 酒精饮料(啤酒除外); 鸡尾酒; 黄酒</t>
  </si>
  <si>
    <t xml:space="preserve"> 含水果酒精饮料; 果酒(含酒精); 烈酒(饮料); 烧酒; 白酒; 酒精饮料(啤酒除外); 露酒; 青稞酒; 食用酒精; 黄酒</t>
  </si>
  <si>
    <t xml:space="preserve"> 果酒(含酒精); 烧酒(烈酒); 由谷物蒸馏的白酒; 白兰地; 白酒; 米酒; 谷物制蒸馏酒精饮料; 酒精饮料(啤酒除外); 高粱酒; 黄酒</t>
  </si>
  <si>
    <t xml:space="preserve"> 伏特加酒; 利口酒; 果酒(含酒精); 白干酒(中国白酒); 白葡萄酒; 白酒; 红葡萄酒; 葡萄酒; 起泡红葡萄酒; 酒精饮料(啤酒除外)</t>
  </si>
  <si>
    <t xml:space="preserve"> 葡萄酒; 酒精饮料(啤酒除外)</t>
  </si>
  <si>
    <t xml:space="preserve"> 伏特加酒; 果酒; 烧酒; 白酒; 米酒; 葡萄酒; 蒸馏饮料; 酒精饮料(啤酒除外); 食用酒精; 鸡尾酒</t>
  </si>
  <si>
    <t xml:space="preserve"> 伏特加酒; 利口酒; 威士忌; 朗姆酒; 果酒(含酒精); 白兰地; 葡萄酒; 酒精饮料(啤酒除外); 预先混合的酒精饮料(以啤酒为主的除外); 鸡尾酒</t>
  </si>
  <si>
    <t xml:space="preserve"> 葡萄酒</t>
  </si>
  <si>
    <t xml:space="preserve"> 五加皮酒(中国混合烈酒); 烈性干酒; 烈酒; 烧酒; 由谷物蒸馏的白酒; 白干酒(中国白酒); 白酒; 红葡萄酒; 老酒(中国蒸馏烈酒); 蒸煮提取物(利口酒和烈酒)</t>
  </si>
  <si>
    <t xml:space="preserve"> 伏特加酒; 朗姆酒; 果酒(含酒精); 烧酒; 白酒; 米酒; 葡萄酒; 酒精饮料(啤酒除外); 青稞酒; 鸡尾酒</t>
  </si>
  <si>
    <t xml:space="preserve"> 利口酒; 开胃酒; 果酒(含酒精); 烈酒(饮料); 烧酒; 白酒; 米酒; 葡萄酒; 蒸馏饮料; 酒精饮料(啤酒除外)</t>
  </si>
  <si>
    <t xml:space="preserve"> 以葡萄酒为主的开胃酒; 天然汽酒; 朝鲜族米酒; 果酒; 汽酒; 清酒(日本米酒); 烧酒; 白酒; 米酒; 黄酒</t>
  </si>
  <si>
    <t xml:space="preserve"> 烈酒(饮料); 烧酒; 烧酒(烈酒); 由谷物蒸馏的白酒; 白干酒(中国白酒); 白酒; 老酒(中国蒸馏烈酒); 蒸煮提取物(利口酒和烈酒); 谷物制蒸馏酒精饮料; 除啤酒外的酒精饮料</t>
  </si>
  <si>
    <t xml:space="preserve"> 以葡萄酒为主的饮料; 威士忌; 果酒(含酒精); 白兰地; 米酒; 苹果酒; 茴芹酒(利口酒); 葡萄酒; 蜂蜜酒; 酸酒(低等葡萄酒)</t>
  </si>
  <si>
    <t xml:space="preserve"> 利口酒; 威士忌; 柑香酒; 烈酒(饮料); 烧酒; 白酒; 葡萄酒; 酒精饮料原汁; 青稞酒; 黄酒</t>
  </si>
  <si>
    <t xml:space="preserve"> 果酒(含酒精); 烈酒(饮料); 烧酒; 甜果酒; 白酒; 米酒; 葡萄酒; 酒精饮料(啤酒除外); 食用酒精; 鸡尾酒</t>
  </si>
  <si>
    <t xml:space="preserve"> 果酒; 汽酒; 清酒; 烈酒; 烧酒; 甜酒; 白酒; 米酒; 高粱酒; 黄酒</t>
  </si>
  <si>
    <t xml:space="preserve"> 朗姆酒; 甘蔗制烈酒; 由谷物蒸馏的白酒; 白兰地; 白干酒(中国白酒); 白酒; 米酒; 茴香酒(利口酒); 薄荷酒; 麦芽威士忌</t>
  </si>
  <si>
    <t xml:space="preserve"> 含水果酒精饮料; 开胃酒; 果酒(含酒精); 樱桃酒; 烧酒; 白酒; 米酒; 葡萄酒; 蒸煮提取物(利口酒和烈酒); 黄酒</t>
  </si>
  <si>
    <t xml:space="preserve"> 果酒(含酒精); 烈酒(饮料); 烧酒; 白酒; 米酒; 葡萄酒; 酒精饮料(啤酒除外); 青稞酒; 黄酒</t>
  </si>
  <si>
    <t xml:space="preserve"> 果酒(含酒精); 汽酒; 烈酒(饮料); 白兰地; 白酒; 米酒; 葡萄酒; 蒸馏饮料; 酒精饮料(啤酒除外); 黄酒</t>
  </si>
  <si>
    <t xml:space="preserve"> 利口酒; 含水果酒精饮料; 果酒(含酒精); 烈酒(饮料); 烧酒; 白酒; 米酒; 葡萄酒; 蒸煮提取物(利口酒和烈酒); 黄酒</t>
  </si>
  <si>
    <t xml:space="preserve"> 果酒; 烈酒; 烧酒(烈酒); 白干酒(中国白酒); 白酒; 老酒(中国蒸馏烈酒); 食用酒精; 高粱酒; 黄酒</t>
  </si>
  <si>
    <t xml:space="preserve"> 果酒; 烈酒; 烈酒(饮料); 白干酒(中国白酒); 白酒; 老酒(中国蒸馏烈酒); 葡萄酒; 酒精饮料(啤酒除外); 高粱酒; 鸡尾酒</t>
  </si>
  <si>
    <t xml:space="preserve"> 含水果酒精饮料; 含酒精的水果鸡尾酒饮料; 汽酒; 清酒(日本米酒); 白酒; 葡萄酒; 蒸馏饮料; 酒精饮料(啤酒除外); 酒精饮料原汁; 预先混合的酒精饮料(以啤酒为主的除外)</t>
  </si>
  <si>
    <t xml:space="preserve"> 以葡萄酒为主的饮料; 含酒精水果饮料; 含酒精的气泡水; 含酒精的饮料(啤酒除外); 含酒精的鸡尾酒混合饮品; 甘蔗制酒精饮料; 酒精饮料(啤酒除外); 酒精饮料原汁; 预先混合的酒精饮料(以啤酒为主的除外); 食用酒精</t>
  </si>
  <si>
    <t xml:space="preserve"> 含水果酒精饮料; 果酒(含酒精); 烧酒; 白酒; 米酒; 苦味酒; 蒸馏饮料; 酒精饮料(啤酒除外); 食用酒精; 黄酒</t>
  </si>
  <si>
    <t xml:space="preserve"> 含水果酒精饮料; 含酒精的气泡水; 开胃酒; 樱桃酒; 白酒; 蒸煮提取物(利口酒和烈酒); 蜂蜜酒; 谷物制蒸馏酒精饮料; 食用酒精; 鸡尾酒</t>
  </si>
  <si>
    <t xml:space="preserve"> 威士忌; 果酒(含酒精); 烈酒(饮料); 白兰地; 白酒; 米酒; 葡萄酒; 酒精饮料(啤酒除外); 鸡尾酒; 黄酒</t>
  </si>
  <si>
    <t xml:space="preserve"> 伏特加酒; 含水果酒精饮料; 果酒(含酒精); 白酒; 米酒; 葡萄酒; 薄荷酒; 谷物制蒸馏酒精饮料; 酒精饮料(啤酒除外); 黄酒</t>
  </si>
  <si>
    <t xml:space="preserve"> 利口酒; 清酒(日本米酒); 烈酒(饮料); 烧酒; 白兰地; 白酒; 酒精饮料(啤酒除外); 酒精饮料原汁; 露酒; 预先混合的酒精饮料(以啤酒为主的除外)</t>
  </si>
  <si>
    <t xml:space="preserve"> 含水果酒精饮料; 果酒; 烈酒; 烧酒; 白酒; 米酒; 葡萄酒; 酒精饮料浓缩汁; 鸡尾酒; 黄酒</t>
  </si>
  <si>
    <t xml:space="preserve"> 含水果酒精饮料; 含酒精水果饮料; 果酒; 果酒(含酒精); 梨酒; 水果汽酒; 甜果酒; 米酒; 红葡萄酒; 苹果酒</t>
  </si>
  <si>
    <t xml:space="preserve"> 清酒; 烈酒; 烧酒(烈酒); 白葡萄酒; 白酒; 米酒; 红葡萄酒; 老酒(中国蒸馏烈酒); 高粱酒</t>
  </si>
  <si>
    <t xml:space="preserve"> 威士忌; 果酒(含酒精); 烧酒; 白兰地; 白酒; 米酒; 葡萄酒; 青稞酒; 鸡尾酒; 黄酒</t>
  </si>
  <si>
    <t xml:space="preserve"> 含酒精的气泡水; 含酒精的水果鸡尾酒饮料; 含酒精的饮料(啤酒除外); 果酒; 果酒(含酒精); 烈酒(饮料); 烧酒; 甜果酒; 甜酒; 由谷物蒸馏的白酒; 白葡萄酒; 白酒; 米酒; 老酒(中国蒸馏烈酒); 苦味酒; 苹果酒; 葡萄酒; 蜂蜜酒; 食用酒精; 黄酒</t>
  </si>
  <si>
    <t xml:space="preserve"> 含酒精的饮料(啤酒除外); 杨梅酒; 果酒; 果酒(含酒精); 白葡萄酒; 白酒; 红葡萄酒; 老酒(中国蒸馏烈酒); 青梅酒; 鸡尾酒</t>
  </si>
  <si>
    <t xml:space="preserve"> 含水果酒精饮料; 开胃酒; 烧酒; 白兰地; 白酒; 葡萄酒; 蒸馏饮料; 酒精饮料(啤酒除外); 酒精饮料浓缩汁; 鸡尾酒</t>
  </si>
  <si>
    <t xml:space="preserve"> 果酒; 烈酒; 烧酒; 白兰地; 白酒; 米酒; 葡萄酒; 蒸馏饮料; 露酒; 高粱酒</t>
  </si>
  <si>
    <t xml:space="preserve"> 含酒精水果饮料; 含酒精的气泡水; 含酒精的饮料(啤酒除外); 果酒(含酒精); 烈酒(饮料); 白兰地; 白酒; 米酒; 酒精饮料原汁; 鸡尾酒</t>
  </si>
  <si>
    <t xml:space="preserve"> 果酒(含酒精); 汽酒; 清酒(日本米酒); 烈酒(饮料); 白酒; 米酒; 葡萄酒; 酒精饮料(啤酒除外); 食用酒精; 黄酒</t>
  </si>
  <si>
    <t xml:space="preserve"> 含酒精的饮料(啤酒除外); 威士忌; 果酒; 烈酒(饮料); 甜酒; 白酒; 米酒; 葡萄酒; 酒精饮料(啤酒除外); 鸡尾酒</t>
  </si>
  <si>
    <t xml:space="preserve"> 含水果酒精饮料; 果酒(含酒精); 柑香酒; 樱桃酒; 米酒; 苹果酒; 葡萄酒; 蒸馏饮料; 蜂蜜酒; 酸酒(低等葡萄酒)</t>
  </si>
  <si>
    <t xml:space="preserve"> 利口酒; 含酒精的气泡水; 果酒(含酒精); 白兰地; 白酒; 米酒; 葡萄酒; 蜂蜜酒; 鸡尾酒; 黄酒</t>
  </si>
  <si>
    <t xml:space="preserve"> 果酒(含酒精); 烧酒(烈酒); 白酒; 米酒; 葡萄酒; 露酒; 青稞酒; 餐后酒(利口酒和烈酒); 高粱酒; 黄酒</t>
  </si>
  <si>
    <t xml:space="preserve"> 加烈葡萄酒; 加香料的热葡萄酒; 开胃酒; 白干酒(中国白酒); 白葡萄酒; 白酒; 葡萄汽酒; 葡萄酒; 鸡尾酒; 黄酒</t>
  </si>
  <si>
    <t xml:space="preserve"> 果酒; 清酒; 烈酒; 烧酒; 烧酒(烈酒); 白酒; 米酒; 谷物制蒸馏酒精饮料; 食用酒精; 黄酒</t>
  </si>
  <si>
    <t xml:space="preserve"> 果酒(含酒精); 清酒; 烈酒; 烧酒; 白酒; 米酒; 葡萄酒; 露酒; 高粱酒; 黄酒</t>
  </si>
  <si>
    <t xml:space="preserve"> 含酒精水果饮料; 日本梅子酒; 果酒(含酒精); 由谷物蒸馏的白酒; 白酒; 米酒; 葡萄酒; 酒精饮料(啤酒除外); 鸡尾酒; 黄酒</t>
  </si>
  <si>
    <t xml:space="preserve"> 果酒(含酒精); 烧酒; 白酒; 葡萄酒; 蒸煮提取物(利口酒和烈酒); 蜂蜜酒; 酒精饮料(啤酒除外); 酒精饮料原汁; 食用酒精; 鸡尾酒</t>
  </si>
  <si>
    <t xml:space="preserve"> 开胃酒; 果酒(含酒精); 白酒; 米酒; 葡萄酒; 蒸馏饮料; 酒精饮料(啤酒除外); 食用酒精; 鸡尾酒; 黄酒</t>
  </si>
  <si>
    <t xml:space="preserve"> 含酒精的饮料(啤酒除外); 白酒（第35类）</t>
  </si>
  <si>
    <t xml:space="preserve"> 利口酒; 开胃酒; 烈酒(饮料); 烧酒; 白酒; 米酒; 葡萄酒; 酒精饮料(啤酒除外); 食用酒精; 黄酒</t>
  </si>
  <si>
    <t xml:space="preserve"> 果酒(含酒精); 柑香酒; 烈酒(饮料); 烧酒; 白酒; 米酒; 葡萄酒; 食用酒精; 餐后酒(利口酒和烈酒); 黄酒</t>
  </si>
  <si>
    <t xml:space="preserve"> 含酒精的饮料(啤酒除外); 开胃酒; 果酒(含酒精); 烧酒; 白酒; 米酒; 谷物制蒸馏酒精饮料; 酒精饮料原汁; 预先混合的酒精饮料(以啤酒为主的除外); 食用酒精</t>
  </si>
  <si>
    <t xml:space="preserve"> 果酒; 清酒; 烈酒; 烧酒; 白酒; 米酒; 苦荞酒; 酒精饮料(啤酒除外); 青稞酒; 黄酒</t>
  </si>
  <si>
    <t xml:space="preserve"> 威士忌; 朗姆酒; 混合威士忌酒; 烧酒; 白酒; 米酒; 葡萄酒; 酒精饮料(啤酒除外); 鸡尾酒; 黄酒</t>
  </si>
  <si>
    <t xml:space="preserve"> 威士忌; 果酒(含酒精); 清酒(日本米酒); 烧酒; 白酒; 米酒; 谷物制蒸馏酒精饮料; 酒精饮料(啤酒除外); 食用酒精; 黄酒</t>
  </si>
  <si>
    <t xml:space="preserve"> 以葡萄酒为主的饮料; 桃红葡萄酒; 白葡萄酒; 红葡萄酒; 葡萄酒; 起泡白葡萄酒; 起泡红葡萄酒</t>
  </si>
  <si>
    <t xml:space="preserve"> 果酒(含酒精); 清酒; 烈酒(饮料); 烧酒; 白兰地; 白酒; 米酒; 葡萄酒; 酒精饮料(啤酒除外); 黄酒</t>
  </si>
  <si>
    <t xml:space="preserve"> 开胃酒; 果酒(含酒精); 烧酒; 白兰地; 白酒; 米酒; 葡萄酒; 蒸煮提取物(利口酒和烈酒); 酒精饮料(啤酒除外); 黄酒</t>
  </si>
  <si>
    <t xml:space="preserve"> 威士忌; 开胃酒; 果酒; 烧酒; 白兰地; 白酒; 葡萄酒; 蒸馏饮料; 鸡尾酒; 黄酒</t>
  </si>
  <si>
    <t xml:space="preserve"> 伏特加酒; 含水果酒精饮料; 清酒; 烈酒(饮料); 烧酒; 白酒; 米酒; 葡萄酒; 酒精饮料(啤酒除外); 黄酒</t>
  </si>
  <si>
    <t xml:space="preserve"> 果酒(含酒精); 汽酒; 烈酒(饮料); 白酒; 米酒; 蒸馏饮料; 酒精饮料(啤酒除外); 预先混合的酒精饮料(以啤酒为主的除外); 食用酒精; 鸡尾酒</t>
  </si>
  <si>
    <t xml:space="preserve"> 威士忌; 朗姆酒; 果酒(含酒精); 烧酒; 白酒; 米酒; 葡萄酒; 酒精饮料(啤酒除外); 鸡尾酒; 黄酒</t>
  </si>
  <si>
    <t xml:space="preserve"> 伏特加酒; 含水果酒精饮料; 威士忌; 果酒(含酒精); 白兰地; 白酒; 米酒; 葡萄酒; 酒精饮料(啤酒除外); 黄酒</t>
  </si>
  <si>
    <t xml:space="preserve"> 含酒精的气泡水; 果酒; 烧酒; 白酒; 米酒; 葡萄酒; 蒸馏饮料; 蜂蜜酒; 鸡尾酒; 黄酒</t>
  </si>
  <si>
    <t xml:space="preserve"> 果酒(含酒精); 汽酒; 烈酒(饮料); 烧酒; 白兰地; 白酒; 葡萄酒; 酒精饮料(啤酒除外); 鸡尾酒; 黄酒</t>
  </si>
  <si>
    <t xml:space="preserve"> 含酒精的饮料(啤酒除外); 开胃酒; 果酒; 清酒; 烈酒浓缩汁; 烧酒; 甜酒; 白酒; 米酒; 黄酒</t>
  </si>
  <si>
    <t xml:space="preserve"> 开胃酒; 果酒(含酒精); 汽酒; 清酒(日本米酒); 米酒; 苹果酒; 蜂蜜酒; 酒精饮料(啤酒除外); 预先混合的酒精饮料(以啤酒为主的除外); 鸡尾酒</t>
  </si>
  <si>
    <t xml:space="preserve"> 含水果酒精饮料; 开胃酒; 果酒; 汽酒; 清酒; 米酒; 葡萄酒; 蒸煮提取物(利口酒和烈酒); 蒸馏饮料; 食用酒精</t>
  </si>
  <si>
    <t xml:space="preserve"> 威士忌; 果酒(含酒精); 烈酒(饮料); 烧酒; 白酒; 米酒; 葡萄酒; 酒精饮料(啤酒除外); 鸡尾酒; 黄酒</t>
  </si>
  <si>
    <t xml:space="preserve"> 开胃酒; 汽酒; 清酒(日本米酒); 白兰地; 白酒; 米酒; 葡萄酒; 蒸馏饮料; 酒精饮料(啤酒除外); 黄酒</t>
  </si>
  <si>
    <t xml:space="preserve"> 开胃酒; 朗姆酒; 果酒(含酒精); 清酒(日本米酒); 烈酒(饮料); 烧酒; 白酒; 葡萄酒; 酒精饮料(啤酒除外); 青稞酒</t>
  </si>
  <si>
    <t xml:space="preserve"> 开胃酒; 果酒(含酒精); 梨酒; 樱桃酒; 白酒; 米酒; 苹果酒; 葡萄酒; 青稞酒; 鸡尾酒</t>
  </si>
  <si>
    <t xml:space="preserve"> 果酒(含酒精); 烈酒(饮料); 烧酒; 甜酒; 白兰地; 白酒; 米酒; 葡萄酒; 蜂蜜酒; 鸡尾酒</t>
  </si>
  <si>
    <t xml:space="preserve"> 伏特加酒; 利口酒; 威士忌; 朗姆酒; 果酒; 清酒(日本米酒); 白兰地; 白干酒(中国白酒); 葡萄酒; 鸡尾酒</t>
  </si>
  <si>
    <t xml:space="preserve"> 开胃酒; 梨酒; 烧酒; 白兰地; 白酒; 米酒; 葡萄酒; 餐后酒(利口酒和烈酒); 鸡尾酒; 黄酒</t>
  </si>
  <si>
    <t xml:space="preserve"> 果酒(含酒精); 烧酒; 白兰地; 白酒; 米酒; 葡萄酒; 酒精饮料(啤酒除外); 青稞酒; 鸡尾酒; 黄酒</t>
  </si>
  <si>
    <t xml:space="preserve"> 含水果酒精饮料; 威士忌; 果酒(含酒精); 烧酒; 白兰地; 白酒; 米酒; 葡萄酒; 鸡尾酒; 黄酒</t>
  </si>
  <si>
    <t xml:space="preserve"> 果酒(含酒精); 汽酒; 烈酒(饮料); 烧酒(烈酒); 白酒; 米酒; 葡萄酒; 酒精饮料(啤酒除外); 高粱酒; 鸡尾酒</t>
  </si>
  <si>
    <t xml:space="preserve"> 清酒; 清酒(日本米酒); 烧酒; 白酒; 米酒; 苦荞酒; 蒸馏米酒(泡盛酒); 谷物制蒸馏酒精饮料; 露酒; 黄酒</t>
  </si>
  <si>
    <t xml:space="preserve"> 利口酒; 含水果酒精饮料; 果酒(含酒精); 清酒(日本米酒); 烈酒(饮料); 白酒; 葡萄酒; 酒精饮料(啤酒除外); 酒精饮料浓缩汁; 黄酒</t>
  </si>
  <si>
    <t xml:space="preserve"> 开胃酒; 果酒(含酒精); 烧酒; 白酒; 米酒; 葡萄酒; 蒸煮提取物(利口酒和烈酒); 蜂蜜酒; 食用酒精; 黄酒</t>
  </si>
  <si>
    <t xml:space="preserve"> 伏特加酒; 威士忌; 果酒(含酒精); 清酒(日本米酒); 烈酒(饮料); 白兰地; 白酒; 米酒; 鸡尾酒; 黄酒</t>
  </si>
  <si>
    <t xml:space="preserve"> 威士忌; 果酒(含酒精); 烧酒; 白兰地; 白葡萄酒; 白酒; 红葡萄酒; 葡萄酒; 青稞酒; 黄酒</t>
  </si>
  <si>
    <t xml:space="preserve"> 果酒(含酒精); 汽酒; 清酒; 烈酒(饮料); 白酒; 米酒; 葡萄酒; 酒精饮料(啤酒除外); 鸡尾酒; 黄酒</t>
  </si>
  <si>
    <t xml:space="preserve"> 咖啡利口酒; 烈酒; 烧酒; 由谷物蒸馏的白酒; 白干酒(中国白酒); 白酒; 米酒; 老酒(中国蒸馏烈酒); 蒸煮提取物(利口酒和烈酒); 高粱酒</t>
  </si>
  <si>
    <t xml:space="preserve"> 烧酒; 烧酒(烈酒); 白兰地; 白干酒(中国白酒); 白酒; 老酒(中国蒸馏烈酒); 葡萄酒; 青稞酒; 高粱酒; 黄酒</t>
  </si>
  <si>
    <t xml:space="preserve"> 含水果酒精饮料; 果酒(含酒精); 梅酒; 水果汽酒; 清酒; 烧酒; 白兰地; 米酒; 葡萄酒; 酒精饮料(啤酒除外)</t>
  </si>
  <si>
    <t xml:space="preserve"> 果酒(含酒精); 白酒; 米酒; 老酒(中国蒸馏烈酒); 葡萄酒; 蒸馏饮料; 谷物制蒸馏酒精饮料; 酒精饮料(啤酒除外); 食用酒精; 黄酒</t>
  </si>
  <si>
    <t xml:space="preserve"> 刺五加酒; 朝鲜族米酒; 果酒; 清酒; 烧酒; 白酒; 蜂蜜酒; 蝮蛇酒; 露酒; 黄酒</t>
  </si>
  <si>
    <t xml:space="preserve"> 以葡萄酒为主的饮料; 含酒精的气泡水; 含酒精的饮料(啤酒除外); 果酒(含酒精); 混合威士忌酒; 烧酒(烈酒); 苹果酒; 蒸馏饮料; 薄荷酒; 鸡尾酒</t>
  </si>
  <si>
    <t xml:space="preserve"> 开胃酒; 果酒(含酒精); 烈酒(饮料); 烧酒; 白兰地; 白酒; 米酒; 葡萄酒; 露酒; 黄酒</t>
  </si>
  <si>
    <t xml:space="preserve"> 含水果酒精饮料; 威士忌; 朗姆酒; 果酒(含酒精); 清酒; 白酒; 米酒; 葡萄酒; 除啤酒外的酒精饮料; 鸡尾酒</t>
  </si>
  <si>
    <t xml:space="preserve"> 开胃酒; 梅酒; 烈酒; 烧酒; 甜酒; 白酒; 米酒; 老酒(中国蒸馏烈酒); 蜂蜜酒; 黄酒</t>
  </si>
  <si>
    <t xml:space="preserve"> 威士忌; 果酒(含酒精); 清酒(日本米酒); 白兰地; 白酒; 米酒; 葡萄酒; 蒸煮提取物(利口酒和烈酒); 酒精饮料(啤酒除外); 黄酒</t>
  </si>
  <si>
    <t xml:space="preserve"> 含酒精水果饮料; 果酒(含酒精); 烈酒(饮料); 白兰地; 白酒; 米酒; 葡萄酒; 蒸馏饮料; 食用酒精; 鸡尾酒</t>
  </si>
  <si>
    <t xml:space="preserve"> 含水果酒精饮料; 威士忌; 开胃酒; 烈酒(饮料); 烧酒; 白酒; 葡萄酒; 酒精饮料(啤酒除外); 鸡尾酒; 黄酒</t>
  </si>
  <si>
    <t xml:space="preserve"> 含水果酒精饮料; 果酒(含酒精); 清酒; 烧酒; 白兰地; 白酒; 米酒; 葡萄酒; 酒精饮料(啤酒除外); 鸡尾酒</t>
  </si>
  <si>
    <t xml:space="preserve"> 含水果酒精饮料; 果酒(含酒精); 烧酒; 白酒; 米酒; 苹果酒; 葡萄酒; 酒精饮料原汁; 鸡尾酒; 黄酒</t>
  </si>
  <si>
    <t xml:space="preserve"> 威士忌; 果酒; 白兰地; 白酒; 米酒; 葡萄酒; 酒精饮料(啤酒除外); 青稞酒; 鸡尾酒; 黄酒</t>
  </si>
  <si>
    <t xml:space="preserve"> 威士忌; 清酒(日本米酒); 烈酒(饮料); 烧酒; 白酒; 米酒; 葡萄酒; 酒精饮料(啤酒除外); 酒精饮料原汁; 黄酒</t>
  </si>
  <si>
    <t xml:space="preserve"> 含水果酒精饮料; 开胃酒; 果酒(含酒精); 烈酒(饮料); 白酒; 米酒; 葡萄酒; 预先混合的酒精饮料(以啤酒为主的除外); 餐后酒(利口酒和烈酒); 鸡尾酒</t>
  </si>
  <si>
    <t xml:space="preserve"> 伏特加酒; 威士忌; 朝鲜族米酒; 白酒; 米酒; 葡萄酒; 谷物制蒸馏酒精饮料; 酒精饮料原汁; 青稞酒; 黄酒</t>
  </si>
  <si>
    <t xml:space="preserve"> 含酒精水果饮料; 果酒(含酒精); 清酒; 烧酒; 白酒; 米酒; 葡萄酒; 露酒; 高粱酒; 鸡尾酒</t>
  </si>
  <si>
    <t xml:space="preserve"> 果酒; 烈酒; 烧酒; 白干酒(中国白酒); 白酒; 米酒; 葡萄酒; 酒精饮料(啤酒除外); 高粱酒; 黄酒</t>
  </si>
  <si>
    <t xml:space="preserve"> 威士忌; 果酒; 烈酒; 烈酒(饮料); 甜酒; 白兰地; 白酒; 米酒; 红葡萄酒; 黄酒</t>
  </si>
  <si>
    <t xml:space="preserve"> 含水果酒精饮料; 含酒精的饮料(啤酒除外); 果酒; 汽酒; 烧酒; 白酒; 葡萄酒; 高粱酒; 鸡尾酒; 黄酒</t>
  </si>
  <si>
    <t xml:space="preserve"> 果酒(含酒精); 烧酒; 甜果酒; 白酒; 米酒; 葡萄酒; 酒精饮料(啤酒除外); 高粱酒; 鸡尾酒; 黄酒</t>
  </si>
  <si>
    <t xml:space="preserve"> 利口酒; 含酒精的鸡尾酒混合饮品; 咖啡利口酒; 梅酒; 汽酒; 清酒; 白酒; 米酒; 酒精饮料(啤酒除外); 黄酒</t>
  </si>
  <si>
    <t xml:space="preserve"> 开胃酒; 果酒(含酒精); 汽酒; 烈酒(饮料); 白酒; 米酒; 葡萄酒; 蒸馏饮料; 酒精饮料(啤酒除外); 黄酒</t>
  </si>
  <si>
    <t xml:space="preserve"> 果酒(含酒精); 清酒; 烈酒; 烧酒(烈酒); 白酒; 米酒; 老酒(中国蒸馏烈酒); 苦荞酒; 葡萄酒; 黄酒</t>
  </si>
  <si>
    <t xml:space="preserve"> 含水果酒精饮料; 含酒精的饮料(啤酒除外); 天然汽酒; 干型苹果酒; 果酒(含酒精); 梨酒; 水果汽酒; 汽酒; 苹果酒; 草莓酒</t>
  </si>
  <si>
    <t xml:space="preserve"> 五加皮酒(中国混合烈酒); 开胃酒; 烈性干酒; 烈酒(饮料); 烧酒; 白酒; 米酒; 老酒(中国蒸馏烈酒); 蒸馏米酒(泡盛酒); 高粱酒</t>
  </si>
  <si>
    <t xml:space="preserve"> 伏特加酒; 果酒(含酒精); 清酒; 烈酒(饮料); 烧酒; 白兰地; 白酒; 米酒; 食用酒精; 黄酒</t>
  </si>
  <si>
    <t xml:space="preserve"> 果酒(含酒精); 汽酒; 烈酒(饮料); 烧酒; 白酒; 葡萄酒; 酒精饮料(啤酒除外); 青稞酒; 食用酒精; 黄酒</t>
  </si>
  <si>
    <t xml:space="preserve"> 果酒(含酒精); 汽酒; 烈酒(饮料); 烧酒; 白酒; 米酒; 葡萄酒; 蒸馏饮料; 酒精饮料(啤酒除外); 预先混合的酒精饮料(以啤酒为主的除外); 黄酒</t>
  </si>
  <si>
    <t xml:space="preserve"> 威士忌; 果酒(含酒精); 烈酒(饮料); 白兰地; 白酒; 米酒; 葡萄酒; 蒸馏饮料; 酒精饮料(啤酒除外); 黄酒</t>
  </si>
  <si>
    <t xml:space="preserve"> 以葡萄酒为主的饮料; 含水果酒精饮料; 威士忌; 开胃酒; 果酒(含酒精); 甜果酒; 苹果酒; 酒精饮料浓缩汁; 鸡尾酒; 黄酒</t>
  </si>
  <si>
    <t xml:space="preserve"> 烧酒; 白酒; 米酒; 葡萄酒; 青稞酒; 高粱酒; 黄酒</t>
  </si>
  <si>
    <t xml:space="preserve"> 烧酒; 烧酒(烈酒); 白干酒(中国白酒); 白酒; 米酒; 红葡萄酒; 葡萄汽酒; 葡萄酒; 高粱酒; 黄酒</t>
  </si>
  <si>
    <t xml:space="preserve"> 威士忌; 果酒(含酒精); 汽酒; 烈酒; 烧酒; 白酒; 米酒; 葡萄酒; 酒精饮料(啤酒除外); 黄酒</t>
  </si>
  <si>
    <t xml:space="preserve"> 含水果酒精饮料; 威士忌; 果酒(含酒精); 梨酒; 由谷物蒸馏的白酒; 白酒; 米酒; 葡萄酒; 酒精饮料原汁; 黄酒</t>
  </si>
  <si>
    <t xml:space="preserve"> 利口酒; 清酒; 烈酒; 烧酒; 白干酒(中国白酒); 米酒; 蒸馏饮料; 酒精饮料(啤酒除外); 食用酒精; 黄酒</t>
  </si>
  <si>
    <t xml:space="preserve"> 威士忌; 杜松子酒; 果酒(含酒精); 清酒(日本米酒); 烈酒(饮料); 白酒; 葡萄酒; 酒精饮料(啤酒除外); 鸡尾酒; 黄酒</t>
  </si>
  <si>
    <t xml:space="preserve"> 开胃酒; 果酒(含酒精); 汽酒; 白酒; 米酒; 蜂蜜酒; 酒精饮料(啤酒除外); 青稞酒; 餐后酒(利口酒和烈酒); 鸡尾酒</t>
  </si>
  <si>
    <t xml:space="preserve"> 以葡萄酒为主的饮料; 含酒精的水果鸡尾酒饮料; 果酒(含酒精); 白兰地; 白酒; 葡萄酒; 酒精饮料(啤酒除外); 酒精饮料浓缩汁; 预先混合的酒精饮料(以啤酒为主的除外); 黄酒</t>
  </si>
  <si>
    <t xml:space="preserve"> 伏特加酒; 利口酒; 含酒精水果饮料; 威士忌; 朗姆酒; 白兰地; 白酒; 葡萄酒; 酒精饮料(啤酒除外); 黄酒</t>
  </si>
  <si>
    <t xml:space="preserve"> 伏特加酒; 果酒(含酒精); 汽酒; 清酒(日本米酒); 烈酒(饮料); 白兰地; 白酒; 葡萄酒; 酒精饮料(啤酒除外); 黄酒</t>
  </si>
  <si>
    <t xml:space="preserve"> 汽酒; 清酒; 烈酒(饮料); 烧酒(烈酒); 白干酒(中国白酒); 白酒; 老酒(中国蒸馏烈酒); 葡萄酒; 蒸馏饮料; 酒精饮料(啤酒除外)</t>
  </si>
  <si>
    <t xml:space="preserve"> 开胃酒; 果酒(含酒精); 清酒(日本米酒); 烈酒(饮料); 烧酒; 白酒; 米酒; 葡萄酒; 谷物制蒸馏酒精饮料; 酒精饮料(啤酒除外)</t>
  </si>
  <si>
    <t xml:space="preserve"> 烈酒; 烧酒(烈酒); 由谷物蒸馏的白酒; 白酒; 老酒(中国蒸馏烈酒); 蒸馏饮料; 谷物制蒸馏酒精饮料; 酒精饮料(啤酒除外); 除啤酒外的酒精饮料; 食用酒精</t>
  </si>
  <si>
    <t xml:space="preserve"> 果酒(含酒精); 汽酒; 清酒; 烈酒(饮料); 烧酒; 白酒; 米酒; 老酒(中国蒸馏烈酒); 葡萄酒; 食用酒精</t>
  </si>
  <si>
    <t xml:space="preserve"> 烈酒(饮料); 烧酒; 甜酒; 白干酒(中国白酒); 白酒; 米酒; 老酒(中国蒸馏烈酒); 葡萄酒; 高粱酒; 黄酒</t>
  </si>
  <si>
    <t xml:space="preserve"> 开胃酒; 朗姆酒; 果酒(含酒精); 清酒(日本米酒); 米酒; 蒸馏饮料; 酒精饮料(啤酒除外); 酒精饮料浓缩汁; 鸡尾酒; 黄酒</t>
  </si>
  <si>
    <t xml:space="preserve"> 果酒(含酒精); 烧酒; 白酒; 米酒; 红葡萄酒; 老酒(中国蒸馏烈酒); 露酒; 青稞酒; 鸡尾酒; 黄酒</t>
  </si>
  <si>
    <t xml:space="preserve"> 果酒; 烈酒; 烧酒; 由谷物蒸馏的白酒; 白干酒(中国白酒); 白酒; 老酒(中国蒸馏烈酒); 蒸馏米酒(泡盛酒); 露酒; 高粱酒</t>
  </si>
  <si>
    <t xml:space="preserve"> 开胃酒; 果酒(含酒精); 梨酒; 樱桃酒; 烧酒; 白酒; 苹果酒; 葡萄酒; 蜂蜜酒; 黄酒</t>
  </si>
  <si>
    <t xml:space="preserve"> 威士忌; 果酒(含酒精); 梨酒; 清酒(日本米酒); 烧酒; 白酒; 葡萄酒; 青稞酒; 食用酒精; 黄酒</t>
  </si>
  <si>
    <t xml:space="preserve"> 伏特加酒; 威士忌; 清酒(日本米酒); 烈酒; 白酒; 葡萄酒; 谷物制蒸馏酒精饮料; 酒精饮料(啤酒除外); 酒精饮料原汁; 鸡尾酒</t>
  </si>
  <si>
    <t xml:space="preserve"> 含水果酒精饮料; 果酒(含酒精); 烧酒(烈酒); 白酒; 老酒(中国蒸馏烈酒); 苹果酒; 葡萄酒; 蒸馏饮料; 谷物制蒸馏酒精饮料; 酒精饮料原汁</t>
  </si>
  <si>
    <t xml:space="preserve"> 果酒(含酒精); 烧酒(烈酒); 白酒; 米酒; 葡萄酒; 蒸馏饮料; 酒精饮料(啤酒除外); 青稞酒; 食用酒精; 鸡尾酒</t>
  </si>
  <si>
    <t xml:space="preserve"> 果酒(含酒精); 清酒(日本米酒); 烈酒(饮料); 由谷物蒸馏的白酒; 白干酒(中国白酒); 白酒; 米酒; 老酒(中国蒸馏烈酒); 葡萄酒; 鸡尾酒</t>
  </si>
  <si>
    <t xml:space="preserve"> 五加皮酒(中国混合烈酒); 威士忌; 果酒(含酒精); 烈酒; 烧酒(烈酒); 白兰地; 白酒; 米酒; 老酒(中国蒸馏烈酒); 葡萄酒</t>
  </si>
  <si>
    <t xml:space="preserve"> 果酒(含酒精); 烧酒(烈酒); 白酒; 米酒; 老酒(中国蒸馏烈酒); 葡萄酒; 除啤酒外的酒精饮料; 高粱酒; 黄酒</t>
  </si>
  <si>
    <t xml:space="preserve"> 以葡萄酒为主的饮料; 含水果酒精饮料; 含酒精水果饮料; 含酒精的鸡尾酒混合饮品; 果酒; 果酒(含酒精); 苹果酒; 酒精饮料原汁; 酒精饮料浓缩汁</t>
  </si>
  <si>
    <t xml:space="preserve"> 威士忌; 开胃酒; 果酒(含酒精); 烈酒(饮料); 烧酒; 白酒; 米酒; 葡萄酒; 酒精饮料(啤酒除外); 鸡尾酒</t>
  </si>
  <si>
    <t xml:space="preserve"> 含水果酒精饮料; 威士忌; 果酒(含酒精); 烈酒(饮料); 烧酒; 白酒; 米酒; 酒精饮料(啤酒除外); 酒精饮料原汁; 黄酒</t>
  </si>
  <si>
    <t xml:space="preserve"> 利口酒; 果酒(含酒精); 烈酒(饮料); 烧酒; 白兰地; 白酒; 米酒; 葡萄酒; 蜂蜜酒; 鸡尾酒</t>
  </si>
  <si>
    <t xml:space="preserve"> 开胃酒; 果酒; 烧酒; 白兰地; 白酒; 米酒; 苹果酒; 葡萄酒; 蜂蜜酒; 黄酒</t>
  </si>
  <si>
    <t xml:space="preserve"> 果酒; 汽酒; 白酒; 米酒; 蒸煮提取物(利口酒和烈酒); 蒸馏饮料; 蜂蜜酒; 酒精饮料(啤酒除外); 鸡尾酒; 黄酒</t>
  </si>
  <si>
    <t xml:space="preserve"> 含水果酒精饮料; 威士忌; 开胃酒; 果酒(含酒精); 清酒(日本米酒); 烧酒; 白酒; 米酒; 葡萄酒; 鸡尾酒</t>
  </si>
  <si>
    <t xml:space="preserve"> 以葡萄酒为主的饮料; 果酒(含酒精); 汽酒; 白酒; 米酒; 葡萄酒; 蒸馏饮料; 酒精饮料(啤酒除外); 预先混合的酒精饮料(以啤酒为主的除外); 鸡尾酒</t>
  </si>
  <si>
    <t xml:space="preserve"> 以葡萄酒为主的饮料; 果酒(含酒精); 烈酒; 烧酒; 白酒; 米酒; 葡萄酒; 青稞酒; 鸡尾酒; 黄酒</t>
  </si>
  <si>
    <t xml:space="preserve"> 利口酒; 含酒精的饮料(啤酒除外); 汽酒; 烈酒(饮料); 葡萄酒</t>
  </si>
  <si>
    <t xml:space="preserve"> 含水果酒精饮料; 开胃酒; 果酒(含酒精); 白酒; 米酒; 葡萄酒; 酒精饮料(啤酒除外); 青稞酒; 鸡尾酒; 黄酒</t>
  </si>
  <si>
    <t xml:space="preserve"> 含水果酒精饮料; 含酒精的气泡水; 果酒(含酒精); 清酒(日本米酒); 烧酒(烈酒); 白兰地; 白酒; 米酒; 食用酒精; 黄酒</t>
  </si>
  <si>
    <t xml:space="preserve"> 果酒(含酒精); 甜酒; 白酒; 米酒; 葡萄酒; 蒸煮提取物(利口酒和烈酒); 露酒; 青梅酒; 高粱酒; 黄酒</t>
  </si>
  <si>
    <t xml:space="preserve"> 威士忌; 开胃酒; 果酒(含酒精); 烈酒(饮料); 烧酒; 白兰地; 白酒; 葡萄酒; 高粱酒; 鸡尾酒</t>
  </si>
  <si>
    <t xml:space="preserve"> 烈酒; 烧酒; 白干酒(中国白酒); 白酒; 米酒; 老酒(中国蒸馏烈酒); 青梅酒; 青稞酒; 高粱酒; 黄酒</t>
  </si>
  <si>
    <t xml:space="preserve"> 含酒精水果饮料; 果酒(含酒精); 烈酒(饮料); 烧酒; 白酒; 米酒; 葡萄酒; 蒸煮提取物(利口酒和烈酒); 食用酒精; 黄酒</t>
  </si>
  <si>
    <t xml:space="preserve"> 以蒸馏酒为主的开胃酒; 含酒精的水果鸡尾酒饮料; 干型苹果酒; 果酒; 苦荞酒; 蒸馏米酒(泡盛酒); 调制好的葡萄酒鸡尾酒; 餐后酒(利口酒和烈酒)</t>
  </si>
  <si>
    <t xml:space="preserve"> 果酒; 烧酒; 甜酒; 白酒; 苦味酒; 苹果酒; 葡萄酒; 谷物制蒸馏酒精饮料; 高粱酒; 黄酒</t>
  </si>
  <si>
    <t xml:space="preserve"> 含酒精水果饮料; 果酒; 烈酒; 烧酒; 白干酒(中国白酒); 白酒; 米酒; 老酒(中国蒸馏烈酒); 葡萄酒; 高粱酒</t>
  </si>
  <si>
    <t xml:space="preserve"> 以葡萄酒为主的饮料; 含水果酒精饮料; 果酒(含酒精); 烈酒(饮料); 烧酒; 白酒; 米酒; 谷物制蒸馏酒精饮料; 酒精饮料浓缩汁; 黄酒</t>
  </si>
  <si>
    <t xml:space="preserve"> 含水果酒精饮料; 汽酒; 烈酒(饮料); 白酒; 葡萄酒; 酒精饮料(啤酒除外); 黄酒</t>
  </si>
  <si>
    <t xml:space="preserve"> 威士忌; 朗姆酒; 烈酒; 烧酒; 白兰地; 米酒; 葡萄酒; 酒精饮料(啤酒除外); 鸡尾酒; 黄酒</t>
  </si>
  <si>
    <t xml:space="preserve"> 开胃酒; 果酒(含酒精); 汽酒; 清酒(日本米酒); 烧酒; 白兰地; 白酒; 葡萄酒; 酒精饮料(啤酒除外); 食用酒精</t>
  </si>
  <si>
    <t xml:space="preserve"> 威士忌; 果酒; 清酒; 烈酒; 甜酒; 白兰地; 白酒; 葡萄酒; 酒精饮料(啤酒除外); 鸡尾酒</t>
  </si>
  <si>
    <t xml:space="preserve"> 含水果酒精饮料; 开胃酒; 果酒; 清酒; 白酒; 苦味酒; 茴香酒; 蜂蜜酒; 青稞酒; 黄酒</t>
  </si>
  <si>
    <t xml:space="preserve"> 果酒(含酒精); 清酒(日本米酒); 烈酒(饮料); 烧酒; 白兰地; 白酒; 米酒; 葡萄酒; 鸡尾酒; 黄酒</t>
  </si>
  <si>
    <t xml:space="preserve"> 威士忌; 开胃酒; 果酒(含酒精); 烧酒; 白酒; 米酒; 葡萄酒; 蜂蜜酒; 鸡尾酒; 黄酒</t>
  </si>
  <si>
    <t xml:space="preserve"> 威士忌; 果酒(含酒精); 清酒(日本米酒); 烧酒; 白酒; 苦味酒; 葡萄酒; 酒精饮料(啤酒除外); 青稞酒; 黄酒</t>
  </si>
  <si>
    <t xml:space="preserve"> 含水果酒精饮料; 开胃酒; 果酒(含酒精); 烧酒; 白酒; 米酒; 葡萄酒; 蜂蜜酒; 酒精饮料原汁; 鸡尾酒</t>
  </si>
  <si>
    <t xml:space="preserve"> 含水果酒精饮料; 开胃酒; 果酒(含酒精); 烈酒(饮料); 白酒; 米酒; 酒精饮料(啤酒除外); 酒精饮料原汁; 酒精饮料浓缩汁; 黄酒</t>
  </si>
  <si>
    <t xml:space="preserve"> 含水果酒精饮料; 开胃酒; 果酒(含酒精); 樱桃酒; 烈酒(饮料); 白酒; 米酒; 葡萄酒; 蜂蜜酒; 黄酒</t>
  </si>
  <si>
    <t xml:space="preserve"> 开胃酒; 果酒(含酒精); 烈酒(饮料); 烧酒; 白酒; 米酒; 葡萄酒; 酒精饮料(啤酒除外); 青稞酒; 黄酒</t>
  </si>
  <si>
    <t xml:space="preserve"> 伏特加酒; 果酒(含酒精); 烧酒; 白酒; 米酒; 苹果酒; 葡萄酒; 酒精饮料(啤酒除外); 鸡尾酒; 黄酒</t>
  </si>
  <si>
    <t xml:space="preserve"> 以葡萄酒为主的饮料; 果酒(含酒精); 白酒; 米酒; 葡萄酒; 谷物制蒸馏酒精饮料; 酒精饮料(啤酒除外); 青稞酒; 食用酒精; 黄酒</t>
  </si>
  <si>
    <t xml:space="preserve"> 含水果酒精饮料; 果酒(含酒精); 梨酒; 烈酒(饮料); 白酒; 米酒; 苹果酒; 葡萄酒; 酒精饮料(啤酒除外); 鸡尾酒</t>
  </si>
  <si>
    <t xml:space="preserve"> 利口酒; 含水果酒精饮料; 樱桃酒; 烈酒; 白兰地; 白酒; 葡萄酒; 起泡红葡萄酒; 酒精饮料浓缩汁; 黄酒</t>
  </si>
  <si>
    <t xml:space="preserve"> 以葡萄酒为主的开胃酒; 以葡萄酒为主的饮料; 含酒精的气泡水; 含酒精的饮料(啤酒除外); 尼瓦(以甘蔗为主的酒精饮料); 已调味的麦芽酿制的酒精饮料(啤酒除外); 白酒; 预先混合的酒精饮料(以啤酒为主的除外); 食用酒精</t>
  </si>
  <si>
    <t xml:space="preserve"> 以葡萄酒为主的饮料; 已调味的麦芽酿制的酒精饮料(啤酒除外); 果酒(含酒精); 烧酒; 甘蔗制酒精饮料; 白酒; 米酒; 谷物制蒸馏酒精饮料; 食用酒精; 黄酒</t>
  </si>
  <si>
    <t xml:space="preserve"> 利口酒; 果酒; 烧酒; 白兰地; 白酒; 米酒; 葡萄酒; 蒸馏饮料; 酒精饮料(啤酒除外); 高粱酒</t>
  </si>
  <si>
    <t xml:space="preserve"> 含酒精的鸡尾酒混合饮品; 果酒(含酒精); 白酒; 米酒; 露酒; 食用酒精; 高粱酒</t>
  </si>
  <si>
    <t xml:space="preserve"> 利口酒; 含水果酒精饮料; 开胃酒; 果酒(含酒精); 烈酒; 烧酒(烈酒); 白酒; 葡萄酒; 蒸煮提取物(利口酒和烈酒); 酒精饮料原汁</t>
  </si>
  <si>
    <t xml:space="preserve"> 利口酒; 威士忌; 开胃酒; 果酒(含酒精); 烈酒(饮料); 烧酒(烈酒); 葡萄酒; 酒精饮料(啤酒除外); 酒精饮料浓缩汁; 食用酒精</t>
  </si>
  <si>
    <t xml:space="preserve"> 威士忌; 果酒; 烧酒(烈酒); 白兰地; 白酒; 葡萄酒; 蜂蜜酒; 酒精饮料(啤酒除外); 露酒; 高粱酒</t>
  </si>
  <si>
    <t xml:space="preserve"> 杨梅酒; 清酒; 烈酒; 烧酒; 烧酒(烈酒); 白酒; 苦荞酒; 青梅酒; 青稞酒; 饮用烈酒</t>
  </si>
  <si>
    <t xml:space="preserve"> 威士忌; 烈酒(饮料); 白兰地; 白酒; 米酒; 老酒(中国蒸馏烈酒); 葡萄酒; 酒精饮料(啤酒除外); 高粱酒; 黄酒</t>
  </si>
  <si>
    <t xml:space="preserve"> 含水果酒精饮料; 含酒精的气泡水; 已调味的麦芽酿制的酒精饮料(啤酒除外); 烧酒; 白酒; 老酒(中国蒸馏烈酒); 蒸煮提取物(利口酒和烈酒); 蒸馏饮料; 酒精饮料浓缩汁; 食用酒精</t>
  </si>
  <si>
    <t xml:space="preserve"> 以葡萄酒为主的饮料; 含水果酒精饮料; 含酒精的气泡水; 已调味的麦芽酿制的酒精饮料(啤酒除外); 果酒(含酒精); 白酒; 葡萄酒; 酒精饮料(啤酒除外); 酒精饮料原汁; 酒精饮料浓缩汁; 食用酒精</t>
  </si>
  <si>
    <t xml:space="preserve"> 含水果酒精饮料; 果酒; 清酒; 烈酒; 烧酒; 甜酒; 白酒; 米酒; 葡萄酒; 黄酒</t>
  </si>
  <si>
    <t xml:space="preserve"> 含水果酒精饮料; 果酒(含酒精); 白酒; 米酒; 老酒(中国蒸馏烈酒); 苹果酒; 葡萄酒; 酒精饮料(啤酒除外); 青稞酒; 黄酒</t>
  </si>
  <si>
    <t xml:space="preserve"> 果酒(含酒精); 烈性干酒; 烈酒(饮料); 烧酒; 烧酒(烈酒); 白兰地; 白干酒(中国白酒); 白酒; 米酒; 谷物制蒸馏酒精饮料</t>
  </si>
  <si>
    <t xml:space="preserve"> 开胃酒; 果酒(含酒精); 烈酒; 白酒; 米酒; 葡萄酒; 蒸馏饮料; 酒精饮料(啤酒除外); 食用酒精; 黄酒</t>
  </si>
  <si>
    <t xml:space="preserve"> 威士忌; 果酒(含酒精); 烈酒(饮料); 白兰地; 米酒; 葡萄酒; 酒精饮料原汁; 鸡尾酒; 黄酒</t>
  </si>
  <si>
    <t xml:space="preserve"> 以蒸馏酒为主的开胃酒; 含酒精的饮料(啤酒除外); 果酒(含酒精); 甜果酒; 饮用烈酒</t>
  </si>
  <si>
    <t xml:space="preserve"> 以葡萄酒为主的饮料; 威士忌; 白兰地; 白葡萄酒; 米酒; 葡萄酒; 酒精饮料(啤酒除外); 酒精饮料原汁; 食用酒精; 鸡尾酒</t>
  </si>
  <si>
    <t xml:space="preserve"> 伏特加酒; 开胃酒; 果酒(含酒精); 清酒(日本米酒); 烈酒(饮料); 烧酒; 白酒; 葡萄酒; 酒精饮料(啤酒除外); 黄酒</t>
  </si>
  <si>
    <t xml:space="preserve"> 利口酒; 开胃酒; 果酒(含酒精); 烧酒; 白酒; 米酒; 葡萄酒; 蜂蜜酒; 食用酒精; 黄酒</t>
  </si>
  <si>
    <t xml:space="preserve"> 梨酒; 樱桃酒; 烈酒; 烧酒; 白酒; 米酒; 苹果酒; 葡萄酒; 蜂蜜酒; 鸡尾酒</t>
  </si>
  <si>
    <t xml:space="preserve"> 伏特加酒; 威士忌; 清酒; 烧酒; 白酒; 米酒; 葡萄酒; 酒精饮料(啤酒除外); 高粱酒; 黄酒</t>
  </si>
  <si>
    <t xml:space="preserve"> 果酒(含酒精); 清酒; 白兰地; 白酒; 老酒(中国蒸馏烈酒); 葡萄酒; 露酒; 高粱酒; 鸡尾酒; 黄酒</t>
  </si>
  <si>
    <t xml:space="preserve"> 含水果酒精饮料; 已调味的麦芽酿制的酒精饮料(啤酒除外); 果酒(含酒精); 汽酒; 白酒; 苦荞酒; 葡萄酒; 蜂蜜酒; 青稞酒; 黄酒</t>
  </si>
  <si>
    <t xml:space="preserve"> 果酒(含酒精); 清酒(日本米酒); 白酒; 米酒; 葡萄酒; 露酒; 黄酒</t>
  </si>
  <si>
    <t xml:space="preserve"> 果酒(含酒精); 汽酒; 清酒(日本米酒); 烈酒(饮料); 白酒; 米酒; 葡萄酒; 蒸馏饮料; 酒精饮料(啤酒除外); 食用酒精</t>
  </si>
  <si>
    <t xml:space="preserve"> 伏特加酒; 威士忌; 果酒(含酒精); 烈酒(饮料); 白兰地; 白酒; 葡萄酒; 酒精饮料(啤酒除外); 鸡尾酒; 黄酒</t>
  </si>
  <si>
    <t xml:space="preserve"> 果酒; 烧酒; 白酒; 米酒; 苹果酒; 葡萄酒; 青稞酒; 高粱酒; 鸡尾酒; 黄酒</t>
  </si>
  <si>
    <t xml:space="preserve"> 果酒(含酒精); 汽酒; 烧酒; 白酒; 米酒; 葡萄酒; 酒精饮料浓缩汁; 青稞酒; 鸡尾酒; 黄酒</t>
  </si>
  <si>
    <t xml:space="preserve"> 含酒精的饮料(啤酒除外); 威士忌; 日本梅子酒; 白酒; 米酒; 薄荷酒; 谷物制蒸馏酒精饮料; 除啤酒外的酒精饮料; 露酒; 黄酒</t>
  </si>
  <si>
    <t xml:space="preserve"> 利口酒; 果酒(含酒精); 烈酒(饮料); 烧酒; 白兰地; 白酒; 米酒; 葡萄酒; 蒸馏饮料; 酒精饮料(啤酒除外)</t>
  </si>
  <si>
    <t xml:space="preserve"> 伏特加酒; 威士忌; 朗姆酒; 果酒(含酒精); 白兰地; 白酒; 葡萄酒; 酒精饮料(啤酒除外); 鸡尾酒; 黄酒</t>
  </si>
  <si>
    <t xml:space="preserve"> 开胃酒; 果酒; 汽酒; 烈酒(饮料); 烧酒; 白酒; 米酒; 葡萄酒; 酒精饮料(啤酒除外); 黄酒</t>
  </si>
  <si>
    <t xml:space="preserve"> 含水果酒精饮料; 果酒(含酒精); 米酒; 谷物制蒸馏酒精饮料; 酒精饮料(啤酒除外); 酒精饮料原汁; 酒精饮料浓缩汁; 预先混合的酒精饮料(以啤酒为主的除外); 食用酒精; 鸡尾酒</t>
  </si>
  <si>
    <t xml:space="preserve"> 威士忌; 朗姆酒; 果酒(含酒精); 水果汽酒; 白兰地; 白酒; 米酒; 苹果酒; 葡萄酒; 鸡尾酒</t>
  </si>
  <si>
    <t xml:space="preserve"> 威士忌; 开胃酒; 果酒(含酒精); 白酒; 苹果酒; 葡萄酒; 蒸馏饮料; 酒精饮料原汁; 酒精饮料浓缩汁; 鸡尾酒</t>
  </si>
  <si>
    <t xml:space="preserve"> 果酒(含酒精); 烧酒; 白酒; 米酒; 葡萄酒; 酒精饮料(啤酒除外); 酒精饮料原汁; 食用酒精; 鸡尾酒; 黄酒</t>
  </si>
  <si>
    <t xml:space="preserve"> 清酒(日本米酒); 烈酒(饮料); 烧酒; 白酒; 米酒; 葡萄酒; 青稞酒; 食用酒精; 鸡尾酒; 黄酒</t>
  </si>
  <si>
    <t xml:space="preserve"> 威士忌; 开胃酒; 果酒; 汽酒; 清酒(日本米酒); 白酒; 葡萄酒; 蜂蜜酒; 除啤酒外的酒精饮料; 黄酒</t>
  </si>
  <si>
    <t xml:space="preserve"> 利口酒; 果酒(含酒精); 汽酒; 烈酒(饮料); 烧酒; 白兰地; 白酒; 米酒; 葡萄酒; 黄酒</t>
  </si>
  <si>
    <t xml:space="preserve"> 以葡萄酒为主的饮料; 开胃酒; 果酒(含酒精); 烈酒(饮料); 白酒; 葡萄酒; 蒸馏饮料; 谷物制蒸馏酒精饮料; 酒精饮料原汁; 食用酒精</t>
  </si>
  <si>
    <t xml:space="preserve"> 含水果酒精饮料; 威士忌; 果酒(含酒精); 汽酒; 白酒; 米酒; 红葡萄酒; 蒸馏饮料; 餐后酒(利口酒和烈酒); 鸡尾酒</t>
  </si>
  <si>
    <t xml:space="preserve"> 果酒(含酒精); 汽酒; 烧酒; 白酒; 米酒; 葡萄酒; 酒精饮料(啤酒除外); 青稞酒; 食用酒精; 黄酒</t>
  </si>
  <si>
    <t xml:space="preserve"> 含水果酒精饮料; 果酒(含酒精); 汽酒; 烈酒(饮料); 烧酒; 白酒; 米酒; 葡萄酒; 酒精饮料原汁; 酒精饮料浓缩汁</t>
  </si>
  <si>
    <t xml:space="preserve"> 利口酒; 朗姆酒; 汽酒; 烧酒; 白酒; 米酒; 蒸馏饮料; 食用酒精; 鸡尾酒; 黄酒</t>
  </si>
  <si>
    <t xml:space="preserve"> 含酒精水果饮料; 开胃酒; 烈酒; 烧酒; 白干酒(中国白酒); 白酒; 米酒; 老酒(中国蒸馏烈酒); 青稞酒; 高粱酒</t>
  </si>
  <si>
    <t xml:space="preserve"> 以葡萄酒为主的开胃酒; 伏特加酒; 威士忌; 果酒(含酒精); 白兰地; 白葡萄酒; 白酒; 红葡萄酒; 葡萄酒; 酒精饮料(啤酒除外)</t>
  </si>
  <si>
    <t xml:space="preserve"> 果酒(含酒精); 烧酒; 白兰地; 白酒; 米酒; 苹果酒; 葡萄酒; 蒸馏饮料; 薄荷酒; 鸡尾酒</t>
  </si>
  <si>
    <t xml:space="preserve"> 白酒; 米酒; 葡萄酒; 谷物制蒸馏酒精饮料; 酒精饮料(啤酒除外); 酒精饮料原汁; 预先混合的酒精饮料(以啤酒为主的除外); 食用酒精; 鸡尾酒; 黄酒</t>
  </si>
  <si>
    <t xml:space="preserve"> 果酒(含酒精); 清酒(日本米酒); 烧酒; 白兰地; 白酒; 葡萄酒; 蜂蜜酒; 酒精饮料(啤酒除外); 鸡尾酒; 黄酒</t>
  </si>
  <si>
    <t xml:space="preserve"> 果酒; 烈酒; 烧酒; 白干酒(中国白酒); 白酒; 米酒; 红葡萄酒; 老酒(中国蒸馏烈酒); 蒸煮提取物(利口酒和烈酒); 高粱酒</t>
  </si>
  <si>
    <t xml:space="preserve"> 利口酒; 开胃酒; 果酒; 烈酒(饮料); 烧酒; 白酒; 葡萄酒; 预先混合的酒精饮料(以啤酒为主的除外); 高粱酒</t>
  </si>
  <si>
    <t xml:space="preserve"> 利口酒; 开胃酒; 果酒(含酒精); 烈酒(饮料); 烧酒; 白酒; 米酒; 葡萄酒; 酒精饮料(啤酒除外); 黄酒</t>
  </si>
  <si>
    <t xml:space="preserve"> 威士忌; 果酒(含酒精); 汽酒; 烈酒(饮料); 白酒; 葡萄酒; 蒸馏饮料; 酒精饮料(啤酒除外); 酒精饮料原汁; 鸡尾酒</t>
  </si>
  <si>
    <t xml:space="preserve"> 伏特加酒; 利口酒; 威士忌; 果酒; 烧酒; 白兰地; 白酒; 葡萄酒; 酒精饮料浓缩汁; 黄酒</t>
  </si>
  <si>
    <t xml:space="preserve"> 含水果酒精饮料; 烈酒(饮料); 烧酒; 白兰地; 白酒; 米酒; 葡萄酒; 酒精饮料(啤酒除外); 酒精饮料原汁; 食用酒精</t>
  </si>
  <si>
    <t xml:space="preserve"> 含水果酒精饮料; 杨梅酒; 果酒(含酒精); 白酒; 米酒; 蜂蜜酒; 谷物制蒸馏酒精饮料; 酒精饮料(啤酒除外); 高粱酒; 黄酒</t>
  </si>
  <si>
    <t xml:space="preserve"> 开胃酒; 果酒(含酒精); 清酒(日本米酒); 烧酒; 白酒; 米酒; 葡萄酒; 青稞酒; 鸡尾酒; 黄酒</t>
  </si>
  <si>
    <t xml:space="preserve"> 利口酒; 含水果酒精饮料; 果酒(含酒精); 清酒(日本米酒); 烧酒; 白酒; 米酒; 葡萄酒; 蜂蜜酒; 黄酒</t>
  </si>
  <si>
    <t xml:space="preserve"> 果酒(含酒精); 烧酒; 白兰地; 白酒; 米酒; 老酒(中国蒸馏烈酒); 葡萄酒; 蒸馏饮料; 薄荷酒; 黄酒</t>
  </si>
  <si>
    <t xml:space="preserve"> 利口酒; 威士忌; 果酒; 由谷物蒸馏的白酒; 白酒; 米酒; 葡萄酒; 谷物制蒸馏酒精饮料; 食用酒精; 高粱酒</t>
  </si>
  <si>
    <t xml:space="preserve"> 朝鲜族米酒; 果酒(含酒精); 梨酒; 烈酒(饮料); 白酒; 米酒; 葡萄酒; 酒精饮料(啤酒除外); 酒精饮料浓缩汁; 食用酒精</t>
  </si>
  <si>
    <t xml:space="preserve"> 威士忌; 果酒(含酒精); 烈酒(饮料); 烧酒; 白兰地; 白酒; 蒸煮提取物(利口酒和烈酒); 蒸馏饮料; 酒精饮料(啤酒除外); 酒精饮料浓缩汁</t>
  </si>
  <si>
    <t xml:space="preserve"> 开胃酒; 果酒; 梨酒; 烧酒; 白酒; 米酒; 老酒(中国蒸馏烈酒); 薄荷酒; 高粱酒; 黄酒</t>
  </si>
  <si>
    <t xml:space="preserve"> 果酒; 白酒; 米酒; 葡萄酒; 蜂蜜酒; 酒精饮料(啤酒除外); 露酒; 食用酒精; 高粱酒; 黄酒</t>
  </si>
  <si>
    <t xml:space="preserve"> 开胃酒; 果酒; 清酒; 烧酒; 白酒; 苦味酒; 苹果酒; 葡萄酒; 鸡尾酒; 黄酒</t>
  </si>
  <si>
    <t xml:space="preserve"> 开胃酒; 果酒(含酒精); 汽酒; 烧酒; 白酒; 米酒; 葡萄酒; 蒸馏饮料; 酒精饮料(啤酒除外); 鸡尾酒</t>
  </si>
  <si>
    <t xml:space="preserve"> 含酒精的水果鸡尾酒饮料; 果酒(含酒精); 由谷物蒸馏的白酒; 白干酒(中国白酒); 白酒; 酒精饮料(啤酒除外); 酒精饮料浓缩汁; 食用酒精; 高粱酒</t>
  </si>
  <si>
    <t xml:space="preserve"> 开胃酒; 清酒(日本米酒); 烧酒; 白兰地; 白酒; 米酒; 葡萄酒; 蒸馏饮料; 鸡尾酒; 黄酒</t>
  </si>
  <si>
    <t xml:space="preserve"> 开胃酒; 果酒; 烧酒; 白兰地; 白酒; 米酒; 葡萄酒; 酒精饮料(啤酒除外); 鸡尾酒; 黄酒</t>
  </si>
  <si>
    <t xml:space="preserve"> 利口酒; 开胃酒; 果酒(含酒精); 烈酒; 烧酒; 白酒; 米酒; 葡萄酒; 酒精饮料(啤酒除外); 黄酒</t>
  </si>
  <si>
    <t xml:space="preserve"> 威士忌; 杜松子酒; 果酒(含酒精); 烈酒(饮料); 烧酒; 白酒; 苦荞酒; 葡萄酒; 谷物制蒸馏酒精饮料; 鸡尾酒</t>
  </si>
  <si>
    <t xml:space="preserve"> 伏特加酒; 果酒(含酒精); 清酒(日本米酒); 烈酒(饮料); 白兰地; 白酒; 米酒; 葡萄酒; 蜂蜜酒; 黄酒</t>
  </si>
  <si>
    <t xml:space="preserve"> 威士忌; 开胃酒; 果酒(含酒精); 清酒(日本米酒); 米酒; 葡萄酒; 蜂蜜酒; 谷物制蒸馏酒精饮料; 鸡尾酒; 黄酒</t>
  </si>
  <si>
    <t xml:space="preserve"> 威士忌; 杨梅酒; 果酒(含酒精); 烧酒; 白酒; 葡萄酒; 蒸煮提取物(利口酒和烈酒); 酒精饮料(啤酒除外); 酒精饮料浓缩汁; 食用酒精</t>
  </si>
  <si>
    <t xml:space="preserve"> 开胃酒; 果酒(含酒精); 烈酒(饮料); 烧酒; 白酒; 米酒; 葡萄酒; 薄荷酒; 酒精饮料(啤酒除外); 黄酒</t>
  </si>
  <si>
    <t xml:space="preserve"> 含酒精水果饮料; 含酒精的饮料(啤酒除外); 开胃酒; 果酒; 甜酒; 白酒; 葡萄酒; 蒸馏饮料; 鸡尾酒; 黄酒</t>
  </si>
  <si>
    <t xml:space="preserve"> 伏特加酒; 含酒精蛋奶酒; 果酒(含酒精); 清酒(日本米酒); 烧酒; 白酒; 米酒; 葡萄酒; 酒精饮料(啤酒除外); 餐后酒(利口酒和烈酒)</t>
  </si>
  <si>
    <t xml:space="preserve"> 含水果酒精饮料; 朗姆酒; 果酒(含酒精); 烈酒(饮料); 白酒; 米酒; 蒸馏饮料; 酒精饮料(啤酒除外); 酒精饮料原汁; 鸡尾酒</t>
  </si>
  <si>
    <t xml:space="preserve"> 果酒(含酒精); 烈酒(饮料); 烧酒; 白酒; 米酒; 葡萄酒; 酒精饮料浓缩汁; 食用酒精; 餐后酒(利口酒和烈酒); 黄酒</t>
  </si>
  <si>
    <t xml:space="preserve"> 开胃酒; 果酒(含酒精); 清酒(日本米酒); 烧酒; 白酒; 葡萄酒; 蜂蜜酒; 酒精饮料(啤酒除外); 鸡尾酒; 黄酒</t>
  </si>
  <si>
    <t xml:space="preserve"> 含酒精水果饮料; 果酒(含酒精); 由谷物蒸馏的白酒; 白酒; 红葡萄酒; 葡萄酒; 蒸馏饮料; 谷物制蒸馏酒精饮料; 酒精饮料(啤酒除外); 露酒</t>
  </si>
  <si>
    <t xml:space="preserve"> 含水果酒精饮料; 威士忌; 果酒(含酒精); 汽酒; 烧酒; 白酒; 葡萄酒; 谷物制蒸馏酒精饮料; 酒精饮料(啤酒除外); 鸡尾酒</t>
  </si>
  <si>
    <t xml:space="preserve"> 含水果酒精饮料; 果酒(含酒精); 烈酒(饮料); 烧酒; 白酒; 米酒; 葡萄酒; 蒸馏饮料; 酒精饮料(啤酒除外); 酒精饮料浓缩汁</t>
  </si>
  <si>
    <t xml:space="preserve"> 利口酒; 果酒(含酒精); 汽酒; 清酒; 烈酒(饮料); 烧酒; 白兰地; 米酒; 葡萄酒; 黄酒</t>
  </si>
  <si>
    <t xml:space="preserve"> 开胃酒; 果酒(含酒精); 汽酒; 烧酒; 白酒; 米酒; 葡萄酒; 蒸馏饮料; 酒精饮料(啤酒除外); 黄酒</t>
  </si>
  <si>
    <t xml:space="preserve"> 利口酒; 开胃酒; 果酒(含酒精); 烈酒(饮料); 白酒; 葡萄酒; 蒸馏饮料; 青稞酒; 食用酒精; 黄酒</t>
  </si>
  <si>
    <t xml:space="preserve"> 果酒(含酒精); 汽酒; 烧酒; 白酒; 米酒; 葡萄酒; 蒸馏饮料; 酒精饮料(啤酒除外); 预先混合的酒精饮料(以啤酒为主的除外); 黄酒</t>
  </si>
  <si>
    <t xml:space="preserve"> 果酒(含酒精); 清酒; 白兰地; 白酒; 米酒; 葡萄酒; 酒精饮料(啤酒除外); 青稞酒; 食用酒精; 黄酒</t>
  </si>
  <si>
    <t xml:space="preserve"> 含水果酒精饮料; 威士忌; 果酒(含酒精); 清酒; 烈酒(饮料); 烧酒; 白酒; 蒸馏饮料; 酒精饮料原汁; 鸡尾酒</t>
  </si>
  <si>
    <t xml:space="preserve"> 含水果酒精饮料; 开胃酒; 果酒(含酒精); 汽酒; 清酒; 红葡萄酒; 蜂蜜酒; 酒精饮料(啤酒除外); 酒精饮料原汁; 除啤酒外的酒精饮料</t>
  </si>
  <si>
    <t xml:space="preserve"> 白兰地; 白酒; 葡萄酒; 除啤酒外的酒精饮料; 高粱酒</t>
  </si>
  <si>
    <t xml:space="preserve"> 威士忌; 果酒(含酒精); 清酒(日本米酒); 烧酒; 白酒; 葡萄酒; 酒精饮料(啤酒除外); 青稞酒; 食用酒精; 黄酒</t>
  </si>
  <si>
    <t xml:space="preserve"> 威士忌; 果酒(含酒精); 烈酒(饮料); 烧酒; 白酒; 米酒; 葡萄酒; 谷物制蒸馏酒精饮料; 鸡尾酒; 黄酒</t>
  </si>
  <si>
    <t xml:space="preserve"> 含水果酒精饮料; 威士忌; 果酒(含酒精); 清酒(日本米酒); 烧酒; 白酒; 苹果酒; 酒精饮料(啤酒除外); 预先混合的酒精饮料(以啤酒为主的除外); 黄酒</t>
  </si>
  <si>
    <t xml:space="preserve"> 开胃酒; 果酒(含酒精); 烈酒(饮料); 白酒; 米酒; 苹果酒; 葡萄酒; 蒸馏饮料; 薄荷酒; 蜂蜜酒</t>
  </si>
  <si>
    <t xml:space="preserve"> 利口酒; 含水果酒精饮料; 果酒; 烈酒; 烧酒; 白酒; 米酒; 葡萄酒; 蜂蜜酒; 除啤酒外的酒精饮料</t>
  </si>
  <si>
    <t xml:space="preserve"> 果酒(含酒精); 汽酒; 白兰地; 白酒; 米酒; 葡萄酒; 酒精饮料(啤酒除外); 青稞酒; 高粱酒; 鸡尾酒</t>
  </si>
  <si>
    <t xml:space="preserve"> 含酒精的气泡水; 果酒(含酒精); 烈酒(饮料); 白兰地; 白酒; 米酒; 葡萄酒; 蒸馏饮料; 预先混合的酒精饮料(以啤酒为主的除外); 黄酒</t>
  </si>
  <si>
    <t xml:space="preserve"> 开胃酒; 果酒(含酒精); 烈酒(饮料); 烧酒; 白酒; 米酒; 老酒(中国蒸馏烈酒); 蒸馏米酒(泡盛酒); 蒸馏饮料; 高粱酒</t>
  </si>
  <si>
    <t xml:space="preserve"> 威士忌; 果酒; 清酒; 白兰地; 白酒; 葡萄酒; 酒精饮料浓缩汁; 除啤酒外的酒精饮料; 食用酒精; 黄酒</t>
  </si>
  <si>
    <t xml:space="preserve"> 含酒精水果饮料; 开胃酒; 果酒(含酒精); 汽酒; 烈酒(饮料); 白兰地; 白酒; 米酒; 葡萄酒; 黄酒</t>
  </si>
  <si>
    <t xml:space="preserve"> 含水果酒精饮料; 果酒(含酒精); 梅酒; 清酒(日本米酒); 烧酒; 白酒; 米酒; 葡萄酒; 酒精饮料(啤酒除外); 鸡尾酒</t>
  </si>
  <si>
    <t xml:space="preserve"> 开胃酒; 果酒(含酒精); 烈酒(饮料); 烧酒; 白兰地; 白酒; 米酒; 蒸馏饮料; 酒精饮料(啤酒除外); 黄酒</t>
  </si>
  <si>
    <t xml:space="preserve"> 开胃酒; 果酒; 烧酒; 烧酒(烈酒); 白酒; 老酒(中国蒸馏烈酒); 葡萄酒; 高粱酒; 黄酒</t>
  </si>
  <si>
    <t xml:space="preserve"> 利口酒; 含水果酒精饮料; 含酒精的气泡水; 果酒(含酒精); 烈酒(饮料); 白酒; 葡萄酒; 餐后酒(利口酒和烈酒); 鸡尾酒; 黄酒</t>
  </si>
  <si>
    <t xml:space="preserve"> 果酒(含酒精); 汽酒; 烧酒; 白酒; 米酒; 葡萄酒; 蒸馏饮料; 酒精饮料(啤酒除外); 食用酒精; 鸡尾酒</t>
  </si>
  <si>
    <t xml:space="preserve"> 含水果酒精饮料; 开胃酒; 汽酒; 烈酒; 烧酒; 白酒; 米酒; 葡萄酒; 蜂蜜酒; 鸡尾酒</t>
  </si>
  <si>
    <t xml:space="preserve"> 以葡萄酒为主的饮料; 威士忌; 开胃酒; 果酒(含酒精); 白酒; 薄荷酒; 酒精饮料原汁; 预先混合的酒精饮料(以啤酒为主的除外); 餐后酒(利口酒和烈酒); 黄酒</t>
  </si>
  <si>
    <t xml:space="preserve"> 果酒(含酒精); 烧酒; 白酒; 米酒; 蒸馏饮料; 酒精饮料(啤酒除外); 酒精饮料原汁; 食用酒精; 鸡尾酒; 黄酒</t>
  </si>
  <si>
    <t xml:space="preserve"> 清酒; 烧酒; 白酒; 米酒; 葡萄酒; 青稞酒; 高粱酒</t>
  </si>
  <si>
    <t xml:space="preserve"> 含酒精的气泡水; 果酒(含酒精); 烧酒; 白酒; 米酒; 葡萄酒; 谷物制蒸馏酒精饮料; 酒精饮料(啤酒除外); 青稞酒; 黄酒</t>
  </si>
  <si>
    <t xml:space="preserve"> 含水果酒精饮料; 果酒(含酒精); 烈酒(饮料); 烧酒; 米酒; 苦味酒; 蒸馏饮料; 薄荷酒; 谷物制蒸馏酒精饮料; 酒精饮料(啤酒除外)</t>
  </si>
  <si>
    <t xml:space="preserve"> 威士忌; 果酒; 汽酒; 烈酒; 白酒; 米酒; 葡萄酒; 酒精饮料(啤酒除外); 露酒; 鸡尾酒</t>
  </si>
  <si>
    <t xml:space="preserve"> 果酒(含酒精); 汽酒; 烈酒; 烧酒; 甜酒; 白酒; 米酒; 葡萄酒; 酒精饮料(啤酒除外); 黄酒</t>
  </si>
  <si>
    <t xml:space="preserve"> 果酒(含酒精); 烈酒(饮料); 烧酒; 由谷物蒸馏的白酒; 白干酒(中国白酒); 白酒; 米酒; 老酒(中国蒸馏烈酒); 谷物制蒸馏酒精饮料; 高粱酒</t>
  </si>
  <si>
    <t xml:space="preserve"> 含水果酒精饮料; 开胃酒; 果酒(含酒精); 汽酒; 烧酒; 白酒; 葡萄酒; 薄荷酒; 蜂蜜酒; 酒精饮料浓缩汁</t>
  </si>
  <si>
    <t xml:space="preserve"> 伏特加酒; 利口酒; 威士忌; 朗姆酒; 杜松子酒; 果酒(含酒精); 烈酒(饮料); 白兰地; 葡萄酒; 酒精饮料(啤酒除外)</t>
  </si>
  <si>
    <t xml:space="preserve"> 含水果酒精饮料; 威士忌; 果酒; 烈酒; 甜酒; 白葡萄酒; 白酒; 米酒; 葡萄酒; 鸡尾酒</t>
  </si>
  <si>
    <t xml:space="preserve"> 果酒(含酒精); 梅酒; 烧酒; 白酒; 米酒; 葡萄酒; 除啤酒外的酒精饮料; 高粱酒; 鸡尾酒; 黄酒</t>
  </si>
  <si>
    <t xml:space="preserve"> 果酒(含酒精); 烈酒(饮料); 白酒; 米酒; 葡萄酒; 蒸馏饮料; 酒精饮料(啤酒除外); 预先混合的酒精饮料(以啤酒为主的除外); 食用酒精; 黄酒</t>
  </si>
  <si>
    <t xml:space="preserve"> 果酒; 清酒(日本米酒); 烈酒(饮料); 烧酒; 白酒; 米酒; 蒸馏饮料; 酒精饮料(啤酒除外); 食用酒精; 黄酒</t>
  </si>
  <si>
    <t xml:space="preserve"> 含水果酒精饮料; 开胃酒; 果酒(含酒精); 烧酒; 白兰地; 白酒; 米酒; 薄荷酒; 酒精饮料(啤酒除外); 鸡尾酒</t>
  </si>
  <si>
    <t xml:space="preserve"> 果酒(含酒精); 梨酒; 白兰地; 白酒; 米酒; 葡萄酒; 酒精饮料原汁; 露酒; 青稞酒; 黄酒</t>
  </si>
  <si>
    <t xml:space="preserve"> 威士忌; 果酒(含酒精); 清酒(日本米酒); 烈酒(饮料); 烧酒; 白兰地; 白酒; 米酒; 葡萄酒; 黄酒</t>
  </si>
  <si>
    <t xml:space="preserve"> 伏特加酒; 开胃酒; 果酒(含酒精); 汽酒; 烈酒(饮料); 烧酒; 白兰地; 白酒; 米酒; 黄酒</t>
  </si>
  <si>
    <t xml:space="preserve"> 烈酒; 甜酒; 白酒; 葡萄酒; 酒精饮料(啤酒除外); 酒精饮料原汁; 黄酒</t>
  </si>
  <si>
    <t xml:space="preserve"> 柑香酒; 清酒(日本米酒); 白酒; 米酒; 葡萄酒; 酒精饮料(啤酒除外); 酒精饮料浓缩汁; 酸酒(低等葡萄酒); 鸡尾酒; 黄酒</t>
  </si>
  <si>
    <t xml:space="preserve"> 果酒(含酒精); 烧酒; 甘蔗汁酿朗姆酒; 甜酒; 由谷物蒸馏的白酒; 米酒; 老酒(中国蒸馏烈酒); 蜂蜜酒; 高粱酒; 黄酒</t>
  </si>
  <si>
    <t xml:space="preserve"> 伏特加酒; 果酒(含酒精); 烧酒; 白酒; 米酒; 葡萄酒; 蒸馏饮料; 酒精饮料(啤酒除外); 青稞酒; 食用酒精</t>
  </si>
  <si>
    <t xml:space="preserve"> 含水果酒精饮料; 果酒; 白兰地; 白酒; 葡萄酒; 蒸煮提取物(利口酒和烈酒); 蒸馏饮料; 酒精饮料(啤酒除外); 食用酒精; 鸡尾酒</t>
  </si>
  <si>
    <t xml:space="preserve"> 果酒(含酒精); 烈酒(饮料); 甜酒; 白酒; 米酒; 葡萄酒; 蒸馏饮料; 酒精饮料(啤酒除外); 预先混合的酒精饮料(以啤酒为主的除外); 黄酒</t>
  </si>
  <si>
    <t xml:space="preserve"> 果酒; 清酒; 烈酒(饮料); 烧酒; 甜酒; 白酒; 米酒; 红葡萄酒; 葡萄酒; 黄酒</t>
  </si>
  <si>
    <t xml:space="preserve"> 利口酒; 含水果酒精饮料; 果酒(含酒精); 烧酒; 白酒; 苹果酒; 葡萄酒; 酒精饮料(啤酒除外); 鸡尾酒; 黄酒</t>
  </si>
  <si>
    <t xml:space="preserve"> 含水果酒精饮料; 威士忌; 果酒(含酒精); 烧酒; 白兰地; 白酒; 米酒; 葡萄酒; 蜂蜜酒; 酒精饮料原汁</t>
  </si>
  <si>
    <t xml:space="preserve"> 威士忌; 开胃酒; 果酒; 烧酒; 白兰地; 白酒; 米酒; 葡萄酒; 鸡尾酒; 黄酒</t>
  </si>
  <si>
    <t xml:space="preserve"> 果酒; 梅酒; 烈酒; 烧酒; 甜酒; 白酒; 米酒; 葡萄酒; 鸡尾酒; 黄酒</t>
  </si>
  <si>
    <t xml:space="preserve"> 伏特加酒; 含水果酒精饮料; 含酒精的气泡水; 威士忌; 白酒; 米酒; 蒸馏饮料; 薄荷酒; 酒精饮料(啤酒除外); 食用酒精</t>
  </si>
  <si>
    <t xml:space="preserve"> 果酒(含酒精); 烧酒; 由谷物蒸馏的白酒; 白干酒(中国白酒); 白酒; 米酒; 老酒(中国蒸馏烈酒); 谷物制蒸馏酒精饮料; 青稞酒; 高粱酒</t>
  </si>
  <si>
    <t xml:space="preserve"> 威士忌; 果酒(含酒精); 清酒; 烧酒; 白酒; 米酒; 葡萄酒; 酒精饮料(啤酒除外); 鸡尾酒; 黄酒</t>
  </si>
  <si>
    <t xml:space="preserve"> 以葡萄酒为主的饮料; 伏特加酒; 威士忌; 清酒; 烈酒; 白兰地; 白酒; 米酒; 葡萄酒; 酒精饮料(啤酒除外)</t>
  </si>
  <si>
    <t xml:space="preserve"> 伏特加酒; 威士忌; 果酒(含酒精); 烈酒(饮料); 白兰地; 白酒; 葡萄酒; 酒精饮料(啤酒除外); 食用酒精; 黄酒</t>
  </si>
  <si>
    <t xml:space="preserve"> 果酒(含酒精); 烈酒; 烧酒; 白酒; 米酒; 葡萄酒; 酒精饮料(啤酒除外); 青稞酒; 鸡尾酒; 黄酒</t>
  </si>
  <si>
    <t xml:space="preserve"> 伏特加酒; 果酒(含酒精); 汽酒; 白酒; 米酒; 葡萄酒; 酒精饮料(啤酒除外); 食用酒精; 鸡尾酒; 黄酒</t>
  </si>
  <si>
    <t xml:space="preserve"> 含水果酒精饮料; 汽酒; 烧酒; 白酒; 米酒; 葡萄酒; 食用酒精; 高粱酒; 鸡尾酒; 黄酒</t>
  </si>
  <si>
    <t xml:space="preserve"> 朝鲜烧酒; 烧酒; 烧酒(烈酒); 由谷物蒸馏的白酒; 白干酒(中国白酒); 白酒; 米酒; 老酒(中国蒸馏烈酒); 高粱酒</t>
  </si>
  <si>
    <t xml:space="preserve"> 朝鲜族米酒; 烈酒(饮料); 白酒; 米酒; 蒸馏饮料; 蜂蜜酒; 谷物制蒸馏酒精饮料; 酒精饮料原汁; 餐后酒(利口酒和烈酒); 黄酒</t>
  </si>
  <si>
    <t xml:space="preserve"> 利口酒; 开胃酒; 果酒(含酒精); 烧酒; 白干酒(中国白酒); 白酒; 米酒; 酒精饮料(啤酒除外); 酒精饮料原汁; 黄酒</t>
  </si>
  <si>
    <t xml:space="preserve"> 威士忌; 朗姆酒; 果酒(含酒精); 清酒(日本米酒); 烧酒; 白兰地; 白酒; 米酒; 葡萄酒; 黄酒</t>
  </si>
  <si>
    <t xml:space="preserve"> 不起泡葡萄酒; 以葡萄酒为主的饮料; 含水果酒精饮料; 已调味的蒸馏酒; 已调味的麦芽酿制的酒精饮料(啤酒除外); 汽酒; 老酒(中国蒸馏烈酒); 谷物制蒸馏酒精饮料; 预先混合的酒精饮料(以啤酒为主的除外); 高粱酒</t>
  </si>
  <si>
    <t xml:space="preserve"> 果酒(含酒精); 汽酒; 烈酒(饮料); 烧酒; 白兰地; 白酒; 米酒; 酒精饮料(啤酒除外); 鸡尾酒; 黄酒</t>
  </si>
  <si>
    <t xml:space="preserve"> 威士忌; 果酒(含酒精); 烈酒(饮料); 白酒; 米酒; 葡萄酒; 酒精饮料(啤酒除外); 酒精饮料原汁; 鸡尾酒; 黄酒</t>
  </si>
  <si>
    <t xml:space="preserve"> 利口酒; 含水果酒精饮料; 开胃酒; 果酒(含酒精); 烈酒; 白酒; 米酒; 蒸馏饮料; 酒精饮料(啤酒除外); 除啤酒外的酒精饮料</t>
  </si>
  <si>
    <t xml:space="preserve"> 烈酒; 白酒; 米酒; 老酒(中国蒸馏烈酒); 茴芹酒(利口酒); 蒸馏饮料; 谷物制蒸馏酒精饮料; 酒精饮料(啤酒除外); 高粱酒; 鸡尾酒</t>
  </si>
  <si>
    <t xml:space="preserve"> 含水果酒精饮料; 烧酒; 白酒; 黄酒</t>
  </si>
  <si>
    <t xml:space="preserve"> 汽酒; 葡萄酒; 起泡葡萄酒</t>
  </si>
  <si>
    <t xml:space="preserve"> 果酒(含酒精); 烧酒; 由谷物蒸馏的白酒; 白干酒(中国白酒); 白酒; 米酒; 葡萄酒; 青稞酒; 高粱酒; 黄酒</t>
  </si>
  <si>
    <t xml:space="preserve"> 利口酒; 威士忌; 已调味的蒸馏酒; 开胃酒; 果酒(含酒精); 烧酒; 白兰地; 白酒; 葡萄酒; 酒精饮料(啤酒除外)</t>
  </si>
  <si>
    <t xml:space="preserve"> 烈酒(饮料); 烧酒; 白酒; 蒸馏饮料; 谷物制蒸馏酒精饮料; 酒精饮料(啤酒除外); 酒精饮料原汁; 酒精饮料浓缩汁; 预先混合的酒精饮料(以啤酒为主的除外); 食用酒精</t>
  </si>
  <si>
    <t xml:space="preserve"> 威士忌; 果酒; 烈酒(饮料); 白兰地; 白酒; 米酒; 葡萄酒; 蒸馏饮料; 鸡尾酒; 黄酒</t>
  </si>
  <si>
    <t xml:space="preserve"> 利口酒; 果酒(含酒精); 汽酒; 烈酒(饮料); 烧酒; 白酒; 米酒; 葡萄酒; 蒸馏饮料; 黄酒</t>
  </si>
  <si>
    <t xml:space="preserve"> 刺五加酒; 含酒精的饮料(啤酒除外); 开胃酒; 梨酒; 樱桃酒; 白酒; 葡萄酒; 蜂蜜酒; 除啤酒外的酒精饮料; 预先混合的酒精饮料(以啤酒为主的除外)</t>
  </si>
  <si>
    <t xml:space="preserve"> 含水果酒精饮料; 果酒; 清酒; 烈酒(饮料); 烧酒; 白酒; 米酒; 酒精饮料(啤酒除外); 鸡尾酒; 黄酒</t>
  </si>
  <si>
    <t xml:space="preserve"> 果酒; 果酒(含酒精); 烧酒; 甜酒; 白酒; 米酒; 葡萄酒; 青稞酒; 高粱酒; 黄酒</t>
  </si>
  <si>
    <t xml:space="preserve"> 果酒(含酒精); 烈酒(饮料); 烧酒; 白酒; 米酒; 老酒(中国蒸馏烈酒); 苹果酒; 葡萄酒; 高粱酒; 鸡尾酒</t>
  </si>
  <si>
    <t xml:space="preserve"> 果酒(含酒精); 烧酒(烈酒); 白酒; 米酒; 老酒(中国蒸馏烈酒); 蒸煮提取物(利口酒和烈酒); 酒精饮料(啤酒除外); 酒精饮料原汁; 鸡尾酒; 黄酒</t>
  </si>
  <si>
    <t xml:space="preserve"> 烧酒; 白酒</t>
  </si>
  <si>
    <t xml:space="preserve"> 含水果酒精饮料; 朗姆酒; 果酒(含酒精); 清酒(日本米酒); 烧酒; 白酒; 米酒; 葡萄酒; 酒精饮料(啤酒除外); 黄酒</t>
  </si>
  <si>
    <t xml:space="preserve"> 烈酒(饮料); 烧酒; 白酒; 葡萄酒; 酒精饮料(啤酒除外); 酒精饮料原汁; 食用酒精; 鸡尾酒; 黄酒</t>
  </si>
  <si>
    <t xml:space="preserve"> 威士忌; 果酒; 白兰地; 白酒; 米酒; 蜂蜜酒; 酒精饮料(啤酒除外); 高粱酒; 鸡尾酒; 黄酒</t>
  </si>
  <si>
    <t xml:space="preserve"> 开胃酒; 烈酒(饮料); 烧酒; 白酒; 米酒; 葡萄酒; 蒸馏饮料; 酒精饮料原汁; 预先混合的酒精饮料(以啤酒为主的除外); 黄酒</t>
  </si>
  <si>
    <t xml:space="preserve"> 含酒精水果饮料; 威士忌; 果酒; 由谷物蒸馏的白酒; 白酒; 米酒; 葡萄酒; 酒精饮料(啤酒除外); 鸡尾酒; 黄酒</t>
  </si>
  <si>
    <t xml:space="preserve"> 伏特加酒; 利口酒; 朗姆酒; 果酒(含酒精); 烧酒; 米酒; 葡萄酒; 谷物制蒸馏酒精饮料; 青稞酒; 黄酒</t>
  </si>
  <si>
    <t xml:space="preserve"> 开胃酒; 果酒(含酒精); 烧酒; 白干酒(中国白酒); 白酒; 葡萄酒; 谷物制蒸馏酒精饮料; 酒精饮料(啤酒除外); 餐后酒(利口酒和烈酒); 黄酒</t>
  </si>
  <si>
    <t xml:space="preserve"> 烈酒; 烧酒; 白干酒(中国白酒); 白酒; 米酒; 老酒(中国蒸馏烈酒); 葡萄酒; 蒸馏米酒(泡盛酒); 酒精饮料(啤酒除外); 黄酒</t>
  </si>
  <si>
    <t xml:space="preserve"> 果酒(含酒精); 烧酒; 白酒; 米酒; 黄酒</t>
  </si>
  <si>
    <t xml:space="preserve"> 伏特加酒; 利口酒; 威士忌; 杜松子酒; 果酒(含酒精); 白兰地; 白酒; 米酒; 葡萄酒; 蜂蜜酒</t>
  </si>
  <si>
    <t xml:space="preserve"> 利口酒; 果酒(含酒精); 清酒(日本米酒); 烈酒(饮料); 烧酒; 白酒; 米酒; 葡萄酒; 酒精饮料(啤酒除外); 鸡尾酒</t>
  </si>
  <si>
    <t xml:space="preserve"> 开胃酒; 梨酒; 樱桃酒; 烧酒; 白兰地; 白酒; 米酒; 葡萄酒; 鸡尾酒; 黄酒</t>
  </si>
  <si>
    <t xml:space="preserve"> 含酒精水果饮料; 果酒; 清酒; 烈酒; 烧酒(烈酒); 白酒; 米酒; 葡萄酒; 高粱酒; 黄酒</t>
  </si>
  <si>
    <t xml:space="preserve"> 利口酒; 开胃酒; 果酒(含酒精); 汽酒; 烈酒(饮料); 白酒; 米酒; 苹果酒; 葡萄酒; 鸡尾酒</t>
  </si>
  <si>
    <t xml:space="preserve"> 果酒(含酒精); 樱桃酒; 烈酒(饮料); 白酒; 米酒; 蒸馏饮料; 蜂蜜酒; 酒精饮料(啤酒除外); 青稞酒; 黄酒</t>
  </si>
  <si>
    <t xml:space="preserve"> 以葡萄酒为主的饮料; 果酒(含酒精); 汽酒; 烧酒; 白酒; 米酒; 葡萄酒; 蜂蜜酒; 酒精饮料原汁; 黄酒</t>
  </si>
  <si>
    <t xml:space="preserve"> 利口酒; 开胃酒; 果酒(含酒精); 烈酒(饮料); 烧酒; 白酒; 米酒; 葡萄酒; 鸡尾酒; 黄酒</t>
  </si>
  <si>
    <t xml:space="preserve"> 含水果酒精饮料; 威士忌; 烧酒; 白酒; 米酒; 葡萄酒; 蒸馏饮料; 薄荷酒; 酒精饮料(啤酒除外); 鸡尾酒</t>
  </si>
  <si>
    <t xml:space="preserve"> 杨梅酒; 果酒; 白酒; 米酒; 红葡萄酒; 苦荞酒; 草莓酒; 蜂蜜酒; 高粱酒; 黄酒</t>
  </si>
  <si>
    <t xml:space="preserve"> 果酒(含酒精); 烈酒(饮料); 烧酒; 米酒; 老酒(中国蒸馏烈酒); 葡萄酒; 蒸馏饮料; 酒精饮料(啤酒除外); 露酒; 黄酒</t>
  </si>
  <si>
    <t xml:space="preserve"> 果酒(含酒精); 烈酒(饮料); 烧酒; 白兰地; 白干酒(中国白酒); 米酒; 老酒(中国蒸馏烈酒); 蜂蜜酒; 鸡尾酒; 黄酒</t>
  </si>
  <si>
    <t xml:space="preserve"> 伏特加酒; 含水果酒精饮料; 含酒精水果饮料; 威士忌; 开胃酒; 果酒(含酒精); 白酒; 苹果酒; 葡萄酒; 酒精饮料(啤酒除外)</t>
  </si>
  <si>
    <t xml:space="preserve"> 以葡萄酒为主的饮料; 伏特加酒; 朝鲜族米酒; 果酒(含酒精); 白葡萄酒; 白酒; 米酒; 葡萄酒; 青稞酒</t>
  </si>
  <si>
    <t xml:space="preserve"> 开胃酒; 清酒(日本米酒); 烧酒; 甘蔗制酒精饮料; 白酒; 苦味酒; 谷物制蒸馏酒精饮料; 青稞酒; 餐后酒(利口酒和烈酒); 黄酒</t>
  </si>
  <si>
    <t xml:space="preserve"> 含水果酒精饮料; 烧酒; 白兰地; 白酒; 米酒; 葡萄酒; 薄荷酒; 酒精饮料(啤酒除外); 鸡尾酒; 黄酒</t>
  </si>
  <si>
    <t xml:space="preserve"> 伏特加酒; 威士忌; 朗姆酒; 果酒(含酒精); 烈酒(饮料); 烧酒; 白兰地; 白酒; 米酒; 葡萄酒</t>
  </si>
  <si>
    <t xml:space="preserve"> 伏特加酒; 威士忌; 混合威士忌酒; 烈酒; 白兰地; 白酒; 米酒; 葡萄酒; 鸡尾酒; 麦芽威士忌</t>
  </si>
  <si>
    <t xml:space="preserve"> 含水果酒精饮料; 果酒; 烈酒(饮料); 烧酒; 白酒; 米酒; 老酒(中国蒸馏烈酒); 葡萄酒; 酒精饮料(啤酒除外); 黄酒</t>
  </si>
  <si>
    <t xml:space="preserve"> 伏特加酒; 利口酒; 含水果酒精饮料; 威士忌; 朗姆酒; 烧酒; 白兰地; 葡萄酒; 蒸馏饮料; 起泡白葡萄酒</t>
  </si>
  <si>
    <t xml:space="preserve"> 含水果酒精饮料; 果酒(含酒精); 烈酒(饮料); 烧酒; 白酒; 米酒; 葡萄酒; 蒸馏饮料; 酒精饮料(啤酒除外); 青稞酒; 黄酒</t>
  </si>
  <si>
    <t xml:space="preserve"> 含酒精的饮料(啤酒除外); 果酒; 白酒; 米酒; 葡萄酒; 蒸馏饮料; 酒精饮料(啤酒除外); 青稞酒; 鸡尾酒; 黄酒</t>
  </si>
  <si>
    <t xml:space="preserve"> 含牛奶的鸡尾酒; 威士忌; 开胃酒; 柑香酒; 白干酒(中国白酒); 白酒; 茴香酒(利口酒); 薄荷酒; 起泡红葡萄酒; 餐后酒(利口酒和烈酒)</t>
  </si>
  <si>
    <t xml:space="preserve"> 含水果酒精饮料; 果酒; 烈酒; 烧酒; 白酒; 米酒; 葡萄酒; 露酒; 食用酒精; 黄酒</t>
  </si>
  <si>
    <t xml:space="preserve"> 含水果酒精饮料; 含酒精的饮料(啤酒除外); 果酒(含酒精); 梅酒; 烈酒(饮料); 米酒; 苹果酒; 葡萄酒; 谷物制蒸馏酒精饮料; 鸡尾酒</t>
  </si>
  <si>
    <t xml:space="preserve"> 五加皮酒(中国混合烈酒); 以葡萄酒为主的饮料; 烈性干酒; 白干酒(中国白酒); 白酒; 老酒(中国蒸馏烈酒); 除啤酒外的酒精饮料; 食用酒精; 高粱酒; 黄酒</t>
  </si>
  <si>
    <t xml:space="preserve"> 含酒精的饮料(啤酒除外); 威士忌; 果酒(含酒精); 白兰地; 白酒; 米酒; 红葡萄酒; 葡萄酒; 鸡尾酒; 黄酒</t>
  </si>
  <si>
    <t xml:space="preserve"> 含水果酒精饮料; 威士忌; 开胃酒; 果酒(含酒精); 烈酒(饮料); 白酒; 米酒; 茴香酒(利口酒); 鸡尾酒; 黄酒</t>
  </si>
  <si>
    <t xml:space="preserve"> 以葡萄酒为主的饮料; 含水果酒精饮料; 果酒(含酒精); 汽酒; 烧酒; 白酒; 米酒; 苹果酒; 酒精饮料(啤酒除外); 鸡尾酒</t>
  </si>
  <si>
    <t xml:space="preserve"> 含水果酒精饮料; 果酒(含酒精); 梅酒; 甜酒; 白酒; 米酒; 葡萄酒; 蜂蜜酒; 除啤酒外的酒精饮料; 黄酒</t>
  </si>
  <si>
    <t xml:space="preserve"> 开胃酒; 清酒; 烈酒; 甜酒; 白酒; 米酒; 老酒(中国蒸馏烈酒); 葡萄酒; 高粱酒; 黄酒</t>
  </si>
  <si>
    <t xml:space="preserve"> 含水果酒精饮料; 威士忌; 开胃酒; 果酒; 清酒(日本米酒); 白兰地; 白酒; 葡萄酒; 谷物制蒸馏酒精饮料; 鸡尾酒</t>
  </si>
  <si>
    <t xml:space="preserve"> 利口酒; 开胃酒; 果酒; 由谷物蒸馏的白酒; 白干酒(中国白酒); 白酒; 老酒(中国蒸馏烈酒); 苦味酒; 苦荞酒; 高粱酒</t>
  </si>
  <si>
    <t xml:space="preserve"> 含水果酒精饮料; 果酒(含酒精); 烈酒(饮料); 烧酒; 白酒; 米酒; 老酒(中国蒸馏烈酒); 葡萄酒; 酒精饮料(啤酒除外); 黄酒</t>
  </si>
  <si>
    <t xml:space="preserve"> 伏特加酒; 威士忌; 果酒(含酒精); 清酒; 烈酒(饮料); 白兰地; 白酒; 葡萄酒; 鸡尾酒; 黄酒</t>
  </si>
  <si>
    <t xml:space="preserve"> 威士忌; 开胃酒; 果酒(含酒精); 清酒(日本米酒); 烈酒(饮料); 白兰地; 白酒; 葡萄酒; 酒精饮料(啤酒除外); 鸡尾酒</t>
  </si>
  <si>
    <t xml:space="preserve"> 利口酒; 含酒精的鸡尾酒混合饮品; 已调味的蒸馏酒; 烈酒(饮料); 蒸馏饮料; 酒精饮料(啤酒除外)</t>
  </si>
  <si>
    <t xml:space="preserve"> 果酒(含酒精); 烈酒(饮料); 烧酒; 白酒; 米酒; 蒸馏饮料; 酒精饮料(啤酒除外); 食用酒精; 鸡尾酒; 黄酒</t>
  </si>
  <si>
    <t xml:space="preserve"> 伏特加酒; 威士忌; 朗姆酒; 果酒(含酒精); 烈酒(饮料); 烧酒; 白酒; 酒精饮料(啤酒除外); 鸡尾酒; 黄酒</t>
  </si>
  <si>
    <t xml:space="preserve"> 果酒; 烧酒; 烧酒(烈酒); 白酒; 米酒; 葡萄酒; 酒精饮料(啤酒除外); 高粱酒; 鸡尾酒; 黄酒</t>
  </si>
  <si>
    <t xml:space="preserve"> 果酒(含酒精); 梨酒; 樱桃酒; 烧酒; 白酒; 米酒; 蜂蜜酒; 青稞酒; 食用酒精; 黄酒</t>
  </si>
  <si>
    <t xml:space="preserve"> 利口酒; 含水果酒精饮料; 果酒(含酒精); 梨酒; 米酒; 葡萄酒; 谷物制蒸馏酒精饮料; 酒精饮料(啤酒除外); 酒精饮料原汁; 黄酒</t>
  </si>
  <si>
    <t xml:space="preserve"> 利口酒; 开胃酒; 白酒; 米酒; 苹果酒; 茴香酒(利口酒); 葡萄酒; 蒸煮提取物(利口酒和烈酒); 酒精饮料(啤酒除外); 黄酒</t>
  </si>
  <si>
    <t xml:space="preserve"> 利口酒; 含水果酒精饮料; 含酒精的水果鸡尾酒饮料; 已调味的麦芽酿制的酒精饮料(啤酒除外); 果酒; 果酒(含酒精); 米酒; 葡萄酒; 调制好的葡萄酒鸡尾酒; 青梅酒</t>
  </si>
  <si>
    <t xml:space="preserve"> 含酒精水果饮料; 威士忌; 果酒(含酒精); 烈酒(饮料); 白兰地; 米酒; 葡萄酒; 蒸馏饮料; 酒精饮料(啤酒除外); 黄酒</t>
  </si>
  <si>
    <t xml:space="preserve"> 果酒(含酒精); 烈酒(饮料); 甜酒; 米酒; 苦味酒; 苦荞酒; 谷物制蒸馏酒精饮料; 酒精饮料(啤酒除外); 酒精饮料原汁; 预调甜酒</t>
  </si>
  <si>
    <t xml:space="preserve"> 伏特加酒; 利口酒; 威士忌; 开胃酒; 朗姆酒; 杜松子酒; 果酒(含酒精); 梅酒; 清酒(日本米酒); 烧酒; 甜酒; 白兰地; 白干酒(中国白酒); 白酒; 苦味酒; 葡萄酒; 酒精饮料(啤酒除外)</t>
  </si>
  <si>
    <t xml:space="preserve"> 果酒; 烧酒; 由谷物蒸馏的白酒; 白酒; 米酒; 苦荞酒; 葡萄酒; 青稞酒; 高粱酒; 黄酒</t>
  </si>
  <si>
    <t xml:space="preserve"> 含水果酒精饮料; 开胃酒; 果酒(含酒精); 梨酒; 白酒; 米酒; 葡萄酒; 酒精饮料(啤酒除外); 酒精饮料原汁; 黄酒</t>
  </si>
  <si>
    <t xml:space="preserve"> 含水果酒精饮料; 烈酒(饮料); 甜果酒; 白兰地; 白酒; 米酒; 葡萄酒; 蒸馏饮料; 酒精饮料原汁; 黄酒</t>
  </si>
  <si>
    <t xml:space="preserve"> 以蒸馏酒为主的开胃酒; 利口酒; 加烈葡萄酒; 含水果酒精饮料; 含酒精水果饮料; 果酒; 果酒(含酒精); 白兰地; 葡萄酒; 露酒</t>
  </si>
  <si>
    <t xml:space="preserve"> 开胃酒; 柑香酒; 清酒; 烧酒; 由谷物蒸馏的白酒; 白干酒(中国白酒); 白酒; 老酒(中国蒸馏烈酒); 茴香酒; 高粱酒</t>
  </si>
  <si>
    <t xml:space="preserve"> 果酒(含酒精); 烈酒(饮料); 烧酒; 白兰地; 白酒; 米酒; 葡萄酒; 蜂蜜酒; 青稞酒; 食用酒精</t>
  </si>
  <si>
    <t xml:space="preserve"> 开胃酒; 果酒(含酒精); 汽酒; 烧酒; 白酒; 米酒; 酒精饮料(啤酒除外); 食用酒精; 鸡尾酒; 黄酒</t>
  </si>
  <si>
    <t xml:space="preserve"> 含水果酒精饮料; 白兰地; 白酒; 葡萄酒; 蒸煮提取物(利口酒和烈酒); 蒸馏饮料; 蜂蜜酒; 酒精饮料原汁; 预先混合的酒精饮料(以啤酒为主的除外); 鸡尾酒</t>
  </si>
  <si>
    <t xml:space="preserve"> 威士忌; 果酒(含酒精); 烧酒; 白酒; 米酒; 葡萄酒; 酒精饮料(啤酒除外); 露酒; 青稞酒; 黄酒</t>
  </si>
  <si>
    <t xml:space="preserve"> 威士忌; 清酒(日本米酒); 烈酒(饮料); 烧酒; 白酒; 米酒; 葡萄酒; 酒精饮料浓缩汁; 鸡尾酒; 黄酒</t>
  </si>
  <si>
    <t xml:space="preserve"> 以葡萄酒为主的开胃酒; 含水果酒精饮料; 果酒(含酒精); 清酒; 白兰地; 白酒; 米酒; 葡萄酒; 预调甜酒; 鸡尾酒</t>
  </si>
  <si>
    <t xml:space="preserve"> 含水果酒精饮料; 威士忌; 果酒(含酒精); 烈酒(饮料); 白酒; 米酒; 红葡萄酒; 葡萄酒; 蒸煮提取物(利口酒和烈酒); 酒精饮料原汁</t>
  </si>
  <si>
    <t xml:space="preserve"> 清酒(日本米酒); 烈酒(饮料); 烧酒; 白酒; 米酒; 酒精饮料(啤酒除外); 酒精饮料原汁; 酒精饮料浓缩汁; 青稞酒; 黄酒</t>
  </si>
  <si>
    <t xml:space="preserve"> 利口酒; 开胃酒; 烈酒(饮料); 烧酒; 白酒; 米酒; 老酒(中国蒸馏烈酒); 葡萄酒; 酒精饮料(啤酒除外); 鸡尾酒</t>
  </si>
  <si>
    <t xml:space="preserve"> 果酒(含酒精); 清酒(日本米酒); 烧酒; 白兰地; 白酒; 米酒; 葡萄酒; 酒精饮料原汁; 食用酒精; 黄酒</t>
  </si>
  <si>
    <t xml:space="preserve"> 威士忌; 果酒; 烧酒; 白酒; 米酒; 苹果酒; 葡萄酒; 酒精饮料(啤酒除外); 青稞酒; 黄酒</t>
  </si>
  <si>
    <t xml:space="preserve"> 威士忌; 果酒(含酒精); 白酒; 米酒; 葡萄酒; 酒精饮料(啤酒除外); 鸡尾酒; 黄酒</t>
  </si>
  <si>
    <t xml:space="preserve"> 伏特加酒; 威士忌; 果酒(含酒精); 烈酒; 白兰地; 白酒; 米酒; 葡萄酒; 蒸馏饮料; 鸡尾酒</t>
  </si>
  <si>
    <t xml:space="preserve"> 果酒(含酒精); 清酒; 烈酒(饮料); 烧酒; 白酒; 米酒; 葡萄酒; 酒精饮料(啤酒除外); 鸡尾酒; 黄酒</t>
  </si>
  <si>
    <t xml:space="preserve"> 伏特加酒; 威士忌; 果酒(含酒精); 烈酒(饮料); 烧酒; 白兰地; 白酒; 米酒; 葡萄酒; 鸡尾酒</t>
  </si>
  <si>
    <t xml:space="preserve"> 利口酒; 开胃酒; 果酒(含酒精); 烈酒(饮料); 白酒; 米酒; 苹果酒; 蜂蜜酒; 青稞酒; 黄酒</t>
  </si>
  <si>
    <t xml:space="preserve"> 伏特加酒; 开胃酒; 果酒(含酒精); 汽酒; 烈酒(饮料); 米酒; 葡萄酒; 蒸馏饮料; 鸡尾酒; 黄酒</t>
  </si>
  <si>
    <t xml:space="preserve"> 威士忌; 开胃酒; 果酒(含酒精); 烈酒(饮料); 烧酒; 白兰地; 白酒; 米酒; 食用酒精; 鸡尾酒</t>
  </si>
  <si>
    <t xml:space="preserve"> 以葡萄酒为主的饮料; 含酒精的气泡水; 果酒; 果酒(含酒精); 白葡萄酒; 白酒; 米酒; 葡萄酒; 露酒; 鸡尾酒</t>
  </si>
  <si>
    <t xml:space="preserve"> 亚力酒; 利口酒; 开胃酒; 杜松子酒; 果酒(含酒精); 白酒; 苦味酒; 蒸馏饮料; 蜂蜜酒; 鸡尾酒</t>
  </si>
  <si>
    <t xml:space="preserve"> 含水果酒精饮料; 朗姆酒; 果酒(含酒精); 清酒(日本米酒); 白兰地; 白酒; 米酒; 葡萄酒; 酒精饮料(啤酒除外); 鸡尾酒</t>
  </si>
  <si>
    <t xml:space="preserve"> 威士忌; 朗姆酒; 果酒(含酒精); 烧酒; 白兰地; 白酒; 米酒; 葡萄酒; 蒸馏饮料; 鸡尾酒</t>
  </si>
  <si>
    <t xml:space="preserve"> 开胃酒; 果酒(含酒精); 清酒; 烈酒(饮料); 烧酒; 白酒; 米酒; 酒精饮料(啤酒除外); 鸡尾酒; 黄酒</t>
  </si>
  <si>
    <t xml:space="preserve"> 含酒精的饮料(啤酒除外); 开胃酒; 果酒(含酒精); 清酒; 烧酒; 白干酒(中国白酒); 白酒; 米酒; 蒸煮提取物(利口酒和烈酒); 高粱酒</t>
  </si>
  <si>
    <t xml:space="preserve"> 威士忌; 果酒(含酒精); 烧酒; 白兰地; 白酒; 米酒; 葡萄酒; 食用酒精; 鸡尾酒; 黄酒</t>
  </si>
  <si>
    <t xml:space="preserve"> 含水果酒精饮料; 开胃酒; 杨梅酒; 果酒(含酒精); 烈酒(饮料); 烧酒; 白酒; 葡萄酒; 酒精饮料(啤酒除外); 鸡尾酒</t>
  </si>
  <si>
    <t xml:space="preserve"> 含水果酒精饮料; 开胃酒; 清酒(日本米酒); 烧酒; 白酒; 葡萄酒; 蒸煮提取物(利口酒和烈酒); 酒精饮料(啤酒除外); 食用酒精; 黄酒</t>
  </si>
  <si>
    <t xml:space="preserve"> 以葡萄酒为主的饮料; 威士忌; 开胃酒; 果酒(含酒精); 汽酒; 烈酒; 白酒; 蒸馏饮料; 蜂蜜酒; 酒精饮料(啤酒除外)</t>
  </si>
  <si>
    <t xml:space="preserve"> 含酒精的鸡尾酒混合饮品; 威士忌; 清酒; 烧酒; 白兰地; 白酒; 葡萄酒; 蒸馏饮料; 鸡尾酒; 黄酒</t>
  </si>
  <si>
    <t xml:space="preserve"> 开胃酒; 烧酒; 白酒; 米酒; 葡萄酒; 蒸煮提取物(利口酒和烈酒); 蜂蜜酒; 酒精饮料(啤酒除外); 食用酒精; 黄酒</t>
  </si>
  <si>
    <t xml:space="preserve"> 果酒(含酒精); 烈酒(饮料); 由谷物蒸馏的白酒; 白酒; 苹果酒; 酒精饮料(啤酒除外); 酒精饮料原汁; 高粱酒; 鸡尾酒; 黄酒</t>
  </si>
  <si>
    <t xml:space="preserve"> 含水果酒精饮料; 开胃酒; 果酒(含酒精); 烈酒(饮料); 烧酒; 白酒; 米酒; 葡萄酒; 酒精饮料(啤酒除外); 青稞酒</t>
  </si>
  <si>
    <t xml:space="preserve"> 杜松子酒; 甜酒; 由谷物蒸馏的白酒; 白酒; 苦荞酒; 葡萄酒; 酒精饮料原汁; 青梅酒; 高粱酒; 鸡尾酒</t>
  </si>
  <si>
    <t xml:space="preserve"> 果酒; 清酒; 烧酒; 白酒; 米酒; 蒸馏饮料; 酒精饮料(啤酒除外); 酒精饮料浓缩汁; 预先混合的酒精饮料(以啤酒为主的除外); 黄酒</t>
  </si>
  <si>
    <t xml:space="preserve"> 开胃酒; 果酒(含酒精); 清酒; 烧酒; 白酒; 米酒; 葡萄酒; 蒸馏米酒(泡盛酒); 薄荷酒; 黄酒</t>
  </si>
  <si>
    <t xml:space="preserve"> 伏特加酒; 含酒精水果饮料; 含酒精的饮料(啤酒除外); 汽酒; 由谷物蒸馏的白酒; 白酒; 葡萄酒; 蜂蜜酒; 酒精饮料(啤酒除外); 黄酒</t>
  </si>
  <si>
    <t xml:space="preserve"> 以葡萄酒为主的饮料; 含水果酒精饮料; 果酒(含酒精); 烈酒(饮料); 烧酒; 白酒; 米酒; 苹果酒; 酒精饮料(啤酒除外); 酒精饮料浓缩汁</t>
  </si>
  <si>
    <t xml:space="preserve"> 杨梅酒; 果酒; 烧酒; 白酒; 米酒; 老酒(中国蒸馏烈酒); 蜂蜜酒; 除啤酒外的酒精饮料; 青梅酒; 高粱酒</t>
  </si>
  <si>
    <t xml:space="preserve"> 含水果酒精饮料; 果酒(含酒精); 清酒(日本米酒); 烈酒(饮料); 烧酒; 白酒; 米酒; 薄荷酒; 青稞酒; 黄酒</t>
  </si>
  <si>
    <t xml:space="preserve"> 开胃酒; 果酒(含酒精); 烈酒(饮料); 烧酒; 白酒; 米酒; 苹果酒; 葡萄酒; 蒸馏饮料; 蜂蜜酒</t>
  </si>
  <si>
    <t xml:space="preserve"> 果酒(含酒精); 烈酒(饮料); 烧酒; 白兰地; 白酒; 米酒; 葡萄酒; 酒精饮料(啤酒除外); 鸡尾酒; 黄酒</t>
  </si>
  <si>
    <t xml:space="preserve"> 利口酒; 含水果酒精饮料; 含酒精的饮料(啤酒除外); 威士忌; 已调味的蒸馏酒; 朗姆酒; 杜松子酒; 果酒; 混合威士忌酒; 烈酒; 白兰地; 葡萄酒; 起泡白葡萄酒; 露酒</t>
  </si>
  <si>
    <t xml:space="preserve"> 含酒精水果饮料; 开胃酒; 果酒(含酒精); 汽酒; 混合威士忌酒; 烈酒(饮料); 烧酒; 白兰地; 白酒; 葡萄酒</t>
  </si>
  <si>
    <t xml:space="preserve"> 含酒精的气泡水; 威士忌; 朗姆酒; 果酒(含酒精); 白兰地; 白酒; 米酒; 葡萄酒; 薄荷酒; 鸡尾酒</t>
  </si>
  <si>
    <t xml:space="preserve"> 利口酒; 朗姆酒; 果酒(含酒精); 米酒; 葡萄酒; 蒸馏饮料; 薄荷酒; 蜂蜜酒; 预先混合的酒精饮料(以啤酒为主的除外); 鸡尾酒</t>
  </si>
  <si>
    <t xml:space="preserve"> 含酒精水果饮料; 威士忌; 果酒(含酒精); 汽酒; 白兰地; 白酒; 葡萄酒; 酒精饮料原汁; 鸡尾酒; 黄酒</t>
  </si>
  <si>
    <t xml:space="preserve"> 含酒精的饮料(啤酒除外); 果酒; 烧酒; 白酒; 米酒; 老酒(中国蒸馏烈酒); 蒸馏饮料; 食用酒精; 高粱酒; 黄酒</t>
  </si>
  <si>
    <t xml:space="preserve"> 果酒; 果酒(含酒精); 梅酒; 汽酒; 烧酒; 白酒; 米酒; 苹果酒; 葡萄酒; 黄酒</t>
  </si>
  <si>
    <t xml:space="preserve"> 含水果酒精饮料; 开胃酒; 果酒; 烧酒; 由谷物蒸馏的白酒; 白兰地; 白酒; 米酒; 葡萄酒; 鸡尾酒</t>
  </si>
  <si>
    <t xml:space="preserve"> 伏特加酒; 威士忌; 果酒(含酒精); 烧酒; 白兰地; 白酒; 葡萄酒; 酒精饮料(啤酒除外); 高粱酒; 鸡尾酒</t>
  </si>
  <si>
    <t xml:space="preserve"> 含水果酒精饮料; 果酒(含酒精); 烧酒; 白酒; 米酒; 葡萄酒; 蒸馏饮料; 酒精饮料(啤酒除外); 酒精饮料原汁; 黄酒</t>
  </si>
  <si>
    <t xml:space="preserve"> 五加皮酒(中国混合烈酒); 含酒精的饮料(啤酒除外); 清酒; 烈性干酒; 烧酒(烈酒); 甜酒; 白葡萄酒; 老酒(中国蒸馏烈酒); 蒸煮提取物(利口酒和烈酒); 高粱酒</t>
  </si>
  <si>
    <t xml:space="preserve"> 果酒(含酒精); 烈酒(饮料); 烈酒浓缩汁; 烧酒; 白干酒(中国白酒); 白酒; 苹果酒; 葡萄酒; 食用酒精; 餐后酒(利口酒和烈酒); 高粱酒; 黄酒</t>
  </si>
  <si>
    <t xml:space="preserve"> 开胃酒; 果酒(含酒精); 汽酒; 烈酒(饮料); 烧酒; 白酒; 葡萄酒; 蜂蜜酒; 酒精饮料(啤酒除外); 黄酒</t>
  </si>
  <si>
    <t xml:space="preserve"> 含水果酒精饮料; 果酒(含酒精); 汽酒; 清酒(日本米酒); 烈酒(饮料); 烧酒; 白酒; 米酒; 葡萄酒; 鸡尾酒</t>
  </si>
  <si>
    <t xml:space="preserve"> 威士忌; 开胃酒; 果酒(含酒精); 烈酒(饮料); 烧酒; 白兰地; 白酒; 酒精饮料浓缩汁; 预先混合的酒精饮料(以啤酒为主的除外); 鸡尾酒</t>
  </si>
  <si>
    <t xml:space="preserve"> 以蒸馏酒为主的开胃酒; 含酒精的饮料(啤酒除外); 烧酒; 烧酒(烈酒); 白干酒(中国白酒); 老酒(中国蒸馏烈酒); 蒸煮提取物(利口酒和烈酒); 谷物制蒸馏酒精饮料; 酒精饮料(啤酒除外); 高粱酒</t>
  </si>
  <si>
    <t xml:space="preserve"> 含酒精的气泡水; 奶油利口酒; 朝鲜族米酒; 朝鲜烧酒; 果酒; 甜酒; 米酒; 草莓酒; 蜂蜜酒; 青梅酒</t>
  </si>
  <si>
    <t xml:space="preserve"> 以葡萄酒为主的饮料; 含酒精的饮料(啤酒除外); 开胃酒; 果酒(含酒精); 汽酒; 白干酒(中国白酒); 白酒; 米酒; 苹果酒; 鸡尾酒</t>
  </si>
  <si>
    <t xml:space="preserve"> 朗姆酒; 清酒(日本米酒); 烧酒; 甜果酒; 白酒; 米酒; 苹果酒; 酸酒(低等葡萄酒); 青稞酒; 黄酒</t>
  </si>
  <si>
    <t xml:space="preserve"> 含水果酒精饮料; 果酒(含酒精); 清酒; 烧酒; 白酒; 米酒; 葡萄酒; 酒精饮料(啤酒除外); 预先混合的酒精饮料(以啤酒为主的除外); 黄酒</t>
  </si>
  <si>
    <t xml:space="preserve"> 开胃酒; 果酒; 清酒; 烈酒; 烧酒; 白酒; 葡萄酒; 青稞酒; 食用酒精; 高粱酒</t>
  </si>
  <si>
    <t xml:space="preserve"> 含酒精的饮料(啤酒除外); 开胃酒; 果酒; 清酒(日本米酒); 烈酒(饮料); 白酒; 米酒; 葡萄酒; 青稞酒; 鸡尾酒</t>
  </si>
  <si>
    <t xml:space="preserve"> 利口酒; 威士忌; 柑香酒; 烧酒; 白兰地; 白酒; 苹果酒; 葡萄酒; 蜂蜜酒; 鸡尾酒</t>
  </si>
  <si>
    <t xml:space="preserve"> 含水果酒精饮料; 果酒(含酒精); 汽酒; 烈酒(饮料); 烧酒; 白酒; 米酒; 蒸馏饮料; 谷物制蒸馏酒精饮料; 黄酒</t>
  </si>
  <si>
    <t xml:space="preserve"> 含水果酒精饮料; 含酒精水果饮料; 含酒精的饮料(啤酒除外); 烈酒; 甜酒; 白干酒(中国白酒); 白酒; 老酒(中国蒸馏烈酒); 青稞酒; 高粱酒</t>
  </si>
  <si>
    <t xml:space="preserve"> 威士忌; 果酒; 汽酒; 清酒; 烧酒; 白酒; 米酒; 老酒(中国蒸馏烈酒); 酒精饮料(啤酒除外); 鸡尾酒</t>
  </si>
  <si>
    <t xml:space="preserve"> 开胃酒; 果酒; 汽酒; 烧酒; 白酒; 葡萄酒; 酒精饮料(啤酒除外); 青稞酒; 食用酒精; 黄酒</t>
  </si>
  <si>
    <t xml:space="preserve"> 威士忌; 果酒(含酒精); 汽酒; 清酒(日本米酒); 烈酒; 白酒; 米酒; 葡萄酒; 蒸馏饮料; 酒精饮料(啤酒除外)</t>
  </si>
  <si>
    <t xml:space="preserve"> 已调味的麦芽酿制的酒精饮料(啤酒除外); 清酒; 烈酒; 烧酒; 白酒; 米酒; 蒸馏饮料; 谷物制蒸馏酒精饮料; 酒精饮料原汁; 预先混合的酒精饮料(以啤酒为主的除外)</t>
  </si>
  <si>
    <t xml:space="preserve"> 含水果酒精饮料; 果酒; 清酒; 烧酒; 白酒; 米酒; 酒精饮料(啤酒除外); 酒精饮料浓缩汁; 食用酒精; 黄酒</t>
  </si>
  <si>
    <t xml:space="preserve"> 威士忌; 果酒; 白兰地; 白酒; 米酒; 葡萄酒; 蒸馏饮料; 酒精饮料(啤酒除外); 鸡尾酒; 黄酒</t>
  </si>
  <si>
    <t xml:space="preserve"> 威士忌; 朗姆酒; 果酒(含酒精); 烧酒; 白兰地; 白酒; 米酒; 葡萄酒; 鸡尾酒; 黄酒</t>
  </si>
  <si>
    <t xml:space="preserve"> 含水果酒精饮料; 开胃酒; 果酒(含酒精); 白酒; 米酒; 葡萄酒; 酒精饮料原汁; 食用酒精; 鸡尾酒; 黄酒</t>
  </si>
  <si>
    <t xml:space="preserve"> 果酒(含酒精); 汽酒; 烧酒; 白兰地; 白酒; 米酒; 葡萄酒; 蒸馏饮料; 食用酒精; 黄酒</t>
  </si>
  <si>
    <t xml:space="preserve"> 含水果酒精饮料; 果酒(含酒精); 烈酒(饮料); 烧酒; 白酒; 米酒; 葡萄酒; 酒精饮料(啤酒除外); 鸡尾酒; 黄酒</t>
  </si>
  <si>
    <t xml:space="preserve"> 果酒; 烈酒; 烧酒; 白干酒(中国白酒); 白酒; 老酒(中国蒸馏烈酒); 葡萄酒; 露酒; 高粱酒; 黄酒</t>
  </si>
  <si>
    <t xml:space="preserve"> 含水果酒精饮料; 烈酒(饮料); 烧酒; 白兰地; 白酒; 米酒; 葡萄酒; 蒸煮提取物(利口酒和烈酒); 酒精饮料(啤酒除外); 酒精饮料原汁</t>
  </si>
  <si>
    <t xml:space="preserve"> 含水果酒精饮料; 果酒(含酒精); 烈酒(饮料); 烧酒; 白酒; 米酒; 葡萄酒; 谷物制蒸馏酒精饮料; 酒精饮料(啤酒除外); 黄酒</t>
  </si>
  <si>
    <t xml:space="preserve"> 以葡萄酒为主的开胃酒; 以蒸馏酒为主的开胃酒; 佐餐酒; 含酒精的水果鸡尾酒饮料; 干型苹果酒; 开胃酒; 果酒; 餐后酒(利口酒和烈酒)</t>
  </si>
  <si>
    <t xml:space="preserve"> 含水果酒精饮料; 开胃酒; 果酒(含酒精); 烈酒(饮料); 白酒; 米酒; 葡萄酒; 酒精饮料(啤酒除外); 鸡尾酒; 黄酒</t>
  </si>
  <si>
    <t xml:space="preserve"> 伏特加酒; 威士忌; 果酒; 清酒; 白兰地; 白酒; 米酒; 葡萄酒; 酒精饮料(啤酒除外); 黄酒</t>
  </si>
  <si>
    <t xml:space="preserve"> 开胃酒; 果酒(含酒精); 甜酒; 白酒; 米酒; 葡萄酒; 蜂蜜酒; 酒精饮料(啤酒除外); 青稞酒; 黄酒</t>
  </si>
  <si>
    <t xml:space="preserve"> 果酒(含酒精); 柑香酒; 白酒; 苦味酒; 苹果酒; 葡萄酒; 薄荷酒; 鸡尾酒; 黄酒</t>
  </si>
  <si>
    <t xml:space="preserve"> 开胃酒; 果酒(含酒精); 烈酒(饮料); 烧酒; 白酒; 米酒; 葡萄酒; 蒸煮提取物(利口酒和烈酒); 酒精饮料(啤酒除外); 青稞酒</t>
  </si>
  <si>
    <t xml:space="preserve"> 利口酒; 开胃酒; 汽酒; 烈酒(饮料); 烧酒; 白酒; 米酒; 蜂蜜酒; 青稞酒; 黄酒</t>
  </si>
  <si>
    <t xml:space="preserve"> 威士忌; 果酒; 清酒; 烈酒; 烧酒; 白酒; 米酒; 葡萄酒; 鸡尾酒; 黄酒</t>
  </si>
  <si>
    <t xml:space="preserve"> 含水果酒精饮料; 果酒(含酒精); 梨酒; 烈酒(饮料); 烧酒; 白酒; 蜂蜜酒; 酒精饮料(啤酒除外); 酒精饮料原汁; 鸡尾酒</t>
  </si>
  <si>
    <t xml:space="preserve"> 利口酒; 开胃酒; 果酒(含酒精); 清酒; 烧酒; 白酒; 米酒; 葡萄酒; 酒精饮料(啤酒除外); 黄酒</t>
  </si>
  <si>
    <t xml:space="preserve"> 果酒(含酒精); 烈酒(饮料); 烧酒; 白酒; 葡萄酒; 蒸馏饮料; 酒精饮料(啤酒除外); 酒精饮料原汁; 鸡尾酒; 黄酒</t>
  </si>
  <si>
    <t xml:space="preserve"> 威士忌; 汽酒; 烧酒; 白酒; 米酒; 苹果酒; 葡萄酒; 蒸馏饮料; 鸡尾酒; 黄酒</t>
  </si>
  <si>
    <t xml:space="preserve"> 含水果酒精饮料; 威士忌; 果酒(含酒精); 白兰地; 白干酒(中国白酒); 白酒; 老酒(中国蒸馏烈酒); 葡萄酒; 蜂蜜酒; 黄酒</t>
  </si>
  <si>
    <t xml:space="preserve"> 含酒精水果饮料; 含酒精的气泡水; 杨梅酒; 果酒; 清酒; 烧酒; 白酒; 葡萄酒; 青梅酒; 黄酒</t>
  </si>
  <si>
    <t xml:space="preserve"> 果酒(含酒精); 烈酒(饮料); 烧酒; 白兰地; 白酒; 米酒; 老酒(中国蒸馏烈酒); 葡萄酒; 酒精饮料(啤酒除外); 黄酒</t>
  </si>
  <si>
    <t xml:space="preserve"> 威士忌; 开胃酒; 梨酒; 烈酒; 烧酒; 甜酒; 白酒; 米酒; 苦味酒; 黄酒</t>
  </si>
  <si>
    <t xml:space="preserve"> 果酒; 烧酒; 白干酒(中国白酒); 白酒; 老酒(中国蒸馏烈酒); 蒸馏米酒(泡盛酒); 谷物制蒸馏酒精饮料; 酒精饮料(啤酒除外); 青稞酒; 黄酒</t>
  </si>
  <si>
    <t xml:space="preserve"> 利口酒; 果酒(含酒精); 烈酒(饮料); 烧酒; 白酒; 米酒; 葡萄酒; 蒸馏饮料; 酒精饮料(啤酒除外); 黄酒</t>
  </si>
  <si>
    <t xml:space="preserve"> 果酒; 烈酒; 烧酒; 烧酒(烈酒); 甜酒; 白干酒(中国白酒); 白酒; 老酒(中国蒸馏烈酒); 高粱酒; 黄酒</t>
  </si>
  <si>
    <t xml:space="preserve"> 开胃酒; 果酒(含酒精); 清酒; 烧酒; 白酒; 葡萄酒; 蒸煮提取物(利口酒和烈酒); 酒精饮料(啤酒除外); 青稞酒; 黄酒</t>
  </si>
  <si>
    <t xml:space="preserve"> 威士忌; 朗姆酒; 果酒(含酒精); 汽酒; 烈酒(饮料); 白酒; 米酒; 老酒(中国蒸馏烈酒); 鸡尾酒; 黄酒</t>
  </si>
  <si>
    <t xml:space="preserve"> 含酒精的饮料(啤酒除外); 果酒(含酒精); 清酒(日本米酒); 烈酒; 白酒; 米酒; 葡萄酒; 蜂蜜酒; 谷物制蒸馏酒精饮料; 黄酒</t>
  </si>
  <si>
    <t xml:space="preserve"> 含酒精水果饮料; 威士忌; 果酒(含酒精); 汽酒; 白兰地; 白酒; 蒸煮提取物(利口酒和烈酒); 酒精饮料(啤酒除外); 鸡尾酒; 黄酒</t>
  </si>
  <si>
    <t xml:space="preserve"> 利口酒; 已调味的蒸馏酒; 果酒; 甘蔗制烈酒; 白兰地; 白酒; 米酒; 蒸馏米酒(泡盛酒); 露酒; 黄酒</t>
  </si>
  <si>
    <t xml:space="preserve"> 朝鲜族米酒; 果酒(含酒精); 柑香酒; 清酒(日本米酒); 白酒; 米酒; 蜂蜜酒; 酒精饮料(啤酒除外); 餐后酒(利口酒和烈酒); 鸡尾酒</t>
  </si>
  <si>
    <t xml:space="preserve"> 以葡萄酒为主的饮料; 含酒精水果饮料; 含酒精的气泡水; 果酒; 果酒(含酒精); 白酒; 米酒; 薄荷酒; 青稞酒; 黄酒</t>
  </si>
  <si>
    <t xml:space="preserve"> 利口酒; 果酒(含酒精); 清酒(日本米酒); 烈酒(饮料); 烧酒; 白酒; 米酒; 葡萄酒; 酒精饮料原汁; 食用酒精</t>
  </si>
  <si>
    <t xml:space="preserve"> 含水果酒精饮料; 含酒精的气泡水; 汽酒; 烧酒; 白酒; 薄荷酒; 谷物制蒸馏酒精饮料; 食用酒精; 餐后酒(利口酒和烈酒); 鸡尾酒</t>
  </si>
  <si>
    <t xml:space="preserve"> 开胃酒; 汽酒; 烈酒(饮料); 烧酒; 白酒; 谷物制蒸馏酒精饮料; 酒精饮料(啤酒除外); 青稞酒; 餐后酒(利口酒和烈酒); 黄酒</t>
  </si>
  <si>
    <t xml:space="preserve"> 果酒; 清酒(日本米酒); 烈酒(饮料); 烧酒; 白兰地; 白酒; 米酒; 葡萄酒; 酒精饮料(啤酒除外); 黄酒</t>
  </si>
  <si>
    <t xml:space="preserve"> 以葡萄酒为主的饮料; 含水果酒精饮料; 开胃酒; 果酒(含酒精); 烈酒; 白酒; 米酒; 葡萄酒; 青稞酒; 黄酒</t>
  </si>
  <si>
    <t xml:space="preserve"> 伏特加酒; 威士忌; 果酒(含酒精); 烧酒; 白兰地; 白酒; 米酒; 葡萄酒; 酒精饮料(啤酒除外); 黄酒</t>
  </si>
  <si>
    <t xml:space="preserve"> 利口酒; 开胃酒; 烈酒(饮料); 烧酒; 白酒; 米酒; 葡萄酒; 蜂蜜酒; 鸡尾酒; 黄酒</t>
  </si>
  <si>
    <t xml:space="preserve"> 威士忌; 果酒; 水果汽酒; 由谷物蒸馏的白酒; 白酒; 红葡萄酒; 酒精饮料原汁; 除啤酒外的酒精饮料; 高粱酒; 麦芽威士忌</t>
  </si>
  <si>
    <t xml:space="preserve"> 威士忌; 果酒(含酒精); 清酒(日本米酒); 烈酒(饮料); 白酒; 米酒; 葡萄酒; 蒸煮提取物(利口酒和烈酒); 酒精饮料(啤酒除外); 鸡尾酒</t>
  </si>
  <si>
    <t xml:space="preserve"> 利口酒; 果酒(含酒精); 清酒(日本米酒); 烈酒(饮料); 烧酒(烈酒); 白酒; 葡萄酒; 酒精饮料(啤酒除外); 酒精饮料原汁; 黄酒</t>
  </si>
  <si>
    <t xml:space="preserve"> 伏特加酒; 威士忌; 果酒(含酒精); 烈酒(饮料); 烧酒; 白酒; 米酒; 葡萄酒; 鸡尾酒; 黄酒</t>
  </si>
  <si>
    <t xml:space="preserve"> 含水果酒精饮料; 果酒(含酒精); 烈酒(饮料); 烧酒; 白酒; 米酒; 葡萄酒; 酒精饮料浓缩汁; 鸡尾酒; 黄酒</t>
  </si>
  <si>
    <t xml:space="preserve"> 开胃酒; 果酒(含酒精); 烈酒(饮料); 烧酒; 白酒; 米酒; 葡萄酒; 谷物制蒸馏酒精饮料; 预先混合的酒精饮料(以啤酒为主的除外); 黄酒</t>
  </si>
  <si>
    <t xml:space="preserve"> 利口酒; 开胃酒; 果酒(含酒精); 烧酒; 白酒; 米酒; 葡萄酒; 青稞酒; 食用酒精; 黄酒</t>
  </si>
  <si>
    <t xml:space="preserve"> 开胃酒; 果酒(含酒精); 烈酒(饮料); 烧酒; 白酒; 米酒; 葡萄酒; 酒精饮料(啤酒除外); 预先混合的酒精饮料(以啤酒为主的除外); 黄酒</t>
  </si>
  <si>
    <t xml:space="preserve"> 已调味的蒸馏酒; 果酒(含酒精); 烈酒; 烧酒; 烧酒(烈酒); 白酒; 老酒(中国蒸馏烈酒); 除啤酒外的酒精饮料; 高粱酒; 鸡尾酒</t>
  </si>
  <si>
    <t xml:space="preserve"> 威士忌; 朗姆酒; 烈酒(饮料); 烧酒; 白兰地; 白酒; 米酒; 葡萄酒; 鸡尾酒; 黄酒</t>
  </si>
  <si>
    <t xml:space="preserve"> 含水果酒精饮料; 果酒(含酒精); 烧酒; 白酒; 米酒; 红葡萄酒; 草莓酒; 葡萄酒; 高粱酒; 黄酒</t>
  </si>
  <si>
    <t xml:space="preserve"> 含水果酒精饮料; 汽酒; 白酒; 葡萄酒; 谷物制蒸馏酒精饮料; 酒精饮料(啤酒除外); 酒精饮料原汁; 酒精饮料浓缩汁</t>
  </si>
  <si>
    <t xml:space="preserve"> 以葡萄酒为主的饮料; 葡萄酒; 酒精饮料(啤酒除外); 酒精饮料原汁; 酒精饮料浓缩汁; 预先混合的酒精饮料(以啤酒为主的除外)</t>
  </si>
  <si>
    <t xml:space="preserve"> 开胃酒; 朗姆酒; 果酒(含酒精); 清酒(日本米酒); 烧酒; 白酒; 葡萄酒; 酒精饮料(啤酒除外); 青稞酒; 鸡尾酒</t>
  </si>
  <si>
    <t xml:space="preserve"> 威士忌; 果酒(含酒精); 汽酒; 烧酒; 白兰地; 白酒; 米酒; 葡萄酒; 鸡尾酒; 黄酒</t>
  </si>
  <si>
    <t xml:space="preserve"> 含水果酒精饮料; 威士忌; 烈酒(饮料); 烧酒; 白兰地; 白酒; 米酒; 葡萄酒; 酒精饮料(啤酒除外); 黄酒</t>
  </si>
  <si>
    <t xml:space="preserve"> 开胃酒; 果酒(含酒精); 汽酒; 烧酒; 白酒; 米酒; 葡萄酒; 酒精饮料原汁; 食用酒精; 黄酒</t>
  </si>
  <si>
    <t xml:space="preserve"> 利口酒; 果酒(含酒精); 由谷物蒸馏的白酒; 白干酒(中国白酒); 白酒; 米酒; 老酒(中国蒸馏烈酒); 蒸馏米酒(泡盛酒); 高粱酒; 黄酒</t>
  </si>
  <si>
    <t xml:space="preserve"> 开胃酒; 烈酒(饮料); 烧酒; 白酒; 米酒; 葡萄酒; 蒸煮提取物(利口酒和烈酒); 酒精饮料(啤酒除外); 鸡尾酒; 黄酒</t>
  </si>
  <si>
    <t xml:space="preserve"> 果酒(含酒精); 烈酒(饮料); 烧酒; 白酒; 米酒; 老酒(中国蒸馏烈酒); 苦味酒; 葡萄酒; 预先混合的酒精饮料(以啤酒为主的除外); 鸡尾酒</t>
  </si>
  <si>
    <t xml:space="preserve"> 利口酒; 含水果酒精饮料; 清酒; 白兰地; 白酒; 米酒; 谷物制蒸馏酒精饮料; 酒精饮料(啤酒除外); 预先混合的酒精饮料(以啤酒为主的除外); 黄酒</t>
  </si>
  <si>
    <t xml:space="preserve"> 果酒; 梅酒; 烈酒; 烧酒; 白干酒(中国白酒); 白酒; 米酒; 葡萄酒; 高粱酒; 黄酒</t>
  </si>
  <si>
    <t xml:space="preserve"> 鸡尾酒</t>
  </si>
  <si>
    <t xml:space="preserve"> 含水果酒精饮料; 开胃酒; 果酒(含酒精); 清酒(日本米酒); 烈酒(饮料); 烧酒; 白酒; 米酒; 葡萄酒; 黄酒</t>
  </si>
  <si>
    <t xml:space="preserve"> 含水果酒精饮料; 果酒(含酒精); 清酒(日本米酒); 白兰地; 白酒; 米酒; 葡萄酒; 酒精饮料(啤酒除外); 预先混合的酒精饮料(以啤酒为主的除外); 鸡尾酒</t>
  </si>
  <si>
    <t xml:space="preserve"> 果酒; 清酒; 烈酒; 烧酒; 白酒; 米酒; 葡萄酒; 酒精饮料(啤酒除外); 鸡尾酒; 黄酒</t>
  </si>
  <si>
    <t xml:space="preserve"> 含酒精的充气饮料(啤酒除外); 烧酒; 甜果酒; 由谷物蒸馏的白酒; 白酒; 米酒; 酒精饮料原汁; 青稞酒; 预先混合的酒精饮料(以啤酒为主的除外); 食用酒精</t>
  </si>
  <si>
    <t xml:space="preserve"> 含水果酒精饮料; 含酒精水果饮料; 果酒(含酒精); 烧酒; 烧酒(烈酒); 白酒; 米酒; 红葡萄酒; 青稞酒; 黄酒</t>
  </si>
  <si>
    <t xml:space="preserve"> 不起泡葡萄酒; 以葡萄酒为主的饮料; 杜松子酒; 烈酒; 烈酒(饮料); 白葡萄酒; 红葡萄酒; 葡萄酒; 起泡白葡萄酒; 起泡红葡萄酒; 酒精饮料(啤酒除外); 餐后酒(利口酒和烈酒)</t>
  </si>
  <si>
    <t xml:space="preserve"> 果酒(含酒精); 烈酒(饮料); 烧酒; 白酒; 米酒; 苦味酒; 薄荷酒; 酒精饮料(啤酒除外); 食用酒精; 黄酒</t>
  </si>
  <si>
    <t xml:space="preserve"> 利口酒; 含酒精水果饮料; 威士忌; 果酒(含酒精); 清酒; 白兰地; 白酒; 米酒; 葡萄酒; 黄酒</t>
  </si>
  <si>
    <t xml:space="preserve"> 威士忌; 开胃酒; 果酒(含酒精); 白酒; 米酒; 葡萄酒; 蒸馏饮料; 酒精饮料(啤酒除外); 鸡尾酒; 黄酒</t>
  </si>
  <si>
    <t xml:space="preserve"> 开胃酒; 果酒(含酒精); 清酒(日本米酒); 烈酒(饮料); 烧酒; 白酒; 葡萄酒; 蒸煮提取物(利口酒和烈酒); 食用酒精; 黄酒</t>
  </si>
  <si>
    <t xml:space="preserve"> 含水果酒精饮料; 开胃酒; 烧酒; 甜果酒; 白酒; 茴香酒(利口酒); 葡萄酒; 蒸煮提取物(利口酒和烈酒); 蒸馏饮料; 黄酒</t>
  </si>
  <si>
    <t xml:space="preserve"> 含奶油利口酒; 咖啡利口酒; 日式甜米酒; 甜酒; 白酒; 苦荞酒; 蜂蜜酒; 露酒; 预先混合的酒精饮料(以啤酒为主的除外); 高粱酒</t>
  </si>
  <si>
    <t xml:space="preserve"> 含水果酒精饮料; 威士忌; 果酒(含酒精); 烈酒(饮料); 白兰地; 葡萄酒; 蒸馏饮料; 酒精饮料(啤酒除外); 酒精饮料原汁; 预先混合的酒精饮料(以啤酒为主的除外)</t>
  </si>
  <si>
    <t xml:space="preserve"> 伏特加酒; 含水果酒精饮料; 果酒(含酒精); 烧酒; 白酒; 葡萄酒; 谷物制蒸馏酒精饮料; 酒精饮料(啤酒除外); 酒精饮料原汁; 食用酒精</t>
  </si>
  <si>
    <t xml:space="preserve"> 威士忌; 果酒(含酒精); 汽酒; 白兰地; 白酒; 葡萄酒; 蒸煮提取物(利口酒和烈酒); 蒸馏饮料; 酒精饮料(啤酒除外); 鸡尾酒</t>
  </si>
  <si>
    <t xml:space="preserve"> 含水果酒精饮料; 果酒(含酒精); 烈酒(饮料); 烧酒; 由谷物蒸馏的白酒; 白干酒(中国白酒); 白酒; 米酒; 葡萄酒; 黄酒</t>
  </si>
  <si>
    <t xml:space="preserve"> 亚力酒; 果酒(含酒精); 柑香酒; 白酒; 苦味酒; 苹果酒; 茴香酒(利口酒); 葡萄酒; 薄荷酒; 鸡尾酒</t>
  </si>
  <si>
    <t xml:space="preserve"> 含水果酒精饮料; 威士忌; 果酒; 清酒; 白兰地; 白酒; 米酒; 葡萄酒; 酒精饮料(啤酒除外); 预先混合的酒精饮料(以啤酒为主的除外)</t>
  </si>
  <si>
    <t xml:space="preserve"> 开胃酒; 果酒(含酒精); 烈酒(饮料); 烧酒; 葡萄酒; 蒸馏饮料; 酒精饮料(啤酒除外); 预先混合的酒精饮料(以啤酒为主的除外); 食用酒精; 黄酒</t>
  </si>
  <si>
    <t xml:space="preserve"> 果酒(含酒精); 清酒(日本米酒); 白兰地; 白干酒(中国白酒); 白酒; 米酒; 葡萄酒; 谷物制蒸馏酒精饮料; 酒精饮料(啤酒除外); 鸡尾酒</t>
  </si>
  <si>
    <t xml:space="preserve"> 利口酒; 开胃酒; 果酒(含酒精); 烈酒(饮料); 烧酒; 白酒; 葡萄酒; 露酒; 鸡尾酒; 黄酒</t>
  </si>
  <si>
    <t xml:space="preserve"> 含水果酒精饮料; 含酒精水果饮料; 果酒(含酒精); 烧酒; 白酒; 米酒; 葡萄酒; 蜂蜜酒; 酒精饮料(啤酒除外); 黄酒</t>
  </si>
  <si>
    <t xml:space="preserve"> 利口酒; 果酒(含酒精); 烧酒; 白酒; 老酒(中国蒸馏烈酒); 蒸煮提取物(利口酒和烈酒); 酒精饮料(啤酒除外); 青稞酒; 食用酒精; 黄酒</t>
  </si>
  <si>
    <t xml:space="preserve"> 果酒(含酒精); 烧酒; 烧酒(烈酒); 由谷物蒸馏的白酒; 白干酒(中国白酒); 白酒; 米酒; 老酒(中国蒸馏烈酒); 蒸馏米酒(泡盛酒); 高粱酒</t>
  </si>
  <si>
    <t xml:space="preserve"> 果酒(含酒精); 清酒(日本米酒); 烧酒; 白酒; 米酒; 葡萄酒; 蒸煮提取物(利口酒和烈酒); 酒精饮料(啤酒除外); 食用酒精; 黄酒</t>
  </si>
  <si>
    <t xml:space="preserve"> 果酒(含酒精); 烈酒; 烧酒; 白干酒(中国白酒); 白酒; 米酒; 葡萄酒; 酒精饮料(啤酒除外); 高粱酒; 黄酒</t>
  </si>
  <si>
    <t xml:space="preserve"> 利口酒; 威士忌; 朗姆酒; 果酒(含酒精); 汽酒; 白酒; 葡萄酒; 起泡白葡萄酒; 起泡红葡萄酒; 鸡尾酒</t>
  </si>
  <si>
    <t xml:space="preserve"> 伏特加酒; 利口酒; 含水果酒精饮料; 威士忌; 朗姆酒; 白兰地; 白酒; 葡萄酒; 酒精饮料(啤酒除外); 黄酒</t>
  </si>
  <si>
    <t xml:space="preserve"> 果酒; 汽酒; 烧酒; 烧酒(烈酒); 甜酒; 白酒; 米酒; 老酒(中国蒸馏烈酒); 蜂蜜酒; 露酒</t>
  </si>
  <si>
    <t xml:space="preserve"> 含水果酒精饮料; 果酒(含酒精); 清酒(日本米酒); 烧酒; 白兰地; 白酒; 米酒; 青稞酒; 食用酒精; 黄酒</t>
  </si>
  <si>
    <t xml:space="preserve"> 含水果酒精饮料; 威士忌; 果酒(含酒精); 白酒; 米酒; 苹果酒; 蒸馏饮料; 蜂蜜酒; 鸡尾酒; 黄酒</t>
  </si>
  <si>
    <t xml:space="preserve"> 果酒(含酒精); 烈酒(饮料); 烧酒; 白酒; 米酒; 葡萄酒; 蒸馏饮料; 酒精饮料(啤酒除外); 预先混合的酒精饮料(以啤酒为主的除外); 黄酒</t>
  </si>
  <si>
    <t xml:space="preserve"> 樱桃酒; 烧酒; 白酒; 米酒; 葡萄酒; 蜂蜜酒; 谷物制蒸馏酒精饮料; 酒精饮料(啤酒除外); 酒精饮料原汁; 黄酒</t>
  </si>
  <si>
    <t xml:space="preserve"> 含水果酒精饮料; 果酒(含酒精); 烧酒; 白酒; 葡萄酒; 蒸馏饮料; 酒精饮料(啤酒除外); 酒精饮料原汁; 预先混合的酒精饮料(以啤酒为主的除外); 鸡尾酒</t>
  </si>
  <si>
    <t xml:space="preserve"> 利口酒; 果酒(含酒精); 白酒; 米酒; 葡萄酒; 酒精饮料(啤酒除外); 露酒; 食用酒精; 鸡尾酒; 黄酒</t>
  </si>
  <si>
    <t xml:space="preserve"> 清酒(日本米酒); 烈酒; 烧酒; 烧酒(烈酒); 白兰地; 白酒; 老酒(中国蒸馏烈酒); 葡萄酒; 鸡尾酒; 黄酒</t>
  </si>
  <si>
    <t xml:space="preserve"> 伏特加酒; 威士忌; 果酒(含酒精); 清酒; 烈酒(饮料); 白酒; 米酒; 葡萄酒; 酒精饮料(啤酒除外); 青稞酒</t>
  </si>
  <si>
    <t xml:space="preserve"> 果酒; 烧酒; 白干酒(中国白酒); 白酒; 米酒; 老酒(中国蒸馏烈酒); 露酒; 青稞酒; 高粱酒; 黄酒</t>
  </si>
  <si>
    <t xml:space="preserve"> 含水果酒精饮料; 含酒精的气泡水; 烈酒(饮料); 烧酒; 由谷物蒸馏的白酒; 白酒; 葡萄酒; 蒸馏饮料; 谷物制蒸馏酒精饮料; 酒精饮料原汁</t>
  </si>
  <si>
    <t xml:space="preserve"> 含水果酒精饮料; 开胃酒; 果酒(含酒精); 白酒; 蒸煮提取物(利口酒和烈酒); 蜂蜜酒; 酒精饮料原汁; 食用酒精; 鸡尾酒; 黄酒</t>
  </si>
  <si>
    <t xml:space="preserve"> 威士忌; 烧酒; 白兰地; 白酒; 葡萄酒; 蒸煮提取物(利口酒和烈酒); 蒸馏饮料; 薄荷酒; 酒精饮料(啤酒除外); 鸡尾酒</t>
  </si>
  <si>
    <t xml:space="preserve"> 含酒精的充气饮料(啤酒除外); 含酒精的饮料(啤酒除外); 果酒; 果酒(含酒精); 汽酒; 白酒; 葡萄酒; 酒精饮料(啤酒除外); 高粱酒; 鸡尾酒</t>
  </si>
  <si>
    <t xml:space="preserve"> 威士忌; 开胃酒; 果酒(含酒精); 汽酒; 白兰地; 白酒; 米酒; 葡萄酒; 酒精饮料(啤酒除外); 黄酒</t>
  </si>
  <si>
    <t xml:space="preserve"> 威士忌; 果酒; 白酒; 米酒; 葡萄酒; 谷物制蒸馏酒精饮料; 酒精饮料(啤酒除外); 酒精饮料原汁; 鸡尾酒; 黄酒</t>
  </si>
  <si>
    <t xml:space="preserve"> 烧酒; 白酒; 米酒</t>
  </si>
  <si>
    <t xml:space="preserve"> 伏特加酒; 白兰地; 白干酒(中国白酒); 白酒; 米酒; 葡萄酒; 酒精饮料(啤酒除外); 高粱酒; 鸡尾酒; 黄酒</t>
  </si>
  <si>
    <t xml:space="preserve"> 威士忌; 开胃酒; 果酒(含酒精); 梨酒; 烧酒; 白酒; 米酒; 葡萄酒; 酒精饮料(啤酒除外); 黄酒</t>
  </si>
  <si>
    <t xml:space="preserve"> 利口酒; 杜松子酒; 果酒(含酒精); 烈酒(饮料); 烧酒; 葡萄酒; 酒精饮料(啤酒除外); 青稞酒; 鸡尾酒; 黄酒</t>
  </si>
  <si>
    <t xml:space="preserve"> 开胃酒; 果酒(含酒精); 水果汽酒; 清酒; 烈酒(饮料); 烧酒(烈酒); 白干酒(中国白酒); 白酒; 葡萄酒; 酒精饮料(啤酒除外)</t>
  </si>
  <si>
    <t xml:space="preserve"> 果酒(含酒精); 清酒(日本米酒); 烈酒; 烧酒; 白干酒(中国白酒); 白酒; 米酒; 葡萄酒; 高粱酒; 黄酒</t>
  </si>
  <si>
    <t xml:space="preserve"> 佐餐酒; 开胃酒; 果酒(含酒精); 白酒; 米酒; 苦味酒; 苦荞酒; 蒸馏饮料; 酒精饮料(啤酒除外); 黄酒</t>
  </si>
  <si>
    <t xml:space="preserve"> 威士忌; 果酒; 汽酒; 烧酒; 白酒; 米酒; 葡萄酒; 谷物制蒸馏酒精饮料; 酒精饮料(啤酒除外); 黄酒</t>
  </si>
  <si>
    <t xml:space="preserve"> 含酒精的饮料(啤酒除外); 开胃酒; 果酒; 清酒; 烈酒; 烧酒; 白酒; 米酒; 高粱酒; 黄酒</t>
  </si>
  <si>
    <t xml:space="preserve"> 果酒(含酒精); 清酒; 烈酒(饮料); 烧酒; 白酒; 米酒; 红葡萄酒; 老酒(中国蒸馏烈酒); 葡萄酒; 鸡尾酒</t>
  </si>
  <si>
    <t xml:space="preserve"> 含水果酒精饮料; 果酒; 汽酒; 烈酒; 白酒; 米酒; 蒸馏饮料; 酒精饮料原汁; 食用酒精; 黄酒</t>
  </si>
  <si>
    <t xml:space="preserve"> 咖啡利口酒; 奶油利口酒; 朝鲜族米酒; 松叶酒; 果酒(含酒精); 桃红葡萄酒; 水果汽酒; 由谷物蒸馏的白酒; 苦味酒; 薄荷酒</t>
  </si>
  <si>
    <t xml:space="preserve"> 含水果酒精饮料; 已调味的蒸馏酒; 果酒; 烈酒; 烧酒; 白干酒(中国白酒); 白酒; 米酒; 酒精饮料(啤酒除外); 食用酒精</t>
  </si>
  <si>
    <t xml:space="preserve"> 果酒; 烧酒; 甜酒; 白酒; 米酒; 葡萄酒; 蒸煮提取物(利口酒和烈酒); 露酒; 鸡尾酒; 黄酒</t>
  </si>
  <si>
    <t xml:space="preserve"> 利口酒; 已调味的蒸馏酒; 果酒; 白兰地; 白酒; 米酒; 蒸馏米酒泡盛酒; 露酒; 高粱酒; 黄酒</t>
  </si>
  <si>
    <t xml:space="preserve"> 已调味的蒸馏酒; 果酒; 果酒(含酒精); 甘蔗制烈酒; 甜酒; 白兰地; 白干酒(中国白酒); 白酒; 米酒; 蜂蜜酒; 露酒; 青稞酒</t>
  </si>
  <si>
    <t xml:space="preserve"> 伏特加酒; 威士忌; 果酒(含酒精); 白兰地; 白酒; 米酒; 葡萄酒; 酒精饮料(啤酒除外); 鸡尾酒; 黄酒</t>
  </si>
  <si>
    <t xml:space="preserve"> 果酒(含酒精); 清酒; 烧酒; 白兰地; 白酒; 米酒; 葡萄酒; 薄荷酒; 蜂蜜酒; 黄酒</t>
  </si>
  <si>
    <t xml:space="preserve"> 威士忌; 果酒(含酒精); 白兰地; 白酒; 米酒; 葡萄酒; 酒精饮料(啤酒除外); 青梅酒; 鸡尾酒; 黄酒</t>
  </si>
  <si>
    <t xml:space="preserve"> 威士忌; 果酒(含酒精); 清酒(日本米酒); 白兰地; 白酒; 米酒; 酒精饮料(啤酒除外); 食用酒精; 鸡尾酒; 黄酒</t>
  </si>
  <si>
    <t xml:space="preserve"> 含酒精的气泡水; 果酒(含酒精); 梨酒; 樱桃酒; 烧酒; 白酒; 米酒; 苹果酒; 葡萄酒; 蜂蜜酒; 谷物制蒸馏酒精饮料; 黄酒</t>
  </si>
  <si>
    <t xml:space="preserve"> 含水果酒精饮料; 含酒精的饮料(啤酒除外); 果酒; 烈酒(饮料); 烧酒; 白酒; 米酒; 蒸馏饮料; 食用酒精; 黄酒</t>
  </si>
  <si>
    <t xml:space="preserve"> 开胃酒; 果酒(含酒精); 清酒(日本米酒); 烧酒; 白酒; 米酒; 葡萄酒; 酒精饮料(啤酒除外); 餐后酒(利口酒和烈酒); 黄酒</t>
  </si>
  <si>
    <t xml:space="preserve"> 果酒(含酒精); 清酒(日本米酒); 烧酒; 白酒; 米酒; 葡萄酒; 酒精饮料(啤酒除外); 青稞酒; 鸡尾酒; 黄酒</t>
  </si>
  <si>
    <t xml:space="preserve"> 果酒; 清酒; 烈酒; 烧酒; 白酒; 米酒; 葡萄酒; 蜂蜜酒; 高粱酒; 黄酒</t>
  </si>
  <si>
    <t xml:space="preserve"> 威士忌; 杜松子酒; 果酒(含酒精); 烧酒; 白酒; 苦味酒; 葡萄酒; 薄荷酒; 食用酒精; 黄酒</t>
  </si>
  <si>
    <t xml:space="preserve"> 伏特加酒; 威士忌; 开胃酒; 果酒(含酒精); 白兰地; 白酒; 米酒; 葡萄酒; 鸡尾酒; 黄酒</t>
  </si>
  <si>
    <t xml:space="preserve"> 含水果酒精饮料; 果酒(含酒精); 烧酒; 白酒; 米酒; 葡萄酒; 蒸馏饮料; 食用酒精; 鸡尾酒; 黄酒</t>
  </si>
  <si>
    <t xml:space="preserve"> 利口酒; 朝鲜族米酒; 果酒(含酒精); 烈酒(饮料); 白酒; 米酒; 葡萄酒; 蒸馏饮料; 青稞酒; 食用酒精</t>
  </si>
  <si>
    <t xml:space="preserve"> 威士忌; 开胃酒; 果酒(含酒精); 烈酒(饮料); 烧酒; 白酒; 米酒; 葡萄酒; 鸡尾酒; 黄酒</t>
  </si>
  <si>
    <t xml:space="preserve"> 伏特加酒; 含水果酒精饮料; 果酒(含酒精); 清酒(日本米酒); 烈酒(饮料); 白酒; 葡萄酒; 食用酒精; 鸡尾酒; 黄酒</t>
  </si>
  <si>
    <t xml:space="preserve"> 利口酒; 已调味的蒸馏酒; 果酒; 烈酒; 白酒; 老酒(中国蒸馏烈酒); 葡萄酒; 酒精饮料(啤酒除外); 露酒; 高粱酒</t>
  </si>
  <si>
    <t xml:space="preserve"> 含水果酒精饮料; 含酒精的鸡尾酒混合饮品; 果酒(含酒精); 甜果酒; 白酒; 葡萄酒; 酒精饮料(啤酒除外); 酸酒(低等葡萄酒); 鸡尾酒; 黄酒</t>
  </si>
  <si>
    <t xml:space="preserve"> 威士忌; 果酒(含酒精); 清酒(日本米酒); 烈酒; 白酒; 葡萄酒; 酒精饮料(啤酒除外); 青稞酒; 鸡尾酒; 黄酒</t>
  </si>
  <si>
    <t xml:space="preserve"> 烈酒; 白干酒(中国白酒); 白葡萄酒; 白酒; 红葡萄酒; 老酒(中国蒸馏烈酒); 葡萄酒; 高粱酒; 麦芽威士忌; 黄酒</t>
  </si>
  <si>
    <t xml:space="preserve"> 以葡萄酒为主的饮料; 含水果酒精饮料; 白酒; 苹果酒; 葡萄酒; 谷物制蒸馏酒精饮料; 酒精饮料(啤酒除外); 酒精饮料浓缩汁; 预先混合的酒精饮料(以啤酒为主的除外); 黄酒</t>
  </si>
  <si>
    <t xml:space="preserve"> 开胃酒; 樱桃酒; 烧酒; 白兰地; 白酒; 米酒; 葡萄酒; 青稞酒; 鸡尾酒; 黄酒</t>
  </si>
  <si>
    <t xml:space="preserve"> 伏特加酒; 果酒(含酒精); 汽酒; 烧酒; 白兰地; 白酒; 米酒; 葡萄酒; 蜂蜜酒; 黄酒</t>
  </si>
  <si>
    <t xml:space="preserve"> 开胃酒; 果酒(含酒精); 汽酒; 清酒; 白酒; 苦味酒; 茴芹酒(利口酒); 葡萄酒; 薄荷酒; 鸡尾酒</t>
  </si>
  <si>
    <t xml:space="preserve"> 果酒; 烈酒; 白酒; 米酒; 老酒(中国蒸馏烈酒); 葡萄酒; 除啤酒外的酒精饮料; 青梅酒; 高粱酒; 黄酒</t>
  </si>
  <si>
    <t xml:space="preserve"> 伏特加酒; 含水果酒精饮料; 果酒; 混合威士忌酒; 烧酒; 米酒; 老酒(中国蒸馏烈酒); 葡萄酒; 高粱酒; 黄酒</t>
  </si>
  <si>
    <t xml:space="preserve"> 伏特加酒; 利口酒; 威士忌; 开胃酒; 烧酒; 白兰地; 白酒; 米酒; 葡萄酒; 鸡尾酒</t>
  </si>
  <si>
    <t xml:space="preserve"> 果酒(含酒精); 清酒(日本米酒); 烈酒(饮料); 烧酒; 白酒; 米酒; 葡萄酒; 蒸馏饮料; 蜂蜜酒; 黄酒</t>
  </si>
  <si>
    <t xml:space="preserve"> 含酒精的气泡水; 威士忌; 果酒(含酒精); 白酒; 葡萄酒; 蒸馏饮料; 酒精饮料(啤酒除外); 预先混合的酒精饮料(以啤酒为主的除外); 食用酒精; 鸡尾酒</t>
  </si>
  <si>
    <t xml:space="preserve"> 含水果酒精饮料; 果酒(含酒精); 烈酒(饮料); 烧酒; 白酒; 米酒; 酒精饮料(啤酒除外); 酒精饮料原汁; 食用酒精; 黄酒</t>
  </si>
  <si>
    <t xml:space="preserve"> 果酒(含酒精); 清酒; 烧酒; 由谷物蒸馏的白酒; 白干酒(中国白酒); 白酒; 米酒; 蒸馏饮料; 高粱酒; 黄酒</t>
  </si>
  <si>
    <t xml:space="preserve"> 威士忌; 果酒(含酒精); 烈酒(饮料); 烧酒; 白干酒(中国白酒); 白酒; 老酒(中国蒸馏烈酒); 葡萄酒; 酒精饮料(啤酒除外); 食用酒精</t>
  </si>
  <si>
    <t xml:space="preserve"> 果酒(含酒精); 清酒(日本米酒); 烈酒(饮料); 烧酒; 白酒; 米酒; 葡萄酒; 酒精饮料(啤酒除外); 食用酒精; 黄酒</t>
  </si>
  <si>
    <t xml:space="preserve"> 利口酒; 含水果酒精饮料; 烧酒; 白酒; 米酒; 葡萄酒; 蒸煮提取物(利口酒和烈酒); 酒精饮料原汁; 食用酒精; 黄酒</t>
  </si>
  <si>
    <t xml:space="preserve"> 以蒸馏酒为主的开胃酒; 开胃酒; 果酒(含酒精); 烈酒(饮料); 白干酒(中国白酒); 白酒; 米酒; 老酒(中国蒸馏烈酒); 高粱酒; 黄酒</t>
  </si>
  <si>
    <t xml:space="preserve"> 伏特加酒; 含酒精的充气饮料(啤酒除外); 威士忌; 果酒; 清酒; 白酒; 米酒; 葡萄酒; 青梅酒; 黄酒</t>
  </si>
  <si>
    <t xml:space="preserve"> 烈酒; 葡萄酒</t>
  </si>
  <si>
    <t xml:space="preserve"> 开胃酒; 柑香酒; 汽酒; 清酒; 烧酒(烈酒); 白酒; 米酒; 老酒(中国蒸馏烈酒); 蒸馏饮料; 黄酒</t>
  </si>
  <si>
    <t xml:space="preserve"> 开胃酒; 果酒(含酒精); 烧酒; 白酒; 苹果酒; 葡萄酒; 蒸馏饮料; 薄荷酒; 鸡尾酒; 黄酒</t>
  </si>
  <si>
    <t xml:space="preserve"> 开胃酒; 果酒(含酒精); 清酒; 烧酒; 白酒; 米酒; 茴芹酒(利口酒); 葡萄酒; 蜂蜜酒; 餐后酒(利口酒和烈酒)</t>
  </si>
  <si>
    <t xml:space="preserve"> 利口酒; 含水果酒精饮料; 开胃酒; 果酒(含酒精); 清酒; 白酒; 米酒; 葡萄酒; 酒精饮料(啤酒除外); 黄酒</t>
  </si>
  <si>
    <t xml:space="preserve"> 威士忌; 汽酒; 清酒(日本米酒); 烈酒; 白兰地; 白酒; 葡萄酒; 酒精饮料(啤酒除外); 露酒; 鸡尾酒</t>
  </si>
  <si>
    <t xml:space="preserve"> 朗姆酒; 果酒(含酒精); 烈酒(饮料); 烧酒; 米酒; 葡萄酒; 酒精饮料(啤酒除外); 酒精饮料原汁; 食用酒精; 黄酒</t>
  </si>
  <si>
    <t xml:space="preserve"> 果酒(含酒精); 烈酒(饮料); 烧酒; 白兰地; 白酒; 葡萄酒; 酒精饮料浓缩汁; 高粱酒; 鸡尾酒; 黄酒</t>
  </si>
  <si>
    <t xml:space="preserve"> 果酒(含酒精); 白酒</t>
  </si>
  <si>
    <t xml:space="preserve"> 以葡萄酒为主的饮料; 含水果酒精饮料; 果酒(含酒精); 苹果酒; 葡萄酒; 蜂蜜酒; 谷物制蒸馏酒精饮料; 酒精饮料(啤酒除外); 酒精饮料原汁; 酸酒(低等葡萄酒)</t>
  </si>
  <si>
    <t xml:space="preserve"> 以葡萄酒为主的饮料; 果酒(含酒精); 白酒; 米酒; 葡萄酒; 酒精饮料(啤酒除外); 露酒; 食用酒精; 鸡尾酒; 黄酒</t>
  </si>
  <si>
    <t xml:space="preserve"> 威士忌; 果酒(含酒精); 烧酒; 白酒; 米酒; 葡萄酒; 蒸馏饮料; 酒精饮料(啤酒除外); 酒精饮料原汁; 黄酒</t>
  </si>
  <si>
    <t xml:space="preserve"> 威士忌; 开胃酒; 果酒(含酒精); 清酒(日本米酒); 烈酒(饮料); 烧酒; 米酒; 葡萄酒; 酒精饮料(啤酒除外); 黄酒</t>
  </si>
  <si>
    <t xml:space="preserve"> 已调味的蒸馏酒; 果酒; 果酒(含酒精); 甘蔗制烈酒; 甜果酒; 白兰地; 白酒; 米酒; 蜂蜜酒; 露酒; 高粱酒; 黄酒</t>
  </si>
  <si>
    <t xml:space="preserve"> 利口酒; 梅酒; 清酒; 老酒(中国蒸馏烈酒); 谷物制蒸馏酒精饮料; 酒精饮料(啤酒除外); 露酒; 食用酒精; 黄酒; 黑覆盆子酒</t>
  </si>
  <si>
    <t xml:space="preserve"> 含酒精水果饮料; 含酒精的饮料(啤酒除外); 开胃酒; 果酒(含酒精); 烈酒(饮料); 白酒; 葡萄酒; 酒精饮料(啤酒除外); 酒精饮料原汁; 黄酒</t>
  </si>
  <si>
    <t xml:space="preserve"> 以葡萄酒为主的饮料; 含水果酒精饮料; 果酒(含酒精); 葡萄酒; 蒸馏饮料; 蜂蜜酒; 酒精饮料(啤酒除外); 酒精饮料原汁; 酒精饮料浓缩汁; 除啤酒外的酒精饮料</t>
  </si>
  <si>
    <t xml:space="preserve"> 威士忌; 果酒(含酒精); 梅酒; 烈酒(饮料); 烧酒; 白酒; 米酒; 葡萄酒; 酒精饮料(啤酒除外); 黄酒</t>
  </si>
  <si>
    <t xml:space="preserve"> 以葡萄酒为主的饮料; 威士忌; 果酒; 白兰地; 白酒; 米酒; 苦荞酒; 葡萄酒; 高粱酒; 鸡尾酒</t>
  </si>
  <si>
    <t xml:space="preserve"> 加香料的热葡萄酒; 含酒精水果饮料; 含酒精的充气饮料(啤酒除外); 含酒精的鸡尾酒混合饮品; 果酒; 混合威士忌酒; 米酒; 红葡萄酒; 谷物制蒸馏酒精饮料; 预先混合的酒精饮料(以啤酒为主的除外)</t>
  </si>
  <si>
    <t xml:space="preserve"> 果酒(含酒精); 清酒(日本米酒); 烈酒(饮料); 烧酒; 白酒; 葡萄酒; 蒸馏饮料; 酒精饮料(啤酒除外); 食用酒精; 黄酒</t>
  </si>
  <si>
    <t xml:space="preserve"> 果酒(含酒精); 汽酒; 烈酒(饮料); 白酒; 米酒; 葡萄酒; 蒸馏饮料; 酒精饮料原汁; 鸡尾酒; 黄酒</t>
  </si>
  <si>
    <t xml:space="preserve"> 威士忌; 开胃酒; 果酒(含酒精); 白酒; 葡萄酒; 蒸馏饮料; 薄荷酒; 酒精饮料(啤酒除外); 鸡尾酒; 黄酒</t>
  </si>
  <si>
    <t xml:space="preserve"> 伏特加酒; 威士忌; 果酒(含酒精); 烧酒; 白兰地; 白酒; 米酒; 葡萄酒; 蒸馏饮料; 鸡尾酒</t>
  </si>
  <si>
    <t xml:space="preserve"> 威士忌; 日本梅子酒; 汽酒; 烧酒(烈酒); 甜酒; 白兰地; 白酒; 葡萄酒; 蒸馏饮料; 鸡尾酒</t>
  </si>
  <si>
    <t xml:space="preserve"> 果酒(含酒精); 汽酒; 清酒; 烧酒; 白酒; 米酒; 葡萄酒; 蒸馏饮料; 酒精饮料(啤酒除外); 黄酒</t>
  </si>
  <si>
    <t xml:space="preserve"> 果酒(含酒精); 汽酒; 烈酒(饮料); 白酒; 米酒; 葡萄酒; 蒸馏饮料; 酒精饮料(啤酒除外); 鸡尾酒; 黄酒</t>
  </si>
  <si>
    <t xml:space="preserve"> 果酒; 烈酒; 烧酒; 甜酒; 白酒; 米酒; 葡萄酒; 酒精饮料(啤酒除外); 鸡尾酒; 黄酒</t>
  </si>
  <si>
    <t xml:space="preserve"> 果酒(含酒精); 烈酒(饮料); 烧酒; 白酒; 米酒; 葡萄酒; 酒精饮料(啤酒除外); 酒精饮料原汁; 食用酒精; 黄酒</t>
  </si>
  <si>
    <t xml:space="preserve"> 利口酒; 果酒; 汽酒; 清酒; 烧酒; 白兰地; 白酒; 米酒; 葡萄酒; 黄酒</t>
  </si>
  <si>
    <t xml:space="preserve"> 含水果酒精饮料; 开胃酒; 果酒; 烧酒(烈酒); 白酒; 米酒; 葡萄酒; 酒精饮料(啤酒除外); 鸡尾酒; 黄酒</t>
  </si>
  <si>
    <t xml:space="preserve"> 利口酒; 果酒; 清酒; 烧酒; 白酒; 米酒; 葡萄酒; 酒精饮料(啤酒除外); 露酒; 黄酒</t>
  </si>
  <si>
    <t xml:space="preserve"> 伏特加酒; 含水果酒精饮料; 果酒; 烈酒(饮料); 烧酒(烈酒); 白兰地; 白酒; 米酒; 葡萄酒; 黄酒</t>
  </si>
  <si>
    <t xml:space="preserve"> 威士忌; 开胃酒; 果酒(含酒精); 烈酒(饮料); 烧酒; 白酒; 葡萄酒</t>
  </si>
  <si>
    <t xml:space="preserve"> 含水果酒精饮料; 含酒精的饮料(啤酒除外); 烈酒; 由谷物蒸馏的白酒; 白酒; 米酒; 葡萄酒; 露酒; 高粱酒; 鸡尾酒</t>
  </si>
  <si>
    <t xml:space="preserve"> 果酒; 烈酒(饮料); 烧酒; 白酒; 米酒; 老酒(中国蒸馏烈酒); 葡萄酒; 除啤酒外的酒精饮料; 露酒; 高粱酒</t>
  </si>
  <si>
    <t xml:space="preserve"> 果酒(含酒精); 清酒(日本米酒); 烧酒; 白兰地; 白酒; 米酒; 葡萄酒; 酒精饮料(啤酒除外); 青稞酒; 鸡尾酒</t>
  </si>
  <si>
    <t xml:space="preserve"> 伏特加酒; 威士忌; 果酒(含酒精); 清酒(日本米酒); 烈酒(饮料); 白兰地; 白酒; 米酒; 葡萄酒; 黄酒</t>
  </si>
  <si>
    <t xml:space="preserve"> 果酒(含酒精); 梨酒; 樱桃酒; 白酒; 米酒; 苹果酒; 葡萄酒; 蒸馏饮料; 薄荷酒; 蜂蜜酒</t>
  </si>
  <si>
    <t xml:space="preserve"> 含水果酒精饮料; 威士忌; 烈酒; 白兰地; 白酒; 红葡萄酒; 葡萄酒; 酒精饮料(啤酒除外); 酒精饮料原汁; 预先混合的酒精饮料(以啤酒为主的除外)</t>
  </si>
  <si>
    <t xml:space="preserve"> 含水果酒精饮料; 含酒精的饮料(啤酒除外); 汽酒; 甜酒; 葡萄酒; 蒸馏饮料; 蜂蜜酒; 酒精饮料(啤酒除外); 酒精饮料原汁; 除啤酒外的酒精饮料; 预先混合的酒精饮料(以啤酒为主的除外); 餐后酒(利口酒和烈酒)</t>
  </si>
  <si>
    <t xml:space="preserve"> 果酒(含酒精); 烈酒(饮料); 烧酒; 白酒; 米酒; 葡萄酒; 蒸馏饮料; 蜂蜜酒; 酒精饮料(啤酒除外); 黄酒</t>
  </si>
  <si>
    <t xml:space="preserve"> 果酒; 烈酒; 甜酒; 白酒; 米酒; 老酒(中国蒸馏烈酒); 葡萄酒; 蜂蜜酒; 高粱酒; 鸡尾酒</t>
  </si>
  <si>
    <t xml:space="preserve"> 威士忌; 果酒(含酒精); 白兰地; 白酒; 葡萄酒; 蒸馏饮料; 酒精饮料(啤酒除外); 预先混合的酒精饮料(以啤酒为主的除外); 食用酒精; 鸡尾酒</t>
  </si>
  <si>
    <t xml:space="preserve"> 果酒(含酒精); 烈酒; 烧酒; 由谷物蒸馏的白酒; 白酒; 米酒; 葡萄酒; 酒精饮料(啤酒除外); 鸡尾酒; 黄酒</t>
  </si>
  <si>
    <t xml:space="preserve"> 开胃酒; 果酒(含酒精); 汽酒; 烈酒(饮料); 烧酒; 白酒; 葡萄酒; 蜂蜜酒; 鸡尾酒; 黄酒</t>
  </si>
  <si>
    <t xml:space="preserve"> 含酒精的气泡水; 果酒; 果酒(含酒精); 白兰地; 白酒; 米酒; 苦荞酒; 葡萄酒; 鸡尾酒; 黄酒</t>
  </si>
  <si>
    <t xml:space="preserve"> 利口酒; 威士忌; 果酒(含酒精); 烈酒(饮料); 白兰地; 白酒; 蒸馏饮料; 酒精饮料(啤酒除外); 酒精饮料浓缩汁; 餐后酒(利口酒和烈酒)</t>
  </si>
  <si>
    <t xml:space="preserve"> 果酒(含酒精); 烈酒(饮料); 烧酒; 白兰地; 白酒; 米酒; 酒精饮料原汁; 预先混合的酒精饮料(以啤酒为主的除外); 餐后酒(利口酒和烈酒); 黄酒</t>
  </si>
  <si>
    <t xml:space="preserve"> 五加皮酒(中国混合烈酒); 果酒(含酒精); 清酒(日本米酒); 烈酒(饮料); 烧酒; 白酒; 米酒; 葡萄酒; 蒸馏饮料; 谷物制蒸馏酒精饮料; 酒精饮料(啤酒除外); 预先混合的酒精饮料(以啤酒为主的除外); 黄酒</t>
  </si>
  <si>
    <t xml:space="preserve"> 开胃酒; 果酒(含酒精); 烈酒(饮料); 烧酒; 白酒; 米酒; 葡萄酒; 蜂蜜酒; 鸡尾酒; 黄酒</t>
  </si>
  <si>
    <t xml:space="preserve"> 威士忌; 朗姆酒; 果酒(含酒精); 清酒(日本米酒); 白兰地; 白酒; 米酒; 葡萄酒; 鸡尾酒; 黄酒</t>
  </si>
  <si>
    <t xml:space="preserve"> 杨梅酒; 果酒; 果酒(含酒精); 梅酒; 甜酒; 草莓酒; 葡萄酒; 谷物制蒸馏酒精饮料; 青梅酒; 青稞酒</t>
  </si>
  <si>
    <t xml:space="preserve"> 开胃酒; 果酒(含酒精); 清酒(日本米酒); 烧酒; 白酒; 米酒; 葡萄酒; 酒精饮料(啤酒除外); 食用酒精; 黄酒</t>
  </si>
  <si>
    <t xml:space="preserve"> 杨梅酒; 梅酒; 白干酒(中国白酒); 白酒; 米酒; 老酒(中国蒸馏烈酒); 蒸馏米酒(泡盛酒); 露酒; 青梅酒; 黄酒</t>
  </si>
  <si>
    <t xml:space="preserve"> 利口酒; 含水果酒精饮料; 果酒(含酒精); 清酒(日本米酒); 烧酒; 白酒; 米酒; 葡萄酒; 酒精饮料(啤酒除外); 黄酒</t>
  </si>
  <si>
    <t xml:space="preserve"> 果酒; 清酒; 烧酒; 白酒; 米酒; 葡萄酒; 酒精饮料(啤酒除外); 食用酒精; 高粱酒; 黄酒</t>
  </si>
  <si>
    <t xml:space="preserve"> 威士忌; 果酒; 汽酒; 清酒; 烧酒; 白酒; 米酒; 葡萄酒; 青梅酒; 鸡尾酒</t>
  </si>
  <si>
    <t xml:space="preserve"> 利口酒; 开胃酒; 果酒(含酒精); 汽酒; 烈酒; 烧酒; 白酒; 米酒; 酒精饮料(啤酒除外); 黄酒</t>
  </si>
  <si>
    <t xml:space="preserve"> 开胃酒; 果酒(含酒精); 烈酒(饮料); 烧酒; 白酒; 米酒; 葡萄酒; 蒸馏饮料; 薄荷酒; 黄酒</t>
  </si>
  <si>
    <t xml:space="preserve"> 含水果酒精饮料; 开胃酒; 果酒; 烧酒; 白酒; 米酒; 苹果酒; 葡萄酒; 酒精饮料(啤酒除外); 黄酒</t>
  </si>
  <si>
    <t xml:space="preserve"> 杨梅酒; 果酒(含酒精); 清酒(日本米酒); 烈酒(饮料); 烧酒; 白酒; 米酒; 酒精饮料(啤酒除外); 青梅酒; 黄酒</t>
  </si>
  <si>
    <t xml:space="preserve"> 朗姆酒; 果酒(含酒精); 汽酒; 烧酒; 白酒; 米酒; 葡萄酒; 酒精饮料(啤酒除外); 鸡尾酒; 黄酒</t>
  </si>
  <si>
    <t xml:space="preserve"> 果酒(含酒精); 烈酒(饮料); 烧酒; 白酒; 米酒; 葡萄酒; 蜂蜜酒; 酒精饮料(啤酒除外); 酒精饮料原汁; 黄酒</t>
  </si>
  <si>
    <t xml:space="preserve"> 伏特加酒; 杨梅酒; 果酒(含酒精); 烈酒; 白酒; 米酒; 苹果酒; 葡萄酒; 鸡尾酒; 黄酒</t>
  </si>
  <si>
    <t xml:space="preserve"> 杨梅酒; 果酒(含酒精); 烈酒; 烈酒(饮料); 烧酒(烈酒); 白酒; 老酒(中国蒸馏烈酒); 酒精饮料(啤酒除外); 高粱酒; 鸡尾酒</t>
  </si>
  <si>
    <t xml:space="preserve"> 果酒; 清酒; 烈酒; 烧酒; 白酒; 米酒; 葡萄酒; 除啤酒外的酒精饮料; 青稞酒; 黄酒</t>
  </si>
  <si>
    <t xml:space="preserve"> 果酒; 烈酒; 烧酒; 白酒; 米酒; 葡萄酒; 蒸馏饮料; 酒精饮料(啤酒除外); 露酒; 鸡尾酒</t>
  </si>
  <si>
    <t xml:space="preserve"> 果酒(含酒精); 清酒; 清酒(日本米酒); 烈酒(饮料); 烧酒; 白酒; 米酒; 葡萄酒; 蜂蜜酒; 黄酒</t>
  </si>
  <si>
    <t xml:space="preserve"> 开胃酒; 果酒; 清酒(日本米酒); 烧酒; 白酒; 米酒; 葡萄酒; 蒸煮提取物(利口酒和烈酒); 酒精饮料(啤酒除外); 黄酒</t>
  </si>
  <si>
    <t xml:space="preserve"> 青梅酒</t>
  </si>
  <si>
    <t xml:space="preserve"> 含水果酒精饮料; 含酒精的饮料(啤酒除外); 汽酒; 烧酒; 白酒; 米酒; 葡萄酒; 蜂蜜酒; 鸡尾酒; 黄酒</t>
  </si>
  <si>
    <t xml:space="preserve"> 威士忌; 开胃酒; 果酒(含酒精); 汽酒; 清酒(日本米酒); 白兰地; 葡萄酒; 酒精饮料(啤酒除外); 预先混合的酒精饮料(以啤酒为主的除外); 鸡尾酒</t>
  </si>
  <si>
    <t xml:space="preserve"> 伏特加酒; 利口酒; 威士忌; 朗姆酒; 烈酒; 白兰地; 白酒; 葡萄酒; 酒精饮料(啤酒除外); 鸡尾酒</t>
  </si>
  <si>
    <t xml:space="preserve"> 天然汽酒; 威士忌; 果酒(含酒精); 清酒(日本米酒); 烧酒(烈酒); 甜酒; 白酒; 米酒; 葡萄酒; 高粱酒</t>
  </si>
  <si>
    <t xml:space="preserve"> 果酒(含酒精); 烧酒(烈酒); 甜果酒; 白酒; 酒精饮料浓缩汁; 除啤酒外的酒精饮料; 黄酒</t>
  </si>
  <si>
    <t xml:space="preserve"> 利口酒; 威士忌; 果酒(含酒精); 烈酒(饮料); 白兰地; 白酒; 米酒; 葡萄酒; 酒精饮料(啤酒除外); 黄酒</t>
  </si>
  <si>
    <t xml:space="preserve"> 开胃酒; 烈酒(饮料); 烧酒; 白酒; 米酒; 葡萄酒; 谷物制蒸馏酒精饮料; 食用酒精; 高粱酒; 黄酒</t>
  </si>
  <si>
    <t xml:space="preserve"> 开胃酒; 果酒(含酒精); 汽酒; 白酒; 米酒; 苹果酒; 葡萄酒; 酒精饮料(啤酒除外); 酸酒(低等葡萄酒); 黄酒</t>
  </si>
  <si>
    <t xml:space="preserve"> 清酒; 烈酒; 烧酒; 由谷物蒸馏的白酒; 白干酒(中国白酒); 白酒; 米酒; 老酒(中国蒸馏烈酒); 高粱酒; 黄酒</t>
  </si>
  <si>
    <t xml:space="preserve"> 含酒精水果饮料; 威士忌; 甜果酒; 白兰地; 白酒; 米酒; 葡萄酒; 酒精饮料(啤酒除外); 高粱酒; 黄酒</t>
  </si>
  <si>
    <t xml:space="preserve"> 利口酒; 开胃酒; 果酒(含酒精); 白酒; 米酒; 苦味酒; 苹果酒; 葡萄酒; 酒精饮料原汁; 鸡尾酒</t>
  </si>
  <si>
    <t xml:space="preserve"> 果酒; 清酒; 烧酒; 白酒; 葡萄酒; 酒精饮料(啤酒除外); 露酒; 高粱酒; 鸡尾酒; 黄酒</t>
  </si>
  <si>
    <t xml:space="preserve"> 亚力酒; 含酒精蛋奶酒; 开胃酒; 果酒(含酒精); 白酒; 茴芹酒(利口酒); 茴香酒(利口酒); 蒸馏饮料; 薄荷酒; 黄酒</t>
  </si>
  <si>
    <t xml:space="preserve"> 伏特加酒; 冷冻凝胶状的鸡尾酒; 朗姆潘趣酒; 烈酒; 白兰地; 白酒; 米酒; 葡萄酒; 起泡白葡萄酒; 黄酒</t>
  </si>
  <si>
    <t xml:space="preserve"> 伏特加酒; 果酒(含酒精); 梅酒; 清酒(日本米酒); 烧酒; 白酒; 米酒; 葡萄酒; 酒精饮料(啤酒除外); 青稞酒</t>
  </si>
  <si>
    <t xml:space="preserve"> 含水果酒精饮料; 果酒(含酒精); 烧酒; 白酒; 米酒; 蒸馏饮料; 谷物制蒸馏酒精饮料; 酒精饮料(啤酒除外); 食用酒精; 黄酒</t>
  </si>
  <si>
    <t xml:space="preserve"> 利口酒; 开胃酒; 果酒; 烧酒; 白酒; 米酒; 葡萄酒; 谷物制蒸馏酒精饮料; 酒精饮料(啤酒除外); 高粱酒</t>
  </si>
  <si>
    <t xml:space="preserve"> 果酒; 汽酒; 烧酒; 白酒; 米酒; 薄荷酒; 酒精饮料(啤酒除外); 青稞酒; 鸡尾酒; 黄酒</t>
  </si>
  <si>
    <t xml:space="preserve"> 含酒精的鸡尾酒混合饮品; 开胃酒; 果酒(含酒精); 烈酒(饮料); 烧酒; 白酒; 米酒; 葡萄酒; 酒精饮料(啤酒除外); 黄酒</t>
  </si>
  <si>
    <t xml:space="preserve"> 威士忌; 果酒(含酒精); 清酒(日本米酒); 烧酒; 白兰地; 白酒; 米酒; 高粱酒; 鸡尾酒; 黄酒</t>
  </si>
  <si>
    <t xml:space="preserve"> 加烈葡萄酒; 桃红葡萄酒; 烈酒; 白兰地; 白葡萄酒; 红葡萄酒; 葡萄酒; 起泡白葡萄酒; 起泡红葡萄酒; 酒精饮料(啤酒除外)</t>
  </si>
  <si>
    <t xml:space="preserve"> 以葡萄酒为主的饮料; 威士忌; 果酒(含酒精); 烧酒; 白兰地; 白酒; 米酒; 酒精饮料(啤酒除外); 鸡尾酒; 黄酒</t>
  </si>
  <si>
    <t xml:space="preserve"> 含水果酒精饮料; 开胃酒; 果酒(含酒精); 烈酒(饮料); 烧酒; 白酒; 米酒; 葡萄酒; 酒精饮料原汁; 鸡尾酒</t>
  </si>
  <si>
    <t xml:space="preserve"> 梅酒; 水果汽酒; 烈性干酒; 烈酒(饮料); 烧酒; 甜酒; 白酒; 米酒; 高粱酒; 黄酒</t>
  </si>
  <si>
    <t xml:space="preserve"> 威士忌; 果酒(含酒精); 烈酒(饮料); 烧酒; 白酒; 葡萄酒</t>
  </si>
  <si>
    <t xml:space="preserve"> 含酒精的气泡水; 果酒(含酒精); 烈酒(饮料); 白酒; 米酒; 葡萄酒; 蒸馏饮料; 酒精饮料(啤酒除外); 食用酒精; 黄酒</t>
  </si>
  <si>
    <t xml:space="preserve"> 果酒; 烧酒; 烧酒(烈酒); 甜果酒; 白酒; 米酒; 葡萄酒; 酒精饮料(啤酒除外); 除啤酒外的酒精饮料; 鸡尾酒</t>
  </si>
  <si>
    <t xml:space="preserve"> 伏特加酒; 威士忌; 果酒(含酒精); 烈酒(饮料); 白兰地; 葡萄酒; 谷物制蒸馏酒精饮料; 酒精饮料(啤酒除外); 食用酒精; 黄酒</t>
  </si>
  <si>
    <t xml:space="preserve"> 伏特加酒; 含酒精的水果鸡尾酒饮料; 开胃酒; 梨酒; 甜果酒; 白兰地; 米酒; 草莓酒; 食用酒精; 高粱酒</t>
  </si>
  <si>
    <t xml:space="preserve"> 开胃酒; 果酒; 烧酒; 甜酒; 白酒; 米酒; 葡萄酒; 蒸馏饮料; 高粱酒; 黄酒</t>
  </si>
  <si>
    <t xml:space="preserve"> 利口酒; 开胃酒; 果酒(含酒精); 樱桃酒; 烈酒(饮料); 白兰地; 白酒; 葡萄酒; 鸡尾酒; 黄酒</t>
  </si>
  <si>
    <t xml:space="preserve"> 含酒精的饮料(啤酒除外); 果酒; 汽酒; 烧酒; 白酒; 米酒; 老酒(中国蒸馏烈酒); 葡萄酒; 露酒; 黄酒</t>
  </si>
  <si>
    <t xml:space="preserve"> 果酒(含酒精); 烈酒(饮料); 烧酒; 白干酒(中国白酒); 白酒; 米酒; 葡萄酒; 酒精饮料(啤酒除外); 鸡尾酒; 黄酒</t>
  </si>
  <si>
    <t xml:space="preserve"> 开胃酒; 果酒(含酒精); 清酒; 烧酒; 白酒; 米酒; 蒸馏饮料; 薄荷酒; 食用酒精; 黄酒</t>
  </si>
  <si>
    <t xml:space="preserve"> 伏特加酒; 果酒(含酒精); 白酒; 米酒; 葡萄酒; 谷物制蒸馏酒精饮料; 酒精饮料(啤酒除外); 酒精饮料原汁; 鸡尾酒; 黄酒</t>
  </si>
  <si>
    <t xml:space="preserve"> 含水果酒精饮料; 开胃酒; 果酒(含酒精); 烧酒(烈酒); 白酒; 米酒; 老酒(中国蒸馏烈酒); 葡萄酒; 高粱酒; 鸡尾酒</t>
  </si>
  <si>
    <t xml:space="preserve"> 果酒(含酒精); 清酒(日本米酒); 烧酒; 白酒; 米酒; 葡萄酒; 酒精饮料(啤酒除外); 餐后酒(利口酒和烈酒); 鸡尾酒; 黄酒</t>
  </si>
  <si>
    <t xml:space="preserve"> 含水果酒精饮料; 果酒(含酒精); 烈酒(饮料); 白酒; 米酒; 葡萄酒; 酒精饮料(啤酒除外); 酒精饮料原汁; 食用酒精; 黄酒</t>
  </si>
  <si>
    <t xml:space="preserve"> 果酒; 汽酒; 清酒; 白兰地; 白酒; 葡萄酒; 蒸馏饮料; 酒精饮料(啤酒除外); 鸡尾酒; 黄酒</t>
  </si>
  <si>
    <t xml:space="preserve"> 含水果酒精饮料; 果酒(含酒精); 烈酒(饮料); 米酒; 苹果酒; 葡萄酒; 酒精饮料(啤酒除外)</t>
  </si>
  <si>
    <t xml:space="preserve"> 威士忌; 果酒(含酒精); 清酒(日本米酒); 烧酒; 白酒; 米酒; 葡萄酒; 餐后酒(利口酒和烈酒); 鸡尾酒; 黄酒</t>
  </si>
  <si>
    <t xml:space="preserve"> 开胃酒; 果酒(含酒精); 烧酒; 白酒; 米酒; 葡萄酒; 青稞酒; 食用酒精; 鸡尾酒; 黄酒</t>
  </si>
  <si>
    <t xml:space="preserve"> 佐餐酒; 开胃酒; 果酒(含酒精); 汽酒; 烈酒(饮料); 甜酒; 白酒; 葡萄酒; 蜂蜜酒; 黄酒</t>
  </si>
  <si>
    <t xml:space="preserve"> 威士忌; 汽酒; 烈酒(饮料); 烧酒; 白酒; 米酒; 葡萄酒; 酒精饮料原汁; 食用酒精; 鸡尾酒</t>
  </si>
  <si>
    <t xml:space="preserve"> 威士忌; 果酒(含酒精); 烈酒; 烧酒; 白酒; 米酒; 葡萄酒; 酒精饮料(啤酒除外); 食用酒精; 黄酒</t>
  </si>
  <si>
    <t xml:space="preserve"> 果酒(含酒精); 汽酒; 白兰地; 白酒; 葡萄酒; 蜂蜜酒; 食用酒精; 餐后酒(利口酒和烈酒); 鸡尾酒; 黄酒</t>
  </si>
  <si>
    <t xml:space="preserve"> 开胃酒; 梨酒; 烧酒; 白酒; 米酒; 苹果酒; 葡萄酒; 酒精饮料(啤酒除外); 食用酒精; 黄酒</t>
  </si>
  <si>
    <t xml:space="preserve"> 果酒(含酒精); 烈酒(饮料); 白干酒(中国白酒); 白酒; 蒸馏饮料; 酒精饮料(啤酒除外); 酒精饮料原汁; 青稞酒; 餐后酒(利口酒和烈酒); 鸡尾酒</t>
  </si>
  <si>
    <t xml:space="preserve"> 含水果酒精饮料; 已调味的麦芽酿制的酒精饮料(啤酒除外); 果酒(含酒精); 汽酒; 清酒(日本米酒); 烈酒(饮料); 烧酒; 白酒; 米酒; 薄荷酒; 酒精饮料(啤酒除外); 露酒; 预先混合的酒精饮料(以啤酒为主的除外); 食用酒精; 鸡尾酒; 黄酒</t>
  </si>
  <si>
    <t xml:space="preserve"> 果酒; 清酒; 烈酒; 烧酒; 白干酒(中国白酒); 白酒; 米酒; 葡萄酒; 露酒; 黄酒</t>
  </si>
  <si>
    <t xml:space="preserve"> 果酒(含酒精); 樱桃酒; 白兰地; 白酒; 米酒; 葡萄酒; 青稞酒; 食用酒精; 鸡尾酒; 黄酒</t>
  </si>
  <si>
    <t xml:space="preserve"> 果酒(含酒精); 烈酒(饮料); 烧酒; 白酒; 米酒; 葡萄酒; 蜂蜜酒; 青稞酒; 食用酒精; 黄酒</t>
  </si>
  <si>
    <t xml:space="preserve"> 伏特加酒; 威士忌; 果酒; 汽酒; 混合威士忌酒; 白兰地; 白酒; 葡萄酒; 青稞酒; 鸡尾酒</t>
  </si>
  <si>
    <t xml:space="preserve"> 佐餐酒; 利口酒; 开胃酒; 果酒; 甜酒; 白酒; 葡萄酒; 谷物制蒸馏酒精饮料; 高粱酒; 黄酒</t>
  </si>
  <si>
    <t xml:space="preserve"> 开胃酒; 果酒(含酒精); 汽酒; 白酒; 米酒; 葡萄酒; 蒸馏饮料; 酒精饮料(啤酒除外); 餐后酒(利口酒和烈酒); 黄酒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</si>
</sst>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top"/>
    </xf>
    <xf numFmtId="177" fontId="0" fillId="0" borderId="1" xfId="0" applyNumberFormat="1" applyBorder="1" applyAlignment="1">
      <alignment vertical="top"/>
    </xf>
    <xf numFmtId="176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vertical="top"/>
    </xf>
    <xf numFmtId="177" fontId="4" fillId="0" borderId="1" xfId="2" applyNumberFormat="1" applyBorder="1" applyAlignment="1">
      <alignment vertical="top"/>
    </xf>
  </cellXfs>
  <cellStyles count="3">
    <cellStyle name="ハイパーリンク" xfId="2" builtinId="8"/>
    <cellStyle name="常规 2" xfId="1" xr:uid="{6FAC0306-F068-4DFC-AD49-11EE0182280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353"/>
  <sheetViews>
    <sheetView tabSelected="1" workbookViewId="0">
      <selection activeCell="E19" sqref="E19"/>
    </sheetView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0">
        <v>1</v>
      </c>
      <c r="B2" s="9" t="s">
        <v>9</v>
      </c>
      <c r="C2" s="11" t="s">
        <v>10</v>
      </c>
      <c r="D2" s="12">
        <v>45562</v>
      </c>
      <c r="E2" s="14" t="str">
        <f>+HYPERLINK("http://trademark.i-assist.jp/data/china/image_1905th/79712581.pdf","79712581")</f>
        <v>79712581</v>
      </c>
      <c r="F2" s="13" t="s">
        <v>12</v>
      </c>
      <c r="G2" s="13" t="s">
        <v>11</v>
      </c>
      <c r="H2" s="13" t="s">
        <v>4147</v>
      </c>
      <c r="I2" s="12">
        <v>45483</v>
      </c>
    </row>
    <row r="3" spans="1:9" x14ac:dyDescent="0.15">
      <c r="A3" s="10">
        <v>2</v>
      </c>
      <c r="B3" s="9" t="s">
        <v>9</v>
      </c>
      <c r="C3" s="11" t="s">
        <v>10</v>
      </c>
      <c r="D3" s="12">
        <v>45562</v>
      </c>
      <c r="E3" s="14" t="str">
        <f>+HYPERLINK("http://trademark.i-assist.jp/data/china/image_1905th/79715454.pdf","79715454")</f>
        <v>79715454</v>
      </c>
      <c r="F3" s="13" t="s">
        <v>14</v>
      </c>
      <c r="G3" s="13" t="s">
        <v>13</v>
      </c>
      <c r="H3" s="13" t="s">
        <v>4148</v>
      </c>
      <c r="I3" s="12">
        <v>45483</v>
      </c>
    </row>
    <row r="4" spans="1:9" x14ac:dyDescent="0.15">
      <c r="A4" s="10">
        <v>3</v>
      </c>
      <c r="B4" s="9" t="s">
        <v>9</v>
      </c>
      <c r="C4" s="11" t="s">
        <v>10</v>
      </c>
      <c r="D4" s="12">
        <v>45562</v>
      </c>
      <c r="E4" s="14" t="str">
        <f>+HYPERLINK("http://trademark.i-assist.jp/data/china/image_1905th/79717556.pdf","79717556")</f>
        <v>79717556</v>
      </c>
      <c r="F4" s="13" t="s">
        <v>16</v>
      </c>
      <c r="G4" s="13" t="s">
        <v>15</v>
      </c>
      <c r="H4" s="13" t="s">
        <v>4149</v>
      </c>
      <c r="I4" s="12">
        <v>45483</v>
      </c>
    </row>
    <row r="5" spans="1:9" x14ac:dyDescent="0.15">
      <c r="A5" s="10">
        <v>4</v>
      </c>
      <c r="B5" s="9" t="s">
        <v>9</v>
      </c>
      <c r="C5" s="11" t="s">
        <v>10</v>
      </c>
      <c r="D5" s="12">
        <v>45562</v>
      </c>
      <c r="E5" s="14" t="str">
        <f>+HYPERLINK("http://trademark.i-assist.jp/data/china/image_1905th/79724795.pdf","79724795")</f>
        <v>79724795</v>
      </c>
      <c r="F5" s="13" t="s">
        <v>18</v>
      </c>
      <c r="G5" s="13" t="s">
        <v>17</v>
      </c>
      <c r="H5" s="13" t="s">
        <v>4150</v>
      </c>
      <c r="I5" s="12">
        <v>45483</v>
      </c>
    </row>
    <row r="6" spans="1:9" x14ac:dyDescent="0.15">
      <c r="A6" s="10">
        <v>5</v>
      </c>
      <c r="B6" s="9" t="s">
        <v>9</v>
      </c>
      <c r="C6" s="11" t="s">
        <v>10</v>
      </c>
      <c r="D6" s="12">
        <v>45562</v>
      </c>
      <c r="E6" s="14" t="str">
        <f>+HYPERLINK("http://trademark.i-assist.jp/data/china/image_1905th/79730516.pdf","79730516")</f>
        <v>79730516</v>
      </c>
      <c r="F6" s="13" t="s">
        <v>20</v>
      </c>
      <c r="G6" s="13" t="s">
        <v>19</v>
      </c>
      <c r="H6" s="13" t="s">
        <v>4151</v>
      </c>
      <c r="I6" s="12">
        <v>45484</v>
      </c>
    </row>
    <row r="7" spans="1:9" x14ac:dyDescent="0.15">
      <c r="A7" s="10">
        <v>6</v>
      </c>
      <c r="B7" s="9" t="s">
        <v>9</v>
      </c>
      <c r="C7" s="11" t="s">
        <v>10</v>
      </c>
      <c r="D7" s="12">
        <v>45562</v>
      </c>
      <c r="E7" s="14" t="str">
        <f>+HYPERLINK("http://trademark.i-assist.jp/data/china/image_1905th/79735109.pdf","79735109")</f>
        <v>79735109</v>
      </c>
      <c r="F7" s="13" t="s">
        <v>22</v>
      </c>
      <c r="G7" s="13" t="s">
        <v>21</v>
      </c>
      <c r="H7" s="13" t="s">
        <v>4152</v>
      </c>
      <c r="I7" s="12">
        <v>45484</v>
      </c>
    </row>
    <row r="8" spans="1:9" x14ac:dyDescent="0.15">
      <c r="A8" s="10">
        <v>7</v>
      </c>
      <c r="B8" s="9" t="s">
        <v>9</v>
      </c>
      <c r="C8" s="11" t="s">
        <v>10</v>
      </c>
      <c r="D8" s="12">
        <v>45562</v>
      </c>
      <c r="E8" s="14" t="str">
        <f>+HYPERLINK("http://trademark.i-assist.jp/data/china/image_1905th/79736743.pdf","79736743")</f>
        <v>79736743</v>
      </c>
      <c r="F8" s="13" t="s">
        <v>24</v>
      </c>
      <c r="G8" s="13" t="s">
        <v>23</v>
      </c>
      <c r="H8" s="13" t="s">
        <v>4153</v>
      </c>
      <c r="I8" s="12">
        <v>45484</v>
      </c>
    </row>
    <row r="9" spans="1:9" x14ac:dyDescent="0.15">
      <c r="A9" s="10">
        <v>8</v>
      </c>
      <c r="B9" s="9" t="s">
        <v>9</v>
      </c>
      <c r="C9" s="11" t="s">
        <v>10</v>
      </c>
      <c r="D9" s="12">
        <v>45562</v>
      </c>
      <c r="E9" s="14" t="str">
        <f>+HYPERLINK("http://trademark.i-assist.jp/data/china/image_1905th/79739366.pdf","79739366")</f>
        <v>79739366</v>
      </c>
      <c r="F9" s="13" t="s">
        <v>26</v>
      </c>
      <c r="G9" s="13" t="s">
        <v>25</v>
      </c>
      <c r="H9" s="13" t="s">
        <v>4154</v>
      </c>
      <c r="I9" s="12">
        <v>45484</v>
      </c>
    </row>
    <row r="10" spans="1:9" x14ac:dyDescent="0.15">
      <c r="A10" s="10">
        <v>9</v>
      </c>
      <c r="B10" s="9" t="s">
        <v>9</v>
      </c>
      <c r="C10" s="11" t="s">
        <v>10</v>
      </c>
      <c r="D10" s="12">
        <v>45562</v>
      </c>
      <c r="E10" s="14" t="str">
        <f>+HYPERLINK("http://trademark.i-assist.jp/data/china/image_1905th/79575582.pdf","79575582")</f>
        <v>79575582</v>
      </c>
      <c r="F10" s="13" t="s">
        <v>28</v>
      </c>
      <c r="G10" s="13" t="s">
        <v>27</v>
      </c>
      <c r="H10" s="13" t="s">
        <v>4155</v>
      </c>
      <c r="I10" s="12">
        <v>45475</v>
      </c>
    </row>
    <row r="11" spans="1:9" x14ac:dyDescent="0.15">
      <c r="A11" s="10">
        <v>10</v>
      </c>
      <c r="B11" s="9" t="s">
        <v>9</v>
      </c>
      <c r="C11" s="11" t="s">
        <v>10</v>
      </c>
      <c r="D11" s="12">
        <v>45562</v>
      </c>
      <c r="E11" s="14" t="str">
        <f>+HYPERLINK("http://trademark.i-assist.jp/data/china/image_1905th/79584759.pdf","79584759")</f>
        <v>79584759</v>
      </c>
      <c r="F11" s="13" t="s">
        <v>30</v>
      </c>
      <c r="G11" s="13" t="s">
        <v>29</v>
      </c>
      <c r="H11" s="13" t="s">
        <v>4156</v>
      </c>
      <c r="I11" s="12">
        <v>45476</v>
      </c>
    </row>
    <row r="12" spans="1:9" x14ac:dyDescent="0.15">
      <c r="A12" s="10">
        <v>11</v>
      </c>
      <c r="B12" s="9" t="s">
        <v>9</v>
      </c>
      <c r="C12" s="11" t="s">
        <v>10</v>
      </c>
      <c r="D12" s="12">
        <v>45562</v>
      </c>
      <c r="E12" s="14" t="str">
        <f>+HYPERLINK("http://trademark.i-assist.jp/data/china/image_1905th/79590191.pdf","79590191")</f>
        <v>79590191</v>
      </c>
      <c r="F12" s="13" t="s">
        <v>32</v>
      </c>
      <c r="G12" s="13" t="s">
        <v>31</v>
      </c>
      <c r="H12" s="13" t="s">
        <v>4157</v>
      </c>
      <c r="I12" s="12">
        <v>45476</v>
      </c>
    </row>
    <row r="13" spans="1:9" x14ac:dyDescent="0.15">
      <c r="A13" s="10">
        <v>12</v>
      </c>
      <c r="B13" s="9" t="s">
        <v>9</v>
      </c>
      <c r="C13" s="11" t="s">
        <v>10</v>
      </c>
      <c r="D13" s="12">
        <v>45562</v>
      </c>
      <c r="E13" s="14" t="str">
        <f>+HYPERLINK("http://trademark.i-assist.jp/data/china/image_1905th/79592133.pdf","79592133")</f>
        <v>79592133</v>
      </c>
      <c r="F13" s="13" t="s">
        <v>33</v>
      </c>
      <c r="G13" s="13" t="s">
        <v>29</v>
      </c>
      <c r="H13" s="13" t="s">
        <v>4156</v>
      </c>
      <c r="I13" s="12">
        <v>45476</v>
      </c>
    </row>
    <row r="14" spans="1:9" x14ac:dyDescent="0.15">
      <c r="A14" s="10">
        <v>13</v>
      </c>
      <c r="B14" s="9" t="s">
        <v>9</v>
      </c>
      <c r="C14" s="11" t="s">
        <v>10</v>
      </c>
      <c r="D14" s="12">
        <v>45562</v>
      </c>
      <c r="E14" s="14" t="str">
        <f>+HYPERLINK("http://trademark.i-assist.jp/data/china/image_1905th/79593177.pdf","79593177")</f>
        <v>79593177</v>
      </c>
      <c r="F14" s="13" t="s">
        <v>35</v>
      </c>
      <c r="G14" s="13" t="s">
        <v>34</v>
      </c>
      <c r="H14" s="13" t="s">
        <v>4158</v>
      </c>
      <c r="I14" s="12">
        <v>45476</v>
      </c>
    </row>
    <row r="15" spans="1:9" x14ac:dyDescent="0.15">
      <c r="A15" s="10">
        <v>14</v>
      </c>
      <c r="B15" s="9" t="s">
        <v>9</v>
      </c>
      <c r="C15" s="11" t="s">
        <v>10</v>
      </c>
      <c r="D15" s="12">
        <v>45562</v>
      </c>
      <c r="E15" s="14" t="str">
        <f>+HYPERLINK("http://trademark.i-assist.jp/data/china/image_1905th/79598368.pdf","79598368")</f>
        <v>79598368</v>
      </c>
      <c r="F15" s="13" t="s">
        <v>37</v>
      </c>
      <c r="G15" s="13" t="s">
        <v>36</v>
      </c>
      <c r="H15" s="13" t="s">
        <v>4159</v>
      </c>
      <c r="I15" s="12">
        <v>45476</v>
      </c>
    </row>
    <row r="16" spans="1:9" x14ac:dyDescent="0.15">
      <c r="A16" s="10">
        <v>15</v>
      </c>
      <c r="B16" s="9" t="s">
        <v>9</v>
      </c>
      <c r="C16" s="11" t="s">
        <v>10</v>
      </c>
      <c r="D16" s="12">
        <v>45562</v>
      </c>
      <c r="E16" s="14" t="str">
        <f>+HYPERLINK("http://trademark.i-assist.jp/data/china/image_1905th/79599852.pdf","79599852")</f>
        <v>79599852</v>
      </c>
      <c r="F16" s="13" t="s">
        <v>39</v>
      </c>
      <c r="G16" s="13" t="s">
        <v>38</v>
      </c>
      <c r="H16" s="13" t="s">
        <v>4160</v>
      </c>
      <c r="I16" s="12">
        <v>45477</v>
      </c>
    </row>
    <row r="17" spans="1:9" x14ac:dyDescent="0.15">
      <c r="A17" s="10">
        <v>16</v>
      </c>
      <c r="B17" s="9" t="s">
        <v>9</v>
      </c>
      <c r="C17" s="11" t="s">
        <v>10</v>
      </c>
      <c r="D17" s="12">
        <v>45562</v>
      </c>
      <c r="E17" s="14" t="str">
        <f>+HYPERLINK("http://trademark.i-assist.jp/data/china/image_1905th/79603765.pdf","79603765")</f>
        <v>79603765</v>
      </c>
      <c r="F17" s="13" t="s">
        <v>41</v>
      </c>
      <c r="G17" s="13" t="s">
        <v>40</v>
      </c>
      <c r="H17" s="13" t="s">
        <v>4161</v>
      </c>
      <c r="I17" s="12">
        <v>45477</v>
      </c>
    </row>
    <row r="18" spans="1:9" x14ac:dyDescent="0.15">
      <c r="A18" s="10">
        <v>17</v>
      </c>
      <c r="B18" s="9" t="s">
        <v>9</v>
      </c>
      <c r="C18" s="11" t="s">
        <v>10</v>
      </c>
      <c r="D18" s="12">
        <v>45562</v>
      </c>
      <c r="E18" s="14" t="str">
        <f>+HYPERLINK("http://trademark.i-assist.jp/data/china/image_1905th/79744600.pdf","79744600")</f>
        <v>79744600</v>
      </c>
      <c r="F18" s="13" t="s">
        <v>43</v>
      </c>
      <c r="G18" s="13" t="s">
        <v>42</v>
      </c>
      <c r="H18" s="13" t="s">
        <v>4162</v>
      </c>
      <c r="I18" s="12">
        <v>45484</v>
      </c>
    </row>
    <row r="19" spans="1:9" x14ac:dyDescent="0.15">
      <c r="A19" s="10">
        <v>18</v>
      </c>
      <c r="B19" s="9" t="s">
        <v>9</v>
      </c>
      <c r="C19" s="11" t="s">
        <v>10</v>
      </c>
      <c r="D19" s="12">
        <v>45562</v>
      </c>
      <c r="E19" s="14" t="str">
        <f>+HYPERLINK("http://trademark.i-assist.jp/data/china/image_1905th/79746223.pdf","79746223")</f>
        <v>79746223</v>
      </c>
      <c r="F19" s="13" t="s">
        <v>45</v>
      </c>
      <c r="G19" s="13" t="s">
        <v>44</v>
      </c>
      <c r="H19" s="13" t="s">
        <v>4163</v>
      </c>
      <c r="I19" s="12">
        <v>45484</v>
      </c>
    </row>
    <row r="20" spans="1:9" x14ac:dyDescent="0.15">
      <c r="A20" s="10">
        <v>19</v>
      </c>
      <c r="B20" s="9" t="s">
        <v>9</v>
      </c>
      <c r="C20" s="11" t="s">
        <v>10</v>
      </c>
      <c r="D20" s="12">
        <v>45562</v>
      </c>
      <c r="E20" s="14" t="str">
        <f>+HYPERLINK("http://trademark.i-assist.jp/data/china/image_1905th/79747029.pdf","79747029")</f>
        <v>79747029</v>
      </c>
      <c r="F20" s="13" t="s">
        <v>47</v>
      </c>
      <c r="G20" s="13" t="s">
        <v>46</v>
      </c>
      <c r="H20" s="13" t="s">
        <v>4164</v>
      </c>
      <c r="I20" s="12">
        <v>45484</v>
      </c>
    </row>
    <row r="21" spans="1:9" x14ac:dyDescent="0.15">
      <c r="A21" s="10">
        <v>20</v>
      </c>
      <c r="B21" s="9" t="s">
        <v>9</v>
      </c>
      <c r="C21" s="11" t="s">
        <v>10</v>
      </c>
      <c r="D21" s="12">
        <v>45562</v>
      </c>
      <c r="E21" s="14" t="str">
        <f>+HYPERLINK("http://trademark.i-assist.jp/data/china/image_1905th/79748598.pdf","79748598")</f>
        <v>79748598</v>
      </c>
      <c r="F21" s="13" t="s">
        <v>49</v>
      </c>
      <c r="G21" s="13" t="s">
        <v>48</v>
      </c>
      <c r="H21" s="13" t="s">
        <v>4165</v>
      </c>
      <c r="I21" s="12">
        <v>45484</v>
      </c>
    </row>
    <row r="22" spans="1:9" x14ac:dyDescent="0.15">
      <c r="A22" s="10">
        <v>21</v>
      </c>
      <c r="B22" s="9" t="s">
        <v>9</v>
      </c>
      <c r="C22" s="11" t="s">
        <v>10</v>
      </c>
      <c r="D22" s="12">
        <v>45562</v>
      </c>
      <c r="E22" s="14" t="str">
        <f>+HYPERLINK("http://trademark.i-assist.jp/data/china/image_1905th/79752529.pdf","79752529")</f>
        <v>79752529</v>
      </c>
      <c r="F22" s="13" t="s">
        <v>51</v>
      </c>
      <c r="G22" s="13" t="s">
        <v>50</v>
      </c>
      <c r="H22" s="13" t="s">
        <v>4166</v>
      </c>
      <c r="I22" s="12">
        <v>45485</v>
      </c>
    </row>
    <row r="23" spans="1:9" x14ac:dyDescent="0.15">
      <c r="A23" s="10">
        <v>22</v>
      </c>
      <c r="B23" s="9" t="s">
        <v>9</v>
      </c>
      <c r="C23" s="11" t="s">
        <v>10</v>
      </c>
      <c r="D23" s="12">
        <v>45562</v>
      </c>
      <c r="E23" s="14" t="str">
        <f>+HYPERLINK("http://trademark.i-assist.jp/data/china/image_1905th/79752666.pdf","79752666")</f>
        <v>79752666</v>
      </c>
      <c r="F23" s="13" t="s">
        <v>53</v>
      </c>
      <c r="G23" s="13" t="s">
        <v>52</v>
      </c>
      <c r="H23" s="13" t="s">
        <v>4167</v>
      </c>
      <c r="I23" s="12">
        <v>45485</v>
      </c>
    </row>
    <row r="24" spans="1:9" x14ac:dyDescent="0.15">
      <c r="A24" s="10">
        <v>23</v>
      </c>
      <c r="B24" s="9" t="s">
        <v>9</v>
      </c>
      <c r="C24" s="11" t="s">
        <v>10</v>
      </c>
      <c r="D24" s="12">
        <v>45562</v>
      </c>
      <c r="E24" s="14" t="str">
        <f>+HYPERLINK("http://trademark.i-assist.jp/data/china/image_1905th/79755384.pdf","79755384")</f>
        <v>79755384</v>
      </c>
      <c r="F24" s="13" t="s">
        <v>55</v>
      </c>
      <c r="G24" s="13" t="s">
        <v>54</v>
      </c>
      <c r="H24" s="13" t="s">
        <v>4168</v>
      </c>
      <c r="I24" s="12">
        <v>45485</v>
      </c>
    </row>
    <row r="25" spans="1:9" x14ac:dyDescent="0.15">
      <c r="A25" s="10">
        <v>24</v>
      </c>
      <c r="B25" s="9" t="s">
        <v>9</v>
      </c>
      <c r="C25" s="11" t="s">
        <v>10</v>
      </c>
      <c r="D25" s="12">
        <v>45562</v>
      </c>
      <c r="E25" s="14" t="str">
        <f>+HYPERLINK("http://trademark.i-assist.jp/data/china/image_1905th/79760718.pdf","79760718")</f>
        <v>79760718</v>
      </c>
      <c r="F25" s="13" t="s">
        <v>57</v>
      </c>
      <c r="G25" s="13" t="s">
        <v>56</v>
      </c>
      <c r="H25" s="13" t="s">
        <v>4169</v>
      </c>
      <c r="I25" s="12">
        <v>45485</v>
      </c>
    </row>
    <row r="26" spans="1:9" x14ac:dyDescent="0.15">
      <c r="A26" s="10">
        <v>25</v>
      </c>
      <c r="B26" s="9" t="s">
        <v>9</v>
      </c>
      <c r="C26" s="11" t="s">
        <v>10</v>
      </c>
      <c r="D26" s="12">
        <v>45562</v>
      </c>
      <c r="E26" s="14" t="str">
        <f>+HYPERLINK("http://trademark.i-assist.jp/data/china/image_1905th/79761464.pdf","79761464")</f>
        <v>79761464</v>
      </c>
      <c r="F26" s="13" t="s">
        <v>59</v>
      </c>
      <c r="G26" s="13" t="s">
        <v>58</v>
      </c>
      <c r="H26" s="13" t="s">
        <v>4170</v>
      </c>
      <c r="I26" s="12">
        <v>45485</v>
      </c>
    </row>
    <row r="27" spans="1:9" x14ac:dyDescent="0.15">
      <c r="A27" s="10">
        <v>26</v>
      </c>
      <c r="B27" s="9" t="s">
        <v>9</v>
      </c>
      <c r="C27" s="11" t="s">
        <v>10</v>
      </c>
      <c r="D27" s="12">
        <v>45562</v>
      </c>
      <c r="E27" s="14" t="str">
        <f>+HYPERLINK("http://trademark.i-assist.jp/data/china/image_1905th/79770018.pdf","79770018")</f>
        <v>79770018</v>
      </c>
      <c r="F27" s="13" t="s">
        <v>61</v>
      </c>
      <c r="G27" s="13" t="s">
        <v>60</v>
      </c>
      <c r="H27" s="13" t="s">
        <v>4171</v>
      </c>
      <c r="I27" s="12">
        <v>45485</v>
      </c>
    </row>
    <row r="28" spans="1:9" x14ac:dyDescent="0.15">
      <c r="A28" s="10">
        <v>27</v>
      </c>
      <c r="B28" s="9" t="s">
        <v>9</v>
      </c>
      <c r="C28" s="11" t="s">
        <v>10</v>
      </c>
      <c r="D28" s="12">
        <v>45562</v>
      </c>
      <c r="E28" s="14" t="str">
        <f>+HYPERLINK("http://trademark.i-assist.jp/data/china/image_1905th/79772143.pdf","79772143")</f>
        <v>79772143</v>
      </c>
      <c r="F28" s="13" t="s">
        <v>63</v>
      </c>
      <c r="G28" s="13" t="s">
        <v>62</v>
      </c>
      <c r="H28" s="13" t="s">
        <v>4172</v>
      </c>
      <c r="I28" s="12">
        <v>45485</v>
      </c>
    </row>
    <row r="29" spans="1:9" x14ac:dyDescent="0.15">
      <c r="A29" s="10">
        <v>28</v>
      </c>
      <c r="B29" s="9" t="s">
        <v>9</v>
      </c>
      <c r="C29" s="11" t="s">
        <v>10</v>
      </c>
      <c r="D29" s="12">
        <v>45562</v>
      </c>
      <c r="E29" s="14" t="str">
        <f>+HYPERLINK("http://trademark.i-assist.jp/data/china/image_1905th/79606936.pdf","79606936")</f>
        <v>79606936</v>
      </c>
      <c r="F29" s="13" t="s">
        <v>65</v>
      </c>
      <c r="G29" s="13" t="s">
        <v>64</v>
      </c>
      <c r="H29" s="13" t="s">
        <v>4173</v>
      </c>
      <c r="I29" s="12">
        <v>45477</v>
      </c>
    </row>
    <row r="30" spans="1:9" x14ac:dyDescent="0.15">
      <c r="A30" s="10">
        <v>29</v>
      </c>
      <c r="B30" s="9" t="s">
        <v>9</v>
      </c>
      <c r="C30" s="11" t="s">
        <v>10</v>
      </c>
      <c r="D30" s="12">
        <v>45562</v>
      </c>
      <c r="E30" s="14" t="str">
        <f>+HYPERLINK("http://trademark.i-assist.jp/data/china/image_1905th/79607952.pdf","79607952")</f>
        <v>79607952</v>
      </c>
      <c r="F30" s="13" t="s">
        <v>67</v>
      </c>
      <c r="G30" s="13" t="s">
        <v>66</v>
      </c>
      <c r="H30" s="13" t="s">
        <v>4174</v>
      </c>
      <c r="I30" s="12">
        <v>45477</v>
      </c>
    </row>
    <row r="31" spans="1:9" x14ac:dyDescent="0.15">
      <c r="A31" s="10">
        <v>30</v>
      </c>
      <c r="B31" s="9" t="s">
        <v>9</v>
      </c>
      <c r="C31" s="11" t="s">
        <v>10</v>
      </c>
      <c r="D31" s="12">
        <v>45562</v>
      </c>
      <c r="E31" s="14" t="str">
        <f>+HYPERLINK("http://trademark.i-assist.jp/data/china/image_1905th/79609488.pdf","79609488")</f>
        <v>79609488</v>
      </c>
      <c r="F31" s="13" t="s">
        <v>69</v>
      </c>
      <c r="G31" s="13" t="s">
        <v>68</v>
      </c>
      <c r="H31" s="13" t="s">
        <v>4175</v>
      </c>
      <c r="I31" s="12">
        <v>45477</v>
      </c>
    </row>
    <row r="32" spans="1:9" x14ac:dyDescent="0.15">
      <c r="A32" s="10">
        <v>31</v>
      </c>
      <c r="B32" s="9" t="s">
        <v>9</v>
      </c>
      <c r="C32" s="11" t="s">
        <v>10</v>
      </c>
      <c r="D32" s="12">
        <v>45562</v>
      </c>
      <c r="E32" s="14" t="str">
        <f>+HYPERLINK("http://trademark.i-assist.jp/data/china/image_1905th/79611610.pdf","79611610")</f>
        <v>79611610</v>
      </c>
      <c r="F32" s="13" t="s">
        <v>71</v>
      </c>
      <c r="G32" s="13" t="s">
        <v>70</v>
      </c>
      <c r="H32" s="13" t="s">
        <v>4176</v>
      </c>
      <c r="I32" s="12">
        <v>45477</v>
      </c>
    </row>
    <row r="33" spans="1:9" x14ac:dyDescent="0.15">
      <c r="A33" s="10">
        <v>32</v>
      </c>
      <c r="B33" s="9" t="s">
        <v>9</v>
      </c>
      <c r="C33" s="11" t="s">
        <v>10</v>
      </c>
      <c r="D33" s="12">
        <v>45562</v>
      </c>
      <c r="E33" s="14" t="str">
        <f>+HYPERLINK("http://trademark.i-assist.jp/data/china/image_1905th/79611796.pdf","79611796")</f>
        <v>79611796</v>
      </c>
      <c r="F33" s="13" t="s">
        <v>73</v>
      </c>
      <c r="G33" s="13" t="s">
        <v>72</v>
      </c>
      <c r="H33" s="13" t="s">
        <v>4177</v>
      </c>
      <c r="I33" s="12">
        <v>45477</v>
      </c>
    </row>
    <row r="34" spans="1:9" x14ac:dyDescent="0.15">
      <c r="A34" s="10">
        <v>33</v>
      </c>
      <c r="B34" s="9" t="s">
        <v>9</v>
      </c>
      <c r="C34" s="11" t="s">
        <v>10</v>
      </c>
      <c r="D34" s="12">
        <v>45562</v>
      </c>
      <c r="E34" s="14" t="str">
        <f>+HYPERLINK("http://trademark.i-assist.jp/data/china/image_1905th/79618900.pdf","79618900")</f>
        <v>79618900</v>
      </c>
      <c r="F34" s="13" t="s">
        <v>75</v>
      </c>
      <c r="G34" s="13" t="s">
        <v>74</v>
      </c>
      <c r="H34" s="13" t="s">
        <v>4178</v>
      </c>
      <c r="I34" s="12">
        <v>45477</v>
      </c>
    </row>
    <row r="35" spans="1:9" x14ac:dyDescent="0.15">
      <c r="A35" s="10">
        <v>34</v>
      </c>
      <c r="B35" s="9" t="s">
        <v>9</v>
      </c>
      <c r="C35" s="11" t="s">
        <v>10</v>
      </c>
      <c r="D35" s="12">
        <v>45562</v>
      </c>
      <c r="E35" s="14" t="str">
        <f>+HYPERLINK("http://trademark.i-assist.jp/data/china/image_1905th/79627703.pdf","79627703")</f>
        <v>79627703</v>
      </c>
      <c r="F35" s="13" t="s">
        <v>77</v>
      </c>
      <c r="G35" s="13" t="s">
        <v>76</v>
      </c>
      <c r="H35" s="13" t="s">
        <v>4179</v>
      </c>
      <c r="I35" s="12">
        <v>45478</v>
      </c>
    </row>
    <row r="36" spans="1:9" x14ac:dyDescent="0.15">
      <c r="A36" s="10">
        <v>35</v>
      </c>
      <c r="B36" s="9" t="s">
        <v>9</v>
      </c>
      <c r="C36" s="11" t="s">
        <v>10</v>
      </c>
      <c r="D36" s="12">
        <v>45562</v>
      </c>
      <c r="E36" s="14" t="str">
        <f>+HYPERLINK("http://trademark.i-assist.jp/data/china/image_1905th/79631929.pdf","79631929")</f>
        <v>79631929</v>
      </c>
      <c r="F36" s="13" t="s">
        <v>79</v>
      </c>
      <c r="G36" s="13" t="s">
        <v>78</v>
      </c>
      <c r="H36" s="13" t="s">
        <v>4180</v>
      </c>
      <c r="I36" s="12">
        <v>45478</v>
      </c>
    </row>
    <row r="37" spans="1:9" x14ac:dyDescent="0.15">
      <c r="A37" s="10">
        <v>36</v>
      </c>
      <c r="B37" s="9" t="s">
        <v>9</v>
      </c>
      <c r="C37" s="11" t="s">
        <v>10</v>
      </c>
      <c r="D37" s="12">
        <v>45562</v>
      </c>
      <c r="E37" s="14" t="str">
        <f>+HYPERLINK("http://trademark.i-assist.jp/data/china/image_1905th/79632766.pdf","79632766")</f>
        <v>79632766</v>
      </c>
      <c r="F37" s="13" t="s">
        <v>81</v>
      </c>
      <c r="G37" s="13" t="s">
        <v>80</v>
      </c>
      <c r="H37" s="13" t="s">
        <v>4181</v>
      </c>
      <c r="I37" s="12">
        <v>45478</v>
      </c>
    </row>
    <row r="38" spans="1:9" x14ac:dyDescent="0.15">
      <c r="A38" s="10">
        <v>37</v>
      </c>
      <c r="B38" s="9" t="s">
        <v>9</v>
      </c>
      <c r="C38" s="11" t="s">
        <v>10</v>
      </c>
      <c r="D38" s="12">
        <v>45562</v>
      </c>
      <c r="E38" s="14" t="str">
        <f>+HYPERLINK("http://trademark.i-assist.jp/data/china/image_1905th/79634220.pdf","79634220")</f>
        <v>79634220</v>
      </c>
      <c r="F38" s="13" t="s">
        <v>83</v>
      </c>
      <c r="G38" s="13" t="s">
        <v>82</v>
      </c>
      <c r="H38" s="13" t="s">
        <v>4182</v>
      </c>
      <c r="I38" s="12">
        <v>45478</v>
      </c>
    </row>
    <row r="39" spans="1:9" x14ac:dyDescent="0.15">
      <c r="A39" s="10">
        <v>38</v>
      </c>
      <c r="B39" s="9" t="s">
        <v>9</v>
      </c>
      <c r="C39" s="11" t="s">
        <v>10</v>
      </c>
      <c r="D39" s="12">
        <v>45562</v>
      </c>
      <c r="E39" s="14" t="str">
        <f>+HYPERLINK("http://trademark.i-assist.jp/data/china/image_1905th/79477176.pdf","79477176")</f>
        <v>79477176</v>
      </c>
      <c r="F39" s="13" t="s">
        <v>85</v>
      </c>
      <c r="G39" s="13" t="s">
        <v>84</v>
      </c>
      <c r="H39" s="13" t="s">
        <v>4183</v>
      </c>
      <c r="I39" s="12">
        <v>45470</v>
      </c>
    </row>
    <row r="40" spans="1:9" x14ac:dyDescent="0.15">
      <c r="A40" s="10">
        <v>39</v>
      </c>
      <c r="B40" s="9" t="s">
        <v>9</v>
      </c>
      <c r="C40" s="11" t="s">
        <v>10</v>
      </c>
      <c r="D40" s="12">
        <v>45562</v>
      </c>
      <c r="E40" s="14" t="str">
        <f>+HYPERLINK("http://trademark.i-assist.jp/data/china/image_1905th/79482037.pdf","79482037")</f>
        <v>79482037</v>
      </c>
      <c r="F40" s="13" t="s">
        <v>87</v>
      </c>
      <c r="G40" s="13" t="s">
        <v>86</v>
      </c>
      <c r="H40" s="13" t="s">
        <v>4184</v>
      </c>
      <c r="I40" s="12">
        <v>45470</v>
      </c>
    </row>
    <row r="41" spans="1:9" x14ac:dyDescent="0.15">
      <c r="A41" s="10">
        <v>40</v>
      </c>
      <c r="B41" s="9" t="s">
        <v>9</v>
      </c>
      <c r="C41" s="11" t="s">
        <v>10</v>
      </c>
      <c r="D41" s="12">
        <v>45562</v>
      </c>
      <c r="E41" s="14" t="str">
        <f>+HYPERLINK("http://trademark.i-assist.jp/data/china/image_1905th/79484392.pdf","79484392")</f>
        <v>79484392</v>
      </c>
      <c r="F41" s="13" t="s">
        <v>89</v>
      </c>
      <c r="G41" s="13" t="s">
        <v>88</v>
      </c>
      <c r="H41" s="13" t="s">
        <v>4185</v>
      </c>
      <c r="I41" s="12">
        <v>45470</v>
      </c>
    </row>
    <row r="42" spans="1:9" x14ac:dyDescent="0.15">
      <c r="A42" s="10">
        <v>41</v>
      </c>
      <c r="B42" s="9" t="s">
        <v>9</v>
      </c>
      <c r="C42" s="11" t="s">
        <v>10</v>
      </c>
      <c r="D42" s="12">
        <v>45562</v>
      </c>
      <c r="E42" s="14" t="str">
        <f>+HYPERLINK("http://trademark.i-assist.jp/data/china/image_1905th/79486705.pdf","79486705")</f>
        <v>79486705</v>
      </c>
      <c r="F42" s="13" t="s">
        <v>91</v>
      </c>
      <c r="G42" s="13" t="s">
        <v>90</v>
      </c>
      <c r="H42" s="13" t="s">
        <v>4186</v>
      </c>
      <c r="I42" s="12">
        <v>45470</v>
      </c>
    </row>
    <row r="43" spans="1:9" x14ac:dyDescent="0.15">
      <c r="A43" s="10">
        <v>42</v>
      </c>
      <c r="B43" s="9" t="s">
        <v>9</v>
      </c>
      <c r="C43" s="11" t="s">
        <v>10</v>
      </c>
      <c r="D43" s="12">
        <v>45562</v>
      </c>
      <c r="E43" s="14" t="str">
        <f>+HYPERLINK("http://trademark.i-assist.jp/data/china/image_1905th/79499139.pdf","79499139")</f>
        <v>79499139</v>
      </c>
      <c r="F43" s="13" t="s">
        <v>93</v>
      </c>
      <c r="G43" s="13" t="s">
        <v>92</v>
      </c>
      <c r="H43" s="13" t="s">
        <v>4187</v>
      </c>
      <c r="I43" s="12">
        <v>45471</v>
      </c>
    </row>
    <row r="44" spans="1:9" x14ac:dyDescent="0.15">
      <c r="A44" s="10">
        <v>43</v>
      </c>
      <c r="B44" s="9" t="s">
        <v>9</v>
      </c>
      <c r="C44" s="11" t="s">
        <v>10</v>
      </c>
      <c r="D44" s="12">
        <v>45562</v>
      </c>
      <c r="E44" s="14" t="str">
        <f>+HYPERLINK("http://trademark.i-assist.jp/data/china/image_1905th/79505310.pdf","79505310")</f>
        <v>79505310</v>
      </c>
      <c r="F44" s="13" t="s">
        <v>95</v>
      </c>
      <c r="G44" s="13" t="s">
        <v>94</v>
      </c>
      <c r="H44" s="13" t="s">
        <v>4188</v>
      </c>
      <c r="I44" s="12">
        <v>45471</v>
      </c>
    </row>
    <row r="45" spans="1:9" x14ac:dyDescent="0.15">
      <c r="A45" s="10">
        <v>44</v>
      </c>
      <c r="B45" s="9" t="s">
        <v>9</v>
      </c>
      <c r="C45" s="11" t="s">
        <v>10</v>
      </c>
      <c r="D45" s="12">
        <v>45562</v>
      </c>
      <c r="E45" s="14" t="str">
        <f>+HYPERLINK("http://trademark.i-assist.jp/data/china/image_1905th/79512772.pdf","79512772")</f>
        <v>79512772</v>
      </c>
      <c r="F45" s="13" t="s">
        <v>97</v>
      </c>
      <c r="G45" s="13" t="s">
        <v>96</v>
      </c>
      <c r="H45" s="13" t="s">
        <v>4189</v>
      </c>
      <c r="I45" s="12">
        <v>45471</v>
      </c>
    </row>
    <row r="46" spans="1:9" x14ac:dyDescent="0.15">
      <c r="A46" s="10">
        <v>45</v>
      </c>
      <c r="B46" s="9" t="s">
        <v>9</v>
      </c>
      <c r="C46" s="11" t="s">
        <v>10</v>
      </c>
      <c r="D46" s="12">
        <v>45562</v>
      </c>
      <c r="E46" s="14" t="str">
        <f>+HYPERLINK("http://trademark.i-assist.jp/data/china/image_1905th/79520269.pdf","79520269")</f>
        <v>79520269</v>
      </c>
      <c r="F46" s="13" t="s">
        <v>99</v>
      </c>
      <c r="G46" s="13" t="s">
        <v>98</v>
      </c>
      <c r="H46" s="13" t="s">
        <v>4190</v>
      </c>
      <c r="I46" s="12">
        <v>45472</v>
      </c>
    </row>
    <row r="47" spans="1:9" x14ac:dyDescent="0.15">
      <c r="A47" s="10">
        <v>46</v>
      </c>
      <c r="B47" s="9" t="s">
        <v>9</v>
      </c>
      <c r="C47" s="11" t="s">
        <v>10</v>
      </c>
      <c r="D47" s="12">
        <v>45562</v>
      </c>
      <c r="E47" s="14" t="str">
        <f>+HYPERLINK("http://trademark.i-assist.jp/data/china/image_1905th/79527811.pdf","79527811")</f>
        <v>79527811</v>
      </c>
      <c r="F47" s="13" t="s">
        <v>101</v>
      </c>
      <c r="G47" s="13" t="s">
        <v>100</v>
      </c>
      <c r="H47" s="13" t="s">
        <v>4191</v>
      </c>
      <c r="I47" s="12">
        <v>45474</v>
      </c>
    </row>
    <row r="48" spans="1:9" x14ac:dyDescent="0.15">
      <c r="A48" s="10">
        <v>47</v>
      </c>
      <c r="B48" s="9" t="s">
        <v>9</v>
      </c>
      <c r="C48" s="11" t="s">
        <v>10</v>
      </c>
      <c r="D48" s="12">
        <v>45562</v>
      </c>
      <c r="E48" s="14" t="str">
        <f>+HYPERLINK("http://trademark.i-assist.jp/data/china/image_1905th/79533654.pdf","79533654")</f>
        <v>79533654</v>
      </c>
      <c r="F48" s="13" t="s">
        <v>103</v>
      </c>
      <c r="G48" s="13" t="s">
        <v>102</v>
      </c>
      <c r="H48" s="13" t="s">
        <v>4192</v>
      </c>
      <c r="I48" s="12">
        <v>45474</v>
      </c>
    </row>
    <row r="49" spans="1:9" x14ac:dyDescent="0.15">
      <c r="A49" s="10">
        <v>48</v>
      </c>
      <c r="B49" s="9" t="s">
        <v>9</v>
      </c>
      <c r="C49" s="11" t="s">
        <v>10</v>
      </c>
      <c r="D49" s="12">
        <v>45562</v>
      </c>
      <c r="E49" s="14" t="str">
        <f>+HYPERLINK("http://trademark.i-assist.jp/data/china/image_1905th/79534873.pdf","79534873")</f>
        <v>79534873</v>
      </c>
      <c r="F49" s="13" t="s">
        <v>105</v>
      </c>
      <c r="G49" s="13" t="s">
        <v>104</v>
      </c>
      <c r="H49" s="13" t="s">
        <v>4193</v>
      </c>
      <c r="I49" s="12">
        <v>45474</v>
      </c>
    </row>
    <row r="50" spans="1:9" x14ac:dyDescent="0.15">
      <c r="A50" s="10">
        <v>49</v>
      </c>
      <c r="B50" s="9" t="s">
        <v>9</v>
      </c>
      <c r="C50" s="11" t="s">
        <v>10</v>
      </c>
      <c r="D50" s="12">
        <v>45562</v>
      </c>
      <c r="E50" s="14" t="str">
        <f>+HYPERLINK("http://trademark.i-assist.jp/data/china/image_1905th/79538257.pdf","79538257")</f>
        <v>79538257</v>
      </c>
      <c r="F50" s="13" t="s">
        <v>107</v>
      </c>
      <c r="G50" s="13" t="s">
        <v>106</v>
      </c>
      <c r="H50" s="13" t="s">
        <v>4194</v>
      </c>
      <c r="I50" s="12">
        <v>45474</v>
      </c>
    </row>
    <row r="51" spans="1:9" x14ac:dyDescent="0.15">
      <c r="A51" s="10">
        <v>50</v>
      </c>
      <c r="B51" s="9" t="s">
        <v>9</v>
      </c>
      <c r="C51" s="11" t="s">
        <v>10</v>
      </c>
      <c r="D51" s="12">
        <v>45562</v>
      </c>
      <c r="E51" s="14" t="str">
        <f>+HYPERLINK("http://trademark.i-assist.jp/data/china/image_1905th/79546757.pdf","79546757")</f>
        <v>79546757</v>
      </c>
      <c r="F51" s="13" t="s">
        <v>109</v>
      </c>
      <c r="G51" s="13" t="s">
        <v>108</v>
      </c>
      <c r="H51" s="13" t="s">
        <v>4195</v>
      </c>
      <c r="I51" s="12">
        <v>45474</v>
      </c>
    </row>
    <row r="52" spans="1:9" x14ac:dyDescent="0.15">
      <c r="A52" s="10">
        <v>51</v>
      </c>
      <c r="B52" s="9" t="s">
        <v>9</v>
      </c>
      <c r="C52" s="11" t="s">
        <v>10</v>
      </c>
      <c r="D52" s="12">
        <v>45562</v>
      </c>
      <c r="E52" s="14" t="str">
        <f>+HYPERLINK("http://trademark.i-assist.jp/data/china/image_1905th/79555121.pdf","79555121")</f>
        <v>79555121</v>
      </c>
      <c r="F52" s="13" t="s">
        <v>111</v>
      </c>
      <c r="G52" s="13" t="s">
        <v>110</v>
      </c>
      <c r="H52" s="13" t="s">
        <v>112</v>
      </c>
      <c r="I52" s="12">
        <v>45475</v>
      </c>
    </row>
    <row r="53" spans="1:9" x14ac:dyDescent="0.15">
      <c r="A53" s="10">
        <v>52</v>
      </c>
      <c r="B53" s="9" t="s">
        <v>9</v>
      </c>
      <c r="C53" s="11" t="s">
        <v>10</v>
      </c>
      <c r="D53" s="12">
        <v>45562</v>
      </c>
      <c r="E53" s="14" t="str">
        <f>+HYPERLINK("http://trademark.i-assist.jp/data/china/image_1905th/79557430.pdf","79557430")</f>
        <v>79557430</v>
      </c>
      <c r="F53" s="13" t="s">
        <v>114</v>
      </c>
      <c r="G53" s="13" t="s">
        <v>113</v>
      </c>
      <c r="H53" s="13" t="s">
        <v>4196</v>
      </c>
      <c r="I53" s="12">
        <v>45475</v>
      </c>
    </row>
    <row r="54" spans="1:9" x14ac:dyDescent="0.15">
      <c r="A54" s="10">
        <v>53</v>
      </c>
      <c r="B54" s="9" t="s">
        <v>9</v>
      </c>
      <c r="C54" s="11" t="s">
        <v>10</v>
      </c>
      <c r="D54" s="12">
        <v>45562</v>
      </c>
      <c r="E54" s="14" t="str">
        <f>+HYPERLINK("http://trademark.i-assist.jp/data/china/image_1905th/79558076.pdf","79558076")</f>
        <v>79558076</v>
      </c>
      <c r="F54" s="13" t="s">
        <v>116</v>
      </c>
      <c r="G54" s="13" t="s">
        <v>115</v>
      </c>
      <c r="H54" s="13" t="s">
        <v>4197</v>
      </c>
      <c r="I54" s="12">
        <v>45475</v>
      </c>
    </row>
    <row r="55" spans="1:9" x14ac:dyDescent="0.15">
      <c r="A55" s="10">
        <v>54</v>
      </c>
      <c r="B55" s="9" t="s">
        <v>9</v>
      </c>
      <c r="C55" s="11" t="s">
        <v>10</v>
      </c>
      <c r="D55" s="12">
        <v>45562</v>
      </c>
      <c r="E55" s="14" t="str">
        <f>+HYPERLINK("http://trademark.i-assist.jp/data/china/image_1905th/79639973.pdf","79639973")</f>
        <v>79639973</v>
      </c>
      <c r="F55" s="13" t="s">
        <v>118</v>
      </c>
      <c r="G55" s="13" t="s">
        <v>117</v>
      </c>
      <c r="H55" s="13" t="s">
        <v>4198</v>
      </c>
      <c r="I55" s="12">
        <v>45478</v>
      </c>
    </row>
    <row r="56" spans="1:9" x14ac:dyDescent="0.15">
      <c r="A56" s="10">
        <v>55</v>
      </c>
      <c r="B56" s="9" t="s">
        <v>9</v>
      </c>
      <c r="C56" s="11" t="s">
        <v>10</v>
      </c>
      <c r="D56" s="12">
        <v>45562</v>
      </c>
      <c r="E56" s="14" t="str">
        <f>+HYPERLINK("http://trademark.i-assist.jp/data/china/image_1905th/79640258.pdf","79640258")</f>
        <v>79640258</v>
      </c>
      <c r="F56" s="13" t="s">
        <v>120</v>
      </c>
      <c r="G56" s="13" t="s">
        <v>119</v>
      </c>
      <c r="H56" s="13" t="s">
        <v>4199</v>
      </c>
      <c r="I56" s="12">
        <v>45478</v>
      </c>
    </row>
    <row r="57" spans="1:9" x14ac:dyDescent="0.15">
      <c r="A57" s="10">
        <v>56</v>
      </c>
      <c r="B57" s="9" t="s">
        <v>9</v>
      </c>
      <c r="C57" s="11" t="s">
        <v>10</v>
      </c>
      <c r="D57" s="12">
        <v>45562</v>
      </c>
      <c r="E57" s="14" t="str">
        <f>+HYPERLINK("http://trademark.i-assist.jp/data/china/image_1905th/79642458.pdf","79642458")</f>
        <v>79642458</v>
      </c>
      <c r="F57" s="13" t="s">
        <v>122</v>
      </c>
      <c r="G57" s="13" t="s">
        <v>121</v>
      </c>
      <c r="H57" s="13" t="s">
        <v>4200</v>
      </c>
      <c r="I57" s="12">
        <v>45478</v>
      </c>
    </row>
    <row r="58" spans="1:9" x14ac:dyDescent="0.15">
      <c r="A58" s="10">
        <v>57</v>
      </c>
      <c r="B58" s="9" t="s">
        <v>9</v>
      </c>
      <c r="C58" s="11" t="s">
        <v>10</v>
      </c>
      <c r="D58" s="12">
        <v>45562</v>
      </c>
      <c r="E58" s="14" t="str">
        <f>+HYPERLINK("http://trademark.i-assist.jp/data/china/image_1905th/79653098.pdf","79653098")</f>
        <v>79653098</v>
      </c>
      <c r="F58" s="13" t="s">
        <v>124</v>
      </c>
      <c r="G58" s="13" t="s">
        <v>123</v>
      </c>
      <c r="H58" s="13" t="s">
        <v>4201</v>
      </c>
      <c r="I58" s="12">
        <v>45480</v>
      </c>
    </row>
    <row r="59" spans="1:9" x14ac:dyDescent="0.15">
      <c r="A59" s="10">
        <v>58</v>
      </c>
      <c r="B59" s="9" t="s">
        <v>9</v>
      </c>
      <c r="C59" s="11" t="s">
        <v>10</v>
      </c>
      <c r="D59" s="12">
        <v>45562</v>
      </c>
      <c r="E59" s="14" t="str">
        <f>+HYPERLINK("http://trademark.i-assist.jp/data/china/image_1905th/79654430.pdf","79654430")</f>
        <v>79654430</v>
      </c>
      <c r="F59" s="13" t="s">
        <v>126</v>
      </c>
      <c r="G59" s="13" t="s">
        <v>125</v>
      </c>
      <c r="H59" s="13" t="s">
        <v>4202</v>
      </c>
      <c r="I59" s="12">
        <v>45480</v>
      </c>
    </row>
    <row r="60" spans="1:9" x14ac:dyDescent="0.15">
      <c r="A60" s="10">
        <v>59</v>
      </c>
      <c r="B60" s="9" t="s">
        <v>9</v>
      </c>
      <c r="C60" s="11" t="s">
        <v>10</v>
      </c>
      <c r="D60" s="12">
        <v>45562</v>
      </c>
      <c r="E60" s="14" t="str">
        <f>+HYPERLINK("http://trademark.i-assist.jp/data/china/image_1905th/79654676.pdf","79654676")</f>
        <v>79654676</v>
      </c>
      <c r="F60" s="13" t="s">
        <v>73</v>
      </c>
      <c r="G60" s="13" t="s">
        <v>127</v>
      </c>
      <c r="H60" s="13" t="s">
        <v>4203</v>
      </c>
      <c r="I60" s="12">
        <v>45480</v>
      </c>
    </row>
    <row r="61" spans="1:9" x14ac:dyDescent="0.15">
      <c r="A61" s="10">
        <v>60</v>
      </c>
      <c r="B61" s="9" t="s">
        <v>9</v>
      </c>
      <c r="C61" s="11" t="s">
        <v>10</v>
      </c>
      <c r="D61" s="12">
        <v>45562</v>
      </c>
      <c r="E61" s="14" t="str">
        <f>+HYPERLINK("http://trademark.i-assist.jp/data/china/image_1905th/79655747.pdf","79655747")</f>
        <v>79655747</v>
      </c>
      <c r="F61" s="13" t="s">
        <v>129</v>
      </c>
      <c r="G61" s="13" t="s">
        <v>128</v>
      </c>
      <c r="H61" s="13" t="s">
        <v>4204</v>
      </c>
      <c r="I61" s="12">
        <v>45480</v>
      </c>
    </row>
    <row r="62" spans="1:9" x14ac:dyDescent="0.15">
      <c r="A62" s="10">
        <v>61</v>
      </c>
      <c r="B62" s="9" t="s">
        <v>9</v>
      </c>
      <c r="C62" s="11" t="s">
        <v>10</v>
      </c>
      <c r="D62" s="12">
        <v>45562</v>
      </c>
      <c r="E62" s="14" t="str">
        <f>+HYPERLINK("http://trademark.i-assist.jp/data/china/image_1905th/79657957.pdf","79657957")</f>
        <v>79657957</v>
      </c>
      <c r="F62" s="13" t="s">
        <v>131</v>
      </c>
      <c r="G62" s="13" t="s">
        <v>130</v>
      </c>
      <c r="H62" s="13" t="s">
        <v>4205</v>
      </c>
      <c r="I62" s="12">
        <v>45481</v>
      </c>
    </row>
    <row r="63" spans="1:9" x14ac:dyDescent="0.15">
      <c r="A63" s="10">
        <v>62</v>
      </c>
      <c r="B63" s="9" t="s">
        <v>9</v>
      </c>
      <c r="C63" s="11" t="s">
        <v>10</v>
      </c>
      <c r="D63" s="12">
        <v>45562</v>
      </c>
      <c r="E63" s="14" t="str">
        <f>+HYPERLINK("http://trademark.i-assist.jp/data/china/image_1905th/79660953.pdf","79660953")</f>
        <v>79660953</v>
      </c>
      <c r="F63" s="13" t="s">
        <v>133</v>
      </c>
      <c r="G63" s="13" t="s">
        <v>132</v>
      </c>
      <c r="H63" s="13" t="s">
        <v>4206</v>
      </c>
      <c r="I63" s="12">
        <v>45481</v>
      </c>
    </row>
    <row r="64" spans="1:9" x14ac:dyDescent="0.15">
      <c r="A64" s="10">
        <v>63</v>
      </c>
      <c r="B64" s="9" t="s">
        <v>9</v>
      </c>
      <c r="C64" s="11" t="s">
        <v>10</v>
      </c>
      <c r="D64" s="12">
        <v>45562</v>
      </c>
      <c r="E64" s="14" t="str">
        <f>+HYPERLINK("http://trademark.i-assist.jp/data/china/image_1905th/79661167.pdf","79661167")</f>
        <v>79661167</v>
      </c>
      <c r="F64" s="13" t="s">
        <v>135</v>
      </c>
      <c r="G64" s="13" t="s">
        <v>134</v>
      </c>
      <c r="H64" s="13" t="s">
        <v>4207</v>
      </c>
      <c r="I64" s="12">
        <v>45481</v>
      </c>
    </row>
    <row r="65" spans="1:9" x14ac:dyDescent="0.15">
      <c r="A65" s="10">
        <v>64</v>
      </c>
      <c r="B65" s="9" t="s">
        <v>9</v>
      </c>
      <c r="C65" s="11" t="s">
        <v>10</v>
      </c>
      <c r="D65" s="12">
        <v>45562</v>
      </c>
      <c r="E65" s="14" t="str">
        <f>+HYPERLINK("http://trademark.i-assist.jp/data/china/image_1905th/79687925.pdf","79687925")</f>
        <v>79687925</v>
      </c>
      <c r="F65" s="13" t="s">
        <v>137</v>
      </c>
      <c r="G65" s="13" t="s">
        <v>136</v>
      </c>
      <c r="H65" s="13" t="s">
        <v>4208</v>
      </c>
      <c r="I65" s="12">
        <v>45482</v>
      </c>
    </row>
    <row r="66" spans="1:9" x14ac:dyDescent="0.15">
      <c r="A66" s="10">
        <v>65</v>
      </c>
      <c r="B66" s="9" t="s">
        <v>9</v>
      </c>
      <c r="C66" s="11" t="s">
        <v>10</v>
      </c>
      <c r="D66" s="12">
        <v>45562</v>
      </c>
      <c r="E66" s="14" t="str">
        <f>+HYPERLINK("http://trademark.i-assist.jp/data/china/image_1905th/79695871.pdf","79695871")</f>
        <v>79695871</v>
      </c>
      <c r="F66" s="13" t="s">
        <v>139</v>
      </c>
      <c r="G66" s="13" t="s">
        <v>138</v>
      </c>
      <c r="H66" s="13" t="s">
        <v>4209</v>
      </c>
      <c r="I66" s="12">
        <v>45482</v>
      </c>
    </row>
    <row r="67" spans="1:9" x14ac:dyDescent="0.15">
      <c r="A67" s="10">
        <v>66</v>
      </c>
      <c r="B67" s="9" t="s">
        <v>9</v>
      </c>
      <c r="C67" s="11" t="s">
        <v>10</v>
      </c>
      <c r="D67" s="12">
        <v>45562</v>
      </c>
      <c r="E67" s="14" t="str">
        <f>+HYPERLINK("http://trademark.i-assist.jp/data/china/image_1905th/79701126.pdf","79701126")</f>
        <v>79701126</v>
      </c>
      <c r="F67" s="13" t="s">
        <v>141</v>
      </c>
      <c r="G67" s="13" t="s">
        <v>140</v>
      </c>
      <c r="H67" s="13" t="s">
        <v>4210</v>
      </c>
      <c r="I67" s="12">
        <v>45482</v>
      </c>
    </row>
    <row r="68" spans="1:9" x14ac:dyDescent="0.15">
      <c r="A68" s="10">
        <v>67</v>
      </c>
      <c r="B68" s="9" t="s">
        <v>9</v>
      </c>
      <c r="C68" s="11" t="s">
        <v>10</v>
      </c>
      <c r="D68" s="12">
        <v>45562</v>
      </c>
      <c r="E68" s="14" t="str">
        <f>+HYPERLINK("http://trademark.i-assist.jp/data/china/image_1905th/79704323.pdf","79704323")</f>
        <v>79704323</v>
      </c>
      <c r="F68" s="13" t="s">
        <v>143</v>
      </c>
      <c r="G68" s="13" t="s">
        <v>142</v>
      </c>
      <c r="H68" s="13" t="s">
        <v>4211</v>
      </c>
      <c r="I68" s="12">
        <v>45482</v>
      </c>
    </row>
    <row r="69" spans="1:9" x14ac:dyDescent="0.15">
      <c r="A69" s="10">
        <v>68</v>
      </c>
      <c r="B69" s="9" t="s">
        <v>9</v>
      </c>
      <c r="C69" s="11" t="s">
        <v>10</v>
      </c>
      <c r="D69" s="12">
        <v>45562</v>
      </c>
      <c r="E69" s="14" t="str">
        <f>+HYPERLINK("http://trademark.i-assist.jp/data/china/image_1905th/79705725.pdf","79705725")</f>
        <v>79705725</v>
      </c>
      <c r="F69" s="13" t="s">
        <v>145</v>
      </c>
      <c r="G69" s="13" t="s">
        <v>144</v>
      </c>
      <c r="H69" s="13" t="s">
        <v>4202</v>
      </c>
      <c r="I69" s="12">
        <v>45483</v>
      </c>
    </row>
    <row r="70" spans="1:9" x14ac:dyDescent="0.15">
      <c r="A70" s="10">
        <v>69</v>
      </c>
      <c r="B70" s="9" t="s">
        <v>9</v>
      </c>
      <c r="C70" s="11" t="s">
        <v>10</v>
      </c>
      <c r="D70" s="12">
        <v>45562</v>
      </c>
      <c r="E70" s="14" t="str">
        <f>+HYPERLINK("http://trademark.i-assist.jp/data/china/image_1905th/79707570.pdf","79707570")</f>
        <v>79707570</v>
      </c>
      <c r="F70" s="13" t="s">
        <v>147</v>
      </c>
      <c r="G70" s="13" t="s">
        <v>146</v>
      </c>
      <c r="H70" s="13" t="s">
        <v>4212</v>
      </c>
      <c r="I70" s="12">
        <v>45483</v>
      </c>
    </row>
    <row r="71" spans="1:9" x14ac:dyDescent="0.15">
      <c r="A71" s="10">
        <v>70</v>
      </c>
      <c r="B71" s="9" t="s">
        <v>9</v>
      </c>
      <c r="C71" s="11" t="s">
        <v>10</v>
      </c>
      <c r="D71" s="12">
        <v>45562</v>
      </c>
      <c r="E71" s="14" t="str">
        <f>+HYPERLINK("http://trademark.i-assist.jp/data/china/image_1905th/79672514.pdf","79672514")</f>
        <v>79672514</v>
      </c>
      <c r="F71" s="13" t="s">
        <v>149</v>
      </c>
      <c r="G71" s="13" t="s">
        <v>148</v>
      </c>
      <c r="H71" s="13" t="s">
        <v>4213</v>
      </c>
      <c r="I71" s="12">
        <v>45481</v>
      </c>
    </row>
    <row r="72" spans="1:9" x14ac:dyDescent="0.15">
      <c r="A72" s="10">
        <v>71</v>
      </c>
      <c r="B72" s="9" t="s">
        <v>9</v>
      </c>
      <c r="C72" s="11" t="s">
        <v>10</v>
      </c>
      <c r="D72" s="12">
        <v>45562</v>
      </c>
      <c r="E72" s="14" t="str">
        <f>+HYPERLINK("http://trademark.i-assist.jp/data/china/image_1905th/79672755.pdf","79672755")</f>
        <v>79672755</v>
      </c>
      <c r="F72" s="13" t="s">
        <v>151</v>
      </c>
      <c r="G72" s="13" t="s">
        <v>150</v>
      </c>
      <c r="H72" s="13" t="s">
        <v>4214</v>
      </c>
      <c r="I72" s="12">
        <v>45481</v>
      </c>
    </row>
    <row r="73" spans="1:9" x14ac:dyDescent="0.15">
      <c r="A73" s="10">
        <v>72</v>
      </c>
      <c r="B73" s="9" t="s">
        <v>9</v>
      </c>
      <c r="C73" s="11" t="s">
        <v>10</v>
      </c>
      <c r="D73" s="12">
        <v>45562</v>
      </c>
      <c r="E73" s="14" t="str">
        <f>+HYPERLINK("http://trademark.i-assist.jp/data/china/image_1905th/79672811.pdf","79672811")</f>
        <v>79672811</v>
      </c>
      <c r="F73" s="13" t="s">
        <v>153</v>
      </c>
      <c r="G73" s="13" t="s">
        <v>152</v>
      </c>
      <c r="H73" s="13" t="s">
        <v>4215</v>
      </c>
      <c r="I73" s="12">
        <v>45481</v>
      </c>
    </row>
    <row r="74" spans="1:9" x14ac:dyDescent="0.15">
      <c r="A74" s="10">
        <v>73</v>
      </c>
      <c r="B74" s="9" t="s">
        <v>9</v>
      </c>
      <c r="C74" s="11" t="s">
        <v>10</v>
      </c>
      <c r="D74" s="12">
        <v>45562</v>
      </c>
      <c r="E74" s="14" t="str">
        <f>+HYPERLINK("http://trademark.i-assist.jp/data/china/image_1905th/79678785.pdf","79678785")</f>
        <v>79678785</v>
      </c>
      <c r="F74" s="13" t="s">
        <v>154</v>
      </c>
      <c r="G74" s="13" t="s">
        <v>152</v>
      </c>
      <c r="H74" s="13" t="s">
        <v>4215</v>
      </c>
      <c r="I74" s="12">
        <v>45481</v>
      </c>
    </row>
    <row r="75" spans="1:9" x14ac:dyDescent="0.15">
      <c r="A75" s="10">
        <v>74</v>
      </c>
      <c r="B75" s="9" t="s">
        <v>9</v>
      </c>
      <c r="C75" s="11" t="s">
        <v>10</v>
      </c>
      <c r="D75" s="12">
        <v>45562</v>
      </c>
      <c r="E75" s="14" t="str">
        <f>+HYPERLINK("http://trademark.i-assist.jp/data/china/image_1905th/79682570.pdf","79682570")</f>
        <v>79682570</v>
      </c>
      <c r="F75" s="13" t="s">
        <v>156</v>
      </c>
      <c r="G75" s="13" t="s">
        <v>155</v>
      </c>
      <c r="H75" s="13" t="s">
        <v>4216</v>
      </c>
      <c r="I75" s="12">
        <v>45482</v>
      </c>
    </row>
    <row r="76" spans="1:9" x14ac:dyDescent="0.15">
      <c r="A76" s="10">
        <v>75</v>
      </c>
      <c r="B76" s="9" t="s">
        <v>9</v>
      </c>
      <c r="C76" s="11" t="s">
        <v>10</v>
      </c>
      <c r="D76" s="12">
        <v>45562</v>
      </c>
      <c r="E76" s="14" t="str">
        <f>+HYPERLINK("http://trademark.i-assist.jp/data/china/image_1905th/79684064.pdf","79684064")</f>
        <v>79684064</v>
      </c>
      <c r="F76" s="13" t="s">
        <v>158</v>
      </c>
      <c r="G76" s="13" t="s">
        <v>157</v>
      </c>
      <c r="H76" s="13" t="s">
        <v>4217</v>
      </c>
      <c r="I76" s="12">
        <v>45482</v>
      </c>
    </row>
    <row r="77" spans="1:9" x14ac:dyDescent="0.15">
      <c r="A77" s="10">
        <v>76</v>
      </c>
      <c r="B77" s="9" t="s">
        <v>9</v>
      </c>
      <c r="C77" s="11" t="s">
        <v>10</v>
      </c>
      <c r="D77" s="12">
        <v>45562</v>
      </c>
      <c r="E77" s="14" t="str">
        <f>+HYPERLINK("http://trademark.i-assist.jp/data/china/image_1905th/79686228.pdf","79686228")</f>
        <v>79686228</v>
      </c>
      <c r="F77" s="13" t="s">
        <v>160</v>
      </c>
      <c r="G77" s="13" t="s">
        <v>159</v>
      </c>
      <c r="H77" s="13" t="s">
        <v>4218</v>
      </c>
      <c r="I77" s="12">
        <v>45482</v>
      </c>
    </row>
    <row r="78" spans="1:9" x14ac:dyDescent="0.15">
      <c r="A78" s="10">
        <v>77</v>
      </c>
      <c r="B78" s="9" t="s">
        <v>9</v>
      </c>
      <c r="C78" s="11" t="s">
        <v>10</v>
      </c>
      <c r="D78" s="12">
        <v>45562</v>
      </c>
      <c r="E78" s="14" t="str">
        <f>+HYPERLINK("http://trademark.i-assist.jp/data/china/image_1905th/79831266.pdf","79831266")</f>
        <v>79831266</v>
      </c>
      <c r="F78" s="13" t="s">
        <v>162</v>
      </c>
      <c r="G78" s="13" t="s">
        <v>161</v>
      </c>
      <c r="H78" s="13" t="s">
        <v>4219</v>
      </c>
      <c r="I78" s="12">
        <v>45489</v>
      </c>
    </row>
    <row r="79" spans="1:9" x14ac:dyDescent="0.15">
      <c r="A79" s="10">
        <v>78</v>
      </c>
      <c r="B79" s="9" t="s">
        <v>9</v>
      </c>
      <c r="C79" s="11" t="s">
        <v>10</v>
      </c>
      <c r="D79" s="12">
        <v>45562</v>
      </c>
      <c r="E79" s="14" t="str">
        <f>+HYPERLINK("http://trademark.i-assist.jp/data/china/image_1905th/79842048.pdf","79842048")</f>
        <v>79842048</v>
      </c>
      <c r="F79" s="13" t="s">
        <v>164</v>
      </c>
      <c r="G79" s="13" t="s">
        <v>163</v>
      </c>
      <c r="H79" s="13" t="s">
        <v>4220</v>
      </c>
      <c r="I79" s="12">
        <v>45490</v>
      </c>
    </row>
    <row r="80" spans="1:9" x14ac:dyDescent="0.15">
      <c r="A80" s="10">
        <v>79</v>
      </c>
      <c r="B80" s="9" t="s">
        <v>9</v>
      </c>
      <c r="C80" s="11" t="s">
        <v>10</v>
      </c>
      <c r="D80" s="12">
        <v>45562</v>
      </c>
      <c r="E80" s="14" t="str">
        <f>+HYPERLINK("http://trademark.i-assist.jp/data/china/image_1905th/79852106.pdf","79852106")</f>
        <v>79852106</v>
      </c>
      <c r="F80" s="13" t="s">
        <v>166</v>
      </c>
      <c r="G80" s="13" t="s">
        <v>165</v>
      </c>
      <c r="H80" s="13" t="s">
        <v>4221</v>
      </c>
      <c r="I80" s="12">
        <v>45490</v>
      </c>
    </row>
    <row r="81" spans="1:9" x14ac:dyDescent="0.15">
      <c r="A81" s="10">
        <v>80</v>
      </c>
      <c r="B81" s="9" t="s">
        <v>9</v>
      </c>
      <c r="C81" s="11" t="s">
        <v>10</v>
      </c>
      <c r="D81" s="12">
        <v>45562</v>
      </c>
      <c r="E81" s="14" t="str">
        <f>+HYPERLINK("http://trademark.i-assist.jp/data/china/image_1905th/79864504.pdf","79864504")</f>
        <v>79864504</v>
      </c>
      <c r="F81" s="13" t="s">
        <v>73</v>
      </c>
      <c r="G81" s="13" t="s">
        <v>167</v>
      </c>
      <c r="H81" s="13" t="s">
        <v>4222</v>
      </c>
      <c r="I81" s="12">
        <v>45491</v>
      </c>
    </row>
    <row r="82" spans="1:9" x14ac:dyDescent="0.15">
      <c r="A82" s="10">
        <v>81</v>
      </c>
      <c r="B82" s="9" t="s">
        <v>9</v>
      </c>
      <c r="C82" s="11" t="s">
        <v>10</v>
      </c>
      <c r="D82" s="12">
        <v>45562</v>
      </c>
      <c r="E82" s="14" t="str">
        <f>+HYPERLINK("http://trademark.i-assist.jp/data/china/image_1905th/79868222.pdf","79868222")</f>
        <v>79868222</v>
      </c>
      <c r="F82" s="13" t="s">
        <v>169</v>
      </c>
      <c r="G82" s="13" t="s">
        <v>168</v>
      </c>
      <c r="H82" s="13" t="s">
        <v>4223</v>
      </c>
      <c r="I82" s="12">
        <v>45491</v>
      </c>
    </row>
    <row r="83" spans="1:9" x14ac:dyDescent="0.15">
      <c r="A83" s="10">
        <v>82</v>
      </c>
      <c r="B83" s="9" t="s">
        <v>9</v>
      </c>
      <c r="C83" s="11" t="s">
        <v>10</v>
      </c>
      <c r="D83" s="12">
        <v>45562</v>
      </c>
      <c r="E83" s="14" t="str">
        <f>+HYPERLINK("http://trademark.i-assist.jp/data/china/image_1905th/79778443.pdf","79778443")</f>
        <v>79778443</v>
      </c>
      <c r="F83" s="13" t="s">
        <v>171</v>
      </c>
      <c r="G83" s="13" t="s">
        <v>170</v>
      </c>
      <c r="H83" s="13" t="s">
        <v>4224</v>
      </c>
      <c r="I83" s="12">
        <v>45486</v>
      </c>
    </row>
    <row r="84" spans="1:9" x14ac:dyDescent="0.15">
      <c r="A84" s="10">
        <v>83</v>
      </c>
      <c r="B84" s="9" t="s">
        <v>9</v>
      </c>
      <c r="C84" s="11" t="s">
        <v>10</v>
      </c>
      <c r="D84" s="12">
        <v>45562</v>
      </c>
      <c r="E84" s="14" t="str">
        <f>+HYPERLINK("http://trademark.i-assist.jp/data/china/image_1905th/79778445.pdf","79778445")</f>
        <v>79778445</v>
      </c>
      <c r="F84" s="13" t="s">
        <v>172</v>
      </c>
      <c r="G84" s="13" t="s">
        <v>170</v>
      </c>
      <c r="H84" s="13" t="s">
        <v>4224</v>
      </c>
      <c r="I84" s="12">
        <v>45486</v>
      </c>
    </row>
    <row r="85" spans="1:9" x14ac:dyDescent="0.15">
      <c r="A85" s="10">
        <v>84</v>
      </c>
      <c r="B85" s="9" t="s">
        <v>9</v>
      </c>
      <c r="C85" s="11" t="s">
        <v>10</v>
      </c>
      <c r="D85" s="12">
        <v>45562</v>
      </c>
      <c r="E85" s="14" t="str">
        <f>+HYPERLINK("http://trademark.i-assist.jp/data/china/image_1905th/79791203.pdf","79791203")</f>
        <v>79791203</v>
      </c>
      <c r="F85" s="13" t="s">
        <v>174</v>
      </c>
      <c r="G85" s="13" t="s">
        <v>173</v>
      </c>
      <c r="H85" s="13" t="s">
        <v>4225</v>
      </c>
      <c r="I85" s="12">
        <v>45488</v>
      </c>
    </row>
    <row r="86" spans="1:9" x14ac:dyDescent="0.15">
      <c r="A86" s="10">
        <v>85</v>
      </c>
      <c r="B86" s="9" t="s">
        <v>9</v>
      </c>
      <c r="C86" s="11" t="s">
        <v>10</v>
      </c>
      <c r="D86" s="12">
        <v>45562</v>
      </c>
      <c r="E86" s="14" t="str">
        <f>+HYPERLINK("http://trademark.i-assist.jp/data/china/image_1905th/79796167.pdf","79796167")</f>
        <v>79796167</v>
      </c>
      <c r="F86" s="13" t="s">
        <v>176</v>
      </c>
      <c r="G86" s="13" t="s">
        <v>175</v>
      </c>
      <c r="H86" s="13" t="s">
        <v>4226</v>
      </c>
      <c r="I86" s="12">
        <v>45488</v>
      </c>
    </row>
    <row r="87" spans="1:9" x14ac:dyDescent="0.15">
      <c r="A87" s="10">
        <v>86</v>
      </c>
      <c r="B87" s="9" t="s">
        <v>9</v>
      </c>
      <c r="C87" s="11" t="s">
        <v>10</v>
      </c>
      <c r="D87" s="12">
        <v>45562</v>
      </c>
      <c r="E87" s="14" t="str">
        <f>+HYPERLINK("http://trademark.i-assist.jp/data/china/image_1905th/79800390.pdf","79800390")</f>
        <v>79800390</v>
      </c>
      <c r="F87" s="13" t="s">
        <v>178</v>
      </c>
      <c r="G87" s="13" t="s">
        <v>177</v>
      </c>
      <c r="H87" s="13" t="s">
        <v>4227</v>
      </c>
      <c r="I87" s="12">
        <v>45488</v>
      </c>
    </row>
    <row r="88" spans="1:9" x14ac:dyDescent="0.15">
      <c r="A88" s="10">
        <v>87</v>
      </c>
      <c r="B88" s="9" t="s">
        <v>9</v>
      </c>
      <c r="C88" s="11" t="s">
        <v>10</v>
      </c>
      <c r="D88" s="12">
        <v>45562</v>
      </c>
      <c r="E88" s="14" t="str">
        <f>+HYPERLINK("http://trademark.i-assist.jp/data/china/image_1905th/72033701.pdf","72033701")</f>
        <v>72033701</v>
      </c>
      <c r="F88" s="13" t="s">
        <v>180</v>
      </c>
      <c r="G88" s="13" t="s">
        <v>179</v>
      </c>
      <c r="H88" s="13" t="s">
        <v>4228</v>
      </c>
      <c r="I88" s="12">
        <v>45082</v>
      </c>
    </row>
    <row r="89" spans="1:9" x14ac:dyDescent="0.15">
      <c r="A89" s="10">
        <v>88</v>
      </c>
      <c r="B89" s="9" t="s">
        <v>9</v>
      </c>
      <c r="C89" s="11" t="s">
        <v>10</v>
      </c>
      <c r="D89" s="12">
        <v>45562</v>
      </c>
      <c r="E89" s="14" t="str">
        <f>+HYPERLINK("http://trademark.i-assist.jp/data/china/image_1905th/78933928.pdf","78933928")</f>
        <v>78933928</v>
      </c>
      <c r="F89" s="13" t="s">
        <v>182</v>
      </c>
      <c r="G89" s="13" t="s">
        <v>181</v>
      </c>
      <c r="H89" s="13" t="s">
        <v>4229</v>
      </c>
      <c r="I89" s="12">
        <v>45442</v>
      </c>
    </row>
    <row r="90" spans="1:9" x14ac:dyDescent="0.15">
      <c r="A90" s="10">
        <v>89</v>
      </c>
      <c r="B90" s="9" t="s">
        <v>9</v>
      </c>
      <c r="C90" s="11" t="s">
        <v>10</v>
      </c>
      <c r="D90" s="12">
        <v>45562</v>
      </c>
      <c r="E90" s="14" t="str">
        <f>+HYPERLINK("http://trademark.i-assist.jp/data/china/image_1905th/78995600.pdf","78995600")</f>
        <v>78995600</v>
      </c>
      <c r="F90" s="13" t="s">
        <v>184</v>
      </c>
      <c r="G90" s="13" t="s">
        <v>183</v>
      </c>
      <c r="H90" s="13" t="s">
        <v>4230</v>
      </c>
      <c r="I90" s="12">
        <v>45446</v>
      </c>
    </row>
    <row r="91" spans="1:9" x14ac:dyDescent="0.15">
      <c r="A91" s="10">
        <v>90</v>
      </c>
      <c r="B91" s="9" t="s">
        <v>9</v>
      </c>
      <c r="C91" s="11" t="s">
        <v>10</v>
      </c>
      <c r="D91" s="12">
        <v>45562</v>
      </c>
      <c r="E91" s="14" t="str">
        <f>+HYPERLINK("http://trademark.i-assist.jp/data/china/image_1905th/79035414.pdf","79035414")</f>
        <v>79035414</v>
      </c>
      <c r="F91" s="13" t="s">
        <v>186</v>
      </c>
      <c r="G91" s="13" t="s">
        <v>185</v>
      </c>
      <c r="H91" s="13" t="s">
        <v>4227</v>
      </c>
      <c r="I91" s="12">
        <v>45447</v>
      </c>
    </row>
    <row r="92" spans="1:9" x14ac:dyDescent="0.15">
      <c r="A92" s="10">
        <v>91</v>
      </c>
      <c r="B92" s="9" t="s">
        <v>9</v>
      </c>
      <c r="C92" s="11" t="s">
        <v>10</v>
      </c>
      <c r="D92" s="12">
        <v>45562</v>
      </c>
      <c r="E92" s="14" t="str">
        <f>+HYPERLINK("http://trademark.i-assist.jp/data/china/image_1905th/79043828.pdf","79043828")</f>
        <v>79043828</v>
      </c>
      <c r="F92" s="13" t="s">
        <v>188</v>
      </c>
      <c r="G92" s="13" t="s">
        <v>187</v>
      </c>
      <c r="H92" s="13" t="s">
        <v>4231</v>
      </c>
      <c r="I92" s="12">
        <v>45448</v>
      </c>
    </row>
    <row r="93" spans="1:9" x14ac:dyDescent="0.15">
      <c r="A93" s="10">
        <v>92</v>
      </c>
      <c r="B93" s="9" t="s">
        <v>9</v>
      </c>
      <c r="C93" s="11" t="s">
        <v>10</v>
      </c>
      <c r="D93" s="12">
        <v>45562</v>
      </c>
      <c r="E93" s="14" t="str">
        <f>+HYPERLINK("http://trademark.i-assist.jp/data/china/image_1905th/79157401.pdf","79157401")</f>
        <v>79157401</v>
      </c>
      <c r="F93" s="13" t="s">
        <v>190</v>
      </c>
      <c r="G93" s="13" t="s">
        <v>189</v>
      </c>
      <c r="H93" s="13" t="s">
        <v>4232</v>
      </c>
      <c r="I93" s="12">
        <v>45455</v>
      </c>
    </row>
    <row r="94" spans="1:9" x14ac:dyDescent="0.15">
      <c r="A94" s="10">
        <v>93</v>
      </c>
      <c r="B94" s="9" t="s">
        <v>9</v>
      </c>
      <c r="C94" s="11" t="s">
        <v>10</v>
      </c>
      <c r="D94" s="12">
        <v>45562</v>
      </c>
      <c r="E94" s="14" t="str">
        <f>+HYPERLINK("http://trademark.i-assist.jp/data/china/image_1905th/75035713.pdf","75035713")</f>
        <v>75035713</v>
      </c>
      <c r="F94" s="13" t="s">
        <v>192</v>
      </c>
      <c r="G94" s="13" t="s">
        <v>191</v>
      </c>
      <c r="H94" s="13" t="s">
        <v>4233</v>
      </c>
      <c r="I94" s="12">
        <v>45237</v>
      </c>
    </row>
    <row r="95" spans="1:9" x14ac:dyDescent="0.15">
      <c r="A95" s="10">
        <v>94</v>
      </c>
      <c r="B95" s="9" t="s">
        <v>9</v>
      </c>
      <c r="C95" s="11" t="s">
        <v>10</v>
      </c>
      <c r="D95" s="12">
        <v>45562</v>
      </c>
      <c r="E95" s="14" t="str">
        <f>+HYPERLINK("http://trademark.i-assist.jp/data/china/image_1905th/75108876.pdf","75108876")</f>
        <v>75108876</v>
      </c>
      <c r="F95" s="13" t="s">
        <v>194</v>
      </c>
      <c r="G95" s="13" t="s">
        <v>193</v>
      </c>
      <c r="H95" s="13" t="s">
        <v>4234</v>
      </c>
      <c r="I95" s="12">
        <v>45240</v>
      </c>
    </row>
    <row r="96" spans="1:9" x14ac:dyDescent="0.15">
      <c r="A96" s="10">
        <v>95</v>
      </c>
      <c r="B96" s="9" t="s">
        <v>9</v>
      </c>
      <c r="C96" s="11" t="s">
        <v>10</v>
      </c>
      <c r="D96" s="12">
        <v>45562</v>
      </c>
      <c r="E96" s="14" t="str">
        <f>+HYPERLINK("http://trademark.i-assist.jp/data/china/image_1905th/75430650.pdf","75430650")</f>
        <v>75430650</v>
      </c>
      <c r="F96" s="13" t="s">
        <v>196</v>
      </c>
      <c r="G96" s="13" t="s">
        <v>195</v>
      </c>
      <c r="H96" s="13" t="s">
        <v>4235</v>
      </c>
      <c r="I96" s="12">
        <v>45257</v>
      </c>
    </row>
    <row r="97" spans="1:9" x14ac:dyDescent="0.15">
      <c r="A97" s="10">
        <v>96</v>
      </c>
      <c r="B97" s="9" t="s">
        <v>9</v>
      </c>
      <c r="C97" s="11" t="s">
        <v>10</v>
      </c>
      <c r="D97" s="12">
        <v>45562</v>
      </c>
      <c r="E97" s="14" t="str">
        <f>+HYPERLINK("http://trademark.i-assist.jp/data/china/image_1905th/75940250.pdf","75940250")</f>
        <v>75940250</v>
      </c>
      <c r="F97" s="13" t="s">
        <v>198</v>
      </c>
      <c r="G97" s="13" t="s">
        <v>197</v>
      </c>
      <c r="H97" s="13" t="s">
        <v>4236</v>
      </c>
      <c r="I97" s="12">
        <v>45281</v>
      </c>
    </row>
    <row r="98" spans="1:9" x14ac:dyDescent="0.15">
      <c r="A98" s="10">
        <v>97</v>
      </c>
      <c r="B98" s="9" t="s">
        <v>9</v>
      </c>
      <c r="C98" s="11" t="s">
        <v>10</v>
      </c>
      <c r="D98" s="12">
        <v>45562</v>
      </c>
      <c r="E98" s="14" t="str">
        <f>+HYPERLINK("http://trademark.i-assist.jp/data/china/image_1905th/78657706.pdf","78657706")</f>
        <v>78657706</v>
      </c>
      <c r="F98" s="13" t="s">
        <v>200</v>
      </c>
      <c r="G98" s="13" t="s">
        <v>199</v>
      </c>
      <c r="H98" s="13" t="s">
        <v>4237</v>
      </c>
      <c r="I98" s="12">
        <v>45429</v>
      </c>
    </row>
    <row r="99" spans="1:9" x14ac:dyDescent="0.15">
      <c r="A99" s="10">
        <v>98</v>
      </c>
      <c r="B99" s="9" t="s">
        <v>9</v>
      </c>
      <c r="C99" s="11" t="s">
        <v>10</v>
      </c>
      <c r="D99" s="12">
        <v>45562</v>
      </c>
      <c r="E99" s="14" t="str">
        <f>+HYPERLINK("http://trademark.i-assist.jp/data/china/image_1905th/78855903.pdf","78855903")</f>
        <v>78855903</v>
      </c>
      <c r="F99" s="13" t="s">
        <v>202</v>
      </c>
      <c r="G99" s="13" t="s">
        <v>201</v>
      </c>
      <c r="H99" s="13" t="s">
        <v>4238</v>
      </c>
      <c r="I99" s="12">
        <v>45439</v>
      </c>
    </row>
    <row r="100" spans="1:9" x14ac:dyDescent="0.15">
      <c r="A100" s="10">
        <v>99</v>
      </c>
      <c r="B100" s="9" t="s">
        <v>9</v>
      </c>
      <c r="C100" s="11" t="s">
        <v>10</v>
      </c>
      <c r="D100" s="12">
        <v>45562</v>
      </c>
      <c r="E100" s="14" t="str">
        <f>+HYPERLINK("http://trademark.i-assist.jp/data/china/image_1905th/79200843.pdf","79200843")</f>
        <v>79200843</v>
      </c>
      <c r="F100" s="13" t="s">
        <v>204</v>
      </c>
      <c r="G100" s="13" t="s">
        <v>203</v>
      </c>
      <c r="H100" s="13" t="s">
        <v>4239</v>
      </c>
      <c r="I100" s="12">
        <v>45456</v>
      </c>
    </row>
    <row r="101" spans="1:9" x14ac:dyDescent="0.15">
      <c r="A101" s="10">
        <v>100</v>
      </c>
      <c r="B101" s="9" t="s">
        <v>9</v>
      </c>
      <c r="C101" s="11" t="s">
        <v>10</v>
      </c>
      <c r="D101" s="12">
        <v>45562</v>
      </c>
      <c r="E101" s="14" t="str">
        <f>+HYPERLINK("http://trademark.i-assist.jp/data/china/image_1905th/79228838.pdf","79228838")</f>
        <v>79228838</v>
      </c>
      <c r="F101" s="13" t="s">
        <v>206</v>
      </c>
      <c r="G101" s="13" t="s">
        <v>205</v>
      </c>
      <c r="H101" s="13" t="s">
        <v>4240</v>
      </c>
      <c r="I101" s="12">
        <v>45457</v>
      </c>
    </row>
    <row r="102" spans="1:9" x14ac:dyDescent="0.15">
      <c r="A102" s="10">
        <v>101</v>
      </c>
      <c r="B102" s="9" t="s">
        <v>9</v>
      </c>
      <c r="C102" s="11" t="s">
        <v>10</v>
      </c>
      <c r="D102" s="12">
        <v>45562</v>
      </c>
      <c r="E102" s="14" t="str">
        <f>+HYPERLINK("http://trademark.i-assist.jp/data/china/image_1905th/79255347.pdf","79255347")</f>
        <v>79255347</v>
      </c>
      <c r="F102" s="13" t="s">
        <v>208</v>
      </c>
      <c r="G102" s="13" t="s">
        <v>207</v>
      </c>
      <c r="H102" s="13" t="s">
        <v>4241</v>
      </c>
      <c r="I102" s="12">
        <v>45460</v>
      </c>
    </row>
    <row r="103" spans="1:9" x14ac:dyDescent="0.15">
      <c r="A103" s="10">
        <v>102</v>
      </c>
      <c r="B103" s="9" t="s">
        <v>9</v>
      </c>
      <c r="C103" s="11" t="s">
        <v>10</v>
      </c>
      <c r="D103" s="12">
        <v>45562</v>
      </c>
      <c r="E103" s="14" t="str">
        <f>+HYPERLINK("http://trademark.i-assist.jp/data/china/image_1905th/79284696.pdf","79284696")</f>
        <v>79284696</v>
      </c>
      <c r="F103" s="13" t="s">
        <v>210</v>
      </c>
      <c r="G103" s="13" t="s">
        <v>209</v>
      </c>
      <c r="H103" s="13" t="s">
        <v>4242</v>
      </c>
      <c r="I103" s="12">
        <v>45461</v>
      </c>
    </row>
    <row r="104" spans="1:9" x14ac:dyDescent="0.15">
      <c r="A104" s="10">
        <v>103</v>
      </c>
      <c r="B104" s="9" t="s">
        <v>9</v>
      </c>
      <c r="C104" s="11" t="s">
        <v>10</v>
      </c>
      <c r="D104" s="12">
        <v>45562</v>
      </c>
      <c r="E104" s="14" t="str">
        <f>+HYPERLINK("http://trademark.i-assist.jp/data/china/image_1905th/79289717.pdf","79289717")</f>
        <v>79289717</v>
      </c>
      <c r="F104" s="13" t="s">
        <v>212</v>
      </c>
      <c r="G104" s="13" t="s">
        <v>211</v>
      </c>
      <c r="H104" s="13" t="s">
        <v>4243</v>
      </c>
      <c r="I104" s="12">
        <v>45461</v>
      </c>
    </row>
    <row r="105" spans="1:9" x14ac:dyDescent="0.15">
      <c r="A105" s="10">
        <v>104</v>
      </c>
      <c r="B105" s="9" t="s">
        <v>9</v>
      </c>
      <c r="C105" s="11" t="s">
        <v>10</v>
      </c>
      <c r="D105" s="12">
        <v>45562</v>
      </c>
      <c r="E105" s="14" t="str">
        <f>+HYPERLINK("http://trademark.i-assist.jp/data/china/image_1905th/79399033.pdf","79399033")</f>
        <v>79399033</v>
      </c>
      <c r="F105" s="13" t="s">
        <v>214</v>
      </c>
      <c r="G105" s="13" t="s">
        <v>213</v>
      </c>
      <c r="H105" s="13" t="s">
        <v>4244</v>
      </c>
      <c r="I105" s="12">
        <v>45467</v>
      </c>
    </row>
    <row r="106" spans="1:9" x14ac:dyDescent="0.15">
      <c r="A106" s="10">
        <v>105</v>
      </c>
      <c r="B106" s="9" t="s">
        <v>9</v>
      </c>
      <c r="C106" s="11" t="s">
        <v>10</v>
      </c>
      <c r="D106" s="12">
        <v>45562</v>
      </c>
      <c r="E106" s="14" t="str">
        <f>+HYPERLINK("http://trademark.i-assist.jp/data/china/image_1905th/79413795.pdf","79413795")</f>
        <v>79413795</v>
      </c>
      <c r="F106" s="13" t="s">
        <v>216</v>
      </c>
      <c r="G106" s="13" t="s">
        <v>215</v>
      </c>
      <c r="H106" s="13" t="s">
        <v>4245</v>
      </c>
      <c r="I106" s="12">
        <v>45468</v>
      </c>
    </row>
    <row r="107" spans="1:9" x14ac:dyDescent="0.15">
      <c r="A107" s="10">
        <v>106</v>
      </c>
      <c r="B107" s="9" t="s">
        <v>9</v>
      </c>
      <c r="C107" s="11" t="s">
        <v>10</v>
      </c>
      <c r="D107" s="12">
        <v>45562</v>
      </c>
      <c r="E107" s="14" t="str">
        <f>+HYPERLINK("http://trademark.i-assist.jp/data/china/image_1905th/79423695.pdf","79423695")</f>
        <v>79423695</v>
      </c>
      <c r="F107" s="13" t="s">
        <v>218</v>
      </c>
      <c r="G107" s="13" t="s">
        <v>217</v>
      </c>
      <c r="H107" s="13" t="s">
        <v>4246</v>
      </c>
      <c r="I107" s="12">
        <v>45468</v>
      </c>
    </row>
    <row r="108" spans="1:9" x14ac:dyDescent="0.15">
      <c r="A108" s="10">
        <v>107</v>
      </c>
      <c r="B108" s="9" t="s">
        <v>9</v>
      </c>
      <c r="C108" s="11" t="s">
        <v>10</v>
      </c>
      <c r="D108" s="12">
        <v>45562</v>
      </c>
      <c r="E108" s="14" t="str">
        <f>+HYPERLINK("http://trademark.i-assist.jp/data/china/image_1905th/79428485.pdf","79428485")</f>
        <v>79428485</v>
      </c>
      <c r="F108" s="13" t="s">
        <v>220</v>
      </c>
      <c r="G108" s="13" t="s">
        <v>219</v>
      </c>
      <c r="H108" s="13" t="s">
        <v>4247</v>
      </c>
      <c r="I108" s="12">
        <v>45468</v>
      </c>
    </row>
    <row r="109" spans="1:9" x14ac:dyDescent="0.15">
      <c r="A109" s="10">
        <v>108</v>
      </c>
      <c r="B109" s="9" t="s">
        <v>9</v>
      </c>
      <c r="C109" s="11" t="s">
        <v>10</v>
      </c>
      <c r="D109" s="12">
        <v>45562</v>
      </c>
      <c r="E109" s="14" t="str">
        <f>+HYPERLINK("http://trademark.i-assist.jp/data/china/image_1905th/79443132.pdf","79443132")</f>
        <v>79443132</v>
      </c>
      <c r="F109" s="13" t="s">
        <v>222</v>
      </c>
      <c r="G109" s="13" t="s">
        <v>221</v>
      </c>
      <c r="H109" s="13" t="s">
        <v>4248</v>
      </c>
      <c r="I109" s="12">
        <v>45469</v>
      </c>
    </row>
    <row r="110" spans="1:9" x14ac:dyDescent="0.15">
      <c r="A110" s="10">
        <v>109</v>
      </c>
      <c r="B110" s="9" t="s">
        <v>9</v>
      </c>
      <c r="C110" s="11" t="s">
        <v>10</v>
      </c>
      <c r="D110" s="12">
        <v>45562</v>
      </c>
      <c r="E110" s="14" t="str">
        <f>+HYPERLINK("http://trademark.i-assist.jp/data/china/image_1905th/79449878.pdf","79449878")</f>
        <v>79449878</v>
      </c>
      <c r="F110" s="13" t="s">
        <v>73</v>
      </c>
      <c r="G110" s="13" t="s">
        <v>223</v>
      </c>
      <c r="H110" s="13" t="s">
        <v>4227</v>
      </c>
      <c r="I110" s="12">
        <v>45469</v>
      </c>
    </row>
    <row r="111" spans="1:9" x14ac:dyDescent="0.15">
      <c r="A111" s="10">
        <v>110</v>
      </c>
      <c r="B111" s="9" t="s">
        <v>9</v>
      </c>
      <c r="C111" s="11" t="s">
        <v>10</v>
      </c>
      <c r="D111" s="12">
        <v>45562</v>
      </c>
      <c r="E111" s="14" t="str">
        <f>+HYPERLINK("http://trademark.i-assist.jp/data/china/image_1905th/79459515.pdf","79459515")</f>
        <v>79459515</v>
      </c>
      <c r="F111" s="13" t="s">
        <v>225</v>
      </c>
      <c r="G111" s="13" t="s">
        <v>224</v>
      </c>
      <c r="H111" s="13" t="s">
        <v>4227</v>
      </c>
      <c r="I111" s="12">
        <v>45469</v>
      </c>
    </row>
    <row r="112" spans="1:9" x14ac:dyDescent="0.15">
      <c r="A112" s="10">
        <v>111</v>
      </c>
      <c r="B112" s="9" t="s">
        <v>9</v>
      </c>
      <c r="C112" s="11" t="s">
        <v>10</v>
      </c>
      <c r="D112" s="12">
        <v>45562</v>
      </c>
      <c r="E112" s="14" t="str">
        <f>+HYPERLINK("http://trademark.i-assist.jp/data/china/image_1905th/79317788.pdf","79317788")</f>
        <v>79317788</v>
      </c>
      <c r="F112" s="13" t="s">
        <v>227</v>
      </c>
      <c r="G112" s="13" t="s">
        <v>226</v>
      </c>
      <c r="H112" s="13" t="s">
        <v>4249</v>
      </c>
      <c r="I112" s="12">
        <v>45462</v>
      </c>
    </row>
    <row r="113" spans="1:9" x14ac:dyDescent="0.15">
      <c r="A113" s="10">
        <v>112</v>
      </c>
      <c r="B113" s="9" t="s">
        <v>9</v>
      </c>
      <c r="C113" s="11" t="s">
        <v>10</v>
      </c>
      <c r="D113" s="12">
        <v>45562</v>
      </c>
      <c r="E113" s="14" t="str">
        <f>+HYPERLINK("http://trademark.i-assist.jp/data/china/image_1905th/79327890.pdf","79327890")</f>
        <v>79327890</v>
      </c>
      <c r="F113" s="13" t="s">
        <v>229</v>
      </c>
      <c r="G113" s="13" t="s">
        <v>228</v>
      </c>
      <c r="H113" s="13" t="s">
        <v>4250</v>
      </c>
      <c r="I113" s="12">
        <v>45463</v>
      </c>
    </row>
    <row r="114" spans="1:9" x14ac:dyDescent="0.15">
      <c r="A114" s="10">
        <v>113</v>
      </c>
      <c r="B114" s="9" t="s">
        <v>9</v>
      </c>
      <c r="C114" s="11" t="s">
        <v>10</v>
      </c>
      <c r="D114" s="12">
        <v>45562</v>
      </c>
      <c r="E114" s="14" t="str">
        <f>+HYPERLINK("http://trademark.i-assist.jp/data/china/image_1905th/79354799.pdf","79354799")</f>
        <v>79354799</v>
      </c>
      <c r="F114" s="13" t="s">
        <v>231</v>
      </c>
      <c r="G114" s="13" t="s">
        <v>230</v>
      </c>
      <c r="H114" s="13" t="s">
        <v>4251</v>
      </c>
      <c r="I114" s="12">
        <v>45464</v>
      </c>
    </row>
    <row r="115" spans="1:9" x14ac:dyDescent="0.15">
      <c r="A115" s="10">
        <v>114</v>
      </c>
      <c r="B115" s="9" t="s">
        <v>9</v>
      </c>
      <c r="C115" s="11" t="s">
        <v>10</v>
      </c>
      <c r="D115" s="12">
        <v>45562</v>
      </c>
      <c r="E115" s="14" t="str">
        <f>+HYPERLINK("http://trademark.i-assist.jp/data/china/image_1905th/79366544.pdf","79366544")</f>
        <v>79366544</v>
      </c>
      <c r="F115" s="13" t="s">
        <v>233</v>
      </c>
      <c r="G115" s="13" t="s">
        <v>232</v>
      </c>
      <c r="H115" s="13" t="s">
        <v>4245</v>
      </c>
      <c r="I115" s="12">
        <v>45464</v>
      </c>
    </row>
    <row r="116" spans="1:9" x14ac:dyDescent="0.15">
      <c r="A116" s="10">
        <v>115</v>
      </c>
      <c r="B116" s="9" t="s">
        <v>9</v>
      </c>
      <c r="C116" s="11" t="s">
        <v>10</v>
      </c>
      <c r="D116" s="12">
        <v>45562</v>
      </c>
      <c r="E116" s="14" t="str">
        <f>+HYPERLINK("http://trademark.i-assist.jp/data/china/image_1905th/79374285.pdf","79374285")</f>
        <v>79374285</v>
      </c>
      <c r="F116" s="13" t="s">
        <v>235</v>
      </c>
      <c r="G116" s="13" t="s">
        <v>234</v>
      </c>
      <c r="H116" s="13" t="s">
        <v>4252</v>
      </c>
      <c r="I116" s="12">
        <v>45464</v>
      </c>
    </row>
    <row r="117" spans="1:9" x14ac:dyDescent="0.15">
      <c r="A117" s="10">
        <v>116</v>
      </c>
      <c r="B117" s="9" t="s">
        <v>9</v>
      </c>
      <c r="C117" s="11" t="s">
        <v>10</v>
      </c>
      <c r="D117" s="12">
        <v>45562</v>
      </c>
      <c r="E117" s="14" t="str">
        <f>+HYPERLINK("http://trademark.i-assist.jp/data/china/image_1905th/79376102.pdf","79376102")</f>
        <v>79376102</v>
      </c>
      <c r="F117" s="13" t="s">
        <v>237</v>
      </c>
      <c r="G117" s="13" t="s">
        <v>236</v>
      </c>
      <c r="H117" s="13" t="s">
        <v>4253</v>
      </c>
      <c r="I117" s="12">
        <v>45465</v>
      </c>
    </row>
    <row r="118" spans="1:9" x14ac:dyDescent="0.15">
      <c r="A118" s="10">
        <v>117</v>
      </c>
      <c r="B118" s="9" t="s">
        <v>9</v>
      </c>
      <c r="C118" s="11" t="s">
        <v>10</v>
      </c>
      <c r="D118" s="12">
        <v>45562</v>
      </c>
      <c r="E118" s="14" t="str">
        <f>+HYPERLINK("http://trademark.i-assist.jp/data/china/image_1905th/79382266.pdf","79382266")</f>
        <v>79382266</v>
      </c>
      <c r="F118" s="13" t="s">
        <v>239</v>
      </c>
      <c r="G118" s="13" t="s">
        <v>238</v>
      </c>
      <c r="H118" s="13" t="s">
        <v>4254</v>
      </c>
      <c r="I118" s="12">
        <v>45466</v>
      </c>
    </row>
    <row r="119" spans="1:9" x14ac:dyDescent="0.15">
      <c r="A119" s="10">
        <v>118</v>
      </c>
      <c r="B119" s="9" t="s">
        <v>9</v>
      </c>
      <c r="C119" s="11" t="s">
        <v>10</v>
      </c>
      <c r="D119" s="12">
        <v>45562</v>
      </c>
      <c r="E119" s="14" t="str">
        <f>+HYPERLINK("http://trademark.i-assist.jp/data/china/image_1905th/79384596.pdf","79384596")</f>
        <v>79384596</v>
      </c>
      <c r="F119" s="13" t="s">
        <v>241</v>
      </c>
      <c r="G119" s="13" t="s">
        <v>240</v>
      </c>
      <c r="H119" s="13" t="s">
        <v>4255</v>
      </c>
      <c r="I119" s="12">
        <v>45467</v>
      </c>
    </row>
    <row r="120" spans="1:9" x14ac:dyDescent="0.15">
      <c r="A120" s="10">
        <v>119</v>
      </c>
      <c r="B120" s="9" t="s">
        <v>9</v>
      </c>
      <c r="C120" s="11" t="s">
        <v>10</v>
      </c>
      <c r="D120" s="12">
        <v>45562</v>
      </c>
      <c r="E120" s="14" t="str">
        <f>+HYPERLINK("http://trademark.i-assist.jp/data/china/image_1905th/79713141.pdf","79713141")</f>
        <v>79713141</v>
      </c>
      <c r="F120" s="13" t="s">
        <v>243</v>
      </c>
      <c r="G120" s="13" t="s">
        <v>242</v>
      </c>
      <c r="H120" s="13" t="s">
        <v>4256</v>
      </c>
      <c r="I120" s="12">
        <v>45483</v>
      </c>
    </row>
    <row r="121" spans="1:9" x14ac:dyDescent="0.15">
      <c r="A121" s="10">
        <v>120</v>
      </c>
      <c r="B121" s="9" t="s">
        <v>9</v>
      </c>
      <c r="C121" s="11" t="s">
        <v>10</v>
      </c>
      <c r="D121" s="12">
        <v>45562</v>
      </c>
      <c r="E121" s="14" t="str">
        <f>+HYPERLINK("http://trademark.i-assist.jp/data/china/image_1905th/79718383.pdf","79718383")</f>
        <v>79718383</v>
      </c>
      <c r="F121" s="13" t="s">
        <v>245</v>
      </c>
      <c r="G121" s="13" t="s">
        <v>244</v>
      </c>
      <c r="H121" s="13" t="s">
        <v>4257</v>
      </c>
      <c r="I121" s="12">
        <v>45483</v>
      </c>
    </row>
    <row r="122" spans="1:9" x14ac:dyDescent="0.15">
      <c r="A122" s="10">
        <v>121</v>
      </c>
      <c r="B122" s="9" t="s">
        <v>9</v>
      </c>
      <c r="C122" s="11" t="s">
        <v>10</v>
      </c>
      <c r="D122" s="12">
        <v>45562</v>
      </c>
      <c r="E122" s="14" t="str">
        <f>+HYPERLINK("http://trademark.i-assist.jp/data/china/image_1905th/79719193.pdf","79719193")</f>
        <v>79719193</v>
      </c>
      <c r="F122" s="13" t="s">
        <v>247</v>
      </c>
      <c r="G122" s="13" t="s">
        <v>246</v>
      </c>
      <c r="H122" s="13" t="s">
        <v>4258</v>
      </c>
      <c r="I122" s="12">
        <v>45483</v>
      </c>
    </row>
    <row r="123" spans="1:9" x14ac:dyDescent="0.15">
      <c r="A123" s="10">
        <v>122</v>
      </c>
      <c r="B123" s="9" t="s">
        <v>9</v>
      </c>
      <c r="C123" s="11" t="s">
        <v>10</v>
      </c>
      <c r="D123" s="12">
        <v>45562</v>
      </c>
      <c r="E123" s="14" t="str">
        <f>+HYPERLINK("http://trademark.i-assist.jp/data/china/image_1905th/79727824.pdf","79727824")</f>
        <v>79727824</v>
      </c>
      <c r="F123" s="13" t="s">
        <v>249</v>
      </c>
      <c r="G123" s="13" t="s">
        <v>248</v>
      </c>
      <c r="H123" s="13" t="s">
        <v>4259</v>
      </c>
      <c r="I123" s="12">
        <v>45483</v>
      </c>
    </row>
    <row r="124" spans="1:9" x14ac:dyDescent="0.15">
      <c r="A124" s="10">
        <v>123</v>
      </c>
      <c r="B124" s="9" t="s">
        <v>9</v>
      </c>
      <c r="C124" s="11" t="s">
        <v>10</v>
      </c>
      <c r="D124" s="12">
        <v>45562</v>
      </c>
      <c r="E124" s="14" t="str">
        <f>+HYPERLINK("http://trademark.i-assist.jp/data/china/image_1905th/79739118.pdf","79739118")</f>
        <v>79739118</v>
      </c>
      <c r="F124" s="13" t="s">
        <v>251</v>
      </c>
      <c r="G124" s="13" t="s">
        <v>250</v>
      </c>
      <c r="H124" s="13" t="s">
        <v>4260</v>
      </c>
      <c r="I124" s="12">
        <v>45484</v>
      </c>
    </row>
    <row r="125" spans="1:9" x14ac:dyDescent="0.15">
      <c r="A125" s="10">
        <v>124</v>
      </c>
      <c r="B125" s="9" t="s">
        <v>9</v>
      </c>
      <c r="C125" s="11" t="s">
        <v>10</v>
      </c>
      <c r="D125" s="12">
        <v>45562</v>
      </c>
      <c r="E125" s="14" t="str">
        <f>+HYPERLINK("http://trademark.i-assist.jp/data/china/image_1905th/79739967.pdf","79739967")</f>
        <v>79739967</v>
      </c>
      <c r="F125" s="13" t="s">
        <v>253</v>
      </c>
      <c r="G125" s="13" t="s">
        <v>252</v>
      </c>
      <c r="H125" s="13" t="s">
        <v>4206</v>
      </c>
      <c r="I125" s="12">
        <v>45484</v>
      </c>
    </row>
    <row r="126" spans="1:9" x14ac:dyDescent="0.15">
      <c r="A126" s="10">
        <v>125</v>
      </c>
      <c r="B126" s="9" t="s">
        <v>9</v>
      </c>
      <c r="C126" s="11" t="s">
        <v>10</v>
      </c>
      <c r="D126" s="12">
        <v>45562</v>
      </c>
      <c r="E126" s="14" t="str">
        <f>+HYPERLINK("http://trademark.i-assist.jp/data/china/image_1905th/79748402.pdf","79748402")</f>
        <v>79748402</v>
      </c>
      <c r="F126" s="13" t="s">
        <v>255</v>
      </c>
      <c r="G126" s="13" t="s">
        <v>254</v>
      </c>
      <c r="H126" s="13" t="s">
        <v>4261</v>
      </c>
      <c r="I126" s="12">
        <v>45484</v>
      </c>
    </row>
    <row r="127" spans="1:9" x14ac:dyDescent="0.15">
      <c r="A127" s="10">
        <v>126</v>
      </c>
      <c r="B127" s="9" t="s">
        <v>9</v>
      </c>
      <c r="C127" s="11" t="s">
        <v>10</v>
      </c>
      <c r="D127" s="12">
        <v>45562</v>
      </c>
      <c r="E127" s="14" t="str">
        <f>+HYPERLINK("http://trademark.i-assist.jp/data/china/image_1905th/79751181.pdf","79751181")</f>
        <v>79751181</v>
      </c>
      <c r="F127" s="13" t="s">
        <v>257</v>
      </c>
      <c r="G127" s="13" t="s">
        <v>256</v>
      </c>
      <c r="H127" s="13" t="s">
        <v>4262</v>
      </c>
      <c r="I127" s="12">
        <v>45484</v>
      </c>
    </row>
    <row r="128" spans="1:9" x14ac:dyDescent="0.15">
      <c r="A128" s="10">
        <v>127</v>
      </c>
      <c r="B128" s="9" t="s">
        <v>9</v>
      </c>
      <c r="C128" s="11" t="s">
        <v>10</v>
      </c>
      <c r="D128" s="12">
        <v>45562</v>
      </c>
      <c r="E128" s="14" t="str">
        <f>+HYPERLINK("http://trademark.i-assist.jp/data/china/image_1905th/79755572.pdf","79755572")</f>
        <v>79755572</v>
      </c>
      <c r="F128" s="13" t="s">
        <v>259</v>
      </c>
      <c r="G128" s="13" t="s">
        <v>258</v>
      </c>
      <c r="H128" s="13" t="s">
        <v>4263</v>
      </c>
      <c r="I128" s="12">
        <v>45485</v>
      </c>
    </row>
    <row r="129" spans="1:9" x14ac:dyDescent="0.15">
      <c r="A129" s="10">
        <v>128</v>
      </c>
      <c r="B129" s="9" t="s">
        <v>9</v>
      </c>
      <c r="C129" s="11" t="s">
        <v>10</v>
      </c>
      <c r="D129" s="12">
        <v>45562</v>
      </c>
      <c r="E129" s="14" t="str">
        <f>+HYPERLINK("http://trademark.i-assist.jp/data/china/image_1905th/79761172.pdf","79761172")</f>
        <v>79761172</v>
      </c>
      <c r="F129" s="13" t="s">
        <v>261</v>
      </c>
      <c r="G129" s="13" t="s">
        <v>260</v>
      </c>
      <c r="H129" s="13" t="s">
        <v>4264</v>
      </c>
      <c r="I129" s="12">
        <v>45485</v>
      </c>
    </row>
    <row r="130" spans="1:9" x14ac:dyDescent="0.15">
      <c r="A130" s="10">
        <v>129</v>
      </c>
      <c r="B130" s="9" t="s">
        <v>9</v>
      </c>
      <c r="C130" s="11" t="s">
        <v>10</v>
      </c>
      <c r="D130" s="12">
        <v>45562</v>
      </c>
      <c r="E130" s="14" t="str">
        <f>+HYPERLINK("http://trademark.i-assist.jp/data/china/image_1905th/79768139.pdf","79768139")</f>
        <v>79768139</v>
      </c>
      <c r="F130" s="13" t="s">
        <v>263</v>
      </c>
      <c r="G130" s="13" t="s">
        <v>262</v>
      </c>
      <c r="H130" s="13" t="s">
        <v>4265</v>
      </c>
      <c r="I130" s="12">
        <v>45485</v>
      </c>
    </row>
    <row r="131" spans="1:9" x14ac:dyDescent="0.15">
      <c r="A131" s="10">
        <v>130</v>
      </c>
      <c r="B131" s="9" t="s">
        <v>9</v>
      </c>
      <c r="C131" s="11" t="s">
        <v>10</v>
      </c>
      <c r="D131" s="12">
        <v>45562</v>
      </c>
      <c r="E131" s="14" t="str">
        <f>+HYPERLINK("http://trademark.i-assist.jp/data/china/image_1905th/79837066.pdf","79837066")</f>
        <v>79837066</v>
      </c>
      <c r="F131" s="13" t="s">
        <v>265</v>
      </c>
      <c r="G131" s="13" t="s">
        <v>264</v>
      </c>
      <c r="H131" s="13" t="s">
        <v>4266</v>
      </c>
      <c r="I131" s="12">
        <v>45490</v>
      </c>
    </row>
    <row r="132" spans="1:9" x14ac:dyDescent="0.15">
      <c r="A132" s="10">
        <v>131</v>
      </c>
      <c r="B132" s="9" t="s">
        <v>9</v>
      </c>
      <c r="C132" s="11" t="s">
        <v>10</v>
      </c>
      <c r="D132" s="12">
        <v>45562</v>
      </c>
      <c r="E132" s="14" t="str">
        <f>+HYPERLINK("http://trademark.i-assist.jp/data/china/image_1905th/79838945.pdf","79838945")</f>
        <v>79838945</v>
      </c>
      <c r="F132" s="13" t="s">
        <v>267</v>
      </c>
      <c r="G132" s="13" t="s">
        <v>266</v>
      </c>
      <c r="H132" s="13" t="s">
        <v>4267</v>
      </c>
      <c r="I132" s="12">
        <v>45490</v>
      </c>
    </row>
    <row r="133" spans="1:9" x14ac:dyDescent="0.15">
      <c r="A133" s="10">
        <v>132</v>
      </c>
      <c r="B133" s="9" t="s">
        <v>9</v>
      </c>
      <c r="C133" s="11" t="s">
        <v>10</v>
      </c>
      <c r="D133" s="12">
        <v>45562</v>
      </c>
      <c r="E133" s="14" t="str">
        <f>+HYPERLINK("http://trademark.i-assist.jp/data/china/image_1905th/79843934.pdf","79843934")</f>
        <v>79843934</v>
      </c>
      <c r="F133" s="13" t="s">
        <v>268</v>
      </c>
      <c r="G133" s="13" t="s">
        <v>266</v>
      </c>
      <c r="H133" s="13" t="s">
        <v>4267</v>
      </c>
      <c r="I133" s="12">
        <v>45490</v>
      </c>
    </row>
    <row r="134" spans="1:9" x14ac:dyDescent="0.15">
      <c r="A134" s="10">
        <v>133</v>
      </c>
      <c r="B134" s="9" t="s">
        <v>9</v>
      </c>
      <c r="C134" s="11" t="s">
        <v>10</v>
      </c>
      <c r="D134" s="12">
        <v>45562</v>
      </c>
      <c r="E134" s="14" t="str">
        <f>+HYPERLINK("http://trademark.i-assist.jp/data/china/image_1905th/79850999.pdf","79850999")</f>
        <v>79850999</v>
      </c>
      <c r="F134" s="13" t="s">
        <v>73</v>
      </c>
      <c r="G134" s="13" t="s">
        <v>269</v>
      </c>
      <c r="H134" s="13" t="s">
        <v>4268</v>
      </c>
      <c r="I134" s="12">
        <v>45490</v>
      </c>
    </row>
    <row r="135" spans="1:9" x14ac:dyDescent="0.15">
      <c r="A135" s="10">
        <v>134</v>
      </c>
      <c r="B135" s="9" t="s">
        <v>9</v>
      </c>
      <c r="C135" s="11" t="s">
        <v>10</v>
      </c>
      <c r="D135" s="12">
        <v>45562</v>
      </c>
      <c r="E135" s="14" t="str">
        <f>+HYPERLINK("http://trademark.i-assist.jp/data/china/image_1905th/79867939.pdf","79867939")</f>
        <v>79867939</v>
      </c>
      <c r="F135" s="13" t="s">
        <v>271</v>
      </c>
      <c r="G135" s="13" t="s">
        <v>270</v>
      </c>
      <c r="H135" s="13" t="s">
        <v>4200</v>
      </c>
      <c r="I135" s="12">
        <v>45491</v>
      </c>
    </row>
    <row r="136" spans="1:9" x14ac:dyDescent="0.15">
      <c r="A136" s="10">
        <v>135</v>
      </c>
      <c r="B136" s="9" t="s">
        <v>9</v>
      </c>
      <c r="C136" s="11" t="s">
        <v>10</v>
      </c>
      <c r="D136" s="12">
        <v>45562</v>
      </c>
      <c r="E136" s="14" t="str">
        <f>+HYPERLINK("http://trademark.i-assist.jp/data/china/image_1905th/79871041.pdf","79871041")</f>
        <v>79871041</v>
      </c>
      <c r="F136" s="13" t="s">
        <v>73</v>
      </c>
      <c r="G136" s="13" t="s">
        <v>272</v>
      </c>
      <c r="H136" s="13" t="s">
        <v>4269</v>
      </c>
      <c r="I136" s="12">
        <v>45491</v>
      </c>
    </row>
    <row r="137" spans="1:9" x14ac:dyDescent="0.15">
      <c r="A137" s="10">
        <v>136</v>
      </c>
      <c r="B137" s="9" t="s">
        <v>9</v>
      </c>
      <c r="C137" s="11" t="s">
        <v>10</v>
      </c>
      <c r="D137" s="12">
        <v>45562</v>
      </c>
      <c r="E137" s="14" t="str">
        <f>+HYPERLINK("http://trademark.i-assist.jp/data/china/image_1905th/79778199.pdf","79778199")</f>
        <v>79778199</v>
      </c>
      <c r="F137" s="13" t="s">
        <v>274</v>
      </c>
      <c r="G137" s="13" t="s">
        <v>273</v>
      </c>
      <c r="H137" s="13" t="s">
        <v>4270</v>
      </c>
      <c r="I137" s="12">
        <v>45486</v>
      </c>
    </row>
    <row r="138" spans="1:9" x14ac:dyDescent="0.15">
      <c r="A138" s="10">
        <v>137</v>
      </c>
      <c r="B138" s="9" t="s">
        <v>9</v>
      </c>
      <c r="C138" s="11" t="s">
        <v>10</v>
      </c>
      <c r="D138" s="12">
        <v>45562</v>
      </c>
      <c r="E138" s="14" t="str">
        <f>+HYPERLINK("http://trademark.i-assist.jp/data/china/image_1905th/79778516.pdf","79778516")</f>
        <v>79778516</v>
      </c>
      <c r="F138" s="13" t="s">
        <v>276</v>
      </c>
      <c r="G138" s="13" t="s">
        <v>275</v>
      </c>
      <c r="H138" s="13" t="s">
        <v>4271</v>
      </c>
      <c r="I138" s="12">
        <v>45486</v>
      </c>
    </row>
    <row r="139" spans="1:9" x14ac:dyDescent="0.15">
      <c r="A139" s="10">
        <v>138</v>
      </c>
      <c r="B139" s="9" t="s">
        <v>9</v>
      </c>
      <c r="C139" s="11" t="s">
        <v>10</v>
      </c>
      <c r="D139" s="12">
        <v>45562</v>
      </c>
      <c r="E139" s="14" t="str">
        <f>+HYPERLINK("http://trademark.i-assist.jp/data/china/image_1905th/79782022.pdf","79782022")</f>
        <v>79782022</v>
      </c>
      <c r="F139" s="13" t="s">
        <v>278</v>
      </c>
      <c r="G139" s="13" t="s">
        <v>277</v>
      </c>
      <c r="H139" s="13" t="s">
        <v>4272</v>
      </c>
      <c r="I139" s="12">
        <v>45486</v>
      </c>
    </row>
    <row r="140" spans="1:9" x14ac:dyDescent="0.15">
      <c r="A140" s="10">
        <v>139</v>
      </c>
      <c r="B140" s="9" t="s">
        <v>9</v>
      </c>
      <c r="C140" s="11" t="s">
        <v>10</v>
      </c>
      <c r="D140" s="12">
        <v>45562</v>
      </c>
      <c r="E140" s="14" t="str">
        <f>+HYPERLINK("http://trademark.i-assist.jp/data/china/image_1905th/79809902.pdf","79809902")</f>
        <v>79809902</v>
      </c>
      <c r="F140" s="13" t="s">
        <v>280</v>
      </c>
      <c r="G140" s="13" t="s">
        <v>279</v>
      </c>
      <c r="H140" s="13" t="s">
        <v>4273</v>
      </c>
      <c r="I140" s="12">
        <v>45489</v>
      </c>
    </row>
    <row r="141" spans="1:9" x14ac:dyDescent="0.15">
      <c r="A141" s="10">
        <v>140</v>
      </c>
      <c r="B141" s="9" t="s">
        <v>9</v>
      </c>
      <c r="C141" s="11" t="s">
        <v>10</v>
      </c>
      <c r="D141" s="12">
        <v>45562</v>
      </c>
      <c r="E141" s="14" t="str">
        <f>+HYPERLINK("http://trademark.i-assist.jp/data/china/image_1905th/79813914.pdf","79813914")</f>
        <v>79813914</v>
      </c>
      <c r="F141" s="13" t="s">
        <v>282</v>
      </c>
      <c r="G141" s="13" t="s">
        <v>281</v>
      </c>
      <c r="H141" s="13" t="s">
        <v>4274</v>
      </c>
      <c r="I141" s="12">
        <v>45489</v>
      </c>
    </row>
    <row r="142" spans="1:9" x14ac:dyDescent="0.15">
      <c r="A142" s="10">
        <v>141</v>
      </c>
      <c r="B142" s="9" t="s">
        <v>9</v>
      </c>
      <c r="C142" s="11" t="s">
        <v>10</v>
      </c>
      <c r="D142" s="12">
        <v>45562</v>
      </c>
      <c r="E142" s="14" t="str">
        <f>+HYPERLINK("http://trademark.i-assist.jp/data/china/image_1905th/79815403.pdf","79815403")</f>
        <v>79815403</v>
      </c>
      <c r="F142" s="13" t="s">
        <v>284</v>
      </c>
      <c r="G142" s="13" t="s">
        <v>283</v>
      </c>
      <c r="H142" s="13" t="s">
        <v>4275</v>
      </c>
      <c r="I142" s="12">
        <v>45489</v>
      </c>
    </row>
    <row r="143" spans="1:9" x14ac:dyDescent="0.15">
      <c r="A143" s="10">
        <v>142</v>
      </c>
      <c r="B143" s="9" t="s">
        <v>9</v>
      </c>
      <c r="C143" s="11" t="s">
        <v>10</v>
      </c>
      <c r="D143" s="12">
        <v>45562</v>
      </c>
      <c r="E143" s="14" t="str">
        <f>+HYPERLINK("http://trademark.i-assist.jp/data/china/image_1905th/79826744.pdf","79826744")</f>
        <v>79826744</v>
      </c>
      <c r="F143" s="13" t="s">
        <v>73</v>
      </c>
      <c r="G143" s="13" t="s">
        <v>285</v>
      </c>
      <c r="H143" s="13" t="s">
        <v>4276</v>
      </c>
      <c r="I143" s="12">
        <v>45489</v>
      </c>
    </row>
    <row r="144" spans="1:9" x14ac:dyDescent="0.15">
      <c r="A144" s="10">
        <v>143</v>
      </c>
      <c r="B144" s="9" t="s">
        <v>9</v>
      </c>
      <c r="C144" s="11" t="s">
        <v>10</v>
      </c>
      <c r="D144" s="12">
        <v>45562</v>
      </c>
      <c r="E144" s="14" t="str">
        <f>+HYPERLINK("http://trademark.i-assist.jp/data/china/image_1905th/75132801.pdf","75132801")</f>
        <v>75132801</v>
      </c>
      <c r="F144" s="13" t="s">
        <v>287</v>
      </c>
      <c r="G144" s="13" t="s">
        <v>286</v>
      </c>
      <c r="H144" s="13" t="s">
        <v>4277</v>
      </c>
      <c r="I144" s="12">
        <v>45243</v>
      </c>
    </row>
    <row r="145" spans="1:9" x14ac:dyDescent="0.15">
      <c r="A145" s="10">
        <v>144</v>
      </c>
      <c r="B145" s="9" t="s">
        <v>9</v>
      </c>
      <c r="C145" s="11" t="s">
        <v>10</v>
      </c>
      <c r="D145" s="12">
        <v>45562</v>
      </c>
      <c r="E145" s="14" t="str">
        <f>+HYPERLINK("http://trademark.i-assist.jp/data/china/image_1905th/77593032.pdf","77593032")</f>
        <v>77593032</v>
      </c>
      <c r="F145" s="13" t="s">
        <v>289</v>
      </c>
      <c r="G145" s="13" t="s">
        <v>288</v>
      </c>
      <c r="H145" s="13" t="s">
        <v>4227</v>
      </c>
      <c r="I145" s="12">
        <v>45378</v>
      </c>
    </row>
    <row r="146" spans="1:9" x14ac:dyDescent="0.15">
      <c r="A146" s="10">
        <v>145</v>
      </c>
      <c r="B146" s="9" t="s">
        <v>9</v>
      </c>
      <c r="C146" s="11" t="s">
        <v>10</v>
      </c>
      <c r="D146" s="12">
        <v>45562</v>
      </c>
      <c r="E146" s="14" t="str">
        <f>+HYPERLINK("http://trademark.i-assist.jp/data/china/image_1905th/53742803.pdf","53742803")</f>
        <v>53742803</v>
      </c>
      <c r="F146" s="13" t="s">
        <v>291</v>
      </c>
      <c r="G146" s="13" t="s">
        <v>290</v>
      </c>
      <c r="H146" s="13" t="s">
        <v>4278</v>
      </c>
      <c r="I146" s="12">
        <v>44247</v>
      </c>
    </row>
    <row r="147" spans="1:9" x14ac:dyDescent="0.15">
      <c r="A147" s="10">
        <v>146</v>
      </c>
      <c r="B147" s="9" t="s">
        <v>9</v>
      </c>
      <c r="C147" s="11" t="s">
        <v>10</v>
      </c>
      <c r="D147" s="12">
        <v>45562</v>
      </c>
      <c r="E147" s="14" t="str">
        <f>+HYPERLINK("http://trademark.i-assist.jp/data/china/image_1905th/63407844.pdf","63407844")</f>
        <v>63407844</v>
      </c>
      <c r="F147" s="13" t="s">
        <v>292</v>
      </c>
      <c r="G147" s="13" t="s">
        <v>94</v>
      </c>
      <c r="H147" s="13" t="s">
        <v>4188</v>
      </c>
      <c r="I147" s="12">
        <v>44641</v>
      </c>
    </row>
    <row r="148" spans="1:9" x14ac:dyDescent="0.15">
      <c r="A148" s="10">
        <v>147</v>
      </c>
      <c r="B148" s="9" t="s">
        <v>9</v>
      </c>
      <c r="C148" s="11" t="s">
        <v>10</v>
      </c>
      <c r="D148" s="12">
        <v>45562</v>
      </c>
      <c r="E148" s="14" t="str">
        <f>+HYPERLINK("http://trademark.i-assist.jp/data/china/image_1905th/71008338.pdf","71008338")</f>
        <v>71008338</v>
      </c>
      <c r="F148" s="13" t="s">
        <v>73</v>
      </c>
      <c r="G148" s="13" t="s">
        <v>293</v>
      </c>
      <c r="H148" s="13" t="s">
        <v>4279</v>
      </c>
      <c r="I148" s="12">
        <v>45035</v>
      </c>
    </row>
    <row r="149" spans="1:9" x14ac:dyDescent="0.15">
      <c r="A149" s="10">
        <v>148</v>
      </c>
      <c r="B149" s="9" t="s">
        <v>9</v>
      </c>
      <c r="C149" s="11" t="s">
        <v>10</v>
      </c>
      <c r="D149" s="12">
        <v>45562</v>
      </c>
      <c r="E149" s="14" t="str">
        <f>+HYPERLINK("http://trademark.i-assist.jp/data/china/image_1905th/73063154.pdf","73063154")</f>
        <v>73063154</v>
      </c>
      <c r="F149" s="13" t="s">
        <v>295</v>
      </c>
      <c r="G149" s="13" t="s">
        <v>294</v>
      </c>
      <c r="H149" s="13" t="s">
        <v>4280</v>
      </c>
      <c r="I149" s="12">
        <v>45132</v>
      </c>
    </row>
    <row r="150" spans="1:9" x14ac:dyDescent="0.15">
      <c r="A150" s="10">
        <v>149</v>
      </c>
      <c r="B150" s="9" t="s">
        <v>9</v>
      </c>
      <c r="C150" s="11" t="s">
        <v>10</v>
      </c>
      <c r="D150" s="12">
        <v>45562</v>
      </c>
      <c r="E150" s="14" t="str">
        <f>+HYPERLINK("http://trademark.i-assist.jp/data/china/image_1905th/73373269.pdf","73373269")</f>
        <v>73373269</v>
      </c>
      <c r="F150" s="13" t="s">
        <v>297</v>
      </c>
      <c r="G150" s="13" t="s">
        <v>296</v>
      </c>
      <c r="H150" s="13" t="s">
        <v>4281</v>
      </c>
      <c r="I150" s="12">
        <v>45147</v>
      </c>
    </row>
    <row r="151" spans="1:9" x14ac:dyDescent="0.15">
      <c r="A151" s="10">
        <v>150</v>
      </c>
      <c r="B151" s="9" t="s">
        <v>9</v>
      </c>
      <c r="C151" s="11" t="s">
        <v>10</v>
      </c>
      <c r="D151" s="12">
        <v>45562</v>
      </c>
      <c r="E151" s="14" t="str">
        <f>+HYPERLINK("http://trademark.i-assist.jp/data/china/image_1905th/74145931.pdf","74145931")</f>
        <v>74145931</v>
      </c>
      <c r="F151" s="13" t="s">
        <v>299</v>
      </c>
      <c r="G151" s="13" t="s">
        <v>298</v>
      </c>
      <c r="H151" s="13" t="s">
        <v>4282</v>
      </c>
      <c r="I151" s="12">
        <v>45187</v>
      </c>
    </row>
    <row r="152" spans="1:9" x14ac:dyDescent="0.15">
      <c r="A152" s="10">
        <v>151</v>
      </c>
      <c r="B152" s="9" t="s">
        <v>9</v>
      </c>
      <c r="C152" s="11" t="s">
        <v>10</v>
      </c>
      <c r="D152" s="12">
        <v>45562</v>
      </c>
      <c r="E152" s="14" t="str">
        <f>+HYPERLINK("http://trademark.i-assist.jp/data/china/image_1905th/78974295.pdf","78974295")</f>
        <v>78974295</v>
      </c>
      <c r="F152" s="13" t="s">
        <v>301</v>
      </c>
      <c r="G152" s="13" t="s">
        <v>300</v>
      </c>
      <c r="H152" s="13" t="s">
        <v>4278</v>
      </c>
      <c r="I152" s="12">
        <v>45443</v>
      </c>
    </row>
    <row r="153" spans="1:9" x14ac:dyDescent="0.15">
      <c r="A153" s="10">
        <v>152</v>
      </c>
      <c r="B153" s="9" t="s">
        <v>9</v>
      </c>
      <c r="C153" s="11" t="s">
        <v>10</v>
      </c>
      <c r="D153" s="12">
        <v>45562</v>
      </c>
      <c r="E153" s="14" t="str">
        <f>+HYPERLINK("http://trademark.i-assist.jp/data/china/image_1905th/79119744.pdf","79119744")</f>
        <v>79119744</v>
      </c>
      <c r="F153" s="13" t="s">
        <v>303</v>
      </c>
      <c r="G153" s="13" t="s">
        <v>302</v>
      </c>
      <c r="H153" s="13" t="s">
        <v>4283</v>
      </c>
      <c r="I153" s="12">
        <v>45451</v>
      </c>
    </row>
    <row r="154" spans="1:9" x14ac:dyDescent="0.15">
      <c r="A154" s="10">
        <v>153</v>
      </c>
      <c r="B154" s="9" t="s">
        <v>9</v>
      </c>
      <c r="C154" s="11" t="s">
        <v>10</v>
      </c>
      <c r="D154" s="12">
        <v>45562</v>
      </c>
      <c r="E154" s="14" t="str">
        <f>+HYPERLINK("http://trademark.i-assist.jp/data/china/image_1905th/79120352.pdf","79120352")</f>
        <v>79120352</v>
      </c>
      <c r="F154" s="13" t="s">
        <v>305</v>
      </c>
      <c r="G154" s="13" t="s">
        <v>304</v>
      </c>
      <c r="H154" s="13" t="s">
        <v>4284</v>
      </c>
      <c r="I154" s="12">
        <v>45451</v>
      </c>
    </row>
    <row r="155" spans="1:9" x14ac:dyDescent="0.15">
      <c r="A155" s="10">
        <v>154</v>
      </c>
      <c r="B155" s="9" t="s">
        <v>9</v>
      </c>
      <c r="C155" s="11" t="s">
        <v>10</v>
      </c>
      <c r="D155" s="12">
        <v>45562</v>
      </c>
      <c r="E155" s="14" t="str">
        <f>+HYPERLINK("http://trademark.i-assist.jp/data/china/image_1905th/79133121.pdf","79133121")</f>
        <v>79133121</v>
      </c>
      <c r="F155" s="13" t="s">
        <v>307</v>
      </c>
      <c r="G155" s="13" t="s">
        <v>306</v>
      </c>
      <c r="H155" s="13" t="s">
        <v>4227</v>
      </c>
      <c r="I155" s="12">
        <v>45454</v>
      </c>
    </row>
    <row r="156" spans="1:9" x14ac:dyDescent="0.15">
      <c r="A156" s="10">
        <v>155</v>
      </c>
      <c r="B156" s="9" t="s">
        <v>9</v>
      </c>
      <c r="C156" s="11" t="s">
        <v>10</v>
      </c>
      <c r="D156" s="12">
        <v>45562</v>
      </c>
      <c r="E156" s="14" t="str">
        <f>+HYPERLINK("http://trademark.i-assist.jp/data/china/image_1905th/79140018.pdf","79140018")</f>
        <v>79140018</v>
      </c>
      <c r="F156" s="13" t="s">
        <v>309</v>
      </c>
      <c r="G156" s="13" t="s">
        <v>308</v>
      </c>
      <c r="H156" s="13" t="s">
        <v>4285</v>
      </c>
      <c r="I156" s="12">
        <v>45454</v>
      </c>
    </row>
    <row r="157" spans="1:9" x14ac:dyDescent="0.15">
      <c r="A157" s="10">
        <v>156</v>
      </c>
      <c r="B157" s="9" t="s">
        <v>9</v>
      </c>
      <c r="C157" s="11" t="s">
        <v>10</v>
      </c>
      <c r="D157" s="12">
        <v>45562</v>
      </c>
      <c r="E157" s="14" t="str">
        <f>+HYPERLINK("http://trademark.i-assist.jp/data/china/image_1905th/78699709.pdf","78699709")</f>
        <v>78699709</v>
      </c>
      <c r="F157" s="13" t="s">
        <v>311</v>
      </c>
      <c r="G157" s="13" t="s">
        <v>310</v>
      </c>
      <c r="H157" s="13" t="s">
        <v>4286</v>
      </c>
      <c r="I157" s="12">
        <v>45432</v>
      </c>
    </row>
    <row r="158" spans="1:9" x14ac:dyDescent="0.15">
      <c r="A158" s="10">
        <v>157</v>
      </c>
      <c r="B158" s="9" t="s">
        <v>9</v>
      </c>
      <c r="C158" s="11" t="s">
        <v>10</v>
      </c>
      <c r="D158" s="12">
        <v>45562</v>
      </c>
      <c r="E158" s="14" t="str">
        <f>+HYPERLINK("http://trademark.i-assist.jp/data/china/image_1905th/78738303.pdf","78738303")</f>
        <v>78738303</v>
      </c>
      <c r="F158" s="13" t="s">
        <v>313</v>
      </c>
      <c r="G158" s="13" t="s">
        <v>312</v>
      </c>
      <c r="H158" s="13" t="s">
        <v>4287</v>
      </c>
      <c r="I158" s="12">
        <v>45433</v>
      </c>
    </row>
    <row r="159" spans="1:9" x14ac:dyDescent="0.15">
      <c r="A159" s="10">
        <v>158</v>
      </c>
      <c r="B159" s="9" t="s">
        <v>9</v>
      </c>
      <c r="C159" s="11" t="s">
        <v>10</v>
      </c>
      <c r="D159" s="12">
        <v>45562</v>
      </c>
      <c r="E159" s="14" t="str">
        <f>+HYPERLINK("http://trademark.i-assist.jp/data/china/image_1905th/78769093.pdf","78769093")</f>
        <v>78769093</v>
      </c>
      <c r="F159" s="13" t="s">
        <v>315</v>
      </c>
      <c r="G159" s="13" t="s">
        <v>314</v>
      </c>
      <c r="H159" s="13" t="s">
        <v>4288</v>
      </c>
      <c r="I159" s="12">
        <v>45434</v>
      </c>
    </row>
    <row r="160" spans="1:9" x14ac:dyDescent="0.15">
      <c r="A160" s="10">
        <v>159</v>
      </c>
      <c r="B160" s="9" t="s">
        <v>9</v>
      </c>
      <c r="C160" s="11" t="s">
        <v>10</v>
      </c>
      <c r="D160" s="12">
        <v>45562</v>
      </c>
      <c r="E160" s="14" t="str">
        <f>+HYPERLINK("http://trademark.i-assist.jp/data/china/image_1905th/79227860.pdf","79227860")</f>
        <v>79227860</v>
      </c>
      <c r="F160" s="13" t="s">
        <v>317</v>
      </c>
      <c r="G160" s="13" t="s">
        <v>316</v>
      </c>
      <c r="H160" s="13" t="s">
        <v>4289</v>
      </c>
      <c r="I160" s="12">
        <v>45457</v>
      </c>
    </row>
    <row r="161" spans="1:9" x14ac:dyDescent="0.15">
      <c r="A161" s="10">
        <v>160</v>
      </c>
      <c r="B161" s="9" t="s">
        <v>9</v>
      </c>
      <c r="C161" s="11" t="s">
        <v>10</v>
      </c>
      <c r="D161" s="12">
        <v>45562</v>
      </c>
      <c r="E161" s="14" t="str">
        <f>+HYPERLINK("http://trademark.i-assist.jp/data/china/image_1905th/79233854.pdf","79233854")</f>
        <v>79233854</v>
      </c>
      <c r="F161" s="13" t="s">
        <v>319</v>
      </c>
      <c r="G161" s="13" t="s">
        <v>318</v>
      </c>
      <c r="H161" s="13" t="s">
        <v>4227</v>
      </c>
      <c r="I161" s="12">
        <v>45458</v>
      </c>
    </row>
    <row r="162" spans="1:9" x14ac:dyDescent="0.15">
      <c r="A162" s="10">
        <v>161</v>
      </c>
      <c r="B162" s="9" t="s">
        <v>9</v>
      </c>
      <c r="C162" s="11" t="s">
        <v>10</v>
      </c>
      <c r="D162" s="12">
        <v>45562</v>
      </c>
      <c r="E162" s="14" t="str">
        <f>+HYPERLINK("http://trademark.i-assist.jp/data/china/image_1905th/79257123.pdf","79257123")</f>
        <v>79257123</v>
      </c>
      <c r="F162" s="13" t="s">
        <v>321</v>
      </c>
      <c r="G162" s="13" t="s">
        <v>320</v>
      </c>
      <c r="H162" s="13" t="s">
        <v>4290</v>
      </c>
      <c r="I162" s="12">
        <v>45460</v>
      </c>
    </row>
    <row r="163" spans="1:9" x14ac:dyDescent="0.15">
      <c r="A163" s="10">
        <v>162</v>
      </c>
      <c r="B163" s="9" t="s">
        <v>9</v>
      </c>
      <c r="C163" s="11" t="s">
        <v>10</v>
      </c>
      <c r="D163" s="12">
        <v>45562</v>
      </c>
      <c r="E163" s="14" t="str">
        <f>+HYPERLINK("http://trademark.i-assist.jp/data/china/image_1905th/79263272.pdf","79263272")</f>
        <v>79263272</v>
      </c>
      <c r="F163" s="13" t="s">
        <v>323</v>
      </c>
      <c r="G163" s="13" t="s">
        <v>322</v>
      </c>
      <c r="H163" s="13" t="s">
        <v>4291</v>
      </c>
      <c r="I163" s="12">
        <v>45460</v>
      </c>
    </row>
    <row r="164" spans="1:9" x14ac:dyDescent="0.15">
      <c r="A164" s="10">
        <v>163</v>
      </c>
      <c r="B164" s="9" t="s">
        <v>9</v>
      </c>
      <c r="C164" s="11" t="s">
        <v>10</v>
      </c>
      <c r="D164" s="12">
        <v>45562</v>
      </c>
      <c r="E164" s="14" t="str">
        <f>+HYPERLINK("http://trademark.i-assist.jp/data/china/image_1905th/79264174.pdf","79264174")</f>
        <v>79264174</v>
      </c>
      <c r="F164" s="13" t="s">
        <v>325</v>
      </c>
      <c r="G164" s="13" t="s">
        <v>324</v>
      </c>
      <c r="H164" s="13" t="s">
        <v>4292</v>
      </c>
      <c r="I164" s="12">
        <v>45460</v>
      </c>
    </row>
    <row r="165" spans="1:9" x14ac:dyDescent="0.15">
      <c r="A165" s="10">
        <v>164</v>
      </c>
      <c r="B165" s="9" t="s">
        <v>9</v>
      </c>
      <c r="C165" s="11" t="s">
        <v>10</v>
      </c>
      <c r="D165" s="12">
        <v>45562</v>
      </c>
      <c r="E165" s="14" t="str">
        <f>+HYPERLINK("http://trademark.i-assist.jp/data/china/image_1905th/79276536.pdf","79276536")</f>
        <v>79276536</v>
      </c>
      <c r="F165" s="13" t="s">
        <v>327</v>
      </c>
      <c r="G165" s="13" t="s">
        <v>326</v>
      </c>
      <c r="H165" s="13" t="s">
        <v>4293</v>
      </c>
      <c r="I165" s="12">
        <v>45461</v>
      </c>
    </row>
    <row r="166" spans="1:9" x14ac:dyDescent="0.15">
      <c r="A166" s="10">
        <v>165</v>
      </c>
      <c r="B166" s="9" t="s">
        <v>9</v>
      </c>
      <c r="C166" s="11" t="s">
        <v>10</v>
      </c>
      <c r="D166" s="12">
        <v>45562</v>
      </c>
      <c r="E166" s="14" t="str">
        <f>+HYPERLINK("http://trademark.i-assist.jp/data/china/image_1905th/79283085.pdf","79283085")</f>
        <v>79283085</v>
      </c>
      <c r="F166" s="13" t="s">
        <v>329</v>
      </c>
      <c r="G166" s="13" t="s">
        <v>328</v>
      </c>
      <c r="H166" s="13" t="s">
        <v>4294</v>
      </c>
      <c r="I166" s="12">
        <v>45461</v>
      </c>
    </row>
    <row r="167" spans="1:9" x14ac:dyDescent="0.15">
      <c r="A167" s="10">
        <v>166</v>
      </c>
      <c r="B167" s="9" t="s">
        <v>9</v>
      </c>
      <c r="C167" s="11" t="s">
        <v>10</v>
      </c>
      <c r="D167" s="12">
        <v>45562</v>
      </c>
      <c r="E167" s="14" t="str">
        <f>+HYPERLINK("http://trademark.i-assist.jp/data/china/image_1905th/79297488.pdf","79297488")</f>
        <v>79297488</v>
      </c>
      <c r="F167" s="13" t="s">
        <v>331</v>
      </c>
      <c r="G167" s="13" t="s">
        <v>330</v>
      </c>
      <c r="H167" s="13" t="s">
        <v>4295</v>
      </c>
      <c r="I167" s="12">
        <v>45462</v>
      </c>
    </row>
    <row r="168" spans="1:9" x14ac:dyDescent="0.15">
      <c r="A168" s="10">
        <v>167</v>
      </c>
      <c r="B168" s="9" t="s">
        <v>9</v>
      </c>
      <c r="C168" s="11" t="s">
        <v>10</v>
      </c>
      <c r="D168" s="12">
        <v>45562</v>
      </c>
      <c r="E168" s="14" t="str">
        <f>+HYPERLINK("http://trademark.i-assist.jp/data/china/image_1905th/79305032.pdf","79305032")</f>
        <v>79305032</v>
      </c>
      <c r="F168" s="13" t="s">
        <v>333</v>
      </c>
      <c r="G168" s="13" t="s">
        <v>332</v>
      </c>
      <c r="H168" s="13" t="s">
        <v>4296</v>
      </c>
      <c r="I168" s="12">
        <v>45462</v>
      </c>
    </row>
    <row r="169" spans="1:9" x14ac:dyDescent="0.15">
      <c r="A169" s="10">
        <v>168</v>
      </c>
      <c r="B169" s="9" t="s">
        <v>9</v>
      </c>
      <c r="C169" s="11" t="s">
        <v>10</v>
      </c>
      <c r="D169" s="12">
        <v>45562</v>
      </c>
      <c r="E169" s="14" t="str">
        <f>+HYPERLINK("http://trademark.i-assist.jp/data/china/image_1905th/78077521.pdf","78077521")</f>
        <v>78077521</v>
      </c>
      <c r="F169" s="13" t="s">
        <v>335</v>
      </c>
      <c r="G169" s="13" t="s">
        <v>334</v>
      </c>
      <c r="H169" s="13" t="s">
        <v>4297</v>
      </c>
      <c r="I169" s="12">
        <v>45401</v>
      </c>
    </row>
    <row r="170" spans="1:9" x14ac:dyDescent="0.15">
      <c r="A170" s="10">
        <v>169</v>
      </c>
      <c r="B170" s="9" t="s">
        <v>9</v>
      </c>
      <c r="C170" s="11" t="s">
        <v>10</v>
      </c>
      <c r="D170" s="12">
        <v>45562</v>
      </c>
      <c r="E170" s="14" t="str">
        <f>+HYPERLINK("http://trademark.i-assist.jp/data/china/image_1905th/78094666.pdf","78094666")</f>
        <v>78094666</v>
      </c>
      <c r="F170" s="13" t="s">
        <v>337</v>
      </c>
      <c r="G170" s="13" t="s">
        <v>336</v>
      </c>
      <c r="H170" s="13" t="s">
        <v>4298</v>
      </c>
      <c r="I170" s="12">
        <v>45401</v>
      </c>
    </row>
    <row r="171" spans="1:9" x14ac:dyDescent="0.15">
      <c r="A171" s="10">
        <v>170</v>
      </c>
      <c r="B171" s="9" t="s">
        <v>9</v>
      </c>
      <c r="C171" s="11" t="s">
        <v>10</v>
      </c>
      <c r="D171" s="12">
        <v>45562</v>
      </c>
      <c r="E171" s="14" t="str">
        <f>+HYPERLINK("http://trademark.i-assist.jp/data/china/image_1905th/78201930.pdf","78201930")</f>
        <v>78201930</v>
      </c>
      <c r="F171" s="13" t="s">
        <v>339</v>
      </c>
      <c r="G171" s="13" t="s">
        <v>338</v>
      </c>
      <c r="H171" s="13" t="s">
        <v>4299</v>
      </c>
      <c r="I171" s="12">
        <v>45406</v>
      </c>
    </row>
    <row r="172" spans="1:9" x14ac:dyDescent="0.15">
      <c r="A172" s="10">
        <v>171</v>
      </c>
      <c r="B172" s="9" t="s">
        <v>9</v>
      </c>
      <c r="C172" s="11" t="s">
        <v>10</v>
      </c>
      <c r="D172" s="12">
        <v>45562</v>
      </c>
      <c r="E172" s="14" t="str">
        <f>+HYPERLINK("http://trademark.i-assist.jp/data/china/image_1905th/79662804.pdf","79662804")</f>
        <v>79662804</v>
      </c>
      <c r="F172" s="13" t="s">
        <v>341</v>
      </c>
      <c r="G172" s="13" t="s">
        <v>340</v>
      </c>
      <c r="H172" s="13" t="s">
        <v>4300</v>
      </c>
      <c r="I172" s="12">
        <v>45481</v>
      </c>
    </row>
    <row r="173" spans="1:9" x14ac:dyDescent="0.15">
      <c r="A173" s="10">
        <v>172</v>
      </c>
      <c r="B173" s="9" t="s">
        <v>9</v>
      </c>
      <c r="C173" s="11" t="s">
        <v>10</v>
      </c>
      <c r="D173" s="12">
        <v>45562</v>
      </c>
      <c r="E173" s="14" t="str">
        <f>+HYPERLINK("http://trademark.i-assist.jp/data/china/image_1905th/79667988.pdf","79667988")</f>
        <v>79667988</v>
      </c>
      <c r="F173" s="13" t="s">
        <v>343</v>
      </c>
      <c r="G173" s="13" t="s">
        <v>342</v>
      </c>
      <c r="H173" s="13" t="s">
        <v>4301</v>
      </c>
      <c r="I173" s="12">
        <v>45481</v>
      </c>
    </row>
    <row r="174" spans="1:9" x14ac:dyDescent="0.15">
      <c r="A174" s="10">
        <v>173</v>
      </c>
      <c r="B174" s="9" t="s">
        <v>9</v>
      </c>
      <c r="C174" s="11" t="s">
        <v>10</v>
      </c>
      <c r="D174" s="12">
        <v>45562</v>
      </c>
      <c r="E174" s="14" t="str">
        <f>+HYPERLINK("http://trademark.i-assist.jp/data/china/image_1905th/79671952.pdf","79671952")</f>
        <v>79671952</v>
      </c>
      <c r="F174" s="13" t="s">
        <v>345</v>
      </c>
      <c r="G174" s="13" t="s">
        <v>344</v>
      </c>
      <c r="H174" s="13" t="s">
        <v>4302</v>
      </c>
      <c r="I174" s="12">
        <v>45481</v>
      </c>
    </row>
    <row r="175" spans="1:9" x14ac:dyDescent="0.15">
      <c r="A175" s="10">
        <v>174</v>
      </c>
      <c r="B175" s="9" t="s">
        <v>9</v>
      </c>
      <c r="C175" s="11" t="s">
        <v>10</v>
      </c>
      <c r="D175" s="12">
        <v>45562</v>
      </c>
      <c r="E175" s="14" t="str">
        <f>+HYPERLINK("http://trademark.i-assist.jp/data/china/image_1905th/79680532.pdf","79680532")</f>
        <v>79680532</v>
      </c>
      <c r="F175" s="13" t="s">
        <v>347</v>
      </c>
      <c r="G175" s="13" t="s">
        <v>346</v>
      </c>
      <c r="H175" s="13" t="s">
        <v>4303</v>
      </c>
      <c r="I175" s="12">
        <v>45482</v>
      </c>
    </row>
    <row r="176" spans="1:9" x14ac:dyDescent="0.15">
      <c r="A176" s="10">
        <v>175</v>
      </c>
      <c r="B176" s="9" t="s">
        <v>9</v>
      </c>
      <c r="C176" s="11" t="s">
        <v>10</v>
      </c>
      <c r="D176" s="12">
        <v>45562</v>
      </c>
      <c r="E176" s="14" t="str">
        <f>+HYPERLINK("http://trademark.i-assist.jp/data/china/image_1905th/79681450.pdf","79681450")</f>
        <v>79681450</v>
      </c>
      <c r="F176" s="13" t="s">
        <v>349</v>
      </c>
      <c r="G176" s="13" t="s">
        <v>348</v>
      </c>
      <c r="H176" s="13" t="s">
        <v>4304</v>
      </c>
      <c r="I176" s="12">
        <v>45482</v>
      </c>
    </row>
    <row r="177" spans="1:9" x14ac:dyDescent="0.15">
      <c r="A177" s="10">
        <v>176</v>
      </c>
      <c r="B177" s="9" t="s">
        <v>9</v>
      </c>
      <c r="C177" s="11" t="s">
        <v>10</v>
      </c>
      <c r="D177" s="12">
        <v>45562</v>
      </c>
      <c r="E177" s="14" t="str">
        <f>+HYPERLINK("http://trademark.i-assist.jp/data/china/image_1905th/79683359.pdf","79683359")</f>
        <v>79683359</v>
      </c>
      <c r="F177" s="13" t="s">
        <v>351</v>
      </c>
      <c r="G177" s="13" t="s">
        <v>350</v>
      </c>
      <c r="H177" s="13" t="s">
        <v>4305</v>
      </c>
      <c r="I177" s="12">
        <v>45482</v>
      </c>
    </row>
    <row r="178" spans="1:9" x14ac:dyDescent="0.15">
      <c r="A178" s="10">
        <v>177</v>
      </c>
      <c r="B178" s="9" t="s">
        <v>9</v>
      </c>
      <c r="C178" s="11" t="s">
        <v>10</v>
      </c>
      <c r="D178" s="12">
        <v>45562</v>
      </c>
      <c r="E178" s="14" t="str">
        <f>+HYPERLINK("http://trademark.i-assist.jp/data/china/image_1905th/79411533.pdf","79411533")</f>
        <v>79411533</v>
      </c>
      <c r="F178" s="13" t="s">
        <v>353</v>
      </c>
      <c r="G178" s="13" t="s">
        <v>352</v>
      </c>
      <c r="H178" s="13" t="s">
        <v>4306</v>
      </c>
      <c r="I178" s="12">
        <v>45468</v>
      </c>
    </row>
    <row r="179" spans="1:9" x14ac:dyDescent="0.15">
      <c r="A179" s="10">
        <v>178</v>
      </c>
      <c r="B179" s="9" t="s">
        <v>9</v>
      </c>
      <c r="C179" s="11" t="s">
        <v>10</v>
      </c>
      <c r="D179" s="12">
        <v>45562</v>
      </c>
      <c r="E179" s="14" t="str">
        <f>+HYPERLINK("http://trademark.i-assist.jp/data/china/image_1905th/79422760.pdf","79422760")</f>
        <v>79422760</v>
      </c>
      <c r="F179" s="13" t="s">
        <v>355</v>
      </c>
      <c r="G179" s="13" t="s">
        <v>354</v>
      </c>
      <c r="H179" s="13" t="s">
        <v>4307</v>
      </c>
      <c r="I179" s="12">
        <v>45468</v>
      </c>
    </row>
    <row r="180" spans="1:9" x14ac:dyDescent="0.15">
      <c r="A180" s="10">
        <v>179</v>
      </c>
      <c r="B180" s="9" t="s">
        <v>9</v>
      </c>
      <c r="C180" s="11" t="s">
        <v>10</v>
      </c>
      <c r="D180" s="12">
        <v>45562</v>
      </c>
      <c r="E180" s="14" t="str">
        <f>+HYPERLINK("http://trademark.i-assist.jp/data/china/image_1905th/79435846.pdf","79435846")</f>
        <v>79435846</v>
      </c>
      <c r="F180" s="13" t="s">
        <v>357</v>
      </c>
      <c r="G180" s="13" t="s">
        <v>356</v>
      </c>
      <c r="H180" s="13" t="s">
        <v>4308</v>
      </c>
      <c r="I180" s="12">
        <v>45468</v>
      </c>
    </row>
    <row r="181" spans="1:9" x14ac:dyDescent="0.15">
      <c r="A181" s="10">
        <v>180</v>
      </c>
      <c r="B181" s="9" t="s">
        <v>9</v>
      </c>
      <c r="C181" s="11" t="s">
        <v>10</v>
      </c>
      <c r="D181" s="12">
        <v>45562</v>
      </c>
      <c r="E181" s="14" t="str">
        <f>+HYPERLINK("http://trademark.i-assist.jp/data/china/image_1905th/79438850.pdf","79438850")</f>
        <v>79438850</v>
      </c>
      <c r="F181" s="13" t="s">
        <v>359</v>
      </c>
      <c r="G181" s="13" t="s">
        <v>358</v>
      </c>
      <c r="H181" s="13" t="s">
        <v>4309</v>
      </c>
      <c r="I181" s="12">
        <v>45469</v>
      </c>
    </row>
    <row r="182" spans="1:9" x14ac:dyDescent="0.15">
      <c r="A182" s="10">
        <v>181</v>
      </c>
      <c r="B182" s="9" t="s">
        <v>9</v>
      </c>
      <c r="C182" s="11" t="s">
        <v>10</v>
      </c>
      <c r="D182" s="12">
        <v>45562</v>
      </c>
      <c r="E182" s="14" t="str">
        <f>+HYPERLINK("http://trademark.i-assist.jp/data/china/image_1905th/79449302.pdf","79449302")</f>
        <v>79449302</v>
      </c>
      <c r="F182" s="13" t="s">
        <v>361</v>
      </c>
      <c r="G182" s="13" t="s">
        <v>360</v>
      </c>
      <c r="H182" s="13" t="s">
        <v>4310</v>
      </c>
      <c r="I182" s="12">
        <v>45469</v>
      </c>
    </row>
    <row r="183" spans="1:9" x14ac:dyDescent="0.15">
      <c r="A183" s="10">
        <v>182</v>
      </c>
      <c r="B183" s="9" t="s">
        <v>9</v>
      </c>
      <c r="C183" s="11" t="s">
        <v>10</v>
      </c>
      <c r="D183" s="12">
        <v>45562</v>
      </c>
      <c r="E183" s="14" t="str">
        <f>+HYPERLINK("http://trademark.i-assist.jp/data/china/image_1905th/79453500.pdf","79453500")</f>
        <v>79453500</v>
      </c>
      <c r="F183" s="13" t="s">
        <v>363</v>
      </c>
      <c r="G183" s="13" t="s">
        <v>362</v>
      </c>
      <c r="H183" s="13" t="s">
        <v>4311</v>
      </c>
      <c r="I183" s="12">
        <v>45469</v>
      </c>
    </row>
    <row r="184" spans="1:9" x14ac:dyDescent="0.15">
      <c r="A184" s="10">
        <v>183</v>
      </c>
      <c r="B184" s="9" t="s">
        <v>9</v>
      </c>
      <c r="C184" s="11" t="s">
        <v>10</v>
      </c>
      <c r="D184" s="12">
        <v>45562</v>
      </c>
      <c r="E184" s="14" t="str">
        <f>+HYPERLINK("http://trademark.i-assist.jp/data/china/image_1905th/79455046.pdf","79455046")</f>
        <v>79455046</v>
      </c>
      <c r="F184" s="13" t="s">
        <v>365</v>
      </c>
      <c r="G184" s="13" t="s">
        <v>364</v>
      </c>
      <c r="H184" s="13" t="s">
        <v>4312</v>
      </c>
      <c r="I184" s="12">
        <v>45469</v>
      </c>
    </row>
    <row r="185" spans="1:9" x14ac:dyDescent="0.15">
      <c r="A185" s="10">
        <v>184</v>
      </c>
      <c r="B185" s="9" t="s">
        <v>9</v>
      </c>
      <c r="C185" s="11" t="s">
        <v>10</v>
      </c>
      <c r="D185" s="12">
        <v>45562</v>
      </c>
      <c r="E185" s="14" t="str">
        <f>+HYPERLINK("http://trademark.i-assist.jp/data/china/image_1905th/79455361.pdf","79455361")</f>
        <v>79455361</v>
      </c>
      <c r="F185" s="13" t="s">
        <v>367</v>
      </c>
      <c r="G185" s="13" t="s">
        <v>366</v>
      </c>
      <c r="H185" s="13" t="s">
        <v>4313</v>
      </c>
      <c r="I185" s="12">
        <v>45469</v>
      </c>
    </row>
    <row r="186" spans="1:9" x14ac:dyDescent="0.15">
      <c r="A186" s="10">
        <v>185</v>
      </c>
      <c r="B186" s="9" t="s">
        <v>9</v>
      </c>
      <c r="C186" s="11" t="s">
        <v>10</v>
      </c>
      <c r="D186" s="12">
        <v>45562</v>
      </c>
      <c r="E186" s="14" t="str">
        <f>+HYPERLINK("http://trademark.i-assist.jp/data/china/image_1905th/79456543.pdf","79456543")</f>
        <v>79456543</v>
      </c>
      <c r="F186" s="13" t="s">
        <v>369</v>
      </c>
      <c r="G186" s="13" t="s">
        <v>368</v>
      </c>
      <c r="H186" s="13" t="s">
        <v>4314</v>
      </c>
      <c r="I186" s="12">
        <v>45469</v>
      </c>
    </row>
    <row r="187" spans="1:9" x14ac:dyDescent="0.15">
      <c r="A187" s="10">
        <v>186</v>
      </c>
      <c r="B187" s="9" t="s">
        <v>9</v>
      </c>
      <c r="C187" s="11" t="s">
        <v>10</v>
      </c>
      <c r="D187" s="12">
        <v>45562</v>
      </c>
      <c r="E187" s="14" t="str">
        <f>+HYPERLINK("http://trademark.i-assist.jp/data/china/image_1905th/79460732.pdf","79460732")</f>
        <v>79460732</v>
      </c>
      <c r="F187" s="13" t="s">
        <v>371</v>
      </c>
      <c r="G187" s="13" t="s">
        <v>370</v>
      </c>
      <c r="H187" s="13" t="s">
        <v>4315</v>
      </c>
      <c r="I187" s="12">
        <v>45469</v>
      </c>
    </row>
    <row r="188" spans="1:9" x14ac:dyDescent="0.15">
      <c r="A188" s="10">
        <v>187</v>
      </c>
      <c r="B188" s="9" t="s">
        <v>9</v>
      </c>
      <c r="C188" s="11" t="s">
        <v>10</v>
      </c>
      <c r="D188" s="12">
        <v>45562</v>
      </c>
      <c r="E188" s="14" t="str">
        <f>+HYPERLINK("http://trademark.i-assist.jp/data/china/image_1905th/79610244.pdf","79610244")</f>
        <v>79610244</v>
      </c>
      <c r="F188" s="13" t="s">
        <v>373</v>
      </c>
      <c r="G188" s="13" t="s">
        <v>372</v>
      </c>
      <c r="H188" s="13" t="s">
        <v>4316</v>
      </c>
      <c r="I188" s="12">
        <v>45477</v>
      </c>
    </row>
    <row r="189" spans="1:9" x14ac:dyDescent="0.15">
      <c r="A189" s="10">
        <v>188</v>
      </c>
      <c r="B189" s="9" t="s">
        <v>9</v>
      </c>
      <c r="C189" s="11" t="s">
        <v>10</v>
      </c>
      <c r="D189" s="12">
        <v>45562</v>
      </c>
      <c r="E189" s="14" t="str">
        <f>+HYPERLINK("http://trademark.i-assist.jp/data/china/image_1905th/79617504.pdf","79617504")</f>
        <v>79617504</v>
      </c>
      <c r="F189" s="13" t="s">
        <v>73</v>
      </c>
      <c r="G189" s="13" t="s">
        <v>374</v>
      </c>
      <c r="H189" s="13" t="s">
        <v>4317</v>
      </c>
      <c r="I189" s="12">
        <v>45477</v>
      </c>
    </row>
    <row r="190" spans="1:9" x14ac:dyDescent="0.15">
      <c r="A190" s="10">
        <v>189</v>
      </c>
      <c r="B190" s="9" t="s">
        <v>9</v>
      </c>
      <c r="C190" s="11" t="s">
        <v>10</v>
      </c>
      <c r="D190" s="12">
        <v>45562</v>
      </c>
      <c r="E190" s="14" t="str">
        <f>+HYPERLINK("http://trademark.i-assist.jp/data/china/image_1905th/79620530.pdf","79620530")</f>
        <v>79620530</v>
      </c>
      <c r="F190" s="13" t="s">
        <v>376</v>
      </c>
      <c r="G190" s="13" t="s">
        <v>375</v>
      </c>
      <c r="H190" s="13" t="s">
        <v>4227</v>
      </c>
      <c r="I190" s="12">
        <v>45477</v>
      </c>
    </row>
    <row r="191" spans="1:9" x14ac:dyDescent="0.15">
      <c r="A191" s="10">
        <v>190</v>
      </c>
      <c r="B191" s="9" t="s">
        <v>9</v>
      </c>
      <c r="C191" s="11" t="s">
        <v>10</v>
      </c>
      <c r="D191" s="12">
        <v>45562</v>
      </c>
      <c r="E191" s="14" t="str">
        <f>+HYPERLINK("http://trademark.i-assist.jp/data/china/image_1905th/79621663.pdf","79621663")</f>
        <v>79621663</v>
      </c>
      <c r="F191" s="13" t="s">
        <v>378</v>
      </c>
      <c r="G191" s="13" t="s">
        <v>377</v>
      </c>
      <c r="H191" s="13" t="s">
        <v>4318</v>
      </c>
      <c r="I191" s="12">
        <v>45477</v>
      </c>
    </row>
    <row r="192" spans="1:9" x14ac:dyDescent="0.15">
      <c r="A192" s="10">
        <v>191</v>
      </c>
      <c r="B192" s="9" t="s">
        <v>9</v>
      </c>
      <c r="C192" s="11" t="s">
        <v>10</v>
      </c>
      <c r="D192" s="12">
        <v>45562</v>
      </c>
      <c r="E192" s="14" t="str">
        <f>+HYPERLINK("http://trademark.i-assist.jp/data/china/image_1905th/79625853.pdf","79625853")</f>
        <v>79625853</v>
      </c>
      <c r="F192" s="13" t="s">
        <v>380</v>
      </c>
      <c r="G192" s="13" t="s">
        <v>379</v>
      </c>
      <c r="H192" s="13" t="s">
        <v>4162</v>
      </c>
      <c r="I192" s="12">
        <v>45478</v>
      </c>
    </row>
    <row r="193" spans="1:9" x14ac:dyDescent="0.15">
      <c r="A193" s="10">
        <v>192</v>
      </c>
      <c r="B193" s="9" t="s">
        <v>9</v>
      </c>
      <c r="C193" s="11" t="s">
        <v>10</v>
      </c>
      <c r="D193" s="12">
        <v>45562</v>
      </c>
      <c r="E193" s="14" t="str">
        <f>+HYPERLINK("http://trademark.i-assist.jp/data/china/image_1905th/79632070.pdf","79632070")</f>
        <v>79632070</v>
      </c>
      <c r="F193" s="13" t="s">
        <v>382</v>
      </c>
      <c r="G193" s="13" t="s">
        <v>381</v>
      </c>
      <c r="H193" s="13" t="s">
        <v>4319</v>
      </c>
      <c r="I193" s="12">
        <v>45478</v>
      </c>
    </row>
    <row r="194" spans="1:9" x14ac:dyDescent="0.15">
      <c r="A194" s="10">
        <v>193</v>
      </c>
      <c r="B194" s="9" t="s">
        <v>9</v>
      </c>
      <c r="C194" s="11" t="s">
        <v>10</v>
      </c>
      <c r="D194" s="12">
        <v>45562</v>
      </c>
      <c r="E194" s="14" t="str">
        <f>+HYPERLINK("http://trademark.i-assist.jp/data/china/image_1905th/79320465.pdf","79320465")</f>
        <v>79320465</v>
      </c>
      <c r="F194" s="13" t="s">
        <v>384</v>
      </c>
      <c r="G194" s="13" t="s">
        <v>383</v>
      </c>
      <c r="H194" s="13" t="s">
        <v>4320</v>
      </c>
      <c r="I194" s="12">
        <v>45462</v>
      </c>
    </row>
    <row r="195" spans="1:9" x14ac:dyDescent="0.15">
      <c r="A195" s="10">
        <v>194</v>
      </c>
      <c r="B195" s="9" t="s">
        <v>9</v>
      </c>
      <c r="C195" s="11" t="s">
        <v>10</v>
      </c>
      <c r="D195" s="12">
        <v>45562</v>
      </c>
      <c r="E195" s="14" t="str">
        <f>+HYPERLINK("http://trademark.i-assist.jp/data/china/image_1905th/79324359.pdf","79324359")</f>
        <v>79324359</v>
      </c>
      <c r="F195" s="13" t="s">
        <v>73</v>
      </c>
      <c r="G195" s="13" t="s">
        <v>385</v>
      </c>
      <c r="H195" s="13" t="s">
        <v>4321</v>
      </c>
      <c r="I195" s="12">
        <v>45463</v>
      </c>
    </row>
    <row r="196" spans="1:9" x14ac:dyDescent="0.15">
      <c r="A196" s="10">
        <v>195</v>
      </c>
      <c r="B196" s="9" t="s">
        <v>9</v>
      </c>
      <c r="C196" s="11" t="s">
        <v>10</v>
      </c>
      <c r="D196" s="12">
        <v>45562</v>
      </c>
      <c r="E196" s="14" t="str">
        <f>+HYPERLINK("http://trademark.i-assist.jp/data/china/image_1905th/79353637.pdf","79353637")</f>
        <v>79353637</v>
      </c>
      <c r="F196" s="13" t="s">
        <v>387</v>
      </c>
      <c r="G196" s="13" t="s">
        <v>386</v>
      </c>
      <c r="H196" s="13" t="s">
        <v>4322</v>
      </c>
      <c r="I196" s="12">
        <v>45464</v>
      </c>
    </row>
    <row r="197" spans="1:9" x14ac:dyDescent="0.15">
      <c r="A197" s="10">
        <v>196</v>
      </c>
      <c r="B197" s="9" t="s">
        <v>9</v>
      </c>
      <c r="C197" s="11" t="s">
        <v>10</v>
      </c>
      <c r="D197" s="12">
        <v>45562</v>
      </c>
      <c r="E197" s="14" t="str">
        <f>+HYPERLINK("http://trademark.i-assist.jp/data/china/image_1905th/79364831.pdf","79364831")</f>
        <v>79364831</v>
      </c>
      <c r="F197" s="13" t="s">
        <v>389</v>
      </c>
      <c r="G197" s="13" t="s">
        <v>388</v>
      </c>
      <c r="H197" s="13" t="s">
        <v>4323</v>
      </c>
      <c r="I197" s="12">
        <v>45464</v>
      </c>
    </row>
    <row r="198" spans="1:9" x14ac:dyDescent="0.15">
      <c r="A198" s="10">
        <v>197</v>
      </c>
      <c r="B198" s="9" t="s">
        <v>9</v>
      </c>
      <c r="C198" s="11" t="s">
        <v>10</v>
      </c>
      <c r="D198" s="12">
        <v>45562</v>
      </c>
      <c r="E198" s="14" t="str">
        <f>+HYPERLINK("http://trademark.i-assist.jp/data/china/image_1905th/79379529.pdf","79379529")</f>
        <v>79379529</v>
      </c>
      <c r="F198" s="13" t="s">
        <v>73</v>
      </c>
      <c r="G198" s="13" t="s">
        <v>390</v>
      </c>
      <c r="H198" s="13" t="s">
        <v>4324</v>
      </c>
      <c r="I198" s="12">
        <v>45465</v>
      </c>
    </row>
    <row r="199" spans="1:9" x14ac:dyDescent="0.15">
      <c r="A199" s="10">
        <v>198</v>
      </c>
      <c r="B199" s="9" t="s">
        <v>9</v>
      </c>
      <c r="C199" s="11" t="s">
        <v>10</v>
      </c>
      <c r="D199" s="12">
        <v>45562</v>
      </c>
      <c r="E199" s="14" t="str">
        <f>+HYPERLINK("http://trademark.i-assist.jp/data/china/image_1905th/79381540.pdf","79381540")</f>
        <v>79381540</v>
      </c>
      <c r="F199" s="13" t="s">
        <v>392</v>
      </c>
      <c r="G199" s="13" t="s">
        <v>391</v>
      </c>
      <c r="H199" s="13" t="s">
        <v>4325</v>
      </c>
      <c r="I199" s="12">
        <v>45466</v>
      </c>
    </row>
    <row r="200" spans="1:9" x14ac:dyDescent="0.15">
      <c r="A200" s="10">
        <v>199</v>
      </c>
      <c r="B200" s="9" t="s">
        <v>9</v>
      </c>
      <c r="C200" s="11" t="s">
        <v>10</v>
      </c>
      <c r="D200" s="12">
        <v>45562</v>
      </c>
      <c r="E200" s="14" t="str">
        <f>+HYPERLINK("http://trademark.i-assist.jp/data/china/image_1905th/79385451.pdf","79385451")</f>
        <v>79385451</v>
      </c>
      <c r="F200" s="13" t="s">
        <v>394</v>
      </c>
      <c r="G200" s="13" t="s">
        <v>393</v>
      </c>
      <c r="H200" s="13" t="s">
        <v>4326</v>
      </c>
      <c r="I200" s="12">
        <v>45467</v>
      </c>
    </row>
    <row r="201" spans="1:9" x14ac:dyDescent="0.15">
      <c r="A201" s="10">
        <v>200</v>
      </c>
      <c r="B201" s="9" t="s">
        <v>9</v>
      </c>
      <c r="C201" s="11" t="s">
        <v>10</v>
      </c>
      <c r="D201" s="12">
        <v>45562</v>
      </c>
      <c r="E201" s="14" t="str">
        <f>+HYPERLINK("http://trademark.i-assist.jp/data/china/image_1905th/79387506.pdf","79387506")</f>
        <v>79387506</v>
      </c>
      <c r="F201" s="13" t="s">
        <v>396</v>
      </c>
      <c r="G201" s="13" t="s">
        <v>395</v>
      </c>
      <c r="H201" s="13" t="s">
        <v>4327</v>
      </c>
      <c r="I201" s="12">
        <v>45467</v>
      </c>
    </row>
    <row r="202" spans="1:9" x14ac:dyDescent="0.15">
      <c r="A202" s="10">
        <v>201</v>
      </c>
      <c r="B202" s="9" t="s">
        <v>9</v>
      </c>
      <c r="C202" s="11" t="s">
        <v>10</v>
      </c>
      <c r="D202" s="12">
        <v>45562</v>
      </c>
      <c r="E202" s="14" t="str">
        <f>+HYPERLINK("http://trademark.i-assist.jp/data/china/image_1905th/79487205.pdf","79487205")</f>
        <v>79487205</v>
      </c>
      <c r="F202" s="13" t="s">
        <v>73</v>
      </c>
      <c r="G202" s="13" t="s">
        <v>397</v>
      </c>
      <c r="H202" s="13" t="s">
        <v>4328</v>
      </c>
      <c r="I202" s="12">
        <v>45470</v>
      </c>
    </row>
    <row r="203" spans="1:9" x14ac:dyDescent="0.15">
      <c r="A203" s="10">
        <v>202</v>
      </c>
      <c r="B203" s="9" t="s">
        <v>9</v>
      </c>
      <c r="C203" s="11" t="s">
        <v>10</v>
      </c>
      <c r="D203" s="12">
        <v>45562</v>
      </c>
      <c r="E203" s="14" t="str">
        <f>+HYPERLINK("http://trademark.i-assist.jp/data/china/image_1905th/79487286.pdf","79487286")</f>
        <v>79487286</v>
      </c>
      <c r="F203" s="13" t="s">
        <v>399</v>
      </c>
      <c r="G203" s="13" t="s">
        <v>398</v>
      </c>
      <c r="H203" s="13" t="s">
        <v>4329</v>
      </c>
      <c r="I203" s="12">
        <v>45470</v>
      </c>
    </row>
    <row r="204" spans="1:9" x14ac:dyDescent="0.15">
      <c r="A204" s="10">
        <v>203</v>
      </c>
      <c r="B204" s="9" t="s">
        <v>9</v>
      </c>
      <c r="C204" s="11" t="s">
        <v>10</v>
      </c>
      <c r="D204" s="12">
        <v>45562</v>
      </c>
      <c r="E204" s="14" t="str">
        <f>+HYPERLINK("http://trademark.i-assist.jp/data/china/image_1905th/79489783.pdf","79489783")</f>
        <v>79489783</v>
      </c>
      <c r="F204" s="13" t="s">
        <v>401</v>
      </c>
      <c r="G204" s="13" t="s">
        <v>400</v>
      </c>
      <c r="H204" s="13" t="s">
        <v>4330</v>
      </c>
      <c r="I204" s="12">
        <v>45471</v>
      </c>
    </row>
    <row r="205" spans="1:9" x14ac:dyDescent="0.15">
      <c r="A205" s="10">
        <v>204</v>
      </c>
      <c r="B205" s="9" t="s">
        <v>9</v>
      </c>
      <c r="C205" s="11" t="s">
        <v>10</v>
      </c>
      <c r="D205" s="12">
        <v>45562</v>
      </c>
      <c r="E205" s="14" t="str">
        <f>+HYPERLINK("http://trademark.i-assist.jp/data/china/image_1905th/79492608.pdf","79492608")</f>
        <v>79492608</v>
      </c>
      <c r="F205" s="13" t="s">
        <v>403</v>
      </c>
      <c r="G205" s="13" t="s">
        <v>402</v>
      </c>
      <c r="H205" s="13" t="s">
        <v>4331</v>
      </c>
      <c r="I205" s="12">
        <v>45471</v>
      </c>
    </row>
    <row r="206" spans="1:9" x14ac:dyDescent="0.15">
      <c r="A206" s="10">
        <v>205</v>
      </c>
      <c r="B206" s="9" t="s">
        <v>9</v>
      </c>
      <c r="C206" s="11" t="s">
        <v>10</v>
      </c>
      <c r="D206" s="12">
        <v>45562</v>
      </c>
      <c r="E206" s="14" t="str">
        <f>+HYPERLINK("http://trademark.i-assist.jp/data/china/image_1905th/79494610.pdf","79494610")</f>
        <v>79494610</v>
      </c>
      <c r="F206" s="13" t="s">
        <v>405</v>
      </c>
      <c r="G206" s="13" t="s">
        <v>404</v>
      </c>
      <c r="H206" s="13" t="s">
        <v>4332</v>
      </c>
      <c r="I206" s="12">
        <v>45471</v>
      </c>
    </row>
    <row r="207" spans="1:9" x14ac:dyDescent="0.15">
      <c r="A207" s="10">
        <v>206</v>
      </c>
      <c r="B207" s="9" t="s">
        <v>9</v>
      </c>
      <c r="C207" s="11" t="s">
        <v>10</v>
      </c>
      <c r="D207" s="12">
        <v>45562</v>
      </c>
      <c r="E207" s="14" t="str">
        <f>+HYPERLINK("http://trademark.i-assist.jp/data/china/image_1905th/79494740.pdf","79494740")</f>
        <v>79494740</v>
      </c>
      <c r="F207" s="13" t="s">
        <v>407</v>
      </c>
      <c r="G207" s="13" t="s">
        <v>406</v>
      </c>
      <c r="H207" s="13" t="s">
        <v>4212</v>
      </c>
      <c r="I207" s="12">
        <v>45471</v>
      </c>
    </row>
    <row r="208" spans="1:9" x14ac:dyDescent="0.15">
      <c r="A208" s="10">
        <v>207</v>
      </c>
      <c r="B208" s="9" t="s">
        <v>9</v>
      </c>
      <c r="C208" s="11" t="s">
        <v>10</v>
      </c>
      <c r="D208" s="12">
        <v>45562</v>
      </c>
      <c r="E208" s="14" t="str">
        <f>+HYPERLINK("http://trademark.i-assist.jp/data/china/image_1905th/79496387.pdf","79496387")</f>
        <v>79496387</v>
      </c>
      <c r="F208" s="13" t="s">
        <v>409</v>
      </c>
      <c r="G208" s="13" t="s">
        <v>408</v>
      </c>
      <c r="H208" s="13" t="s">
        <v>4333</v>
      </c>
      <c r="I208" s="12">
        <v>45471</v>
      </c>
    </row>
    <row r="209" spans="1:9" x14ac:dyDescent="0.15">
      <c r="A209" s="10">
        <v>208</v>
      </c>
      <c r="B209" s="9" t="s">
        <v>9</v>
      </c>
      <c r="C209" s="11" t="s">
        <v>10</v>
      </c>
      <c r="D209" s="12">
        <v>45562</v>
      </c>
      <c r="E209" s="14" t="str">
        <f>+HYPERLINK("http://trademark.i-assist.jp/data/china/image_1905th/79497179.pdf","79497179")</f>
        <v>79497179</v>
      </c>
      <c r="F209" s="13" t="s">
        <v>411</v>
      </c>
      <c r="G209" s="13" t="s">
        <v>410</v>
      </c>
      <c r="H209" s="13" t="s">
        <v>4334</v>
      </c>
      <c r="I209" s="12">
        <v>45471</v>
      </c>
    </row>
    <row r="210" spans="1:9" x14ac:dyDescent="0.15">
      <c r="A210" s="10">
        <v>209</v>
      </c>
      <c r="B210" s="9" t="s">
        <v>9</v>
      </c>
      <c r="C210" s="11" t="s">
        <v>10</v>
      </c>
      <c r="D210" s="12">
        <v>45562</v>
      </c>
      <c r="E210" s="14" t="str">
        <f>+HYPERLINK("http://trademark.i-assist.jp/data/china/image_1905th/79499951.pdf","79499951")</f>
        <v>79499951</v>
      </c>
      <c r="F210" s="13" t="s">
        <v>412</v>
      </c>
      <c r="G210" s="13" t="s">
        <v>408</v>
      </c>
      <c r="H210" s="13" t="s">
        <v>4333</v>
      </c>
      <c r="I210" s="12">
        <v>45471</v>
      </c>
    </row>
    <row r="211" spans="1:9" x14ac:dyDescent="0.15">
      <c r="A211" s="10">
        <v>210</v>
      </c>
      <c r="B211" s="9" t="s">
        <v>9</v>
      </c>
      <c r="C211" s="11" t="s">
        <v>10</v>
      </c>
      <c r="D211" s="12">
        <v>45562</v>
      </c>
      <c r="E211" s="14" t="str">
        <f>+HYPERLINK("http://trademark.i-assist.jp/data/china/image_1905th/79500191.pdf","79500191")</f>
        <v>79500191</v>
      </c>
      <c r="F211" s="13" t="s">
        <v>414</v>
      </c>
      <c r="G211" s="13" t="s">
        <v>413</v>
      </c>
      <c r="H211" s="13" t="s">
        <v>4335</v>
      </c>
      <c r="I211" s="12">
        <v>45471</v>
      </c>
    </row>
    <row r="212" spans="1:9" x14ac:dyDescent="0.15">
      <c r="A212" s="10">
        <v>211</v>
      </c>
      <c r="B212" s="9" t="s">
        <v>9</v>
      </c>
      <c r="C212" s="11" t="s">
        <v>10</v>
      </c>
      <c r="D212" s="12">
        <v>45562</v>
      </c>
      <c r="E212" s="14" t="str">
        <f>+HYPERLINK("http://trademark.i-assist.jp/data/china/image_1905th/79502492.pdf","79502492")</f>
        <v>79502492</v>
      </c>
      <c r="F212" s="13" t="s">
        <v>416</v>
      </c>
      <c r="G212" s="13" t="s">
        <v>415</v>
      </c>
      <c r="H212" s="13" t="s">
        <v>4336</v>
      </c>
      <c r="I212" s="12">
        <v>45471</v>
      </c>
    </row>
    <row r="213" spans="1:9" x14ac:dyDescent="0.15">
      <c r="A213" s="10">
        <v>212</v>
      </c>
      <c r="B213" s="9" t="s">
        <v>9</v>
      </c>
      <c r="C213" s="11" t="s">
        <v>10</v>
      </c>
      <c r="D213" s="12">
        <v>45562</v>
      </c>
      <c r="E213" s="14" t="str">
        <f>+HYPERLINK("http://trademark.i-assist.jp/data/china/image_1905th/79642026.pdf","79642026")</f>
        <v>79642026</v>
      </c>
      <c r="F213" s="13" t="s">
        <v>418</v>
      </c>
      <c r="G213" s="13" t="s">
        <v>417</v>
      </c>
      <c r="H213" s="13" t="s">
        <v>4227</v>
      </c>
      <c r="I213" s="12">
        <v>45478</v>
      </c>
    </row>
    <row r="214" spans="1:9" x14ac:dyDescent="0.15">
      <c r="A214" s="10">
        <v>213</v>
      </c>
      <c r="B214" s="9" t="s">
        <v>9</v>
      </c>
      <c r="C214" s="11" t="s">
        <v>10</v>
      </c>
      <c r="D214" s="12">
        <v>45562</v>
      </c>
      <c r="E214" s="14" t="str">
        <f>+HYPERLINK("http://trademark.i-assist.jp/data/china/image_1905th/79645620.pdf","79645620")</f>
        <v>79645620</v>
      </c>
      <c r="F214" s="13" t="s">
        <v>420</v>
      </c>
      <c r="G214" s="13" t="s">
        <v>419</v>
      </c>
      <c r="H214" s="13" t="s">
        <v>4337</v>
      </c>
      <c r="I214" s="12">
        <v>45478</v>
      </c>
    </row>
    <row r="215" spans="1:9" x14ac:dyDescent="0.15">
      <c r="A215" s="10">
        <v>214</v>
      </c>
      <c r="B215" s="9" t="s">
        <v>9</v>
      </c>
      <c r="C215" s="11" t="s">
        <v>10</v>
      </c>
      <c r="D215" s="12">
        <v>45562</v>
      </c>
      <c r="E215" s="14" t="str">
        <f>+HYPERLINK("http://trademark.i-assist.jp/data/china/image_1905th/79646477.pdf","79646477")</f>
        <v>79646477</v>
      </c>
      <c r="F215" s="13" t="s">
        <v>422</v>
      </c>
      <c r="G215" s="13" t="s">
        <v>421</v>
      </c>
      <c r="H215" s="13" t="s">
        <v>4338</v>
      </c>
      <c r="I215" s="12">
        <v>45478</v>
      </c>
    </row>
    <row r="216" spans="1:9" x14ac:dyDescent="0.15">
      <c r="A216" s="10">
        <v>215</v>
      </c>
      <c r="B216" s="9" t="s">
        <v>9</v>
      </c>
      <c r="C216" s="11" t="s">
        <v>10</v>
      </c>
      <c r="D216" s="12">
        <v>45562</v>
      </c>
      <c r="E216" s="14" t="str">
        <f>+HYPERLINK("http://trademark.i-assist.jp/data/china/image_1905th/79648897.pdf","79648897")</f>
        <v>79648897</v>
      </c>
      <c r="F216" s="13" t="s">
        <v>73</v>
      </c>
      <c r="G216" s="13" t="s">
        <v>423</v>
      </c>
      <c r="H216" s="13" t="s">
        <v>4339</v>
      </c>
      <c r="I216" s="12">
        <v>45479</v>
      </c>
    </row>
    <row r="217" spans="1:9" x14ac:dyDescent="0.15">
      <c r="A217" s="10">
        <v>216</v>
      </c>
      <c r="B217" s="9" t="s">
        <v>9</v>
      </c>
      <c r="C217" s="11" t="s">
        <v>10</v>
      </c>
      <c r="D217" s="12">
        <v>45562</v>
      </c>
      <c r="E217" s="14" t="str">
        <f>+HYPERLINK("http://trademark.i-assist.jp/data/china/image_1905th/79652990.pdf","79652990")</f>
        <v>79652990</v>
      </c>
      <c r="F217" s="13" t="s">
        <v>424</v>
      </c>
      <c r="G217" s="13" t="s">
        <v>128</v>
      </c>
      <c r="H217" s="13" t="s">
        <v>4204</v>
      </c>
      <c r="I217" s="12">
        <v>45480</v>
      </c>
    </row>
    <row r="218" spans="1:9" x14ac:dyDescent="0.15">
      <c r="A218" s="10">
        <v>217</v>
      </c>
      <c r="B218" s="9" t="s">
        <v>9</v>
      </c>
      <c r="C218" s="11" t="s">
        <v>10</v>
      </c>
      <c r="D218" s="12">
        <v>45562</v>
      </c>
      <c r="E218" s="14" t="str">
        <f>+HYPERLINK("http://trademark.i-assist.jp/data/china/image_1905th/79655966.pdf","79655966")</f>
        <v>79655966</v>
      </c>
      <c r="F218" s="13" t="s">
        <v>426</v>
      </c>
      <c r="G218" s="13" t="s">
        <v>425</v>
      </c>
      <c r="H218" s="13" t="s">
        <v>4340</v>
      </c>
      <c r="I218" s="12">
        <v>45480</v>
      </c>
    </row>
    <row r="219" spans="1:9" x14ac:dyDescent="0.15">
      <c r="A219" s="10">
        <v>218</v>
      </c>
      <c r="B219" s="9" t="s">
        <v>9</v>
      </c>
      <c r="C219" s="11" t="s">
        <v>10</v>
      </c>
      <c r="D219" s="12">
        <v>45562</v>
      </c>
      <c r="E219" s="14" t="str">
        <f>+HYPERLINK("http://trademark.i-assist.jp/data/china/image_1905th/79656139.pdf","79656139")</f>
        <v>79656139</v>
      </c>
      <c r="F219" s="13" t="s">
        <v>428</v>
      </c>
      <c r="G219" s="13" t="s">
        <v>427</v>
      </c>
      <c r="H219" s="13" t="s">
        <v>4341</v>
      </c>
      <c r="I219" s="12">
        <v>45481</v>
      </c>
    </row>
    <row r="220" spans="1:9" x14ac:dyDescent="0.15">
      <c r="A220" s="10">
        <v>219</v>
      </c>
      <c r="B220" s="9" t="s">
        <v>9</v>
      </c>
      <c r="C220" s="11" t="s">
        <v>10</v>
      </c>
      <c r="D220" s="12">
        <v>45562</v>
      </c>
      <c r="E220" s="14" t="str">
        <f>+HYPERLINK("http://trademark.i-assist.jp/data/china/image_1905th/79657299.pdf","79657299")</f>
        <v>79657299</v>
      </c>
      <c r="F220" s="13" t="s">
        <v>430</v>
      </c>
      <c r="G220" s="13" t="s">
        <v>429</v>
      </c>
      <c r="H220" s="13" t="s">
        <v>4342</v>
      </c>
      <c r="I220" s="12">
        <v>45481</v>
      </c>
    </row>
    <row r="221" spans="1:9" x14ac:dyDescent="0.15">
      <c r="A221" s="10">
        <v>220</v>
      </c>
      <c r="B221" s="9" t="s">
        <v>9</v>
      </c>
      <c r="C221" s="11" t="s">
        <v>10</v>
      </c>
      <c r="D221" s="12">
        <v>45562</v>
      </c>
      <c r="E221" s="14" t="str">
        <f>+HYPERLINK("http://trademark.i-assist.jp/data/china/image_1905th/79531281.pdf","79531281")</f>
        <v>79531281</v>
      </c>
      <c r="F221" s="13" t="s">
        <v>432</v>
      </c>
      <c r="G221" s="13" t="s">
        <v>431</v>
      </c>
      <c r="H221" s="13" t="s">
        <v>4343</v>
      </c>
      <c r="I221" s="12">
        <v>45474</v>
      </c>
    </row>
    <row r="222" spans="1:9" x14ac:dyDescent="0.15">
      <c r="A222" s="10">
        <v>221</v>
      </c>
      <c r="B222" s="9" t="s">
        <v>9</v>
      </c>
      <c r="C222" s="11" t="s">
        <v>10</v>
      </c>
      <c r="D222" s="12">
        <v>45562</v>
      </c>
      <c r="E222" s="14" t="str">
        <f>+HYPERLINK("http://trademark.i-assist.jp/data/china/image_1905th/79532091.pdf","79532091")</f>
        <v>79532091</v>
      </c>
      <c r="F222" s="13" t="s">
        <v>433</v>
      </c>
      <c r="G222" s="13" t="s">
        <v>306</v>
      </c>
      <c r="H222" s="13" t="s">
        <v>4227</v>
      </c>
      <c r="I222" s="12">
        <v>45474</v>
      </c>
    </row>
    <row r="223" spans="1:9" x14ac:dyDescent="0.15">
      <c r="A223" s="10">
        <v>222</v>
      </c>
      <c r="B223" s="9" t="s">
        <v>9</v>
      </c>
      <c r="C223" s="11" t="s">
        <v>10</v>
      </c>
      <c r="D223" s="12">
        <v>45562</v>
      </c>
      <c r="E223" s="14" t="str">
        <f>+HYPERLINK("http://trademark.i-assist.jp/data/china/image_1905th/79535980.pdf","79535980")</f>
        <v>79535980</v>
      </c>
      <c r="F223" s="13" t="s">
        <v>435</v>
      </c>
      <c r="G223" s="13" t="s">
        <v>434</v>
      </c>
      <c r="H223" s="13" t="s">
        <v>4150</v>
      </c>
      <c r="I223" s="12">
        <v>45474</v>
      </c>
    </row>
    <row r="224" spans="1:9" x14ac:dyDescent="0.15">
      <c r="A224" s="10">
        <v>223</v>
      </c>
      <c r="B224" s="9" t="s">
        <v>9</v>
      </c>
      <c r="C224" s="11" t="s">
        <v>10</v>
      </c>
      <c r="D224" s="12">
        <v>45562</v>
      </c>
      <c r="E224" s="14" t="str">
        <f>+HYPERLINK("http://trademark.i-assist.jp/data/china/image_1905th/79536554.pdf","79536554")</f>
        <v>79536554</v>
      </c>
      <c r="F224" s="13" t="s">
        <v>437</v>
      </c>
      <c r="G224" s="13" t="s">
        <v>436</v>
      </c>
      <c r="H224" s="13" t="s">
        <v>4344</v>
      </c>
      <c r="I224" s="12">
        <v>45474</v>
      </c>
    </row>
    <row r="225" spans="1:9" x14ac:dyDescent="0.15">
      <c r="A225" s="10">
        <v>224</v>
      </c>
      <c r="B225" s="9" t="s">
        <v>9</v>
      </c>
      <c r="C225" s="11" t="s">
        <v>10</v>
      </c>
      <c r="D225" s="12">
        <v>45562</v>
      </c>
      <c r="E225" s="14" t="str">
        <f>+HYPERLINK("http://trademark.i-assist.jp/data/china/image_1905th/79544667.pdf","79544667")</f>
        <v>79544667</v>
      </c>
      <c r="F225" s="13" t="s">
        <v>438</v>
      </c>
      <c r="G225" s="13" t="s">
        <v>436</v>
      </c>
      <c r="H225" s="13" t="s">
        <v>4344</v>
      </c>
      <c r="I225" s="12">
        <v>45474</v>
      </c>
    </row>
    <row r="226" spans="1:9" x14ac:dyDescent="0.15">
      <c r="A226" s="10">
        <v>225</v>
      </c>
      <c r="B226" s="9" t="s">
        <v>9</v>
      </c>
      <c r="C226" s="11" t="s">
        <v>10</v>
      </c>
      <c r="D226" s="12">
        <v>45562</v>
      </c>
      <c r="E226" s="14" t="str">
        <f>+HYPERLINK("http://trademark.i-assist.jp/data/china/image_1905th/79545393.pdf","79545393")</f>
        <v>79545393</v>
      </c>
      <c r="F226" s="13" t="s">
        <v>439</v>
      </c>
      <c r="G226" s="13" t="s">
        <v>17</v>
      </c>
      <c r="H226" s="13" t="s">
        <v>4345</v>
      </c>
      <c r="I226" s="12">
        <v>45474</v>
      </c>
    </row>
    <row r="227" spans="1:9" x14ac:dyDescent="0.15">
      <c r="A227" s="10">
        <v>226</v>
      </c>
      <c r="B227" s="9" t="s">
        <v>9</v>
      </c>
      <c r="C227" s="11" t="s">
        <v>10</v>
      </c>
      <c r="D227" s="12">
        <v>45562</v>
      </c>
      <c r="E227" s="14" t="str">
        <f>+HYPERLINK("http://trademark.i-assist.jp/data/china/image_1905th/79559851.pdf","79559851")</f>
        <v>79559851</v>
      </c>
      <c r="F227" s="13" t="s">
        <v>441</v>
      </c>
      <c r="G227" s="13" t="s">
        <v>440</v>
      </c>
      <c r="H227" s="13" t="s">
        <v>4346</v>
      </c>
      <c r="I227" s="12">
        <v>45475</v>
      </c>
    </row>
    <row r="228" spans="1:9" x14ac:dyDescent="0.15">
      <c r="A228" s="10">
        <v>227</v>
      </c>
      <c r="B228" s="9" t="s">
        <v>9</v>
      </c>
      <c r="C228" s="11" t="s">
        <v>10</v>
      </c>
      <c r="D228" s="12">
        <v>45562</v>
      </c>
      <c r="E228" s="14" t="str">
        <f>+HYPERLINK("http://trademark.i-assist.jp/data/china/image_1905th/79561856.pdf","79561856")</f>
        <v>79561856</v>
      </c>
      <c r="F228" s="13" t="s">
        <v>443</v>
      </c>
      <c r="G228" s="13" t="s">
        <v>442</v>
      </c>
      <c r="H228" s="13" t="s">
        <v>4347</v>
      </c>
      <c r="I228" s="12">
        <v>45475</v>
      </c>
    </row>
    <row r="229" spans="1:9" x14ac:dyDescent="0.15">
      <c r="A229" s="10">
        <v>228</v>
      </c>
      <c r="B229" s="9" t="s">
        <v>9</v>
      </c>
      <c r="C229" s="11" t="s">
        <v>10</v>
      </c>
      <c r="D229" s="12">
        <v>45562</v>
      </c>
      <c r="E229" s="14" t="str">
        <f>+HYPERLINK("http://trademark.i-assist.jp/data/china/image_1905th/79566149.pdf","79566149")</f>
        <v>79566149</v>
      </c>
      <c r="F229" s="13" t="s">
        <v>445</v>
      </c>
      <c r="G229" s="13" t="s">
        <v>444</v>
      </c>
      <c r="H229" s="13" t="s">
        <v>4348</v>
      </c>
      <c r="I229" s="12">
        <v>45475</v>
      </c>
    </row>
    <row r="230" spans="1:9" x14ac:dyDescent="0.15">
      <c r="A230" s="10">
        <v>229</v>
      </c>
      <c r="B230" s="9" t="s">
        <v>9</v>
      </c>
      <c r="C230" s="11" t="s">
        <v>10</v>
      </c>
      <c r="D230" s="12">
        <v>45562</v>
      </c>
      <c r="E230" s="14" t="str">
        <f>+HYPERLINK("http://trademark.i-assist.jp/data/china/image_1905th/79571362.pdf","79571362")</f>
        <v>79571362</v>
      </c>
      <c r="F230" s="13" t="s">
        <v>447</v>
      </c>
      <c r="G230" s="13" t="s">
        <v>446</v>
      </c>
      <c r="H230" s="13" t="s">
        <v>4349</v>
      </c>
      <c r="I230" s="12">
        <v>45475</v>
      </c>
    </row>
    <row r="231" spans="1:9" x14ac:dyDescent="0.15">
      <c r="A231" s="10">
        <v>230</v>
      </c>
      <c r="B231" s="9" t="s">
        <v>9</v>
      </c>
      <c r="C231" s="11" t="s">
        <v>10</v>
      </c>
      <c r="D231" s="12">
        <v>45562</v>
      </c>
      <c r="E231" s="14" t="str">
        <f>+HYPERLINK("http://trademark.i-assist.jp/data/china/image_1905th/79580499.pdf","79580499")</f>
        <v>79580499</v>
      </c>
      <c r="F231" s="13" t="s">
        <v>449</v>
      </c>
      <c r="G231" s="13" t="s">
        <v>448</v>
      </c>
      <c r="H231" s="13" t="s">
        <v>4350</v>
      </c>
      <c r="I231" s="12">
        <v>45476</v>
      </c>
    </row>
    <row r="232" spans="1:9" x14ac:dyDescent="0.15">
      <c r="A232" s="10">
        <v>231</v>
      </c>
      <c r="B232" s="9" t="s">
        <v>9</v>
      </c>
      <c r="C232" s="11" t="s">
        <v>10</v>
      </c>
      <c r="D232" s="12">
        <v>45562</v>
      </c>
      <c r="E232" s="14" t="str">
        <f>+HYPERLINK("http://trademark.i-assist.jp/data/china/image_1905th/79586424.pdf","79586424")</f>
        <v>79586424</v>
      </c>
      <c r="F232" s="13" t="s">
        <v>451</v>
      </c>
      <c r="G232" s="13" t="s">
        <v>450</v>
      </c>
      <c r="H232" s="13" t="s">
        <v>4351</v>
      </c>
      <c r="I232" s="12">
        <v>45476</v>
      </c>
    </row>
    <row r="233" spans="1:9" x14ac:dyDescent="0.15">
      <c r="A233" s="10">
        <v>232</v>
      </c>
      <c r="B233" s="9" t="s">
        <v>9</v>
      </c>
      <c r="C233" s="11" t="s">
        <v>10</v>
      </c>
      <c r="D233" s="12">
        <v>45562</v>
      </c>
      <c r="E233" s="14" t="str">
        <f>+HYPERLINK("http://trademark.i-assist.jp/data/china/image_1905th/79586472.pdf","79586472")</f>
        <v>79586472</v>
      </c>
      <c r="F233" s="13" t="s">
        <v>453</v>
      </c>
      <c r="G233" s="13" t="s">
        <v>452</v>
      </c>
      <c r="H233" s="13" t="s">
        <v>4352</v>
      </c>
      <c r="I233" s="12">
        <v>45476</v>
      </c>
    </row>
    <row r="234" spans="1:9" x14ac:dyDescent="0.15">
      <c r="A234" s="10">
        <v>233</v>
      </c>
      <c r="B234" s="9" t="s">
        <v>9</v>
      </c>
      <c r="C234" s="11" t="s">
        <v>10</v>
      </c>
      <c r="D234" s="12">
        <v>45562</v>
      </c>
      <c r="E234" s="14" t="str">
        <f>+HYPERLINK("http://trademark.i-assist.jp/data/china/image_1905th/79593121.pdf","79593121")</f>
        <v>79593121</v>
      </c>
      <c r="F234" s="13" t="s">
        <v>455</v>
      </c>
      <c r="G234" s="13" t="s">
        <v>454</v>
      </c>
      <c r="H234" s="13" t="s">
        <v>4353</v>
      </c>
      <c r="I234" s="12">
        <v>45476</v>
      </c>
    </row>
    <row r="235" spans="1:9" x14ac:dyDescent="0.15">
      <c r="A235" s="10">
        <v>234</v>
      </c>
      <c r="B235" s="9" t="s">
        <v>9</v>
      </c>
      <c r="C235" s="11" t="s">
        <v>10</v>
      </c>
      <c r="D235" s="12">
        <v>45562</v>
      </c>
      <c r="E235" s="14" t="str">
        <f>+HYPERLINK("http://trademark.i-assist.jp/data/china/image_1905th/79595156.pdf","79595156")</f>
        <v>79595156</v>
      </c>
      <c r="F235" s="13" t="s">
        <v>457</v>
      </c>
      <c r="G235" s="13" t="s">
        <v>456</v>
      </c>
      <c r="H235" s="13" t="s">
        <v>4354</v>
      </c>
      <c r="I235" s="12">
        <v>45476</v>
      </c>
    </row>
    <row r="236" spans="1:9" x14ac:dyDescent="0.15">
      <c r="A236" s="10">
        <v>235</v>
      </c>
      <c r="B236" s="9" t="s">
        <v>9</v>
      </c>
      <c r="C236" s="11" t="s">
        <v>10</v>
      </c>
      <c r="D236" s="12">
        <v>45562</v>
      </c>
      <c r="E236" s="14" t="str">
        <f>+HYPERLINK("http://trademark.i-assist.jp/data/china/image_1905th/79596193.pdf","79596193")</f>
        <v>79596193</v>
      </c>
      <c r="F236" s="13" t="s">
        <v>459</v>
      </c>
      <c r="G236" s="13" t="s">
        <v>458</v>
      </c>
      <c r="H236" s="13" t="s">
        <v>4355</v>
      </c>
      <c r="I236" s="12">
        <v>45476</v>
      </c>
    </row>
    <row r="237" spans="1:9" x14ac:dyDescent="0.15">
      <c r="A237" s="10">
        <v>236</v>
      </c>
      <c r="B237" s="9" t="s">
        <v>9</v>
      </c>
      <c r="C237" s="11" t="s">
        <v>10</v>
      </c>
      <c r="D237" s="12">
        <v>45562</v>
      </c>
      <c r="E237" s="14" t="str">
        <f>+HYPERLINK("http://trademark.i-assist.jp/data/china/image_1905th/79599247.pdf","79599247")</f>
        <v>79599247</v>
      </c>
      <c r="F237" s="13" t="s">
        <v>461</v>
      </c>
      <c r="G237" s="13" t="s">
        <v>460</v>
      </c>
      <c r="H237" s="13" t="s">
        <v>4356</v>
      </c>
      <c r="I237" s="12">
        <v>45476</v>
      </c>
    </row>
    <row r="238" spans="1:9" x14ac:dyDescent="0.15">
      <c r="A238" s="10">
        <v>237</v>
      </c>
      <c r="B238" s="9" t="s">
        <v>9</v>
      </c>
      <c r="C238" s="11" t="s">
        <v>10</v>
      </c>
      <c r="D238" s="12">
        <v>45562</v>
      </c>
      <c r="E238" s="14" t="str">
        <f>+HYPERLINK("http://trademark.i-assist.jp/data/china/image_1905th/79602543.pdf","79602543")</f>
        <v>79602543</v>
      </c>
      <c r="F238" s="13" t="s">
        <v>463</v>
      </c>
      <c r="G238" s="13" t="s">
        <v>462</v>
      </c>
      <c r="H238" s="13" t="s">
        <v>4357</v>
      </c>
      <c r="I238" s="12">
        <v>45477</v>
      </c>
    </row>
    <row r="239" spans="1:9" x14ac:dyDescent="0.15">
      <c r="A239" s="10">
        <v>238</v>
      </c>
      <c r="B239" s="9" t="s">
        <v>9</v>
      </c>
      <c r="C239" s="11" t="s">
        <v>10</v>
      </c>
      <c r="D239" s="12">
        <v>45562</v>
      </c>
      <c r="E239" s="14" t="str">
        <f>+HYPERLINK("http://trademark.i-assist.jp/data/china/image_1905th/79602622.pdf","79602622")</f>
        <v>79602622</v>
      </c>
      <c r="F239" s="13" t="s">
        <v>465</v>
      </c>
      <c r="G239" s="13" t="s">
        <v>464</v>
      </c>
      <c r="H239" s="13" t="s">
        <v>4358</v>
      </c>
      <c r="I239" s="12">
        <v>45477</v>
      </c>
    </row>
    <row r="240" spans="1:9" x14ac:dyDescent="0.15">
      <c r="A240" s="10">
        <v>239</v>
      </c>
      <c r="B240" s="9" t="s">
        <v>9</v>
      </c>
      <c r="C240" s="11" t="s">
        <v>10</v>
      </c>
      <c r="D240" s="12">
        <v>45562</v>
      </c>
      <c r="E240" s="14" t="str">
        <f>+HYPERLINK("http://trademark.i-assist.jp/data/china/image_1905th/79605074.pdf","79605074")</f>
        <v>79605074</v>
      </c>
      <c r="F240" s="13" t="s">
        <v>467</v>
      </c>
      <c r="G240" s="13" t="s">
        <v>466</v>
      </c>
      <c r="H240" s="13" t="s">
        <v>4359</v>
      </c>
      <c r="I240" s="12">
        <v>45477</v>
      </c>
    </row>
    <row r="241" spans="1:9" x14ac:dyDescent="0.15">
      <c r="A241" s="10">
        <v>240</v>
      </c>
      <c r="B241" s="9" t="s">
        <v>9</v>
      </c>
      <c r="C241" s="11" t="s">
        <v>10</v>
      </c>
      <c r="D241" s="12">
        <v>45562</v>
      </c>
      <c r="E241" s="14" t="str">
        <f>+HYPERLINK("http://trademark.i-assist.jp/data/china/image_1905th/79688238.pdf","79688238")</f>
        <v>79688238</v>
      </c>
      <c r="F241" s="13" t="s">
        <v>469</v>
      </c>
      <c r="G241" s="13" t="s">
        <v>468</v>
      </c>
      <c r="H241" s="13" t="s">
        <v>4360</v>
      </c>
      <c r="I241" s="12">
        <v>45482</v>
      </c>
    </row>
    <row r="242" spans="1:9" x14ac:dyDescent="0.15">
      <c r="A242" s="10">
        <v>241</v>
      </c>
      <c r="B242" s="9" t="s">
        <v>9</v>
      </c>
      <c r="C242" s="11" t="s">
        <v>10</v>
      </c>
      <c r="D242" s="12">
        <v>45562</v>
      </c>
      <c r="E242" s="14" t="str">
        <f>+HYPERLINK("http://trademark.i-assist.jp/data/china/image_1905th/79688678.pdf","79688678")</f>
        <v>79688678</v>
      </c>
      <c r="F242" s="13" t="s">
        <v>471</v>
      </c>
      <c r="G242" s="13" t="s">
        <v>470</v>
      </c>
      <c r="H242" s="13" t="s">
        <v>4361</v>
      </c>
      <c r="I242" s="12">
        <v>45482</v>
      </c>
    </row>
    <row r="243" spans="1:9" x14ac:dyDescent="0.15">
      <c r="A243" s="10">
        <v>242</v>
      </c>
      <c r="B243" s="9" t="s">
        <v>9</v>
      </c>
      <c r="C243" s="11" t="s">
        <v>10</v>
      </c>
      <c r="D243" s="12">
        <v>45562</v>
      </c>
      <c r="E243" s="14" t="str">
        <f>+HYPERLINK("http://trademark.i-assist.jp/data/china/image_1905th/79689287.pdf","79689287")</f>
        <v>79689287</v>
      </c>
      <c r="F243" s="13" t="s">
        <v>73</v>
      </c>
      <c r="G243" s="13" t="s">
        <v>472</v>
      </c>
      <c r="H243" s="13" t="s">
        <v>4362</v>
      </c>
      <c r="I243" s="12">
        <v>45482</v>
      </c>
    </row>
    <row r="244" spans="1:9" x14ac:dyDescent="0.15">
      <c r="A244" s="10">
        <v>243</v>
      </c>
      <c r="B244" s="9" t="s">
        <v>9</v>
      </c>
      <c r="C244" s="11" t="s">
        <v>10</v>
      </c>
      <c r="D244" s="12">
        <v>45562</v>
      </c>
      <c r="E244" s="14" t="str">
        <f>+HYPERLINK("http://trademark.i-assist.jp/data/china/image_1905th/79700587.pdf","79700587")</f>
        <v>79700587</v>
      </c>
      <c r="F244" s="13" t="s">
        <v>474</v>
      </c>
      <c r="G244" s="13" t="s">
        <v>473</v>
      </c>
      <c r="H244" s="13" t="s">
        <v>4363</v>
      </c>
      <c r="I244" s="12">
        <v>45482</v>
      </c>
    </row>
    <row r="245" spans="1:9" x14ac:dyDescent="0.15">
      <c r="A245" s="10">
        <v>244</v>
      </c>
      <c r="B245" s="9" t="s">
        <v>9</v>
      </c>
      <c r="C245" s="11" t="s">
        <v>10</v>
      </c>
      <c r="D245" s="12">
        <v>45562</v>
      </c>
      <c r="E245" s="14" t="str">
        <f>+HYPERLINK("http://trademark.i-assist.jp/data/china/image_1905th/79705976.pdf","79705976")</f>
        <v>79705976</v>
      </c>
      <c r="F245" s="13" t="s">
        <v>476</v>
      </c>
      <c r="G245" s="13" t="s">
        <v>475</v>
      </c>
      <c r="H245" s="13" t="s">
        <v>4364</v>
      </c>
      <c r="I245" s="12">
        <v>45483</v>
      </c>
    </row>
    <row r="246" spans="1:9" x14ac:dyDescent="0.15">
      <c r="A246" s="10">
        <v>245</v>
      </c>
      <c r="B246" s="9" t="s">
        <v>9</v>
      </c>
      <c r="C246" s="11" t="s">
        <v>10</v>
      </c>
      <c r="D246" s="12">
        <v>45562</v>
      </c>
      <c r="E246" s="14" t="str">
        <f>+HYPERLINK("http://trademark.i-assist.jp/data/china/image_1905th/79707459.pdf","79707459")</f>
        <v>79707459</v>
      </c>
      <c r="F246" s="13" t="s">
        <v>478</v>
      </c>
      <c r="G246" s="13" t="s">
        <v>477</v>
      </c>
      <c r="H246" s="13" t="s">
        <v>4365</v>
      </c>
      <c r="I246" s="12">
        <v>45483</v>
      </c>
    </row>
    <row r="247" spans="1:9" x14ac:dyDescent="0.15">
      <c r="A247" s="10">
        <v>246</v>
      </c>
      <c r="B247" s="9" t="s">
        <v>9</v>
      </c>
      <c r="C247" s="11" t="s">
        <v>10</v>
      </c>
      <c r="D247" s="12">
        <v>45562</v>
      </c>
      <c r="E247" s="14" t="str">
        <f>+HYPERLINK("http://trademark.i-assist.jp/data/china/image_1905th/79709017.pdf","79709017")</f>
        <v>79709017</v>
      </c>
      <c r="F247" s="13" t="s">
        <v>73</v>
      </c>
      <c r="G247" s="13" t="s">
        <v>479</v>
      </c>
      <c r="H247" s="13" t="s">
        <v>4366</v>
      </c>
      <c r="I247" s="12">
        <v>45483</v>
      </c>
    </row>
    <row r="248" spans="1:9" x14ac:dyDescent="0.15">
      <c r="A248" s="10">
        <v>247</v>
      </c>
      <c r="B248" s="9" t="s">
        <v>9</v>
      </c>
      <c r="C248" s="11" t="s">
        <v>10</v>
      </c>
      <c r="D248" s="12">
        <v>45562</v>
      </c>
      <c r="E248" s="14" t="str">
        <f>+HYPERLINK("http://trademark.i-assist.jp/data/china/image_1905th/79711491.pdf","79711491")</f>
        <v>79711491</v>
      </c>
      <c r="F248" s="13" t="s">
        <v>481</v>
      </c>
      <c r="G248" s="13" t="s">
        <v>480</v>
      </c>
      <c r="H248" s="13" t="s">
        <v>4367</v>
      </c>
      <c r="I248" s="12">
        <v>45483</v>
      </c>
    </row>
    <row r="249" spans="1:9" x14ac:dyDescent="0.15">
      <c r="A249" s="10">
        <v>248</v>
      </c>
      <c r="B249" s="9" t="s">
        <v>9</v>
      </c>
      <c r="C249" s="11" t="s">
        <v>10</v>
      </c>
      <c r="D249" s="12">
        <v>45562</v>
      </c>
      <c r="E249" s="14" t="str">
        <f>+HYPERLINK("http://trademark.i-assist.jp/data/china/image_1905th/78926369.pdf","78926369")</f>
        <v>78926369</v>
      </c>
      <c r="F249" s="13" t="s">
        <v>483</v>
      </c>
      <c r="G249" s="13" t="s">
        <v>482</v>
      </c>
      <c r="H249" s="13" t="s">
        <v>4368</v>
      </c>
      <c r="I249" s="12">
        <v>45442</v>
      </c>
    </row>
    <row r="250" spans="1:9" x14ac:dyDescent="0.15">
      <c r="A250" s="10">
        <v>249</v>
      </c>
      <c r="B250" s="9" t="s">
        <v>9</v>
      </c>
      <c r="C250" s="11" t="s">
        <v>10</v>
      </c>
      <c r="D250" s="12">
        <v>45562</v>
      </c>
      <c r="E250" s="14" t="str">
        <f>+HYPERLINK("http://trademark.i-assist.jp/data/china/image_1905th/78979630.pdf","78979630")</f>
        <v>78979630</v>
      </c>
      <c r="F250" s="13" t="s">
        <v>485</v>
      </c>
      <c r="G250" s="13" t="s">
        <v>484</v>
      </c>
      <c r="H250" s="13" t="s">
        <v>4369</v>
      </c>
      <c r="I250" s="12">
        <v>45444</v>
      </c>
    </row>
    <row r="251" spans="1:9" x14ac:dyDescent="0.15">
      <c r="A251" s="10">
        <v>250</v>
      </c>
      <c r="B251" s="9" t="s">
        <v>9</v>
      </c>
      <c r="C251" s="11" t="s">
        <v>10</v>
      </c>
      <c r="D251" s="12">
        <v>45562</v>
      </c>
      <c r="E251" s="14" t="str">
        <f>+HYPERLINK("http://trademark.i-assist.jp/data/china/image_1905th/79054870.pdf","79054870")</f>
        <v>79054870</v>
      </c>
      <c r="F251" s="13" t="s">
        <v>487</v>
      </c>
      <c r="G251" s="13" t="s">
        <v>486</v>
      </c>
      <c r="H251" s="13" t="s">
        <v>4370</v>
      </c>
      <c r="I251" s="12">
        <v>45448</v>
      </c>
    </row>
    <row r="252" spans="1:9" x14ac:dyDescent="0.15">
      <c r="A252" s="10">
        <v>251</v>
      </c>
      <c r="B252" s="9" t="s">
        <v>9</v>
      </c>
      <c r="C252" s="11" t="s">
        <v>10</v>
      </c>
      <c r="D252" s="12">
        <v>45562</v>
      </c>
      <c r="E252" s="14" t="str">
        <f>+HYPERLINK("http://trademark.i-assist.jp/data/china/image_1905th/79102924.pdf","79102924")</f>
        <v>79102924</v>
      </c>
      <c r="F252" s="13" t="s">
        <v>489</v>
      </c>
      <c r="G252" s="13" t="s">
        <v>488</v>
      </c>
      <c r="H252" s="13" t="s">
        <v>4371</v>
      </c>
      <c r="I252" s="12">
        <v>45450</v>
      </c>
    </row>
    <row r="253" spans="1:9" x14ac:dyDescent="0.15">
      <c r="A253" s="10">
        <v>252</v>
      </c>
      <c r="B253" s="9" t="s">
        <v>9</v>
      </c>
      <c r="C253" s="11" t="s">
        <v>10</v>
      </c>
      <c r="D253" s="12">
        <v>45562</v>
      </c>
      <c r="E253" s="14" t="str">
        <f>+HYPERLINK("http://trademark.i-assist.jp/data/china/image_1905th/79106837.pdf","79106837")</f>
        <v>79106837</v>
      </c>
      <c r="F253" s="13" t="s">
        <v>491</v>
      </c>
      <c r="G253" s="13" t="s">
        <v>490</v>
      </c>
      <c r="H253" s="13" t="s">
        <v>4372</v>
      </c>
      <c r="I253" s="12">
        <v>45450</v>
      </c>
    </row>
    <row r="254" spans="1:9" x14ac:dyDescent="0.15">
      <c r="A254" s="10">
        <v>253</v>
      </c>
      <c r="B254" s="9" t="s">
        <v>9</v>
      </c>
      <c r="C254" s="11" t="s">
        <v>10</v>
      </c>
      <c r="D254" s="12">
        <v>45562</v>
      </c>
      <c r="E254" s="14" t="str">
        <f>+HYPERLINK("http://trademark.i-assist.jp/data/china/image_1905th/79152117.pdf","79152117")</f>
        <v>79152117</v>
      </c>
      <c r="F254" s="13" t="s">
        <v>493</v>
      </c>
      <c r="G254" s="13" t="s">
        <v>492</v>
      </c>
      <c r="H254" s="13" t="s">
        <v>4373</v>
      </c>
      <c r="I254" s="12">
        <v>45454</v>
      </c>
    </row>
    <row r="255" spans="1:9" x14ac:dyDescent="0.15">
      <c r="A255" s="10">
        <v>254</v>
      </c>
      <c r="B255" s="9" t="s">
        <v>9</v>
      </c>
      <c r="C255" s="11" t="s">
        <v>10</v>
      </c>
      <c r="D255" s="12">
        <v>45562</v>
      </c>
      <c r="E255" s="14" t="str">
        <f>+HYPERLINK("http://trademark.i-assist.jp/data/china/image_1905th/79191727.pdf","79191727")</f>
        <v>79191727</v>
      </c>
      <c r="F255" s="13" t="s">
        <v>495</v>
      </c>
      <c r="G255" s="13" t="s">
        <v>494</v>
      </c>
      <c r="H255" s="13" t="s">
        <v>4374</v>
      </c>
      <c r="I255" s="12">
        <v>45456</v>
      </c>
    </row>
    <row r="256" spans="1:9" x14ac:dyDescent="0.15">
      <c r="A256" s="10">
        <v>255</v>
      </c>
      <c r="B256" s="9" t="s">
        <v>9</v>
      </c>
      <c r="C256" s="11" t="s">
        <v>10</v>
      </c>
      <c r="D256" s="12">
        <v>45562</v>
      </c>
      <c r="E256" s="14" t="str">
        <f>+HYPERLINK("http://trademark.i-assist.jp/data/china/image_1905th/79200195.pdf","79200195")</f>
        <v>79200195</v>
      </c>
      <c r="F256" s="13" t="s">
        <v>497</v>
      </c>
      <c r="G256" s="13" t="s">
        <v>496</v>
      </c>
      <c r="H256" s="13" t="s">
        <v>4375</v>
      </c>
      <c r="I256" s="12">
        <v>45456</v>
      </c>
    </row>
    <row r="257" spans="1:9" x14ac:dyDescent="0.15">
      <c r="A257" s="10">
        <v>256</v>
      </c>
      <c r="B257" s="9" t="s">
        <v>9</v>
      </c>
      <c r="C257" s="11" t="s">
        <v>10</v>
      </c>
      <c r="D257" s="12">
        <v>45562</v>
      </c>
      <c r="E257" s="14" t="str">
        <f>+HYPERLINK("http://trademark.i-assist.jp/data/china/image_1905th/79260948.pdf","79260948")</f>
        <v>79260948</v>
      </c>
      <c r="F257" s="13" t="s">
        <v>499</v>
      </c>
      <c r="G257" s="13" t="s">
        <v>498</v>
      </c>
      <c r="H257" s="13" t="s">
        <v>4376</v>
      </c>
      <c r="I257" s="12">
        <v>45460</v>
      </c>
    </row>
    <row r="258" spans="1:9" x14ac:dyDescent="0.15">
      <c r="A258" s="10">
        <v>257</v>
      </c>
      <c r="B258" s="9" t="s">
        <v>9</v>
      </c>
      <c r="C258" s="11" t="s">
        <v>10</v>
      </c>
      <c r="D258" s="12">
        <v>45562</v>
      </c>
      <c r="E258" s="14" t="str">
        <f>+HYPERLINK("http://trademark.i-assist.jp/data/china/image_1905th/79263122.pdf","79263122")</f>
        <v>79263122</v>
      </c>
      <c r="F258" s="13" t="s">
        <v>501</v>
      </c>
      <c r="G258" s="13" t="s">
        <v>500</v>
      </c>
      <c r="H258" s="13" t="s">
        <v>4377</v>
      </c>
      <c r="I258" s="12">
        <v>45460</v>
      </c>
    </row>
    <row r="259" spans="1:9" x14ac:dyDescent="0.15">
      <c r="A259" s="10">
        <v>258</v>
      </c>
      <c r="B259" s="9" t="s">
        <v>9</v>
      </c>
      <c r="C259" s="11" t="s">
        <v>10</v>
      </c>
      <c r="D259" s="12">
        <v>45562</v>
      </c>
      <c r="E259" s="14" t="str">
        <f>+HYPERLINK("http://trademark.i-assist.jp/data/china/image_1905th/78578541.pdf","78578541")</f>
        <v>78578541</v>
      </c>
      <c r="F259" s="13" t="s">
        <v>503</v>
      </c>
      <c r="G259" s="13" t="s">
        <v>502</v>
      </c>
      <c r="H259" s="13" t="s">
        <v>4378</v>
      </c>
      <c r="I259" s="12">
        <v>45426</v>
      </c>
    </row>
    <row r="260" spans="1:9" x14ac:dyDescent="0.15">
      <c r="A260" s="10">
        <v>259</v>
      </c>
      <c r="B260" s="9" t="s">
        <v>9</v>
      </c>
      <c r="C260" s="11" t="s">
        <v>10</v>
      </c>
      <c r="D260" s="12">
        <v>45562</v>
      </c>
      <c r="E260" s="14" t="str">
        <f>+HYPERLINK("http://trademark.i-assist.jp/data/china/image_1905th/79306221.pdf","79306221")</f>
        <v>79306221</v>
      </c>
      <c r="F260" s="13" t="s">
        <v>505</v>
      </c>
      <c r="G260" s="13" t="s">
        <v>504</v>
      </c>
      <c r="H260" s="13" t="s">
        <v>4379</v>
      </c>
      <c r="I260" s="12">
        <v>45462</v>
      </c>
    </row>
    <row r="261" spans="1:9" x14ac:dyDescent="0.15">
      <c r="A261" s="10">
        <v>260</v>
      </c>
      <c r="B261" s="9" t="s">
        <v>9</v>
      </c>
      <c r="C261" s="11" t="s">
        <v>10</v>
      </c>
      <c r="D261" s="12">
        <v>45562</v>
      </c>
      <c r="E261" s="14" t="str">
        <f>+HYPERLINK("http://trademark.i-assist.jp/data/china/image_1905th/79316302.pdf","79316302")</f>
        <v>79316302</v>
      </c>
      <c r="F261" s="13" t="s">
        <v>73</v>
      </c>
      <c r="G261" s="13" t="s">
        <v>506</v>
      </c>
      <c r="H261" s="13" t="s">
        <v>4380</v>
      </c>
      <c r="I261" s="12">
        <v>45462</v>
      </c>
    </row>
    <row r="262" spans="1:9" x14ac:dyDescent="0.15">
      <c r="A262" s="10">
        <v>261</v>
      </c>
      <c r="B262" s="9" t="s">
        <v>9</v>
      </c>
      <c r="C262" s="11" t="s">
        <v>10</v>
      </c>
      <c r="D262" s="12">
        <v>45562</v>
      </c>
      <c r="E262" s="14" t="str">
        <f>+HYPERLINK("http://trademark.i-assist.jp/data/china/image_1905th/79343052.pdf","79343052")</f>
        <v>79343052</v>
      </c>
      <c r="F262" s="13" t="s">
        <v>73</v>
      </c>
      <c r="G262" s="13" t="s">
        <v>507</v>
      </c>
      <c r="H262" s="13" t="s">
        <v>4154</v>
      </c>
      <c r="I262" s="12">
        <v>45463</v>
      </c>
    </row>
    <row r="263" spans="1:9" x14ac:dyDescent="0.15">
      <c r="A263" s="10">
        <v>262</v>
      </c>
      <c r="B263" s="9" t="s">
        <v>9</v>
      </c>
      <c r="C263" s="11" t="s">
        <v>10</v>
      </c>
      <c r="D263" s="12">
        <v>45562</v>
      </c>
      <c r="E263" s="14" t="str">
        <f>+HYPERLINK("http://trademark.i-assist.jp/data/china/image_1905th/79363696.pdf","79363696")</f>
        <v>79363696</v>
      </c>
      <c r="F263" s="13" t="s">
        <v>509</v>
      </c>
      <c r="G263" s="13" t="s">
        <v>508</v>
      </c>
      <c r="H263" s="13" t="s">
        <v>4381</v>
      </c>
      <c r="I263" s="12">
        <v>45464</v>
      </c>
    </row>
    <row r="264" spans="1:9" x14ac:dyDescent="0.15">
      <c r="A264" s="10">
        <v>263</v>
      </c>
      <c r="B264" s="9" t="s">
        <v>9</v>
      </c>
      <c r="C264" s="11" t="s">
        <v>10</v>
      </c>
      <c r="D264" s="12">
        <v>45562</v>
      </c>
      <c r="E264" s="14" t="str">
        <f>+HYPERLINK("http://trademark.i-assist.jp/data/china/image_1905th/79382792.pdf","79382792")</f>
        <v>79382792</v>
      </c>
      <c r="F264" s="13" t="s">
        <v>511</v>
      </c>
      <c r="G264" s="13" t="s">
        <v>510</v>
      </c>
      <c r="H264" s="13" t="s">
        <v>4382</v>
      </c>
      <c r="I264" s="12">
        <v>45466</v>
      </c>
    </row>
    <row r="265" spans="1:9" x14ac:dyDescent="0.15">
      <c r="A265" s="10">
        <v>264</v>
      </c>
      <c r="B265" s="9" t="s">
        <v>9</v>
      </c>
      <c r="C265" s="11" t="s">
        <v>10</v>
      </c>
      <c r="D265" s="12">
        <v>45562</v>
      </c>
      <c r="E265" s="14" t="str">
        <f>+HYPERLINK("http://trademark.i-assist.jp/data/china/image_1905th/79469073.pdf","79469073")</f>
        <v>79469073</v>
      </c>
      <c r="F265" s="13" t="s">
        <v>513</v>
      </c>
      <c r="G265" s="13" t="s">
        <v>512</v>
      </c>
      <c r="H265" s="13" t="s">
        <v>4383</v>
      </c>
      <c r="I265" s="12">
        <v>45470</v>
      </c>
    </row>
    <row r="266" spans="1:9" x14ac:dyDescent="0.15">
      <c r="A266" s="10">
        <v>265</v>
      </c>
      <c r="B266" s="9" t="s">
        <v>9</v>
      </c>
      <c r="C266" s="11" t="s">
        <v>10</v>
      </c>
      <c r="D266" s="12">
        <v>45562</v>
      </c>
      <c r="E266" s="14" t="str">
        <f>+HYPERLINK("http://trademark.i-assist.jp/data/china/image_1905th/79487087.pdf","79487087")</f>
        <v>79487087</v>
      </c>
      <c r="F266" s="13" t="s">
        <v>515</v>
      </c>
      <c r="G266" s="13" t="s">
        <v>514</v>
      </c>
      <c r="H266" s="13" t="s">
        <v>4384</v>
      </c>
      <c r="I266" s="12">
        <v>45470</v>
      </c>
    </row>
    <row r="267" spans="1:9" x14ac:dyDescent="0.15">
      <c r="A267" s="10">
        <v>266</v>
      </c>
      <c r="B267" s="9" t="s">
        <v>9</v>
      </c>
      <c r="C267" s="11" t="s">
        <v>10</v>
      </c>
      <c r="D267" s="12">
        <v>45562</v>
      </c>
      <c r="E267" s="14" t="str">
        <f>+HYPERLINK("http://trademark.i-assist.jp/data/china/image_1905th/79496992.pdf","79496992")</f>
        <v>79496992</v>
      </c>
      <c r="F267" s="13" t="s">
        <v>517</v>
      </c>
      <c r="G267" s="13" t="s">
        <v>516</v>
      </c>
      <c r="H267" s="13" t="s">
        <v>4385</v>
      </c>
      <c r="I267" s="12">
        <v>45471</v>
      </c>
    </row>
    <row r="268" spans="1:9" x14ac:dyDescent="0.15">
      <c r="A268" s="10">
        <v>267</v>
      </c>
      <c r="B268" s="9" t="s">
        <v>9</v>
      </c>
      <c r="C268" s="11" t="s">
        <v>10</v>
      </c>
      <c r="D268" s="12">
        <v>45562</v>
      </c>
      <c r="E268" s="14" t="str">
        <f>+HYPERLINK("http://trademark.i-assist.jp/data/china/image_1905th/79501615.pdf","79501615")</f>
        <v>79501615</v>
      </c>
      <c r="F268" s="13" t="s">
        <v>519</v>
      </c>
      <c r="G268" s="13" t="s">
        <v>518</v>
      </c>
      <c r="H268" s="13" t="s">
        <v>4386</v>
      </c>
      <c r="I268" s="12">
        <v>45471</v>
      </c>
    </row>
    <row r="269" spans="1:9" x14ac:dyDescent="0.15">
      <c r="A269" s="10">
        <v>268</v>
      </c>
      <c r="B269" s="9" t="s">
        <v>9</v>
      </c>
      <c r="C269" s="11" t="s">
        <v>10</v>
      </c>
      <c r="D269" s="12">
        <v>45562</v>
      </c>
      <c r="E269" s="14" t="str">
        <f>+HYPERLINK("http://trademark.i-assist.jp/data/china/image_1905th/79515059.pdf","79515059")</f>
        <v>79515059</v>
      </c>
      <c r="F269" s="13" t="s">
        <v>521</v>
      </c>
      <c r="G269" s="13" t="s">
        <v>520</v>
      </c>
      <c r="H269" s="13" t="s">
        <v>4387</v>
      </c>
      <c r="I269" s="12">
        <v>45472</v>
      </c>
    </row>
    <row r="270" spans="1:9" x14ac:dyDescent="0.15">
      <c r="A270" s="10">
        <v>269</v>
      </c>
      <c r="B270" s="9" t="s">
        <v>9</v>
      </c>
      <c r="C270" s="11" t="s">
        <v>10</v>
      </c>
      <c r="D270" s="12">
        <v>45562</v>
      </c>
      <c r="E270" s="14" t="str">
        <f>+HYPERLINK("http://trademark.i-assist.jp/data/china/image_1905th/79401315.pdf","79401315")</f>
        <v>79401315</v>
      </c>
      <c r="F270" s="13" t="s">
        <v>523</v>
      </c>
      <c r="G270" s="13" t="s">
        <v>522</v>
      </c>
      <c r="H270" s="13" t="s">
        <v>4388</v>
      </c>
      <c r="I270" s="12">
        <v>45467</v>
      </c>
    </row>
    <row r="271" spans="1:9" x14ac:dyDescent="0.15">
      <c r="A271" s="10">
        <v>270</v>
      </c>
      <c r="B271" s="9" t="s">
        <v>9</v>
      </c>
      <c r="C271" s="11" t="s">
        <v>10</v>
      </c>
      <c r="D271" s="12">
        <v>45562</v>
      </c>
      <c r="E271" s="14" t="str">
        <f>+HYPERLINK("http://trademark.i-assist.jp/data/china/image_1905th/79405022.pdf","79405022")</f>
        <v>79405022</v>
      </c>
      <c r="F271" s="13" t="s">
        <v>525</v>
      </c>
      <c r="G271" s="13" t="s">
        <v>524</v>
      </c>
      <c r="H271" s="13" t="s">
        <v>4389</v>
      </c>
      <c r="I271" s="12">
        <v>45467</v>
      </c>
    </row>
    <row r="272" spans="1:9" x14ac:dyDescent="0.15">
      <c r="A272" s="10">
        <v>271</v>
      </c>
      <c r="B272" s="9" t="s">
        <v>9</v>
      </c>
      <c r="C272" s="11" t="s">
        <v>10</v>
      </c>
      <c r="D272" s="12">
        <v>45562</v>
      </c>
      <c r="E272" s="14" t="str">
        <f>+HYPERLINK("http://trademark.i-assist.jp/data/china/image_1905th/79418974.pdf","79418974")</f>
        <v>79418974</v>
      </c>
      <c r="F272" s="13" t="s">
        <v>527</v>
      </c>
      <c r="G272" s="13" t="s">
        <v>526</v>
      </c>
      <c r="H272" s="13" t="s">
        <v>4390</v>
      </c>
      <c r="I272" s="12">
        <v>45468</v>
      </c>
    </row>
    <row r="273" spans="1:9" x14ac:dyDescent="0.15">
      <c r="A273" s="10">
        <v>272</v>
      </c>
      <c r="B273" s="9" t="s">
        <v>9</v>
      </c>
      <c r="C273" s="11" t="s">
        <v>10</v>
      </c>
      <c r="D273" s="12">
        <v>45562</v>
      </c>
      <c r="E273" s="14" t="str">
        <f>+HYPERLINK("http://trademark.i-assist.jp/data/china/image_1905th/79434274.pdf","79434274")</f>
        <v>79434274</v>
      </c>
      <c r="F273" s="13" t="s">
        <v>528</v>
      </c>
      <c r="G273" s="13" t="s">
        <v>238</v>
      </c>
      <c r="H273" s="13" t="s">
        <v>4254</v>
      </c>
      <c r="I273" s="12">
        <v>45468</v>
      </c>
    </row>
    <row r="274" spans="1:9" x14ac:dyDescent="0.15">
      <c r="A274" s="10">
        <v>273</v>
      </c>
      <c r="B274" s="9" t="s">
        <v>9</v>
      </c>
      <c r="C274" s="11" t="s">
        <v>10</v>
      </c>
      <c r="D274" s="12">
        <v>45562</v>
      </c>
      <c r="E274" s="14" t="str">
        <f>+HYPERLINK("http://trademark.i-assist.jp/data/china/image_1905th/79445084.pdf","79445084")</f>
        <v>79445084</v>
      </c>
      <c r="F274" s="13" t="s">
        <v>73</v>
      </c>
      <c r="G274" s="13" t="s">
        <v>529</v>
      </c>
      <c r="H274" s="13" t="s">
        <v>4391</v>
      </c>
      <c r="I274" s="12">
        <v>45469</v>
      </c>
    </row>
    <row r="275" spans="1:9" x14ac:dyDescent="0.15">
      <c r="A275" s="10">
        <v>274</v>
      </c>
      <c r="B275" s="9" t="s">
        <v>9</v>
      </c>
      <c r="C275" s="11" t="s">
        <v>10</v>
      </c>
      <c r="D275" s="12">
        <v>45562</v>
      </c>
      <c r="E275" s="14" t="str">
        <f>+HYPERLINK("http://trademark.i-assist.jp/data/china/image_1905th/79525072.pdf","79525072")</f>
        <v>79525072</v>
      </c>
      <c r="F275" s="13" t="s">
        <v>531</v>
      </c>
      <c r="G275" s="13" t="s">
        <v>530</v>
      </c>
      <c r="H275" s="13" t="s">
        <v>4392</v>
      </c>
      <c r="I275" s="12">
        <v>45473</v>
      </c>
    </row>
    <row r="276" spans="1:9" x14ac:dyDescent="0.15">
      <c r="A276" s="10">
        <v>275</v>
      </c>
      <c r="B276" s="9" t="s">
        <v>9</v>
      </c>
      <c r="C276" s="11" t="s">
        <v>10</v>
      </c>
      <c r="D276" s="12">
        <v>45562</v>
      </c>
      <c r="E276" s="14" t="str">
        <f>+HYPERLINK("http://trademark.i-assist.jp/data/china/image_1905th/76787382.pdf","76787382")</f>
        <v>76787382</v>
      </c>
      <c r="F276" s="13" t="s">
        <v>533</v>
      </c>
      <c r="G276" s="13" t="s">
        <v>532</v>
      </c>
      <c r="H276" s="13" t="s">
        <v>4393</v>
      </c>
      <c r="I276" s="12">
        <v>45327</v>
      </c>
    </row>
    <row r="277" spans="1:9" x14ac:dyDescent="0.15">
      <c r="A277" s="10">
        <v>276</v>
      </c>
      <c r="B277" s="9" t="s">
        <v>9</v>
      </c>
      <c r="C277" s="11" t="s">
        <v>10</v>
      </c>
      <c r="D277" s="12">
        <v>45562</v>
      </c>
      <c r="E277" s="14" t="str">
        <f>+HYPERLINK("http://trademark.i-assist.jp/data/china/image_1905th/77719872.pdf","77719872")</f>
        <v>77719872</v>
      </c>
      <c r="F277" s="13" t="s">
        <v>535</v>
      </c>
      <c r="G277" s="13" t="s">
        <v>534</v>
      </c>
      <c r="H277" s="13" t="s">
        <v>4394</v>
      </c>
      <c r="I277" s="12">
        <v>45384</v>
      </c>
    </row>
    <row r="278" spans="1:9" x14ac:dyDescent="0.15">
      <c r="A278" s="10">
        <v>277</v>
      </c>
      <c r="B278" s="9" t="s">
        <v>9</v>
      </c>
      <c r="C278" s="11" t="s">
        <v>10</v>
      </c>
      <c r="D278" s="12">
        <v>45562</v>
      </c>
      <c r="E278" s="14" t="str">
        <f>+HYPERLINK("http://trademark.i-assist.jp/data/china/image_1905th/69544839.pdf","69544839")</f>
        <v>69544839</v>
      </c>
      <c r="F278" s="13" t="s">
        <v>537</v>
      </c>
      <c r="G278" s="13" t="s">
        <v>536</v>
      </c>
      <c r="H278" s="13" t="s">
        <v>4395</v>
      </c>
      <c r="I278" s="12">
        <v>44970</v>
      </c>
    </row>
    <row r="279" spans="1:9" x14ac:dyDescent="0.15">
      <c r="A279" s="10">
        <v>278</v>
      </c>
      <c r="B279" s="9" t="s">
        <v>9</v>
      </c>
      <c r="C279" s="11" t="s">
        <v>10</v>
      </c>
      <c r="D279" s="12">
        <v>45562</v>
      </c>
      <c r="E279" s="14" t="str">
        <f>+HYPERLINK("http://trademark.i-assist.jp/data/china/image_1905th/72497590.pdf","72497590")</f>
        <v>72497590</v>
      </c>
      <c r="F279" s="13" t="s">
        <v>539</v>
      </c>
      <c r="G279" s="13" t="s">
        <v>538</v>
      </c>
      <c r="H279" s="13" t="s">
        <v>4396</v>
      </c>
      <c r="I279" s="12">
        <v>45105</v>
      </c>
    </row>
    <row r="280" spans="1:9" x14ac:dyDescent="0.15">
      <c r="A280" s="10">
        <v>279</v>
      </c>
      <c r="B280" s="9" t="s">
        <v>9</v>
      </c>
      <c r="C280" s="11" t="s">
        <v>10</v>
      </c>
      <c r="D280" s="12">
        <v>45562</v>
      </c>
      <c r="E280" s="14" t="str">
        <f>+HYPERLINK("http://trademark.i-assist.jp/data/china/image_1905th/79665705.pdf","79665705")</f>
        <v>79665705</v>
      </c>
      <c r="F280" s="13" t="s">
        <v>541</v>
      </c>
      <c r="G280" s="13" t="s">
        <v>540</v>
      </c>
      <c r="H280" s="13" t="s">
        <v>4397</v>
      </c>
      <c r="I280" s="12">
        <v>45481</v>
      </c>
    </row>
    <row r="281" spans="1:9" x14ac:dyDescent="0.15">
      <c r="A281" s="10">
        <v>280</v>
      </c>
      <c r="B281" s="9" t="s">
        <v>9</v>
      </c>
      <c r="C281" s="11" t="s">
        <v>10</v>
      </c>
      <c r="D281" s="12">
        <v>45562</v>
      </c>
      <c r="E281" s="14" t="str">
        <f>+HYPERLINK("http://trademark.i-assist.jp/data/china/image_1905th/79667355.pdf","79667355")</f>
        <v>79667355</v>
      </c>
      <c r="F281" s="13" t="s">
        <v>73</v>
      </c>
      <c r="G281" s="13" t="s">
        <v>542</v>
      </c>
      <c r="H281" s="13" t="s">
        <v>4398</v>
      </c>
      <c r="I281" s="12">
        <v>45481</v>
      </c>
    </row>
    <row r="282" spans="1:9" x14ac:dyDescent="0.15">
      <c r="A282" s="10">
        <v>281</v>
      </c>
      <c r="B282" s="9" t="s">
        <v>9</v>
      </c>
      <c r="C282" s="11" t="s">
        <v>10</v>
      </c>
      <c r="D282" s="12">
        <v>45562</v>
      </c>
      <c r="E282" s="14" t="str">
        <f>+HYPERLINK("http://trademark.i-assist.jp/data/china/image_1905th/79669135.pdf","79669135")</f>
        <v>79669135</v>
      </c>
      <c r="F282" s="13" t="s">
        <v>544</v>
      </c>
      <c r="G282" s="13" t="s">
        <v>543</v>
      </c>
      <c r="H282" s="13" t="s">
        <v>4399</v>
      </c>
      <c r="I282" s="12">
        <v>45481</v>
      </c>
    </row>
    <row r="283" spans="1:9" x14ac:dyDescent="0.15">
      <c r="A283" s="10">
        <v>282</v>
      </c>
      <c r="B283" s="9" t="s">
        <v>9</v>
      </c>
      <c r="C283" s="11" t="s">
        <v>10</v>
      </c>
      <c r="D283" s="12">
        <v>45562</v>
      </c>
      <c r="E283" s="14" t="str">
        <f>+HYPERLINK("http://trademark.i-assist.jp/data/china/image_1905th/79670219.pdf","79670219")</f>
        <v>79670219</v>
      </c>
      <c r="F283" s="13" t="s">
        <v>73</v>
      </c>
      <c r="G283" s="13" t="s">
        <v>545</v>
      </c>
      <c r="H283" s="13" t="s">
        <v>4400</v>
      </c>
      <c r="I283" s="12">
        <v>45481</v>
      </c>
    </row>
    <row r="284" spans="1:9" x14ac:dyDescent="0.15">
      <c r="A284" s="10">
        <v>283</v>
      </c>
      <c r="B284" s="9" t="s">
        <v>9</v>
      </c>
      <c r="C284" s="11" t="s">
        <v>10</v>
      </c>
      <c r="D284" s="12">
        <v>45562</v>
      </c>
      <c r="E284" s="14" t="str">
        <f>+HYPERLINK("http://trademark.i-assist.jp/data/china/image_1905th/79677120.pdf","79677120")</f>
        <v>79677120</v>
      </c>
      <c r="F284" s="13" t="s">
        <v>546</v>
      </c>
      <c r="G284" s="13" t="s">
        <v>342</v>
      </c>
      <c r="H284" s="13" t="s">
        <v>4301</v>
      </c>
      <c r="I284" s="12">
        <v>45481</v>
      </c>
    </row>
    <row r="285" spans="1:9" x14ac:dyDescent="0.15">
      <c r="A285" s="10">
        <v>284</v>
      </c>
      <c r="B285" s="9" t="s">
        <v>9</v>
      </c>
      <c r="C285" s="11" t="s">
        <v>10</v>
      </c>
      <c r="D285" s="12">
        <v>45562</v>
      </c>
      <c r="E285" s="14" t="str">
        <f>+HYPERLINK("http://trademark.i-assist.jp/data/china/image_1905th/79679762.pdf","79679762")</f>
        <v>79679762</v>
      </c>
      <c r="F285" s="13" t="s">
        <v>548</v>
      </c>
      <c r="G285" s="13" t="s">
        <v>547</v>
      </c>
      <c r="H285" s="13" t="s">
        <v>4278</v>
      </c>
      <c r="I285" s="12">
        <v>45481</v>
      </c>
    </row>
    <row r="286" spans="1:9" x14ac:dyDescent="0.15">
      <c r="A286" s="10">
        <v>285</v>
      </c>
      <c r="B286" s="9" t="s">
        <v>9</v>
      </c>
      <c r="C286" s="11" t="s">
        <v>10</v>
      </c>
      <c r="D286" s="12">
        <v>45562</v>
      </c>
      <c r="E286" s="14" t="str">
        <f>+HYPERLINK("http://trademark.i-assist.jp/data/china/image_1905th/79680674.pdf","79680674")</f>
        <v>79680674</v>
      </c>
      <c r="F286" s="13" t="s">
        <v>550</v>
      </c>
      <c r="G286" s="13" t="s">
        <v>549</v>
      </c>
      <c r="H286" s="13" t="s">
        <v>4401</v>
      </c>
      <c r="I286" s="12">
        <v>45482</v>
      </c>
    </row>
    <row r="287" spans="1:9" x14ac:dyDescent="0.15">
      <c r="A287" s="10">
        <v>286</v>
      </c>
      <c r="B287" s="9" t="s">
        <v>9</v>
      </c>
      <c r="C287" s="11" t="s">
        <v>10</v>
      </c>
      <c r="D287" s="12">
        <v>45562</v>
      </c>
      <c r="E287" s="14" t="str">
        <f>+HYPERLINK("http://trademark.i-assist.jp/data/china/image_1905th/79683949.pdf","79683949")</f>
        <v>79683949</v>
      </c>
      <c r="F287" s="13" t="s">
        <v>552</v>
      </c>
      <c r="G287" s="13" t="s">
        <v>551</v>
      </c>
      <c r="H287" s="13" t="s">
        <v>4402</v>
      </c>
      <c r="I287" s="12">
        <v>45482</v>
      </c>
    </row>
    <row r="288" spans="1:9" x14ac:dyDescent="0.15">
      <c r="A288" s="10">
        <v>287</v>
      </c>
      <c r="B288" s="9" t="s">
        <v>9</v>
      </c>
      <c r="C288" s="11" t="s">
        <v>10</v>
      </c>
      <c r="D288" s="12">
        <v>45562</v>
      </c>
      <c r="E288" s="14" t="str">
        <f>+HYPERLINK("http://trademark.i-assist.jp/data/china/image_1905th/79566373.pdf","79566373")</f>
        <v>79566373</v>
      </c>
      <c r="F288" s="13" t="s">
        <v>554</v>
      </c>
      <c r="G288" s="13" t="s">
        <v>553</v>
      </c>
      <c r="H288" s="13" t="s">
        <v>4403</v>
      </c>
      <c r="I288" s="12">
        <v>45475</v>
      </c>
    </row>
    <row r="289" spans="1:9" x14ac:dyDescent="0.15">
      <c r="A289" s="10">
        <v>288</v>
      </c>
      <c r="B289" s="9" t="s">
        <v>9</v>
      </c>
      <c r="C289" s="11" t="s">
        <v>10</v>
      </c>
      <c r="D289" s="12">
        <v>45562</v>
      </c>
      <c r="E289" s="14" t="str">
        <f>+HYPERLINK("http://trademark.i-assist.jp/data/china/image_1905th/79577756.pdf","79577756")</f>
        <v>79577756</v>
      </c>
      <c r="F289" s="13" t="s">
        <v>556</v>
      </c>
      <c r="G289" s="13" t="s">
        <v>555</v>
      </c>
      <c r="H289" s="13" t="s">
        <v>4404</v>
      </c>
      <c r="I289" s="12">
        <v>45476</v>
      </c>
    </row>
    <row r="290" spans="1:9" x14ac:dyDescent="0.15">
      <c r="A290" s="10">
        <v>289</v>
      </c>
      <c r="B290" s="9" t="s">
        <v>9</v>
      </c>
      <c r="C290" s="11" t="s">
        <v>10</v>
      </c>
      <c r="D290" s="12">
        <v>45562</v>
      </c>
      <c r="E290" s="14" t="str">
        <f>+HYPERLINK("http://trademark.i-assist.jp/data/china/image_1905th/79596092.pdf","79596092")</f>
        <v>79596092</v>
      </c>
      <c r="F290" s="13" t="s">
        <v>558</v>
      </c>
      <c r="G290" s="13" t="s">
        <v>557</v>
      </c>
      <c r="H290" s="13" t="s">
        <v>4405</v>
      </c>
      <c r="I290" s="12">
        <v>45476</v>
      </c>
    </row>
    <row r="291" spans="1:9" x14ac:dyDescent="0.15">
      <c r="A291" s="10">
        <v>290</v>
      </c>
      <c r="B291" s="9" t="s">
        <v>9</v>
      </c>
      <c r="C291" s="11" t="s">
        <v>10</v>
      </c>
      <c r="D291" s="12">
        <v>45562</v>
      </c>
      <c r="E291" s="14" t="str">
        <f>+HYPERLINK("http://trademark.i-assist.jp/data/china/image_1905th/79600988.pdf","79600988")</f>
        <v>79600988</v>
      </c>
      <c r="F291" s="13" t="s">
        <v>560</v>
      </c>
      <c r="G291" s="13" t="s">
        <v>559</v>
      </c>
      <c r="H291" s="13" t="s">
        <v>4406</v>
      </c>
      <c r="I291" s="12">
        <v>45477</v>
      </c>
    </row>
    <row r="292" spans="1:9" x14ac:dyDescent="0.15">
      <c r="A292" s="10">
        <v>291</v>
      </c>
      <c r="B292" s="9" t="s">
        <v>9</v>
      </c>
      <c r="C292" s="11" t="s">
        <v>10</v>
      </c>
      <c r="D292" s="12">
        <v>45562</v>
      </c>
      <c r="E292" s="14" t="str">
        <f>+HYPERLINK("http://trademark.i-assist.jp/data/china/image_1905th/79604435.pdf","79604435")</f>
        <v>79604435</v>
      </c>
      <c r="F292" s="13" t="s">
        <v>562</v>
      </c>
      <c r="G292" s="13" t="s">
        <v>561</v>
      </c>
      <c r="H292" s="13" t="s">
        <v>4407</v>
      </c>
      <c r="I292" s="12">
        <v>45477</v>
      </c>
    </row>
    <row r="293" spans="1:9" x14ac:dyDescent="0.15">
      <c r="A293" s="10">
        <v>292</v>
      </c>
      <c r="B293" s="9" t="s">
        <v>9</v>
      </c>
      <c r="C293" s="11" t="s">
        <v>10</v>
      </c>
      <c r="D293" s="12">
        <v>45562</v>
      </c>
      <c r="E293" s="14" t="str">
        <f>+HYPERLINK("http://trademark.i-assist.jp/data/china/image_1905th/79608630.pdf","79608630")</f>
        <v>79608630</v>
      </c>
      <c r="F293" s="13" t="s">
        <v>564</v>
      </c>
      <c r="G293" s="13" t="s">
        <v>563</v>
      </c>
      <c r="H293" s="13" t="s">
        <v>4408</v>
      </c>
      <c r="I293" s="12">
        <v>45477</v>
      </c>
    </row>
    <row r="294" spans="1:9" x14ac:dyDescent="0.15">
      <c r="A294" s="10">
        <v>293</v>
      </c>
      <c r="B294" s="9" t="s">
        <v>9</v>
      </c>
      <c r="C294" s="11" t="s">
        <v>10</v>
      </c>
      <c r="D294" s="12">
        <v>45562</v>
      </c>
      <c r="E294" s="14" t="str">
        <f>+HYPERLINK("http://trademark.i-assist.jp/data/china/image_1905th/79616330.pdf","79616330")</f>
        <v>79616330</v>
      </c>
      <c r="F294" s="13" t="s">
        <v>566</v>
      </c>
      <c r="G294" s="13" t="s">
        <v>565</v>
      </c>
      <c r="H294" s="13" t="s">
        <v>4409</v>
      </c>
      <c r="I294" s="12">
        <v>45477</v>
      </c>
    </row>
    <row r="295" spans="1:9" x14ac:dyDescent="0.15">
      <c r="A295" s="10">
        <v>294</v>
      </c>
      <c r="B295" s="9" t="s">
        <v>9</v>
      </c>
      <c r="C295" s="11" t="s">
        <v>10</v>
      </c>
      <c r="D295" s="12">
        <v>45562</v>
      </c>
      <c r="E295" s="14" t="str">
        <f>+HYPERLINK("http://trademark.i-assist.jp/data/china/image_1905th/79617360.pdf","79617360")</f>
        <v>79617360</v>
      </c>
      <c r="F295" s="13" t="s">
        <v>568</v>
      </c>
      <c r="G295" s="13" t="s">
        <v>567</v>
      </c>
      <c r="H295" s="13" t="s">
        <v>4410</v>
      </c>
      <c r="I295" s="12">
        <v>45477</v>
      </c>
    </row>
    <row r="296" spans="1:9" x14ac:dyDescent="0.15">
      <c r="A296" s="10">
        <v>295</v>
      </c>
      <c r="B296" s="9" t="s">
        <v>9</v>
      </c>
      <c r="C296" s="11" t="s">
        <v>10</v>
      </c>
      <c r="D296" s="12">
        <v>45562</v>
      </c>
      <c r="E296" s="14" t="str">
        <f>+HYPERLINK("http://trademark.i-assist.jp/data/china/image_1905th/79627647.pdf","79627647")</f>
        <v>79627647</v>
      </c>
      <c r="F296" s="13" t="s">
        <v>570</v>
      </c>
      <c r="G296" s="13" t="s">
        <v>569</v>
      </c>
      <c r="H296" s="13" t="s">
        <v>4411</v>
      </c>
      <c r="I296" s="12">
        <v>45478</v>
      </c>
    </row>
    <row r="297" spans="1:9" x14ac:dyDescent="0.15">
      <c r="A297" s="10">
        <v>296</v>
      </c>
      <c r="B297" s="9" t="s">
        <v>9</v>
      </c>
      <c r="C297" s="11" t="s">
        <v>10</v>
      </c>
      <c r="D297" s="12">
        <v>45562</v>
      </c>
      <c r="E297" s="14" t="str">
        <f>+HYPERLINK("http://trademark.i-assist.jp/data/china/image_1905th/79627655.pdf","79627655")</f>
        <v>79627655</v>
      </c>
      <c r="F297" s="13" t="s">
        <v>571</v>
      </c>
      <c r="G297" s="13" t="s">
        <v>569</v>
      </c>
      <c r="H297" s="13" t="s">
        <v>4411</v>
      </c>
      <c r="I297" s="12">
        <v>45478</v>
      </c>
    </row>
    <row r="298" spans="1:9" x14ac:dyDescent="0.15">
      <c r="A298" s="10">
        <v>297</v>
      </c>
      <c r="B298" s="9" t="s">
        <v>9</v>
      </c>
      <c r="C298" s="11" t="s">
        <v>10</v>
      </c>
      <c r="D298" s="12">
        <v>45562</v>
      </c>
      <c r="E298" s="14" t="str">
        <f>+HYPERLINK("http://trademark.i-assist.jp/data/china/image_1905th/79631049.pdf","79631049")</f>
        <v>79631049</v>
      </c>
      <c r="F298" s="13" t="s">
        <v>573</v>
      </c>
      <c r="G298" s="13" t="s">
        <v>572</v>
      </c>
      <c r="H298" s="13" t="s">
        <v>4412</v>
      </c>
      <c r="I298" s="12">
        <v>45478</v>
      </c>
    </row>
    <row r="299" spans="1:9" x14ac:dyDescent="0.15">
      <c r="A299" s="10">
        <v>298</v>
      </c>
      <c r="B299" s="9" t="s">
        <v>9</v>
      </c>
      <c r="C299" s="11" t="s">
        <v>10</v>
      </c>
      <c r="D299" s="12">
        <v>45562</v>
      </c>
      <c r="E299" s="14" t="str">
        <f>+HYPERLINK("http://trademark.i-assist.jp/data/china/image_1905th/79632308.pdf","79632308")</f>
        <v>79632308</v>
      </c>
      <c r="F299" s="13" t="s">
        <v>575</v>
      </c>
      <c r="G299" s="13" t="s">
        <v>574</v>
      </c>
      <c r="H299" s="13" t="s">
        <v>4413</v>
      </c>
      <c r="I299" s="12">
        <v>45478</v>
      </c>
    </row>
    <row r="300" spans="1:9" x14ac:dyDescent="0.15">
      <c r="A300" s="10">
        <v>299</v>
      </c>
      <c r="B300" s="9" t="s">
        <v>9</v>
      </c>
      <c r="C300" s="11" t="s">
        <v>10</v>
      </c>
      <c r="D300" s="12">
        <v>45562</v>
      </c>
      <c r="E300" s="14" t="str">
        <f>+HYPERLINK("http://trademark.i-assist.jp/data/china/image_1905th/79776730.pdf","79776730")</f>
        <v>79776730</v>
      </c>
      <c r="F300" s="13" t="s">
        <v>577</v>
      </c>
      <c r="G300" s="13" t="s">
        <v>576</v>
      </c>
      <c r="H300" s="13" t="s">
        <v>4212</v>
      </c>
      <c r="I300" s="12">
        <v>45486</v>
      </c>
    </row>
    <row r="301" spans="1:9" x14ac:dyDescent="0.15">
      <c r="A301" s="10">
        <v>300</v>
      </c>
      <c r="B301" s="9" t="s">
        <v>9</v>
      </c>
      <c r="C301" s="11" t="s">
        <v>10</v>
      </c>
      <c r="D301" s="12">
        <v>45562</v>
      </c>
      <c r="E301" s="14" t="str">
        <f>+HYPERLINK("http://trademark.i-assist.jp/data/china/image_1905th/79781807.pdf","79781807")</f>
        <v>79781807</v>
      </c>
      <c r="F301" s="13" t="s">
        <v>579</v>
      </c>
      <c r="G301" s="13" t="s">
        <v>578</v>
      </c>
      <c r="H301" s="13" t="s">
        <v>4162</v>
      </c>
      <c r="I301" s="12">
        <v>45486</v>
      </c>
    </row>
    <row r="302" spans="1:9" x14ac:dyDescent="0.15">
      <c r="A302" s="10">
        <v>301</v>
      </c>
      <c r="B302" s="9" t="s">
        <v>9</v>
      </c>
      <c r="C302" s="11" t="s">
        <v>10</v>
      </c>
      <c r="D302" s="12">
        <v>45562</v>
      </c>
      <c r="E302" s="14" t="str">
        <f>+HYPERLINK("http://trademark.i-assist.jp/data/china/image_1905th/79785632.pdf","79785632")</f>
        <v>79785632</v>
      </c>
      <c r="F302" s="13" t="s">
        <v>581</v>
      </c>
      <c r="G302" s="13" t="s">
        <v>580</v>
      </c>
      <c r="H302" s="13" t="s">
        <v>4162</v>
      </c>
      <c r="I302" s="12">
        <v>45488</v>
      </c>
    </row>
    <row r="303" spans="1:9" x14ac:dyDescent="0.15">
      <c r="A303" s="10">
        <v>302</v>
      </c>
      <c r="B303" s="9" t="s">
        <v>9</v>
      </c>
      <c r="C303" s="11" t="s">
        <v>10</v>
      </c>
      <c r="D303" s="12">
        <v>45562</v>
      </c>
      <c r="E303" s="14" t="str">
        <f>+HYPERLINK("http://trademark.i-assist.jp/data/china/image_1905th/79792780.pdf","79792780")</f>
        <v>79792780</v>
      </c>
      <c r="F303" s="13" t="s">
        <v>583</v>
      </c>
      <c r="G303" s="13" t="s">
        <v>582</v>
      </c>
      <c r="H303" s="13" t="s">
        <v>4414</v>
      </c>
      <c r="I303" s="12">
        <v>45488</v>
      </c>
    </row>
    <row r="304" spans="1:9" x14ac:dyDescent="0.15">
      <c r="A304" s="10">
        <v>303</v>
      </c>
      <c r="B304" s="9" t="s">
        <v>9</v>
      </c>
      <c r="C304" s="11" t="s">
        <v>10</v>
      </c>
      <c r="D304" s="12">
        <v>45562</v>
      </c>
      <c r="E304" s="14" t="str">
        <f>+HYPERLINK("http://trademark.i-assist.jp/data/china/image_1905th/79807262.pdf","79807262")</f>
        <v>79807262</v>
      </c>
      <c r="F304" s="13" t="s">
        <v>585</v>
      </c>
      <c r="G304" s="13" t="s">
        <v>584</v>
      </c>
      <c r="H304" s="13" t="s">
        <v>4415</v>
      </c>
      <c r="I304" s="12">
        <v>45488</v>
      </c>
    </row>
    <row r="305" spans="1:9" x14ac:dyDescent="0.15">
      <c r="A305" s="10">
        <v>304</v>
      </c>
      <c r="B305" s="9" t="s">
        <v>9</v>
      </c>
      <c r="C305" s="11" t="s">
        <v>10</v>
      </c>
      <c r="D305" s="12">
        <v>45562</v>
      </c>
      <c r="E305" s="14" t="str">
        <f>+HYPERLINK("http://trademark.i-assist.jp/data/china/image_1905th/79813526.pdf","79813526")</f>
        <v>79813526</v>
      </c>
      <c r="F305" s="13" t="s">
        <v>587</v>
      </c>
      <c r="G305" s="13" t="s">
        <v>586</v>
      </c>
      <c r="H305" s="13" t="s">
        <v>4416</v>
      </c>
      <c r="I305" s="12">
        <v>45489</v>
      </c>
    </row>
    <row r="306" spans="1:9" x14ac:dyDescent="0.15">
      <c r="A306" s="10">
        <v>305</v>
      </c>
      <c r="B306" s="9" t="s">
        <v>9</v>
      </c>
      <c r="C306" s="11" t="s">
        <v>10</v>
      </c>
      <c r="D306" s="12">
        <v>45562</v>
      </c>
      <c r="E306" s="14" t="str">
        <f>+HYPERLINK("http://trademark.i-assist.jp/data/china/image_1905th/79814142.pdf","79814142")</f>
        <v>79814142</v>
      </c>
      <c r="F306" s="13" t="s">
        <v>589</v>
      </c>
      <c r="G306" s="13" t="s">
        <v>588</v>
      </c>
      <c r="H306" s="13" t="s">
        <v>4417</v>
      </c>
      <c r="I306" s="12">
        <v>45489</v>
      </c>
    </row>
    <row r="307" spans="1:9" x14ac:dyDescent="0.15">
      <c r="A307" s="10">
        <v>306</v>
      </c>
      <c r="B307" s="9" t="s">
        <v>9</v>
      </c>
      <c r="C307" s="11" t="s">
        <v>10</v>
      </c>
      <c r="D307" s="12">
        <v>45562</v>
      </c>
      <c r="E307" s="14" t="str">
        <f>+HYPERLINK("http://trademark.i-assist.jp/data/china/image_1905th/79817884.pdf","79817884")</f>
        <v>79817884</v>
      </c>
      <c r="F307" s="13" t="s">
        <v>590</v>
      </c>
      <c r="G307" s="13" t="s">
        <v>279</v>
      </c>
      <c r="H307" s="13" t="s">
        <v>4273</v>
      </c>
      <c r="I307" s="12">
        <v>45489</v>
      </c>
    </row>
    <row r="308" spans="1:9" x14ac:dyDescent="0.15">
      <c r="A308" s="10">
        <v>307</v>
      </c>
      <c r="B308" s="9" t="s">
        <v>9</v>
      </c>
      <c r="C308" s="11" t="s">
        <v>10</v>
      </c>
      <c r="D308" s="12">
        <v>45562</v>
      </c>
      <c r="E308" s="14" t="str">
        <f>+HYPERLINK("http://trademark.i-assist.jp/data/china/image_1905th/79820549.pdf","79820549")</f>
        <v>79820549</v>
      </c>
      <c r="F308" s="13" t="s">
        <v>592</v>
      </c>
      <c r="G308" s="13" t="s">
        <v>591</v>
      </c>
      <c r="H308" s="13" t="s">
        <v>4418</v>
      </c>
      <c r="I308" s="12">
        <v>45489</v>
      </c>
    </row>
    <row r="309" spans="1:9" x14ac:dyDescent="0.15">
      <c r="A309" s="10">
        <v>308</v>
      </c>
      <c r="B309" s="9" t="s">
        <v>9</v>
      </c>
      <c r="C309" s="11" t="s">
        <v>10</v>
      </c>
      <c r="D309" s="12">
        <v>45562</v>
      </c>
      <c r="E309" s="14" t="str">
        <f>+HYPERLINK("http://trademark.i-assist.jp/data/china/image_1905th/79827231.pdf","79827231")</f>
        <v>79827231</v>
      </c>
      <c r="F309" s="13" t="s">
        <v>73</v>
      </c>
      <c r="G309" s="13" t="s">
        <v>593</v>
      </c>
      <c r="H309" s="13" t="s">
        <v>4200</v>
      </c>
      <c r="I309" s="12">
        <v>45489</v>
      </c>
    </row>
    <row r="310" spans="1:9" x14ac:dyDescent="0.15">
      <c r="A310" s="10">
        <v>309</v>
      </c>
      <c r="B310" s="9" t="s">
        <v>9</v>
      </c>
      <c r="C310" s="11" t="s">
        <v>10</v>
      </c>
      <c r="D310" s="12">
        <v>45562</v>
      </c>
      <c r="E310" s="14" t="str">
        <f>+HYPERLINK("http://trademark.i-assist.jp/data/china/image_1905th/79827768.pdf","79827768")</f>
        <v>79827768</v>
      </c>
      <c r="F310" s="13" t="s">
        <v>595</v>
      </c>
      <c r="G310" s="13" t="s">
        <v>594</v>
      </c>
      <c r="H310" s="13" t="s">
        <v>4419</v>
      </c>
      <c r="I310" s="12">
        <v>45489</v>
      </c>
    </row>
    <row r="311" spans="1:9" x14ac:dyDescent="0.15">
      <c r="A311" s="10">
        <v>310</v>
      </c>
      <c r="B311" s="9" t="s">
        <v>9</v>
      </c>
      <c r="C311" s="11" t="s">
        <v>10</v>
      </c>
      <c r="D311" s="12">
        <v>45562</v>
      </c>
      <c r="E311" s="14" t="str">
        <f>+HYPERLINK("http://trademark.i-assist.jp/data/china/image_1905th/79716251.pdf","79716251")</f>
        <v>79716251</v>
      </c>
      <c r="F311" s="13" t="s">
        <v>597</v>
      </c>
      <c r="G311" s="13" t="s">
        <v>596</v>
      </c>
      <c r="H311" s="13" t="s">
        <v>4420</v>
      </c>
      <c r="I311" s="12">
        <v>45483</v>
      </c>
    </row>
    <row r="312" spans="1:9" x14ac:dyDescent="0.15">
      <c r="A312" s="10">
        <v>311</v>
      </c>
      <c r="B312" s="9" t="s">
        <v>9</v>
      </c>
      <c r="C312" s="11" t="s">
        <v>10</v>
      </c>
      <c r="D312" s="12">
        <v>45562</v>
      </c>
      <c r="E312" s="14" t="str">
        <f>+HYPERLINK("http://trademark.i-assist.jp/data/china/image_1905th/79718034.pdf","79718034")</f>
        <v>79718034</v>
      </c>
      <c r="F312" s="13" t="s">
        <v>599</v>
      </c>
      <c r="G312" s="13" t="s">
        <v>598</v>
      </c>
      <c r="H312" s="13" t="s">
        <v>4421</v>
      </c>
      <c r="I312" s="12">
        <v>45483</v>
      </c>
    </row>
    <row r="313" spans="1:9" x14ac:dyDescent="0.15">
      <c r="A313" s="10">
        <v>312</v>
      </c>
      <c r="B313" s="9" t="s">
        <v>9</v>
      </c>
      <c r="C313" s="11" t="s">
        <v>10</v>
      </c>
      <c r="D313" s="12">
        <v>45562</v>
      </c>
      <c r="E313" s="14" t="str">
        <f>+HYPERLINK("http://trademark.i-assist.jp/data/china/image_1905th/79722120.pdf","79722120")</f>
        <v>79722120</v>
      </c>
      <c r="F313" s="13" t="s">
        <v>601</v>
      </c>
      <c r="G313" s="13" t="s">
        <v>600</v>
      </c>
      <c r="H313" s="13" t="s">
        <v>4422</v>
      </c>
      <c r="I313" s="12">
        <v>45483</v>
      </c>
    </row>
    <row r="314" spans="1:9" x14ac:dyDescent="0.15">
      <c r="A314" s="10">
        <v>313</v>
      </c>
      <c r="B314" s="9" t="s">
        <v>9</v>
      </c>
      <c r="C314" s="11" t="s">
        <v>10</v>
      </c>
      <c r="D314" s="12">
        <v>45562</v>
      </c>
      <c r="E314" s="14" t="str">
        <f>+HYPERLINK("http://trademark.i-assist.jp/data/china/image_1905th/79724884.pdf","79724884")</f>
        <v>79724884</v>
      </c>
      <c r="F314" s="13" t="s">
        <v>603</v>
      </c>
      <c r="G314" s="13" t="s">
        <v>602</v>
      </c>
      <c r="H314" s="13" t="s">
        <v>4162</v>
      </c>
      <c r="I314" s="12">
        <v>45483</v>
      </c>
    </row>
    <row r="315" spans="1:9" x14ac:dyDescent="0.15">
      <c r="A315" s="10">
        <v>314</v>
      </c>
      <c r="B315" s="9" t="s">
        <v>9</v>
      </c>
      <c r="C315" s="11" t="s">
        <v>10</v>
      </c>
      <c r="D315" s="12">
        <v>45562</v>
      </c>
      <c r="E315" s="14" t="str">
        <f>+HYPERLINK("http://trademark.i-assist.jp/data/china/image_1905th/79726193.pdf","79726193")</f>
        <v>79726193</v>
      </c>
      <c r="F315" s="13" t="s">
        <v>604</v>
      </c>
      <c r="G315" s="13" t="s">
        <v>244</v>
      </c>
      <c r="H315" s="13" t="s">
        <v>4257</v>
      </c>
      <c r="I315" s="12">
        <v>45483</v>
      </c>
    </row>
    <row r="316" spans="1:9" x14ac:dyDescent="0.15">
      <c r="A316" s="10">
        <v>315</v>
      </c>
      <c r="B316" s="9" t="s">
        <v>9</v>
      </c>
      <c r="C316" s="11" t="s">
        <v>10</v>
      </c>
      <c r="D316" s="12">
        <v>45562</v>
      </c>
      <c r="E316" s="14" t="str">
        <f>+HYPERLINK("http://trademark.i-assist.jp/data/china/image_1905th/79738916.pdf","79738916")</f>
        <v>79738916</v>
      </c>
      <c r="F316" s="13" t="s">
        <v>606</v>
      </c>
      <c r="G316" s="13" t="s">
        <v>605</v>
      </c>
      <c r="H316" s="13" t="s">
        <v>4394</v>
      </c>
      <c r="I316" s="12">
        <v>45484</v>
      </c>
    </row>
    <row r="317" spans="1:9" x14ac:dyDescent="0.15">
      <c r="A317" s="10">
        <v>316</v>
      </c>
      <c r="B317" s="9" t="s">
        <v>9</v>
      </c>
      <c r="C317" s="11" t="s">
        <v>10</v>
      </c>
      <c r="D317" s="12">
        <v>45562</v>
      </c>
      <c r="E317" s="14" t="str">
        <f>+HYPERLINK("http://trademark.i-assist.jp/data/china/image_1905th/79689135.pdf","79689135")</f>
        <v>79689135</v>
      </c>
      <c r="F317" s="13" t="s">
        <v>608</v>
      </c>
      <c r="G317" s="13" t="s">
        <v>607</v>
      </c>
      <c r="H317" s="13" t="s">
        <v>4180</v>
      </c>
      <c r="I317" s="12">
        <v>45482</v>
      </c>
    </row>
    <row r="318" spans="1:9" x14ac:dyDescent="0.15">
      <c r="A318" s="10">
        <v>317</v>
      </c>
      <c r="B318" s="9" t="s">
        <v>9</v>
      </c>
      <c r="C318" s="11" t="s">
        <v>10</v>
      </c>
      <c r="D318" s="12">
        <v>45562</v>
      </c>
      <c r="E318" s="14" t="str">
        <f>+HYPERLINK("http://trademark.i-assist.jp/data/china/image_1905th/79692728.pdf","79692728")</f>
        <v>79692728</v>
      </c>
      <c r="F318" s="13" t="s">
        <v>610</v>
      </c>
      <c r="G318" s="13" t="s">
        <v>609</v>
      </c>
      <c r="H318" s="13" t="s">
        <v>4423</v>
      </c>
      <c r="I318" s="12">
        <v>45482</v>
      </c>
    </row>
    <row r="319" spans="1:9" x14ac:dyDescent="0.15">
      <c r="A319" s="10">
        <v>318</v>
      </c>
      <c r="B319" s="9" t="s">
        <v>9</v>
      </c>
      <c r="C319" s="11" t="s">
        <v>10</v>
      </c>
      <c r="D319" s="12">
        <v>45562</v>
      </c>
      <c r="E319" s="14" t="str">
        <f>+HYPERLINK("http://trademark.i-assist.jp/data/china/image_1905th/79694613.pdf","79694613")</f>
        <v>79694613</v>
      </c>
      <c r="F319" s="13" t="s">
        <v>612</v>
      </c>
      <c r="G319" s="13" t="s">
        <v>611</v>
      </c>
      <c r="H319" s="13" t="s">
        <v>4152</v>
      </c>
      <c r="I319" s="12">
        <v>45482</v>
      </c>
    </row>
    <row r="320" spans="1:9" x14ac:dyDescent="0.15">
      <c r="A320" s="10">
        <v>319</v>
      </c>
      <c r="B320" s="9" t="s">
        <v>9</v>
      </c>
      <c r="C320" s="11" t="s">
        <v>10</v>
      </c>
      <c r="D320" s="12">
        <v>45562</v>
      </c>
      <c r="E320" s="14" t="str">
        <f>+HYPERLINK("http://trademark.i-assist.jp/data/china/image_1905th/79696190.pdf","79696190")</f>
        <v>79696190</v>
      </c>
      <c r="F320" s="13" t="s">
        <v>614</v>
      </c>
      <c r="G320" s="13" t="s">
        <v>613</v>
      </c>
      <c r="H320" s="13" t="s">
        <v>4424</v>
      </c>
      <c r="I320" s="12">
        <v>45482</v>
      </c>
    </row>
    <row r="321" spans="1:9" x14ac:dyDescent="0.15">
      <c r="A321" s="10">
        <v>320</v>
      </c>
      <c r="B321" s="9" t="s">
        <v>9</v>
      </c>
      <c r="C321" s="11" t="s">
        <v>10</v>
      </c>
      <c r="D321" s="12">
        <v>45562</v>
      </c>
      <c r="E321" s="14" t="str">
        <f>+HYPERLINK("http://trademark.i-assist.jp/data/china/image_1905th/79701526.pdf","79701526")</f>
        <v>79701526</v>
      </c>
      <c r="F321" s="13" t="s">
        <v>137</v>
      </c>
      <c r="G321" s="13" t="s">
        <v>136</v>
      </c>
      <c r="H321" s="13" t="s">
        <v>4208</v>
      </c>
      <c r="I321" s="12">
        <v>45482</v>
      </c>
    </row>
    <row r="322" spans="1:9" x14ac:dyDescent="0.15">
      <c r="A322" s="10">
        <v>321</v>
      </c>
      <c r="B322" s="9" t="s">
        <v>9</v>
      </c>
      <c r="C322" s="11" t="s">
        <v>10</v>
      </c>
      <c r="D322" s="12">
        <v>45562</v>
      </c>
      <c r="E322" s="14" t="str">
        <f>+HYPERLINK("http://trademark.i-assist.jp/data/china/image_1905th/79703280.pdf","79703280")</f>
        <v>79703280</v>
      </c>
      <c r="F322" s="13" t="s">
        <v>616</v>
      </c>
      <c r="G322" s="13" t="s">
        <v>615</v>
      </c>
      <c r="H322" s="13" t="s">
        <v>4425</v>
      </c>
      <c r="I322" s="12">
        <v>45482</v>
      </c>
    </row>
    <row r="323" spans="1:9" x14ac:dyDescent="0.15">
      <c r="A323" s="10">
        <v>322</v>
      </c>
      <c r="B323" s="9" t="s">
        <v>9</v>
      </c>
      <c r="C323" s="11" t="s">
        <v>10</v>
      </c>
      <c r="D323" s="12">
        <v>45562</v>
      </c>
      <c r="E323" s="14" t="str">
        <f>+HYPERLINK("http://trademark.i-assist.jp/data/china/image_1905th/79703366.pdf","79703366")</f>
        <v>79703366</v>
      </c>
      <c r="F323" s="13" t="s">
        <v>73</v>
      </c>
      <c r="G323" s="13" t="s">
        <v>617</v>
      </c>
      <c r="H323" s="13" t="s">
        <v>4426</v>
      </c>
      <c r="I323" s="12">
        <v>45482</v>
      </c>
    </row>
    <row r="324" spans="1:9" x14ac:dyDescent="0.15">
      <c r="A324" s="10">
        <v>323</v>
      </c>
      <c r="B324" s="9" t="s">
        <v>9</v>
      </c>
      <c r="C324" s="11" t="s">
        <v>10</v>
      </c>
      <c r="D324" s="12">
        <v>45562</v>
      </c>
      <c r="E324" s="14" t="str">
        <f>+HYPERLINK("http://trademark.i-assist.jp/data/china/image_1905th/79706645.pdf","79706645")</f>
        <v>79706645</v>
      </c>
      <c r="F324" s="13" t="s">
        <v>618</v>
      </c>
      <c r="G324" s="13" t="s">
        <v>13</v>
      </c>
      <c r="H324" s="13" t="s">
        <v>4148</v>
      </c>
      <c r="I324" s="12">
        <v>45483</v>
      </c>
    </row>
    <row r="325" spans="1:9" x14ac:dyDescent="0.15">
      <c r="A325" s="10">
        <v>324</v>
      </c>
      <c r="B325" s="9" t="s">
        <v>9</v>
      </c>
      <c r="C325" s="11" t="s">
        <v>10</v>
      </c>
      <c r="D325" s="12">
        <v>45562</v>
      </c>
      <c r="E325" s="14" t="str">
        <f>+HYPERLINK("http://trademark.i-assist.jp/data/china/image_1905th/79709773.pdf","79709773")</f>
        <v>79709773</v>
      </c>
      <c r="F325" s="13" t="s">
        <v>620</v>
      </c>
      <c r="G325" s="13" t="s">
        <v>619</v>
      </c>
      <c r="H325" s="13" t="s">
        <v>4427</v>
      </c>
      <c r="I325" s="12">
        <v>45483</v>
      </c>
    </row>
    <row r="326" spans="1:9" x14ac:dyDescent="0.15">
      <c r="A326" s="10">
        <v>325</v>
      </c>
      <c r="B326" s="9" t="s">
        <v>9</v>
      </c>
      <c r="C326" s="11" t="s">
        <v>10</v>
      </c>
      <c r="D326" s="12">
        <v>45562</v>
      </c>
      <c r="E326" s="14" t="str">
        <f>+HYPERLINK("http://trademark.i-assist.jp/data/china/image_1905th/79638503.pdf","79638503")</f>
        <v>79638503</v>
      </c>
      <c r="F326" s="13" t="s">
        <v>73</v>
      </c>
      <c r="G326" s="13" t="s">
        <v>621</v>
      </c>
      <c r="H326" s="13" t="s">
        <v>4428</v>
      </c>
      <c r="I326" s="12">
        <v>45478</v>
      </c>
    </row>
    <row r="327" spans="1:9" x14ac:dyDescent="0.15">
      <c r="A327" s="10">
        <v>326</v>
      </c>
      <c r="B327" s="9" t="s">
        <v>9</v>
      </c>
      <c r="C327" s="11" t="s">
        <v>10</v>
      </c>
      <c r="D327" s="12">
        <v>45562</v>
      </c>
      <c r="E327" s="14" t="str">
        <f>+HYPERLINK("http://trademark.i-assist.jp/data/china/image_1905th/79638629.pdf","79638629")</f>
        <v>79638629</v>
      </c>
      <c r="F327" s="13" t="s">
        <v>622</v>
      </c>
      <c r="G327" s="13" t="s">
        <v>119</v>
      </c>
      <c r="H327" s="13" t="s">
        <v>4199</v>
      </c>
      <c r="I327" s="12">
        <v>45478</v>
      </c>
    </row>
    <row r="328" spans="1:9" x14ac:dyDescent="0.15">
      <c r="A328" s="10">
        <v>327</v>
      </c>
      <c r="B328" s="9" t="s">
        <v>9</v>
      </c>
      <c r="C328" s="11" t="s">
        <v>10</v>
      </c>
      <c r="D328" s="12">
        <v>45562</v>
      </c>
      <c r="E328" s="14" t="str">
        <f>+HYPERLINK("http://trademark.i-assist.jp/data/china/image_1905th/79639355.pdf","79639355")</f>
        <v>79639355</v>
      </c>
      <c r="F328" s="13" t="s">
        <v>73</v>
      </c>
      <c r="G328" s="13" t="s">
        <v>623</v>
      </c>
      <c r="H328" s="13" t="s">
        <v>4429</v>
      </c>
      <c r="I328" s="12">
        <v>45478</v>
      </c>
    </row>
    <row r="329" spans="1:9" x14ac:dyDescent="0.15">
      <c r="A329" s="10">
        <v>328</v>
      </c>
      <c r="B329" s="9" t="s">
        <v>9</v>
      </c>
      <c r="C329" s="11" t="s">
        <v>10</v>
      </c>
      <c r="D329" s="12">
        <v>45562</v>
      </c>
      <c r="E329" s="14" t="str">
        <f>+HYPERLINK("http://trademark.i-assist.jp/data/china/image_1905th/79640257.pdf","79640257")</f>
        <v>79640257</v>
      </c>
      <c r="F329" s="13" t="s">
        <v>73</v>
      </c>
      <c r="G329" s="13" t="s">
        <v>624</v>
      </c>
      <c r="H329" s="13" t="s">
        <v>4430</v>
      </c>
      <c r="I329" s="12">
        <v>45478</v>
      </c>
    </row>
    <row r="330" spans="1:9" x14ac:dyDescent="0.15">
      <c r="A330" s="10">
        <v>329</v>
      </c>
      <c r="B330" s="9" t="s">
        <v>9</v>
      </c>
      <c r="C330" s="11" t="s">
        <v>10</v>
      </c>
      <c r="D330" s="12">
        <v>45562</v>
      </c>
      <c r="E330" s="14" t="str">
        <f>+HYPERLINK("http://trademark.i-assist.jp/data/china/image_1905th/79644504.pdf","79644504")</f>
        <v>79644504</v>
      </c>
      <c r="F330" s="13" t="s">
        <v>626</v>
      </c>
      <c r="G330" s="13" t="s">
        <v>625</v>
      </c>
      <c r="H330" s="13" t="s">
        <v>4431</v>
      </c>
      <c r="I330" s="12">
        <v>45478</v>
      </c>
    </row>
    <row r="331" spans="1:9" x14ac:dyDescent="0.15">
      <c r="A331" s="10">
        <v>330</v>
      </c>
      <c r="B331" s="9" t="s">
        <v>9</v>
      </c>
      <c r="C331" s="11" t="s">
        <v>10</v>
      </c>
      <c r="D331" s="12">
        <v>45562</v>
      </c>
      <c r="E331" s="14" t="str">
        <f>+HYPERLINK("http://trademark.i-assist.jp/data/china/image_1905th/79651528.pdf","79651528")</f>
        <v>79651528</v>
      </c>
      <c r="F331" s="13" t="s">
        <v>628</v>
      </c>
      <c r="G331" s="13" t="s">
        <v>627</v>
      </c>
      <c r="H331" s="13" t="s">
        <v>4432</v>
      </c>
      <c r="I331" s="12">
        <v>45479</v>
      </c>
    </row>
    <row r="332" spans="1:9" x14ac:dyDescent="0.15">
      <c r="A332" s="10">
        <v>331</v>
      </c>
      <c r="B332" s="9" t="s">
        <v>9</v>
      </c>
      <c r="C332" s="11" t="s">
        <v>10</v>
      </c>
      <c r="D332" s="12">
        <v>45562</v>
      </c>
      <c r="E332" s="14" t="str">
        <f>+HYPERLINK("http://trademark.i-assist.jp/data/china/image_1905th/79653748.pdf","79653748")</f>
        <v>79653748</v>
      </c>
      <c r="F332" s="13" t="s">
        <v>630</v>
      </c>
      <c r="G332" s="13" t="s">
        <v>629</v>
      </c>
      <c r="H332" s="13" t="s">
        <v>4201</v>
      </c>
      <c r="I332" s="12">
        <v>45480</v>
      </c>
    </row>
    <row r="333" spans="1:9" x14ac:dyDescent="0.15">
      <c r="A333" s="10">
        <v>332</v>
      </c>
      <c r="B333" s="9" t="s">
        <v>9</v>
      </c>
      <c r="C333" s="11" t="s">
        <v>10</v>
      </c>
      <c r="D333" s="12">
        <v>45562</v>
      </c>
      <c r="E333" s="14" t="str">
        <f>+HYPERLINK("http://trademark.i-assist.jp/data/china/image_1905th/79653905.pdf","79653905")</f>
        <v>79653905</v>
      </c>
      <c r="F333" s="13" t="s">
        <v>632</v>
      </c>
      <c r="G333" s="13" t="s">
        <v>631</v>
      </c>
      <c r="H333" s="13" t="s">
        <v>4202</v>
      </c>
      <c r="I333" s="12">
        <v>45480</v>
      </c>
    </row>
    <row r="334" spans="1:9" x14ac:dyDescent="0.15">
      <c r="A334" s="10">
        <v>333</v>
      </c>
      <c r="B334" s="9" t="s">
        <v>9</v>
      </c>
      <c r="C334" s="11" t="s">
        <v>10</v>
      </c>
      <c r="D334" s="12">
        <v>45562</v>
      </c>
      <c r="E334" s="14" t="str">
        <f>+HYPERLINK("http://trademark.i-assist.jp/data/china/image_1905th/79654842.pdf","79654842")</f>
        <v>79654842</v>
      </c>
      <c r="F334" s="13" t="s">
        <v>633</v>
      </c>
      <c r="G334" s="13" t="s">
        <v>425</v>
      </c>
      <c r="H334" s="13" t="s">
        <v>4433</v>
      </c>
      <c r="I334" s="12">
        <v>45480</v>
      </c>
    </row>
    <row r="335" spans="1:9" x14ac:dyDescent="0.15">
      <c r="A335" s="10">
        <v>334</v>
      </c>
      <c r="B335" s="9" t="s">
        <v>9</v>
      </c>
      <c r="C335" s="11" t="s">
        <v>10</v>
      </c>
      <c r="D335" s="12">
        <v>45562</v>
      </c>
      <c r="E335" s="14" t="str">
        <f>+HYPERLINK("http://trademark.i-assist.jp/data/china/image_1905th/79654928.pdf","79654928")</f>
        <v>79654928</v>
      </c>
      <c r="F335" s="13" t="s">
        <v>634</v>
      </c>
      <c r="G335" s="13" t="s">
        <v>128</v>
      </c>
      <c r="H335" s="13" t="s">
        <v>4204</v>
      </c>
      <c r="I335" s="12">
        <v>45480</v>
      </c>
    </row>
    <row r="336" spans="1:9" x14ac:dyDescent="0.15">
      <c r="A336" s="10">
        <v>335</v>
      </c>
      <c r="B336" s="9" t="s">
        <v>9</v>
      </c>
      <c r="C336" s="11" t="s">
        <v>10</v>
      </c>
      <c r="D336" s="12">
        <v>45562</v>
      </c>
      <c r="E336" s="14" t="str">
        <f>+HYPERLINK("http://trademark.i-assist.jp/data/china/image_1905th/79659349.pdf","79659349")</f>
        <v>79659349</v>
      </c>
      <c r="F336" s="13" t="s">
        <v>636</v>
      </c>
      <c r="G336" s="13" t="s">
        <v>635</v>
      </c>
      <c r="H336" s="13" t="s">
        <v>4434</v>
      </c>
      <c r="I336" s="12">
        <v>45481</v>
      </c>
    </row>
    <row r="337" spans="1:9" x14ac:dyDescent="0.15">
      <c r="A337" s="10">
        <v>336</v>
      </c>
      <c r="B337" s="9" t="s">
        <v>9</v>
      </c>
      <c r="C337" s="11" t="s">
        <v>10</v>
      </c>
      <c r="D337" s="12">
        <v>45562</v>
      </c>
      <c r="E337" s="14" t="str">
        <f>+HYPERLINK("http://trademark.i-assist.jp/data/china/image_1905th/79740185.pdf","79740185")</f>
        <v>79740185</v>
      </c>
      <c r="F337" s="13" t="s">
        <v>638</v>
      </c>
      <c r="G337" s="13" t="s">
        <v>637</v>
      </c>
      <c r="H337" s="13" t="s">
        <v>4435</v>
      </c>
      <c r="I337" s="12">
        <v>45484</v>
      </c>
    </row>
    <row r="338" spans="1:9" x14ac:dyDescent="0.15">
      <c r="A338" s="10">
        <v>337</v>
      </c>
      <c r="B338" s="9" t="s">
        <v>9</v>
      </c>
      <c r="C338" s="11" t="s">
        <v>10</v>
      </c>
      <c r="D338" s="12">
        <v>45562</v>
      </c>
      <c r="E338" s="14" t="str">
        <f>+HYPERLINK("http://trademark.i-assist.jp/data/china/image_1905th/79740847.pdf","79740847")</f>
        <v>79740847</v>
      </c>
      <c r="F338" s="13" t="s">
        <v>640</v>
      </c>
      <c r="G338" s="13" t="s">
        <v>639</v>
      </c>
      <c r="H338" s="13" t="s">
        <v>4436</v>
      </c>
      <c r="I338" s="12">
        <v>45484</v>
      </c>
    </row>
    <row r="339" spans="1:9" x14ac:dyDescent="0.15">
      <c r="A339" s="10">
        <v>338</v>
      </c>
      <c r="B339" s="9" t="s">
        <v>9</v>
      </c>
      <c r="C339" s="11" t="s">
        <v>10</v>
      </c>
      <c r="D339" s="12">
        <v>45562</v>
      </c>
      <c r="E339" s="14" t="str">
        <f>+HYPERLINK("http://trademark.i-assist.jp/data/china/image_1905th/79740897.pdf","79740897")</f>
        <v>79740897</v>
      </c>
      <c r="F339" s="13" t="s">
        <v>642</v>
      </c>
      <c r="G339" s="13" t="s">
        <v>641</v>
      </c>
      <c r="H339" s="13" t="s">
        <v>4437</v>
      </c>
      <c r="I339" s="12">
        <v>45484</v>
      </c>
    </row>
    <row r="340" spans="1:9" x14ac:dyDescent="0.15">
      <c r="A340" s="10">
        <v>339</v>
      </c>
      <c r="B340" s="9" t="s">
        <v>9</v>
      </c>
      <c r="C340" s="11" t="s">
        <v>10</v>
      </c>
      <c r="D340" s="12">
        <v>45562</v>
      </c>
      <c r="E340" s="14" t="str">
        <f>+HYPERLINK("http://trademark.i-assist.jp/data/china/image_1905th/79752945.pdf","79752945")</f>
        <v>79752945</v>
      </c>
      <c r="F340" s="13" t="s">
        <v>644</v>
      </c>
      <c r="G340" s="13" t="s">
        <v>643</v>
      </c>
      <c r="H340" s="13" t="s">
        <v>4438</v>
      </c>
      <c r="I340" s="12">
        <v>45485</v>
      </c>
    </row>
    <row r="341" spans="1:9" x14ac:dyDescent="0.15">
      <c r="A341" s="10">
        <v>340</v>
      </c>
      <c r="B341" s="9" t="s">
        <v>9</v>
      </c>
      <c r="C341" s="11" t="s">
        <v>10</v>
      </c>
      <c r="D341" s="12">
        <v>45562</v>
      </c>
      <c r="E341" s="14" t="str">
        <f>+HYPERLINK("http://trademark.i-assist.jp/data/china/image_1905th/79753044.pdf","79753044")</f>
        <v>79753044</v>
      </c>
      <c r="F341" s="13" t="s">
        <v>646</v>
      </c>
      <c r="G341" s="13" t="s">
        <v>645</v>
      </c>
      <c r="H341" s="13" t="s">
        <v>4439</v>
      </c>
      <c r="I341" s="12">
        <v>45485</v>
      </c>
    </row>
    <row r="342" spans="1:9" x14ac:dyDescent="0.15">
      <c r="A342" s="10">
        <v>341</v>
      </c>
      <c r="B342" s="9" t="s">
        <v>9</v>
      </c>
      <c r="C342" s="11" t="s">
        <v>10</v>
      </c>
      <c r="D342" s="12">
        <v>45562</v>
      </c>
      <c r="E342" s="14" t="str">
        <f>+HYPERLINK("http://trademark.i-assist.jp/data/china/image_1905th/79759203.pdf","79759203")</f>
        <v>79759203</v>
      </c>
      <c r="F342" s="13" t="s">
        <v>648</v>
      </c>
      <c r="G342" s="13" t="s">
        <v>647</v>
      </c>
      <c r="H342" s="13" t="s">
        <v>4440</v>
      </c>
      <c r="I342" s="12">
        <v>45485</v>
      </c>
    </row>
    <row r="343" spans="1:9" x14ac:dyDescent="0.15">
      <c r="A343" s="10">
        <v>342</v>
      </c>
      <c r="B343" s="9" t="s">
        <v>9</v>
      </c>
      <c r="C343" s="11" t="s">
        <v>10</v>
      </c>
      <c r="D343" s="12">
        <v>45562</v>
      </c>
      <c r="E343" s="14" t="str">
        <f>+HYPERLINK("http://trademark.i-assist.jp/data/china/image_1905th/79761682.pdf","79761682")</f>
        <v>79761682</v>
      </c>
      <c r="F343" s="13" t="s">
        <v>650</v>
      </c>
      <c r="G343" s="13" t="s">
        <v>649</v>
      </c>
      <c r="H343" s="13" t="s">
        <v>4441</v>
      </c>
      <c r="I343" s="12">
        <v>45485</v>
      </c>
    </row>
    <row r="344" spans="1:9" x14ac:dyDescent="0.15">
      <c r="A344" s="10">
        <v>343</v>
      </c>
      <c r="B344" s="9" t="s">
        <v>9</v>
      </c>
      <c r="C344" s="11" t="s">
        <v>10</v>
      </c>
      <c r="D344" s="12">
        <v>45562</v>
      </c>
      <c r="E344" s="14" t="str">
        <f>+HYPERLINK("http://trademark.i-assist.jp/data/china/image_1905th/79765998.pdf","79765998")</f>
        <v>79765998</v>
      </c>
      <c r="F344" s="13" t="s">
        <v>652</v>
      </c>
      <c r="G344" s="13" t="s">
        <v>651</v>
      </c>
      <c r="H344" s="13" t="s">
        <v>4442</v>
      </c>
      <c r="I344" s="12">
        <v>45485</v>
      </c>
    </row>
    <row r="345" spans="1:9" x14ac:dyDescent="0.15">
      <c r="A345" s="10">
        <v>344</v>
      </c>
      <c r="B345" s="9" t="s">
        <v>9</v>
      </c>
      <c r="C345" s="11" t="s">
        <v>10</v>
      </c>
      <c r="D345" s="12">
        <v>45562</v>
      </c>
      <c r="E345" s="14" t="str">
        <f>+HYPERLINK("http://trademark.i-assist.jp/data/china/image_1905th/79769399.pdf","79769399")</f>
        <v>79769399</v>
      </c>
      <c r="F345" s="13" t="s">
        <v>653</v>
      </c>
      <c r="G345" s="13" t="s">
        <v>58</v>
      </c>
      <c r="H345" s="13" t="s">
        <v>4170</v>
      </c>
      <c r="I345" s="12">
        <v>45485</v>
      </c>
    </row>
    <row r="346" spans="1:9" x14ac:dyDescent="0.15">
      <c r="A346" s="10">
        <v>345</v>
      </c>
      <c r="B346" s="9" t="s">
        <v>9</v>
      </c>
      <c r="C346" s="11" t="s">
        <v>10</v>
      </c>
      <c r="D346" s="12">
        <v>45562</v>
      </c>
      <c r="E346" s="14" t="str">
        <f>+HYPERLINK("http://trademark.i-assist.jp/data/china/image_1905th/79541328.pdf","79541328")</f>
        <v>79541328</v>
      </c>
      <c r="F346" s="13" t="s">
        <v>655</v>
      </c>
      <c r="G346" s="13" t="s">
        <v>654</v>
      </c>
      <c r="H346" s="13" t="s">
        <v>4443</v>
      </c>
      <c r="I346" s="12">
        <v>45474</v>
      </c>
    </row>
    <row r="347" spans="1:9" x14ac:dyDescent="0.15">
      <c r="A347" s="10">
        <v>346</v>
      </c>
      <c r="B347" s="9" t="s">
        <v>9</v>
      </c>
      <c r="C347" s="11" t="s">
        <v>10</v>
      </c>
      <c r="D347" s="12">
        <v>45562</v>
      </c>
      <c r="E347" s="14" t="str">
        <f>+HYPERLINK("http://trademark.i-assist.jp/data/china/image_1905th/79547549.pdf","79547549")</f>
        <v>79547549</v>
      </c>
      <c r="F347" s="13" t="s">
        <v>657</v>
      </c>
      <c r="G347" s="13" t="s">
        <v>656</v>
      </c>
      <c r="H347" s="13" t="s">
        <v>4444</v>
      </c>
      <c r="I347" s="12">
        <v>45474</v>
      </c>
    </row>
    <row r="348" spans="1:9" x14ac:dyDescent="0.15">
      <c r="A348" s="10">
        <v>347</v>
      </c>
      <c r="B348" s="9" t="s">
        <v>9</v>
      </c>
      <c r="C348" s="11" t="s">
        <v>10</v>
      </c>
      <c r="D348" s="12">
        <v>45562</v>
      </c>
      <c r="E348" s="14" t="str">
        <f>+HYPERLINK("http://trademark.i-assist.jp/data/china/image_1905th/79391396.pdf","79391396")</f>
        <v>79391396</v>
      </c>
      <c r="F348" s="13" t="s">
        <v>659</v>
      </c>
      <c r="G348" s="13" t="s">
        <v>658</v>
      </c>
      <c r="H348" s="13" t="s">
        <v>4212</v>
      </c>
      <c r="I348" s="12">
        <v>45467</v>
      </c>
    </row>
    <row r="349" spans="1:9" x14ac:dyDescent="0.15">
      <c r="A349" s="10">
        <v>348</v>
      </c>
      <c r="B349" s="9" t="s">
        <v>9</v>
      </c>
      <c r="C349" s="11" t="s">
        <v>10</v>
      </c>
      <c r="D349" s="12">
        <v>45562</v>
      </c>
      <c r="E349" s="14" t="str">
        <f>+HYPERLINK("http://trademark.i-assist.jp/data/china/image_1905th/79832790.pdf","79832790")</f>
        <v>79832790</v>
      </c>
      <c r="F349" s="13" t="s">
        <v>661</v>
      </c>
      <c r="G349" s="13" t="s">
        <v>660</v>
      </c>
      <c r="H349" s="13" t="s">
        <v>4445</v>
      </c>
      <c r="I349" s="12">
        <v>45490</v>
      </c>
    </row>
    <row r="350" spans="1:9" x14ac:dyDescent="0.15">
      <c r="A350" s="10">
        <v>349</v>
      </c>
      <c r="B350" s="9" t="s">
        <v>9</v>
      </c>
      <c r="C350" s="11" t="s">
        <v>10</v>
      </c>
      <c r="D350" s="12">
        <v>45562</v>
      </c>
      <c r="E350" s="14" t="str">
        <f>+HYPERLINK("http://trademark.i-assist.jp/data/china/image_1905th/79834791.pdf","79834791")</f>
        <v>79834791</v>
      </c>
      <c r="F350" s="13" t="s">
        <v>663</v>
      </c>
      <c r="G350" s="13" t="s">
        <v>662</v>
      </c>
      <c r="H350" s="13" t="s">
        <v>4446</v>
      </c>
      <c r="I350" s="12">
        <v>45490</v>
      </c>
    </row>
    <row r="351" spans="1:9" x14ac:dyDescent="0.15">
      <c r="A351" s="10">
        <v>350</v>
      </c>
      <c r="B351" s="9" t="s">
        <v>9</v>
      </c>
      <c r="C351" s="11" t="s">
        <v>10</v>
      </c>
      <c r="D351" s="12">
        <v>45562</v>
      </c>
      <c r="E351" s="14" t="str">
        <f>+HYPERLINK("http://trademark.i-assist.jp/data/china/image_1905th/79835822.pdf","79835822")</f>
        <v>79835822</v>
      </c>
      <c r="F351" s="13" t="s">
        <v>665</v>
      </c>
      <c r="G351" s="13" t="s">
        <v>664</v>
      </c>
      <c r="H351" s="13" t="s">
        <v>4447</v>
      </c>
      <c r="I351" s="12">
        <v>45490</v>
      </c>
    </row>
    <row r="352" spans="1:9" x14ac:dyDescent="0.15">
      <c r="A352" s="10">
        <v>351</v>
      </c>
      <c r="B352" s="9" t="s">
        <v>9</v>
      </c>
      <c r="C352" s="11" t="s">
        <v>10</v>
      </c>
      <c r="D352" s="12">
        <v>45562</v>
      </c>
      <c r="E352" s="14" t="str">
        <f>+HYPERLINK("http://trademark.i-assist.jp/data/china/image_1905th/79841391.pdf","79841391")</f>
        <v>79841391</v>
      </c>
      <c r="F352" s="13" t="s">
        <v>667</v>
      </c>
      <c r="G352" s="13" t="s">
        <v>666</v>
      </c>
      <c r="H352" s="13" t="s">
        <v>4448</v>
      </c>
      <c r="I352" s="12">
        <v>45490</v>
      </c>
    </row>
    <row r="353" spans="1:9" x14ac:dyDescent="0.15">
      <c r="A353" s="10">
        <v>352</v>
      </c>
      <c r="B353" s="9" t="s">
        <v>9</v>
      </c>
      <c r="C353" s="11" t="s">
        <v>10</v>
      </c>
      <c r="D353" s="12">
        <v>45562</v>
      </c>
      <c r="E353" s="14" t="str">
        <f>+HYPERLINK("http://trademark.i-assist.jp/data/china/image_1905th/79853047.pdf","79853047")</f>
        <v>79853047</v>
      </c>
      <c r="F353" s="13" t="s">
        <v>669</v>
      </c>
      <c r="G353" s="13" t="s">
        <v>668</v>
      </c>
      <c r="H353" s="13" t="s">
        <v>4449</v>
      </c>
      <c r="I353" s="12">
        <v>45490</v>
      </c>
    </row>
    <row r="354" spans="1:9" x14ac:dyDescent="0.15">
      <c r="A354" s="10">
        <v>353</v>
      </c>
      <c r="B354" s="9" t="s">
        <v>9</v>
      </c>
      <c r="C354" s="11" t="s">
        <v>10</v>
      </c>
      <c r="D354" s="12">
        <v>45562</v>
      </c>
      <c r="E354" s="14" t="str">
        <f>+HYPERLINK("http://trademark.i-assist.jp/data/china/image_1905th/79854308.pdf","79854308")</f>
        <v>79854308</v>
      </c>
      <c r="F354" s="13" t="s">
        <v>671</v>
      </c>
      <c r="G354" s="13" t="s">
        <v>670</v>
      </c>
      <c r="H354" s="13" t="s">
        <v>4450</v>
      </c>
      <c r="I354" s="12">
        <v>45490</v>
      </c>
    </row>
    <row r="355" spans="1:9" x14ac:dyDescent="0.15">
      <c r="A355" s="10">
        <v>354</v>
      </c>
      <c r="B355" s="9" t="s">
        <v>9</v>
      </c>
      <c r="C355" s="11" t="s">
        <v>10</v>
      </c>
      <c r="D355" s="12">
        <v>45562</v>
      </c>
      <c r="E355" s="14" t="str">
        <f>+HYPERLINK("http://trademark.i-assist.jp/data/china/image_1905th/79872222.pdf","79872222")</f>
        <v>79872222</v>
      </c>
      <c r="F355" s="13" t="s">
        <v>673</v>
      </c>
      <c r="G355" s="13" t="s">
        <v>672</v>
      </c>
      <c r="H355" s="13" t="s">
        <v>4451</v>
      </c>
      <c r="I355" s="12">
        <v>45491</v>
      </c>
    </row>
    <row r="356" spans="1:9" x14ac:dyDescent="0.15">
      <c r="A356" s="10">
        <v>355</v>
      </c>
      <c r="B356" s="9" t="s">
        <v>9</v>
      </c>
      <c r="C356" s="11" t="s">
        <v>10</v>
      </c>
      <c r="D356" s="12">
        <v>45562</v>
      </c>
      <c r="E356" s="14" t="str">
        <f>+HYPERLINK("http://trademark.i-assist.jp/data/china/image_1905th/71935245.pdf","71935245")</f>
        <v>71935245</v>
      </c>
      <c r="F356" s="13" t="s">
        <v>675</v>
      </c>
      <c r="G356" s="13" t="s">
        <v>674</v>
      </c>
      <c r="H356" s="13" t="s">
        <v>4352</v>
      </c>
      <c r="I356" s="12">
        <v>45077</v>
      </c>
    </row>
    <row r="357" spans="1:9" x14ac:dyDescent="0.15">
      <c r="A357" s="10">
        <v>356</v>
      </c>
      <c r="B357" s="9" t="s">
        <v>9</v>
      </c>
      <c r="C357" s="11" t="s">
        <v>10</v>
      </c>
      <c r="D357" s="12">
        <v>45562</v>
      </c>
      <c r="E357" s="14" t="str">
        <f>+HYPERLINK("http://trademark.i-assist.jp/data/china/image_1905th/72551392.pdf","72551392")</f>
        <v>72551392</v>
      </c>
      <c r="F357" s="13" t="s">
        <v>677</v>
      </c>
      <c r="G357" s="13" t="s">
        <v>676</v>
      </c>
      <c r="H357" s="13" t="s">
        <v>4278</v>
      </c>
      <c r="I357" s="12">
        <v>45107</v>
      </c>
    </row>
    <row r="358" spans="1:9" x14ac:dyDescent="0.15">
      <c r="A358" s="10">
        <v>357</v>
      </c>
      <c r="B358" s="9" t="s">
        <v>9</v>
      </c>
      <c r="C358" s="11" t="s">
        <v>10</v>
      </c>
      <c r="D358" s="12">
        <v>45562</v>
      </c>
      <c r="E358" s="14" t="str">
        <f>+HYPERLINK("http://trademark.i-assist.jp/data/china/image_1905th/75237469.pdf","75237469")</f>
        <v>75237469</v>
      </c>
      <c r="F358" s="13" t="s">
        <v>679</v>
      </c>
      <c r="G358" s="13" t="s">
        <v>678</v>
      </c>
      <c r="H358" s="13" t="s">
        <v>4452</v>
      </c>
      <c r="I358" s="12">
        <v>45247</v>
      </c>
    </row>
    <row r="359" spans="1:9" x14ac:dyDescent="0.15">
      <c r="A359" s="10">
        <v>358</v>
      </c>
      <c r="B359" s="9" t="s">
        <v>9</v>
      </c>
      <c r="C359" s="11" t="s">
        <v>10</v>
      </c>
      <c r="D359" s="12">
        <v>45562</v>
      </c>
      <c r="E359" s="14" t="str">
        <f>+HYPERLINK("http://trademark.i-assist.jp/data/china/image_1905th/77231352.pdf","77231352")</f>
        <v>77231352</v>
      </c>
      <c r="F359" s="13" t="s">
        <v>681</v>
      </c>
      <c r="G359" s="13" t="s">
        <v>680</v>
      </c>
      <c r="H359" s="13" t="s">
        <v>4453</v>
      </c>
      <c r="I359" s="12">
        <v>45362</v>
      </c>
    </row>
    <row r="360" spans="1:9" x14ac:dyDescent="0.15">
      <c r="A360" s="10">
        <v>359</v>
      </c>
      <c r="B360" s="9" t="s">
        <v>9</v>
      </c>
      <c r="C360" s="11" t="s">
        <v>10</v>
      </c>
      <c r="D360" s="12">
        <v>45562</v>
      </c>
      <c r="E360" s="14" t="str">
        <f>+HYPERLINK("http://trademark.i-assist.jp/data/china/image_1905th/79637745.pdf","79637745")</f>
        <v>79637745</v>
      </c>
      <c r="F360" s="13" t="s">
        <v>683</v>
      </c>
      <c r="G360" s="13" t="s">
        <v>682</v>
      </c>
      <c r="H360" s="13" t="s">
        <v>4454</v>
      </c>
      <c r="I360" s="12">
        <v>45478</v>
      </c>
    </row>
    <row r="361" spans="1:9" x14ac:dyDescent="0.15">
      <c r="A361" s="10">
        <v>360</v>
      </c>
      <c r="B361" s="9" t="s">
        <v>9</v>
      </c>
      <c r="C361" s="11" t="s">
        <v>10</v>
      </c>
      <c r="D361" s="12">
        <v>45562</v>
      </c>
      <c r="E361" s="14" t="str">
        <f>+HYPERLINK("http://trademark.i-assist.jp/data/china/image_1905th/79640144.pdf","79640144")</f>
        <v>79640144</v>
      </c>
      <c r="F361" s="13" t="s">
        <v>685</v>
      </c>
      <c r="G361" s="13" t="s">
        <v>684</v>
      </c>
      <c r="H361" s="13" t="s">
        <v>4455</v>
      </c>
      <c r="I361" s="12">
        <v>45478</v>
      </c>
    </row>
    <row r="362" spans="1:9" x14ac:dyDescent="0.15">
      <c r="A362" s="10">
        <v>361</v>
      </c>
      <c r="B362" s="9" t="s">
        <v>9</v>
      </c>
      <c r="C362" s="11" t="s">
        <v>10</v>
      </c>
      <c r="D362" s="12">
        <v>45562</v>
      </c>
      <c r="E362" s="14" t="str">
        <f>+HYPERLINK("http://trademark.i-assist.jp/data/china/image_1905th/79646768.pdf","79646768")</f>
        <v>79646768</v>
      </c>
      <c r="F362" s="13" t="s">
        <v>686</v>
      </c>
      <c r="G362" s="13" t="s">
        <v>417</v>
      </c>
      <c r="H362" s="13" t="s">
        <v>4227</v>
      </c>
      <c r="I362" s="12">
        <v>45478</v>
      </c>
    </row>
    <row r="363" spans="1:9" x14ac:dyDescent="0.15">
      <c r="A363" s="10">
        <v>362</v>
      </c>
      <c r="B363" s="9" t="s">
        <v>9</v>
      </c>
      <c r="C363" s="11" t="s">
        <v>10</v>
      </c>
      <c r="D363" s="12">
        <v>45562</v>
      </c>
      <c r="E363" s="14" t="str">
        <f>+HYPERLINK("http://trademark.i-assist.jp/data/china/image_1905th/79652487.pdf","79652487")</f>
        <v>79652487</v>
      </c>
      <c r="F363" s="13" t="s">
        <v>688</v>
      </c>
      <c r="G363" s="13" t="s">
        <v>687</v>
      </c>
      <c r="H363" s="13" t="s">
        <v>4456</v>
      </c>
      <c r="I363" s="12">
        <v>45479</v>
      </c>
    </row>
    <row r="364" spans="1:9" x14ac:dyDescent="0.15">
      <c r="A364" s="10">
        <v>363</v>
      </c>
      <c r="B364" s="9" t="s">
        <v>9</v>
      </c>
      <c r="C364" s="11" t="s">
        <v>10</v>
      </c>
      <c r="D364" s="12">
        <v>45562</v>
      </c>
      <c r="E364" s="14" t="str">
        <f>+HYPERLINK("http://trademark.i-assist.jp/data/china/image_1905th/79652905.pdf","79652905")</f>
        <v>79652905</v>
      </c>
      <c r="F364" s="13" t="s">
        <v>689</v>
      </c>
      <c r="G364" s="13" t="s">
        <v>425</v>
      </c>
      <c r="H364" s="13" t="s">
        <v>4457</v>
      </c>
      <c r="I364" s="12">
        <v>45480</v>
      </c>
    </row>
    <row r="365" spans="1:9" x14ac:dyDescent="0.15">
      <c r="A365" s="10">
        <v>364</v>
      </c>
      <c r="B365" s="9" t="s">
        <v>9</v>
      </c>
      <c r="C365" s="11" t="s">
        <v>10</v>
      </c>
      <c r="D365" s="12">
        <v>45562</v>
      </c>
      <c r="E365" s="14" t="str">
        <f>+HYPERLINK("http://trademark.i-assist.jp/data/china/image_1905th/79657652.pdf","79657652")</f>
        <v>79657652</v>
      </c>
      <c r="F365" s="13" t="s">
        <v>690</v>
      </c>
      <c r="G365" s="13" t="s">
        <v>629</v>
      </c>
      <c r="H365" s="13" t="s">
        <v>4458</v>
      </c>
      <c r="I365" s="12">
        <v>45481</v>
      </c>
    </row>
    <row r="366" spans="1:9" x14ac:dyDescent="0.15">
      <c r="A366" s="10">
        <v>365</v>
      </c>
      <c r="B366" s="9" t="s">
        <v>9</v>
      </c>
      <c r="C366" s="11" t="s">
        <v>10</v>
      </c>
      <c r="D366" s="12">
        <v>45562</v>
      </c>
      <c r="E366" s="14" t="str">
        <f>+HYPERLINK("http://trademark.i-assist.jp/data/china/image_1905th/79659689.pdf","79659689")</f>
        <v>79659689</v>
      </c>
      <c r="F366" s="13" t="s">
        <v>692</v>
      </c>
      <c r="G366" s="13" t="s">
        <v>691</v>
      </c>
      <c r="H366" s="13" t="s">
        <v>4459</v>
      </c>
      <c r="I366" s="12">
        <v>45481</v>
      </c>
    </row>
    <row r="367" spans="1:9" x14ac:dyDescent="0.15">
      <c r="A367" s="10">
        <v>366</v>
      </c>
      <c r="B367" s="9" t="s">
        <v>9</v>
      </c>
      <c r="C367" s="11" t="s">
        <v>10</v>
      </c>
      <c r="D367" s="12">
        <v>45562</v>
      </c>
      <c r="E367" s="14" t="str">
        <f>+HYPERLINK("http://trademark.i-assist.jp/data/china/image_1905th/78202339.pdf","78202339")</f>
        <v>78202339</v>
      </c>
      <c r="F367" s="13" t="s">
        <v>693</v>
      </c>
      <c r="G367" s="13" t="s">
        <v>338</v>
      </c>
      <c r="H367" s="13" t="s">
        <v>4299</v>
      </c>
      <c r="I367" s="12">
        <v>45406</v>
      </c>
    </row>
    <row r="368" spans="1:9" x14ac:dyDescent="0.15">
      <c r="A368" s="10">
        <v>367</v>
      </c>
      <c r="B368" s="9" t="s">
        <v>9</v>
      </c>
      <c r="C368" s="11" t="s">
        <v>10</v>
      </c>
      <c r="D368" s="12">
        <v>45562</v>
      </c>
      <c r="E368" s="14" t="str">
        <f>+HYPERLINK("http://trademark.i-assist.jp/data/china/image_1905th/78311669A.pdf","78311669A")</f>
        <v>78311669A</v>
      </c>
      <c r="F368" s="13" t="s">
        <v>695</v>
      </c>
      <c r="G368" s="13" t="s">
        <v>694</v>
      </c>
      <c r="H368" s="13" t="s">
        <v>4460</v>
      </c>
      <c r="I368" s="12">
        <v>45411</v>
      </c>
    </row>
    <row r="369" spans="1:9" x14ac:dyDescent="0.15">
      <c r="A369" s="10">
        <v>368</v>
      </c>
      <c r="B369" s="9" t="s">
        <v>9</v>
      </c>
      <c r="C369" s="11" t="s">
        <v>10</v>
      </c>
      <c r="D369" s="12">
        <v>45562</v>
      </c>
      <c r="E369" s="14" t="str">
        <f>+HYPERLINK("http://trademark.i-assist.jp/data/china/image_1905th/79718510.pdf","79718510")</f>
        <v>79718510</v>
      </c>
      <c r="F369" s="13" t="s">
        <v>697</v>
      </c>
      <c r="G369" s="13" t="s">
        <v>696</v>
      </c>
      <c r="H369" s="13" t="s">
        <v>4461</v>
      </c>
      <c r="I369" s="12">
        <v>45483</v>
      </c>
    </row>
    <row r="370" spans="1:9" x14ac:dyDescent="0.15">
      <c r="A370" s="10">
        <v>369</v>
      </c>
      <c r="B370" s="9" t="s">
        <v>9</v>
      </c>
      <c r="C370" s="11" t="s">
        <v>10</v>
      </c>
      <c r="D370" s="12">
        <v>45562</v>
      </c>
      <c r="E370" s="14" t="str">
        <f>+HYPERLINK("http://trademark.i-assist.jp/data/china/image_1905th/79720253.pdf","79720253")</f>
        <v>79720253</v>
      </c>
      <c r="F370" s="13" t="s">
        <v>698</v>
      </c>
      <c r="G370" s="13" t="s">
        <v>619</v>
      </c>
      <c r="H370" s="13" t="s">
        <v>4427</v>
      </c>
      <c r="I370" s="12">
        <v>45483</v>
      </c>
    </row>
    <row r="371" spans="1:9" x14ac:dyDescent="0.15">
      <c r="A371" s="10">
        <v>370</v>
      </c>
      <c r="B371" s="9" t="s">
        <v>9</v>
      </c>
      <c r="C371" s="11" t="s">
        <v>10</v>
      </c>
      <c r="D371" s="12">
        <v>45562</v>
      </c>
      <c r="E371" s="14" t="str">
        <f>+HYPERLINK("http://trademark.i-assist.jp/data/china/image_1905th/79722862.pdf","79722862")</f>
        <v>79722862</v>
      </c>
      <c r="F371" s="13" t="s">
        <v>700</v>
      </c>
      <c r="G371" s="13" t="s">
        <v>699</v>
      </c>
      <c r="H371" s="13" t="s">
        <v>4150</v>
      </c>
      <c r="I371" s="12">
        <v>45483</v>
      </c>
    </row>
    <row r="372" spans="1:9" x14ac:dyDescent="0.15">
      <c r="A372" s="10">
        <v>371</v>
      </c>
      <c r="B372" s="9" t="s">
        <v>9</v>
      </c>
      <c r="C372" s="11" t="s">
        <v>10</v>
      </c>
      <c r="D372" s="12">
        <v>45562</v>
      </c>
      <c r="E372" s="14" t="str">
        <f>+HYPERLINK("http://trademark.i-assist.jp/data/china/image_1905th/79722911.pdf","79722911")</f>
        <v>79722911</v>
      </c>
      <c r="F372" s="13" t="s">
        <v>702</v>
      </c>
      <c r="G372" s="13" t="s">
        <v>701</v>
      </c>
      <c r="H372" s="13" t="s">
        <v>4462</v>
      </c>
      <c r="I372" s="12">
        <v>45483</v>
      </c>
    </row>
    <row r="373" spans="1:9" x14ac:dyDescent="0.15">
      <c r="A373" s="10">
        <v>372</v>
      </c>
      <c r="B373" s="9" t="s">
        <v>9</v>
      </c>
      <c r="C373" s="11" t="s">
        <v>10</v>
      </c>
      <c r="D373" s="12">
        <v>45562</v>
      </c>
      <c r="E373" s="14" t="str">
        <f>+HYPERLINK("http://trademark.i-assist.jp/data/china/image_1905th/79726524.pdf","79726524")</f>
        <v>79726524</v>
      </c>
      <c r="F373" s="13" t="s">
        <v>704</v>
      </c>
      <c r="G373" s="13" t="s">
        <v>703</v>
      </c>
      <c r="H373" s="13" t="s">
        <v>4463</v>
      </c>
      <c r="I373" s="12">
        <v>45483</v>
      </c>
    </row>
    <row r="374" spans="1:9" x14ac:dyDescent="0.15">
      <c r="A374" s="10">
        <v>373</v>
      </c>
      <c r="B374" s="9" t="s">
        <v>9</v>
      </c>
      <c r="C374" s="11" t="s">
        <v>10</v>
      </c>
      <c r="D374" s="12">
        <v>45562</v>
      </c>
      <c r="E374" s="14" t="str">
        <f>+HYPERLINK("http://trademark.i-assist.jp/data/china/image_1905th/79732107.pdf","79732107")</f>
        <v>79732107</v>
      </c>
      <c r="F374" s="13" t="s">
        <v>706</v>
      </c>
      <c r="G374" s="13" t="s">
        <v>705</v>
      </c>
      <c r="H374" s="13" t="s">
        <v>4464</v>
      </c>
      <c r="I374" s="12">
        <v>45484</v>
      </c>
    </row>
    <row r="375" spans="1:9" x14ac:dyDescent="0.15">
      <c r="A375" s="10">
        <v>374</v>
      </c>
      <c r="B375" s="9" t="s">
        <v>9</v>
      </c>
      <c r="C375" s="11" t="s">
        <v>10</v>
      </c>
      <c r="D375" s="12">
        <v>45562</v>
      </c>
      <c r="E375" s="14" t="str">
        <f>+HYPERLINK("http://trademark.i-assist.jp/data/china/image_1905th/79738566.pdf","79738566")</f>
        <v>79738566</v>
      </c>
      <c r="F375" s="13" t="s">
        <v>708</v>
      </c>
      <c r="G375" s="13" t="s">
        <v>707</v>
      </c>
      <c r="H375" s="13" t="s">
        <v>4465</v>
      </c>
      <c r="I375" s="12">
        <v>45484</v>
      </c>
    </row>
    <row r="376" spans="1:9" x14ac:dyDescent="0.15">
      <c r="A376" s="10">
        <v>375</v>
      </c>
      <c r="B376" s="9" t="s">
        <v>9</v>
      </c>
      <c r="C376" s="11" t="s">
        <v>10</v>
      </c>
      <c r="D376" s="12">
        <v>45562</v>
      </c>
      <c r="E376" s="14" t="str">
        <f>+HYPERLINK("http://trademark.i-assist.jp/data/china/image_1905th/79739607.pdf","79739607")</f>
        <v>79739607</v>
      </c>
      <c r="F376" s="13" t="s">
        <v>710</v>
      </c>
      <c r="G376" s="13" t="s">
        <v>709</v>
      </c>
      <c r="H376" s="13" t="s">
        <v>4466</v>
      </c>
      <c r="I376" s="12">
        <v>45484</v>
      </c>
    </row>
    <row r="377" spans="1:9" x14ac:dyDescent="0.15">
      <c r="A377" s="10">
        <v>376</v>
      </c>
      <c r="B377" s="9" t="s">
        <v>9</v>
      </c>
      <c r="C377" s="11" t="s">
        <v>10</v>
      </c>
      <c r="D377" s="12">
        <v>45562</v>
      </c>
      <c r="E377" s="14" t="str">
        <f>+HYPERLINK("http://trademark.i-assist.jp/data/china/image_1905th/79848726.pdf","79848726")</f>
        <v>79848726</v>
      </c>
      <c r="F377" s="13" t="s">
        <v>712</v>
      </c>
      <c r="G377" s="13" t="s">
        <v>711</v>
      </c>
      <c r="H377" s="13" t="s">
        <v>4467</v>
      </c>
      <c r="I377" s="12">
        <v>45490</v>
      </c>
    </row>
    <row r="378" spans="1:9" x14ac:dyDescent="0.15">
      <c r="A378" s="10">
        <v>377</v>
      </c>
      <c r="B378" s="9" t="s">
        <v>9</v>
      </c>
      <c r="C378" s="11" t="s">
        <v>10</v>
      </c>
      <c r="D378" s="12">
        <v>45562</v>
      </c>
      <c r="E378" s="14" t="str">
        <f>+HYPERLINK("http://trademark.i-assist.jp/data/china/image_1905th/79850670.pdf","79850670")</f>
        <v>79850670</v>
      </c>
      <c r="F378" s="13" t="s">
        <v>714</v>
      </c>
      <c r="G378" s="13" t="s">
        <v>713</v>
      </c>
      <c r="H378" s="13" t="s">
        <v>4468</v>
      </c>
      <c r="I378" s="12">
        <v>45490</v>
      </c>
    </row>
    <row r="379" spans="1:9" x14ac:dyDescent="0.15">
      <c r="A379" s="10">
        <v>378</v>
      </c>
      <c r="B379" s="9" t="s">
        <v>9</v>
      </c>
      <c r="C379" s="11" t="s">
        <v>10</v>
      </c>
      <c r="D379" s="12">
        <v>45562</v>
      </c>
      <c r="E379" s="14" t="str">
        <f>+HYPERLINK("http://trademark.i-assist.jp/data/china/image_1905th/79853612.pdf","79853612")</f>
        <v>79853612</v>
      </c>
      <c r="F379" s="13" t="s">
        <v>716</v>
      </c>
      <c r="G379" s="13" t="s">
        <v>715</v>
      </c>
      <c r="H379" s="13" t="s">
        <v>4469</v>
      </c>
      <c r="I379" s="12">
        <v>45490</v>
      </c>
    </row>
    <row r="380" spans="1:9" x14ac:dyDescent="0.15">
      <c r="A380" s="10">
        <v>379</v>
      </c>
      <c r="B380" s="9" t="s">
        <v>9</v>
      </c>
      <c r="C380" s="11" t="s">
        <v>10</v>
      </c>
      <c r="D380" s="12">
        <v>45562</v>
      </c>
      <c r="E380" s="14" t="str">
        <f>+HYPERLINK("http://trademark.i-assist.jp/data/china/image_1905th/79856027.pdf","79856027")</f>
        <v>79856027</v>
      </c>
      <c r="F380" s="13" t="s">
        <v>718</v>
      </c>
      <c r="G380" s="13" t="s">
        <v>717</v>
      </c>
      <c r="H380" s="13" t="s">
        <v>4200</v>
      </c>
      <c r="I380" s="12">
        <v>45490</v>
      </c>
    </row>
    <row r="381" spans="1:9" x14ac:dyDescent="0.15">
      <c r="A381" s="10">
        <v>380</v>
      </c>
      <c r="B381" s="9" t="s">
        <v>9</v>
      </c>
      <c r="C381" s="11" t="s">
        <v>10</v>
      </c>
      <c r="D381" s="12">
        <v>45562</v>
      </c>
      <c r="E381" s="14" t="str">
        <f>+HYPERLINK("http://trademark.i-assist.jp/data/china/image_1905th/79871254.pdf","79871254")</f>
        <v>79871254</v>
      </c>
      <c r="F381" s="13" t="s">
        <v>720</v>
      </c>
      <c r="G381" s="13" t="s">
        <v>719</v>
      </c>
      <c r="H381" s="13" t="s">
        <v>4470</v>
      </c>
      <c r="I381" s="12">
        <v>45491</v>
      </c>
    </row>
    <row r="382" spans="1:9" x14ac:dyDescent="0.15">
      <c r="A382" s="10">
        <v>381</v>
      </c>
      <c r="B382" s="9" t="s">
        <v>9</v>
      </c>
      <c r="C382" s="11" t="s">
        <v>10</v>
      </c>
      <c r="D382" s="12">
        <v>45562</v>
      </c>
      <c r="E382" s="14" t="str">
        <f>+HYPERLINK("http://trademark.i-assist.jp/data/china/image_1905th/79879010.pdf","79879010")</f>
        <v>79879010</v>
      </c>
      <c r="F382" s="13" t="s">
        <v>722</v>
      </c>
      <c r="G382" s="13" t="s">
        <v>721</v>
      </c>
      <c r="H382" s="13" t="s">
        <v>4471</v>
      </c>
      <c r="I382" s="12">
        <v>45491</v>
      </c>
    </row>
    <row r="383" spans="1:9" x14ac:dyDescent="0.15">
      <c r="A383" s="10">
        <v>382</v>
      </c>
      <c r="B383" s="9" t="s">
        <v>9</v>
      </c>
      <c r="C383" s="11" t="s">
        <v>10</v>
      </c>
      <c r="D383" s="12">
        <v>45562</v>
      </c>
      <c r="E383" s="14" t="str">
        <f>+HYPERLINK("http://trademark.i-assist.jp/data/china/image_1905th/79776245.pdf","79776245")</f>
        <v>79776245</v>
      </c>
      <c r="F383" s="13" t="s">
        <v>724</v>
      </c>
      <c r="G383" s="13" t="s">
        <v>723</v>
      </c>
      <c r="H383" s="13" t="s">
        <v>4472</v>
      </c>
      <c r="I383" s="12">
        <v>45486</v>
      </c>
    </row>
    <row r="384" spans="1:9" x14ac:dyDescent="0.15">
      <c r="A384" s="10">
        <v>383</v>
      </c>
      <c r="B384" s="9" t="s">
        <v>9</v>
      </c>
      <c r="C384" s="11" t="s">
        <v>10</v>
      </c>
      <c r="D384" s="12">
        <v>45562</v>
      </c>
      <c r="E384" s="14" t="str">
        <f>+HYPERLINK("http://trademark.i-assist.jp/data/china/image_1905th/79792943.pdf","79792943")</f>
        <v>79792943</v>
      </c>
      <c r="F384" s="13" t="s">
        <v>726</v>
      </c>
      <c r="G384" s="13" t="s">
        <v>725</v>
      </c>
      <c r="H384" s="13" t="s">
        <v>4473</v>
      </c>
      <c r="I384" s="12">
        <v>45488</v>
      </c>
    </row>
    <row r="385" spans="1:9" x14ac:dyDescent="0.15">
      <c r="A385" s="10">
        <v>384</v>
      </c>
      <c r="B385" s="9" t="s">
        <v>9</v>
      </c>
      <c r="C385" s="11" t="s">
        <v>10</v>
      </c>
      <c r="D385" s="12">
        <v>45562</v>
      </c>
      <c r="E385" s="14" t="str">
        <f>+HYPERLINK("http://trademark.i-assist.jp/data/china/image_1905th/79805732.pdf","79805732")</f>
        <v>79805732</v>
      </c>
      <c r="F385" s="13" t="s">
        <v>728</v>
      </c>
      <c r="G385" s="13" t="s">
        <v>727</v>
      </c>
      <c r="H385" s="13" t="s">
        <v>4474</v>
      </c>
      <c r="I385" s="12">
        <v>45488</v>
      </c>
    </row>
    <row r="386" spans="1:9" x14ac:dyDescent="0.15">
      <c r="A386" s="10">
        <v>385</v>
      </c>
      <c r="B386" s="9" t="s">
        <v>9</v>
      </c>
      <c r="C386" s="11" t="s">
        <v>10</v>
      </c>
      <c r="D386" s="12">
        <v>45562</v>
      </c>
      <c r="E386" s="14" t="str">
        <f>+HYPERLINK("http://trademark.i-assist.jp/data/china/image_1905th/79810019.pdf","79810019")</f>
        <v>79810019</v>
      </c>
      <c r="F386" s="13" t="s">
        <v>730</v>
      </c>
      <c r="G386" s="13" t="s">
        <v>729</v>
      </c>
      <c r="H386" s="13" t="s">
        <v>4475</v>
      </c>
      <c r="I386" s="12">
        <v>45489</v>
      </c>
    </row>
    <row r="387" spans="1:9" x14ac:dyDescent="0.15">
      <c r="A387" s="10">
        <v>386</v>
      </c>
      <c r="B387" s="9" t="s">
        <v>9</v>
      </c>
      <c r="C387" s="11" t="s">
        <v>10</v>
      </c>
      <c r="D387" s="12">
        <v>45562</v>
      </c>
      <c r="E387" s="14" t="str">
        <f>+HYPERLINK("http://trademark.i-assist.jp/data/china/image_1905th/79816013.pdf","79816013")</f>
        <v>79816013</v>
      </c>
      <c r="F387" s="13" t="s">
        <v>731</v>
      </c>
      <c r="G387" s="13" t="s">
        <v>586</v>
      </c>
      <c r="H387" s="13" t="s">
        <v>4416</v>
      </c>
      <c r="I387" s="12">
        <v>45489</v>
      </c>
    </row>
    <row r="388" spans="1:9" x14ac:dyDescent="0.15">
      <c r="A388" s="10">
        <v>387</v>
      </c>
      <c r="B388" s="9" t="s">
        <v>9</v>
      </c>
      <c r="C388" s="11" t="s">
        <v>10</v>
      </c>
      <c r="D388" s="12">
        <v>45562</v>
      </c>
      <c r="E388" s="14" t="str">
        <f>+HYPERLINK("http://trademark.i-assist.jp/data/china/image_1905th/79820723.pdf","79820723")</f>
        <v>79820723</v>
      </c>
      <c r="F388" s="13" t="s">
        <v>733</v>
      </c>
      <c r="G388" s="13" t="s">
        <v>732</v>
      </c>
      <c r="H388" s="13" t="s">
        <v>4476</v>
      </c>
      <c r="I388" s="12">
        <v>45489</v>
      </c>
    </row>
    <row r="389" spans="1:9" x14ac:dyDescent="0.15">
      <c r="A389" s="10">
        <v>388</v>
      </c>
      <c r="B389" s="9" t="s">
        <v>9</v>
      </c>
      <c r="C389" s="11" t="s">
        <v>10</v>
      </c>
      <c r="D389" s="12">
        <v>45562</v>
      </c>
      <c r="E389" s="14" t="str">
        <f>+HYPERLINK("http://trademark.i-assist.jp/data/china/image_1905th/79822459.pdf","79822459")</f>
        <v>79822459</v>
      </c>
      <c r="F389" s="13" t="s">
        <v>734</v>
      </c>
      <c r="G389" s="13" t="s">
        <v>279</v>
      </c>
      <c r="H389" s="13" t="s">
        <v>4273</v>
      </c>
      <c r="I389" s="12">
        <v>45489</v>
      </c>
    </row>
    <row r="390" spans="1:9" x14ac:dyDescent="0.15">
      <c r="A390" s="10">
        <v>389</v>
      </c>
      <c r="B390" s="9" t="s">
        <v>9</v>
      </c>
      <c r="C390" s="11" t="s">
        <v>10</v>
      </c>
      <c r="D390" s="12">
        <v>45562</v>
      </c>
      <c r="E390" s="14" t="str">
        <f>+HYPERLINK("http://trademark.i-assist.jp/data/china/image_1905th/79827612.pdf","79827612")</f>
        <v>79827612</v>
      </c>
      <c r="F390" s="13" t="s">
        <v>736</v>
      </c>
      <c r="G390" s="13" t="s">
        <v>735</v>
      </c>
      <c r="H390" s="13" t="s">
        <v>4477</v>
      </c>
      <c r="I390" s="12">
        <v>45489</v>
      </c>
    </row>
    <row r="391" spans="1:9" x14ac:dyDescent="0.15">
      <c r="A391" s="10">
        <v>390</v>
      </c>
      <c r="B391" s="9" t="s">
        <v>9</v>
      </c>
      <c r="C391" s="11" t="s">
        <v>10</v>
      </c>
      <c r="D391" s="12">
        <v>45562</v>
      </c>
      <c r="E391" s="14" t="str">
        <f>+HYPERLINK("http://trademark.i-assist.jp/data/china/image_1905th/79320385.pdf","79320385")</f>
        <v>79320385</v>
      </c>
      <c r="F391" s="13" t="s">
        <v>738</v>
      </c>
      <c r="G391" s="13" t="s">
        <v>737</v>
      </c>
      <c r="H391" s="13" t="s">
        <v>4478</v>
      </c>
      <c r="I391" s="12">
        <v>45462</v>
      </c>
    </row>
    <row r="392" spans="1:9" x14ac:dyDescent="0.15">
      <c r="A392" s="10">
        <v>391</v>
      </c>
      <c r="B392" s="9" t="s">
        <v>9</v>
      </c>
      <c r="C392" s="11" t="s">
        <v>10</v>
      </c>
      <c r="D392" s="12">
        <v>45562</v>
      </c>
      <c r="E392" s="14" t="str">
        <f>+HYPERLINK("http://trademark.i-assist.jp/data/china/image_1905th/79331323.pdf","79331323")</f>
        <v>79331323</v>
      </c>
      <c r="F392" s="13" t="s">
        <v>740</v>
      </c>
      <c r="G392" s="13" t="s">
        <v>739</v>
      </c>
      <c r="H392" s="13" t="s">
        <v>4479</v>
      </c>
      <c r="I392" s="12">
        <v>45463</v>
      </c>
    </row>
    <row r="393" spans="1:9" x14ac:dyDescent="0.15">
      <c r="A393" s="10">
        <v>392</v>
      </c>
      <c r="B393" s="9" t="s">
        <v>9</v>
      </c>
      <c r="C393" s="11" t="s">
        <v>10</v>
      </c>
      <c r="D393" s="12">
        <v>45562</v>
      </c>
      <c r="E393" s="14" t="str">
        <f>+HYPERLINK("http://trademark.i-assist.jp/data/china/image_1905th/79345433.pdf","79345433")</f>
        <v>79345433</v>
      </c>
      <c r="F393" s="13" t="s">
        <v>742</v>
      </c>
      <c r="G393" s="13" t="s">
        <v>741</v>
      </c>
      <c r="H393" s="13" t="s">
        <v>4480</v>
      </c>
      <c r="I393" s="12">
        <v>45463</v>
      </c>
    </row>
    <row r="394" spans="1:9" x14ac:dyDescent="0.15">
      <c r="A394" s="10">
        <v>393</v>
      </c>
      <c r="B394" s="9" t="s">
        <v>9</v>
      </c>
      <c r="C394" s="11" t="s">
        <v>10</v>
      </c>
      <c r="D394" s="12">
        <v>45562</v>
      </c>
      <c r="E394" s="14" t="str">
        <f>+HYPERLINK("http://trademark.i-assist.jp/data/china/image_1905th/79349185.pdf","79349185")</f>
        <v>79349185</v>
      </c>
      <c r="F394" s="13" t="s">
        <v>744</v>
      </c>
      <c r="G394" s="13" t="s">
        <v>743</v>
      </c>
      <c r="H394" s="13" t="s">
        <v>4481</v>
      </c>
      <c r="I394" s="12">
        <v>45464</v>
      </c>
    </row>
    <row r="395" spans="1:9" x14ac:dyDescent="0.15">
      <c r="A395" s="10">
        <v>394</v>
      </c>
      <c r="B395" s="9" t="s">
        <v>9</v>
      </c>
      <c r="C395" s="11" t="s">
        <v>10</v>
      </c>
      <c r="D395" s="12">
        <v>45562</v>
      </c>
      <c r="E395" s="14" t="str">
        <f>+HYPERLINK("http://trademark.i-assist.jp/data/china/image_1905th/79351490.pdf","79351490")</f>
        <v>79351490</v>
      </c>
      <c r="F395" s="13" t="s">
        <v>746</v>
      </c>
      <c r="G395" s="13" t="s">
        <v>745</v>
      </c>
      <c r="H395" s="13" t="s">
        <v>4482</v>
      </c>
      <c r="I395" s="12">
        <v>45464</v>
      </c>
    </row>
    <row r="396" spans="1:9" x14ac:dyDescent="0.15">
      <c r="A396" s="10">
        <v>395</v>
      </c>
      <c r="B396" s="9" t="s">
        <v>9</v>
      </c>
      <c r="C396" s="11" t="s">
        <v>10</v>
      </c>
      <c r="D396" s="12">
        <v>45562</v>
      </c>
      <c r="E396" s="14" t="str">
        <f>+HYPERLINK("http://trademark.i-assist.jp/data/china/image_1905th/79355750.pdf","79355750")</f>
        <v>79355750</v>
      </c>
      <c r="F396" s="13" t="s">
        <v>748</v>
      </c>
      <c r="G396" s="13" t="s">
        <v>747</v>
      </c>
      <c r="H396" s="13" t="s">
        <v>4483</v>
      </c>
      <c r="I396" s="12">
        <v>45464</v>
      </c>
    </row>
    <row r="397" spans="1:9" x14ac:dyDescent="0.15">
      <c r="A397" s="10">
        <v>396</v>
      </c>
      <c r="B397" s="9" t="s">
        <v>9</v>
      </c>
      <c r="C397" s="11" t="s">
        <v>10</v>
      </c>
      <c r="D397" s="12">
        <v>45562</v>
      </c>
      <c r="E397" s="14" t="str">
        <f>+HYPERLINK("http://trademark.i-assist.jp/data/china/image_1905th/79360429.pdf","79360429")</f>
        <v>79360429</v>
      </c>
      <c r="F397" s="13" t="s">
        <v>750</v>
      </c>
      <c r="G397" s="13" t="s">
        <v>749</v>
      </c>
      <c r="H397" s="13" t="s">
        <v>4484</v>
      </c>
      <c r="I397" s="12">
        <v>45464</v>
      </c>
    </row>
    <row r="398" spans="1:9" x14ac:dyDescent="0.15">
      <c r="A398" s="10">
        <v>397</v>
      </c>
      <c r="B398" s="9" t="s">
        <v>9</v>
      </c>
      <c r="C398" s="11" t="s">
        <v>10</v>
      </c>
      <c r="D398" s="12">
        <v>45562</v>
      </c>
      <c r="E398" s="14" t="str">
        <f>+HYPERLINK("http://trademark.i-assist.jp/data/china/image_1905th/79363184.pdf","79363184")</f>
        <v>79363184</v>
      </c>
      <c r="F398" s="13" t="s">
        <v>752</v>
      </c>
      <c r="G398" s="13" t="s">
        <v>751</v>
      </c>
      <c r="H398" s="13" t="s">
        <v>4485</v>
      </c>
      <c r="I398" s="12">
        <v>45464</v>
      </c>
    </row>
    <row r="399" spans="1:9" x14ac:dyDescent="0.15">
      <c r="A399" s="10">
        <v>398</v>
      </c>
      <c r="B399" s="9" t="s">
        <v>9</v>
      </c>
      <c r="C399" s="11" t="s">
        <v>10</v>
      </c>
      <c r="D399" s="12">
        <v>45562</v>
      </c>
      <c r="E399" s="14" t="str">
        <f>+HYPERLINK("http://trademark.i-assist.jp/data/china/image_1905th/79363768.pdf","79363768")</f>
        <v>79363768</v>
      </c>
      <c r="F399" s="13" t="s">
        <v>754</v>
      </c>
      <c r="G399" s="13" t="s">
        <v>753</v>
      </c>
      <c r="H399" s="13" t="s">
        <v>4486</v>
      </c>
      <c r="I399" s="12">
        <v>45464</v>
      </c>
    </row>
    <row r="400" spans="1:9" x14ac:dyDescent="0.15">
      <c r="A400" s="10">
        <v>399</v>
      </c>
      <c r="B400" s="9" t="s">
        <v>9</v>
      </c>
      <c r="C400" s="11" t="s">
        <v>10</v>
      </c>
      <c r="D400" s="12">
        <v>45562</v>
      </c>
      <c r="E400" s="14" t="str">
        <f>+HYPERLINK("http://trademark.i-assist.jp/data/china/image_1905th/79376532.pdf","79376532")</f>
        <v>79376532</v>
      </c>
      <c r="F400" s="13" t="s">
        <v>756</v>
      </c>
      <c r="G400" s="13" t="s">
        <v>755</v>
      </c>
      <c r="H400" s="13" t="s">
        <v>4487</v>
      </c>
      <c r="I400" s="12">
        <v>45465</v>
      </c>
    </row>
    <row r="401" spans="1:9" x14ac:dyDescent="0.15">
      <c r="A401" s="10">
        <v>400</v>
      </c>
      <c r="B401" s="9" t="s">
        <v>9</v>
      </c>
      <c r="C401" s="11" t="s">
        <v>10</v>
      </c>
      <c r="D401" s="12">
        <v>45562</v>
      </c>
      <c r="E401" s="14" t="str">
        <f>+HYPERLINK("http://trademark.i-assist.jp/data/china/image_1905th/79664172.pdf","79664172")</f>
        <v>79664172</v>
      </c>
      <c r="F401" s="13" t="s">
        <v>758</v>
      </c>
      <c r="G401" s="13" t="s">
        <v>757</v>
      </c>
      <c r="H401" s="13" t="s">
        <v>4488</v>
      </c>
      <c r="I401" s="12">
        <v>45481</v>
      </c>
    </row>
    <row r="402" spans="1:9" x14ac:dyDescent="0.15">
      <c r="A402" s="10">
        <v>401</v>
      </c>
      <c r="B402" s="9" t="s">
        <v>9</v>
      </c>
      <c r="C402" s="11" t="s">
        <v>10</v>
      </c>
      <c r="D402" s="12">
        <v>45562</v>
      </c>
      <c r="E402" s="14" t="str">
        <f>+HYPERLINK("http://trademark.i-assist.jp/data/china/image_1905th/79670906.pdf","79670906")</f>
        <v>79670906</v>
      </c>
      <c r="F402" s="13" t="s">
        <v>760</v>
      </c>
      <c r="G402" s="13" t="s">
        <v>759</v>
      </c>
      <c r="H402" s="13" t="s">
        <v>4489</v>
      </c>
      <c r="I402" s="12">
        <v>45481</v>
      </c>
    </row>
    <row r="403" spans="1:9" x14ac:dyDescent="0.15">
      <c r="A403" s="10">
        <v>402</v>
      </c>
      <c r="B403" s="9" t="s">
        <v>9</v>
      </c>
      <c r="C403" s="11" t="s">
        <v>10</v>
      </c>
      <c r="D403" s="12">
        <v>45562</v>
      </c>
      <c r="E403" s="14" t="str">
        <f>+HYPERLINK("http://trademark.i-assist.jp/data/china/image_1905th/79672229.pdf","79672229")</f>
        <v>79672229</v>
      </c>
      <c r="F403" s="13" t="s">
        <v>762</v>
      </c>
      <c r="G403" s="13" t="s">
        <v>761</v>
      </c>
      <c r="H403" s="13" t="s">
        <v>4490</v>
      </c>
      <c r="I403" s="12">
        <v>45481</v>
      </c>
    </row>
    <row r="404" spans="1:9" x14ac:dyDescent="0.15">
      <c r="A404" s="10">
        <v>403</v>
      </c>
      <c r="B404" s="9" t="s">
        <v>9</v>
      </c>
      <c r="C404" s="11" t="s">
        <v>10</v>
      </c>
      <c r="D404" s="12">
        <v>45562</v>
      </c>
      <c r="E404" s="14" t="str">
        <f>+HYPERLINK("http://trademark.i-assist.jp/data/china/image_1905th/79672761.pdf","79672761")</f>
        <v>79672761</v>
      </c>
      <c r="F404" s="13" t="s">
        <v>763</v>
      </c>
      <c r="G404" s="13" t="s">
        <v>150</v>
      </c>
      <c r="H404" s="13" t="s">
        <v>4214</v>
      </c>
      <c r="I404" s="12">
        <v>45481</v>
      </c>
    </row>
    <row r="405" spans="1:9" x14ac:dyDescent="0.15">
      <c r="A405" s="10">
        <v>404</v>
      </c>
      <c r="B405" s="9" t="s">
        <v>9</v>
      </c>
      <c r="C405" s="11" t="s">
        <v>10</v>
      </c>
      <c r="D405" s="12">
        <v>45562</v>
      </c>
      <c r="E405" s="14" t="str">
        <f>+HYPERLINK("http://trademark.i-assist.jp/data/china/image_1905th/79674628.pdf","79674628")</f>
        <v>79674628</v>
      </c>
      <c r="F405" s="13" t="s">
        <v>765</v>
      </c>
      <c r="G405" s="13" t="s">
        <v>764</v>
      </c>
      <c r="H405" s="13" t="s">
        <v>4491</v>
      </c>
      <c r="I405" s="12">
        <v>45481</v>
      </c>
    </row>
    <row r="406" spans="1:9" x14ac:dyDescent="0.15">
      <c r="A406" s="10">
        <v>405</v>
      </c>
      <c r="B406" s="9" t="s">
        <v>9</v>
      </c>
      <c r="C406" s="11" t="s">
        <v>10</v>
      </c>
      <c r="D406" s="12">
        <v>45562</v>
      </c>
      <c r="E406" s="14" t="str">
        <f>+HYPERLINK("http://trademark.i-assist.jp/data/china/image_1905th/79678692.pdf","79678692")</f>
        <v>79678692</v>
      </c>
      <c r="F406" s="13" t="s">
        <v>767</v>
      </c>
      <c r="G406" s="13" t="s">
        <v>766</v>
      </c>
      <c r="H406" s="13" t="s">
        <v>4492</v>
      </c>
      <c r="I406" s="12">
        <v>45481</v>
      </c>
    </row>
    <row r="407" spans="1:9" x14ac:dyDescent="0.15">
      <c r="A407" s="10">
        <v>406</v>
      </c>
      <c r="B407" s="9" t="s">
        <v>9</v>
      </c>
      <c r="C407" s="11" t="s">
        <v>10</v>
      </c>
      <c r="D407" s="12">
        <v>45562</v>
      </c>
      <c r="E407" s="14" t="str">
        <f>+HYPERLINK("http://trademark.i-assist.jp/data/china/image_1905th/79690849.pdf","79690849")</f>
        <v>79690849</v>
      </c>
      <c r="F407" s="13" t="s">
        <v>769</v>
      </c>
      <c r="G407" s="13" t="s">
        <v>768</v>
      </c>
      <c r="H407" s="13" t="s">
        <v>4493</v>
      </c>
      <c r="I407" s="12">
        <v>45482</v>
      </c>
    </row>
    <row r="408" spans="1:9" x14ac:dyDescent="0.15">
      <c r="A408" s="10">
        <v>407</v>
      </c>
      <c r="B408" s="9" t="s">
        <v>9</v>
      </c>
      <c r="C408" s="11" t="s">
        <v>10</v>
      </c>
      <c r="D408" s="12">
        <v>45562</v>
      </c>
      <c r="E408" s="14" t="str">
        <f>+HYPERLINK("http://trademark.i-assist.jp/data/china/image_1905th/79694667.pdf","79694667")</f>
        <v>79694667</v>
      </c>
      <c r="F408" s="13" t="s">
        <v>771</v>
      </c>
      <c r="G408" s="13" t="s">
        <v>770</v>
      </c>
      <c r="H408" s="13" t="s">
        <v>4494</v>
      </c>
      <c r="I408" s="12">
        <v>45482</v>
      </c>
    </row>
    <row r="409" spans="1:9" x14ac:dyDescent="0.15">
      <c r="A409" s="10">
        <v>408</v>
      </c>
      <c r="B409" s="9" t="s">
        <v>9</v>
      </c>
      <c r="C409" s="11" t="s">
        <v>10</v>
      </c>
      <c r="D409" s="12">
        <v>45562</v>
      </c>
      <c r="E409" s="14" t="str">
        <f>+HYPERLINK("http://trademark.i-assist.jp/data/china/image_1905th/79700888.pdf","79700888")</f>
        <v>79700888</v>
      </c>
      <c r="F409" s="13" t="s">
        <v>773</v>
      </c>
      <c r="G409" s="13" t="s">
        <v>772</v>
      </c>
      <c r="H409" s="13" t="s">
        <v>4495</v>
      </c>
      <c r="I409" s="12">
        <v>45482</v>
      </c>
    </row>
    <row r="410" spans="1:9" x14ac:dyDescent="0.15">
      <c r="A410" s="10">
        <v>409</v>
      </c>
      <c r="B410" s="9" t="s">
        <v>9</v>
      </c>
      <c r="C410" s="11" t="s">
        <v>10</v>
      </c>
      <c r="D410" s="12">
        <v>45562</v>
      </c>
      <c r="E410" s="14" t="str">
        <f>+HYPERLINK("http://trademark.i-assist.jp/data/china/image_1905th/79704842.pdf","79704842")</f>
        <v>79704842</v>
      </c>
      <c r="F410" s="13" t="s">
        <v>775</v>
      </c>
      <c r="G410" s="13" t="s">
        <v>774</v>
      </c>
      <c r="H410" s="13" t="s">
        <v>4257</v>
      </c>
      <c r="I410" s="12">
        <v>45483</v>
      </c>
    </row>
    <row r="411" spans="1:9" x14ac:dyDescent="0.15">
      <c r="A411" s="10">
        <v>410</v>
      </c>
      <c r="B411" s="9" t="s">
        <v>9</v>
      </c>
      <c r="C411" s="11" t="s">
        <v>10</v>
      </c>
      <c r="D411" s="12">
        <v>45562</v>
      </c>
      <c r="E411" s="14" t="str">
        <f>+HYPERLINK("http://trademark.i-assist.jp/data/china/image_1905th/79704956.pdf","79704956")</f>
        <v>79704956</v>
      </c>
      <c r="F411" s="13" t="s">
        <v>777</v>
      </c>
      <c r="G411" s="13" t="s">
        <v>776</v>
      </c>
      <c r="H411" s="13" t="s">
        <v>4496</v>
      </c>
      <c r="I411" s="12">
        <v>45483</v>
      </c>
    </row>
    <row r="412" spans="1:9" x14ac:dyDescent="0.15">
      <c r="A412" s="10">
        <v>411</v>
      </c>
      <c r="B412" s="9" t="s">
        <v>9</v>
      </c>
      <c r="C412" s="11" t="s">
        <v>10</v>
      </c>
      <c r="D412" s="12">
        <v>45562</v>
      </c>
      <c r="E412" s="14" t="str">
        <f>+HYPERLINK("http://trademark.i-assist.jp/data/china/image_1905th/79745961.pdf","79745961")</f>
        <v>79745961</v>
      </c>
      <c r="F412" s="13" t="s">
        <v>779</v>
      </c>
      <c r="G412" s="13" t="s">
        <v>778</v>
      </c>
      <c r="H412" s="13" t="s">
        <v>4497</v>
      </c>
      <c r="I412" s="12">
        <v>45484</v>
      </c>
    </row>
    <row r="413" spans="1:9" x14ac:dyDescent="0.15">
      <c r="A413" s="10">
        <v>412</v>
      </c>
      <c r="B413" s="9" t="s">
        <v>9</v>
      </c>
      <c r="C413" s="11" t="s">
        <v>10</v>
      </c>
      <c r="D413" s="12">
        <v>45562</v>
      </c>
      <c r="E413" s="14" t="str">
        <f>+HYPERLINK("http://trademark.i-assist.jp/data/china/image_1905th/79745968.pdf","79745968")</f>
        <v>79745968</v>
      </c>
      <c r="F413" s="13" t="s">
        <v>781</v>
      </c>
      <c r="G413" s="13" t="s">
        <v>780</v>
      </c>
      <c r="H413" s="13" t="s">
        <v>4154</v>
      </c>
      <c r="I413" s="12">
        <v>45484</v>
      </c>
    </row>
    <row r="414" spans="1:9" x14ac:dyDescent="0.15">
      <c r="A414" s="10">
        <v>413</v>
      </c>
      <c r="B414" s="9" t="s">
        <v>9</v>
      </c>
      <c r="C414" s="11" t="s">
        <v>10</v>
      </c>
      <c r="D414" s="12">
        <v>45562</v>
      </c>
      <c r="E414" s="14" t="str">
        <f>+HYPERLINK("http://trademark.i-assist.jp/data/china/image_1905th/79751226.pdf","79751226")</f>
        <v>79751226</v>
      </c>
      <c r="F414" s="13" t="s">
        <v>783</v>
      </c>
      <c r="G414" s="13" t="s">
        <v>782</v>
      </c>
      <c r="H414" s="13" t="s">
        <v>4498</v>
      </c>
      <c r="I414" s="12">
        <v>45484</v>
      </c>
    </row>
    <row r="415" spans="1:9" x14ac:dyDescent="0.15">
      <c r="A415" s="10">
        <v>414</v>
      </c>
      <c r="B415" s="9" t="s">
        <v>9</v>
      </c>
      <c r="C415" s="11" t="s">
        <v>10</v>
      </c>
      <c r="D415" s="12">
        <v>45562</v>
      </c>
      <c r="E415" s="14" t="str">
        <f>+HYPERLINK("http://trademark.i-assist.jp/data/china/image_1905th/79758824.pdf","79758824")</f>
        <v>79758824</v>
      </c>
      <c r="F415" s="13" t="s">
        <v>785</v>
      </c>
      <c r="G415" s="13" t="s">
        <v>784</v>
      </c>
      <c r="H415" s="13" t="s">
        <v>4499</v>
      </c>
      <c r="I415" s="12">
        <v>45485</v>
      </c>
    </row>
    <row r="416" spans="1:9" x14ac:dyDescent="0.15">
      <c r="A416" s="10">
        <v>415</v>
      </c>
      <c r="B416" s="9" t="s">
        <v>9</v>
      </c>
      <c r="C416" s="11" t="s">
        <v>10</v>
      </c>
      <c r="D416" s="12">
        <v>45562</v>
      </c>
      <c r="E416" s="14" t="str">
        <f>+HYPERLINK("http://trademark.i-assist.jp/data/china/image_1905th/79769755.pdf","79769755")</f>
        <v>79769755</v>
      </c>
      <c r="F416" s="13" t="s">
        <v>787</v>
      </c>
      <c r="G416" s="13" t="s">
        <v>786</v>
      </c>
      <c r="H416" s="13" t="s">
        <v>4500</v>
      </c>
      <c r="I416" s="12">
        <v>45485</v>
      </c>
    </row>
    <row r="417" spans="1:9" x14ac:dyDescent="0.15">
      <c r="A417" s="10">
        <v>416</v>
      </c>
      <c r="B417" s="9" t="s">
        <v>9</v>
      </c>
      <c r="C417" s="11" t="s">
        <v>10</v>
      </c>
      <c r="D417" s="12">
        <v>45562</v>
      </c>
      <c r="E417" s="14" t="str">
        <f>+HYPERLINK("http://trademark.i-assist.jp/data/china/image_1905th/79770106.pdf","79770106")</f>
        <v>79770106</v>
      </c>
      <c r="F417" s="13" t="s">
        <v>789</v>
      </c>
      <c r="G417" s="13" t="s">
        <v>788</v>
      </c>
      <c r="H417" s="13" t="s">
        <v>4501</v>
      </c>
      <c r="I417" s="12">
        <v>45485</v>
      </c>
    </row>
    <row r="418" spans="1:9" x14ac:dyDescent="0.15">
      <c r="A418" s="10">
        <v>417</v>
      </c>
      <c r="B418" s="9" t="s">
        <v>9</v>
      </c>
      <c r="C418" s="11" t="s">
        <v>10</v>
      </c>
      <c r="D418" s="12">
        <v>45562</v>
      </c>
      <c r="E418" s="14" t="str">
        <f>+HYPERLINK("http://trademark.i-assist.jp/data/china/image_1905th/79772946.pdf","79772946")</f>
        <v>79772946</v>
      </c>
      <c r="F418" s="13" t="s">
        <v>791</v>
      </c>
      <c r="G418" s="13" t="s">
        <v>790</v>
      </c>
      <c r="H418" s="13" t="s">
        <v>4502</v>
      </c>
      <c r="I418" s="12">
        <v>45485</v>
      </c>
    </row>
    <row r="419" spans="1:9" x14ac:dyDescent="0.15">
      <c r="A419" s="10">
        <v>418</v>
      </c>
      <c r="B419" s="9" t="s">
        <v>9</v>
      </c>
      <c r="C419" s="11" t="s">
        <v>10</v>
      </c>
      <c r="D419" s="12">
        <v>45562</v>
      </c>
      <c r="E419" s="14" t="str">
        <f>+HYPERLINK("http://trademark.i-assist.jp/data/china/image_1905th/79773154.pdf","79773154")</f>
        <v>79773154</v>
      </c>
      <c r="F419" s="13" t="s">
        <v>793</v>
      </c>
      <c r="G419" s="13" t="s">
        <v>792</v>
      </c>
      <c r="H419" s="13" t="s">
        <v>4503</v>
      </c>
      <c r="I419" s="12">
        <v>45485</v>
      </c>
    </row>
    <row r="420" spans="1:9" x14ac:dyDescent="0.15">
      <c r="A420" s="10">
        <v>419</v>
      </c>
      <c r="B420" s="9" t="s">
        <v>9</v>
      </c>
      <c r="C420" s="11" t="s">
        <v>10</v>
      </c>
      <c r="D420" s="12">
        <v>45562</v>
      </c>
      <c r="E420" s="14" t="str">
        <f>+HYPERLINK("http://trademark.i-assist.jp/data/china/image_1905th/79522495.pdf","79522495")</f>
        <v>79522495</v>
      </c>
      <c r="F420" s="13" t="s">
        <v>795</v>
      </c>
      <c r="G420" s="13" t="s">
        <v>794</v>
      </c>
      <c r="H420" s="13" t="s">
        <v>4504</v>
      </c>
      <c r="I420" s="12">
        <v>45473</v>
      </c>
    </row>
    <row r="421" spans="1:9" x14ac:dyDescent="0.15">
      <c r="A421" s="10">
        <v>420</v>
      </c>
      <c r="B421" s="9" t="s">
        <v>9</v>
      </c>
      <c r="C421" s="11" t="s">
        <v>10</v>
      </c>
      <c r="D421" s="12">
        <v>45562</v>
      </c>
      <c r="E421" s="14" t="str">
        <f>+HYPERLINK("http://trademark.i-assist.jp/data/china/image_1905th/79523557.pdf","79523557")</f>
        <v>79523557</v>
      </c>
      <c r="F421" s="13" t="s">
        <v>797</v>
      </c>
      <c r="G421" s="13" t="s">
        <v>796</v>
      </c>
      <c r="H421" s="13" t="s">
        <v>4505</v>
      </c>
      <c r="I421" s="12">
        <v>45473</v>
      </c>
    </row>
    <row r="422" spans="1:9" x14ac:dyDescent="0.15">
      <c r="A422" s="10">
        <v>421</v>
      </c>
      <c r="B422" s="9" t="s">
        <v>9</v>
      </c>
      <c r="C422" s="11" t="s">
        <v>10</v>
      </c>
      <c r="D422" s="12">
        <v>45562</v>
      </c>
      <c r="E422" s="14" t="str">
        <f>+HYPERLINK("http://trademark.i-assist.jp/data/china/image_1905th/79528387.pdf","79528387")</f>
        <v>79528387</v>
      </c>
      <c r="F422" s="13" t="s">
        <v>73</v>
      </c>
      <c r="G422" s="13" t="s">
        <v>798</v>
      </c>
      <c r="H422" s="13" t="s">
        <v>4506</v>
      </c>
      <c r="I422" s="12">
        <v>45474</v>
      </c>
    </row>
    <row r="423" spans="1:9" x14ac:dyDescent="0.15">
      <c r="A423" s="10">
        <v>422</v>
      </c>
      <c r="B423" s="9" t="s">
        <v>9</v>
      </c>
      <c r="C423" s="11" t="s">
        <v>10</v>
      </c>
      <c r="D423" s="12">
        <v>45562</v>
      </c>
      <c r="E423" s="14" t="str">
        <f>+HYPERLINK("http://trademark.i-assist.jp/data/china/image_1905th/79528736.pdf","79528736")</f>
        <v>79528736</v>
      </c>
      <c r="F423" s="13" t="s">
        <v>800</v>
      </c>
      <c r="G423" s="13" t="s">
        <v>799</v>
      </c>
      <c r="H423" s="13" t="s">
        <v>4507</v>
      </c>
      <c r="I423" s="12">
        <v>45474</v>
      </c>
    </row>
    <row r="424" spans="1:9" x14ac:dyDescent="0.15">
      <c r="A424" s="10">
        <v>423</v>
      </c>
      <c r="B424" s="9" t="s">
        <v>9</v>
      </c>
      <c r="C424" s="11" t="s">
        <v>10</v>
      </c>
      <c r="D424" s="12">
        <v>45562</v>
      </c>
      <c r="E424" s="14" t="str">
        <f>+HYPERLINK("http://trademark.i-assist.jp/data/china/image_1905th/79531537.pdf","79531537")</f>
        <v>79531537</v>
      </c>
      <c r="F424" s="13" t="s">
        <v>802</v>
      </c>
      <c r="G424" s="13" t="s">
        <v>801</v>
      </c>
      <c r="H424" s="13" t="s">
        <v>4328</v>
      </c>
      <c r="I424" s="12">
        <v>45474</v>
      </c>
    </row>
    <row r="425" spans="1:9" x14ac:dyDescent="0.15">
      <c r="A425" s="10">
        <v>424</v>
      </c>
      <c r="B425" s="9" t="s">
        <v>9</v>
      </c>
      <c r="C425" s="11" t="s">
        <v>10</v>
      </c>
      <c r="D425" s="12">
        <v>45562</v>
      </c>
      <c r="E425" s="14" t="str">
        <f>+HYPERLINK("http://trademark.i-assist.jp/data/china/image_1905th/79535441.pdf","79535441")</f>
        <v>79535441</v>
      </c>
      <c r="F425" s="13" t="s">
        <v>804</v>
      </c>
      <c r="G425" s="13" t="s">
        <v>803</v>
      </c>
      <c r="H425" s="13" t="s">
        <v>4438</v>
      </c>
      <c r="I425" s="12">
        <v>45474</v>
      </c>
    </row>
    <row r="426" spans="1:9" x14ac:dyDescent="0.15">
      <c r="A426" s="10">
        <v>425</v>
      </c>
      <c r="B426" s="9" t="s">
        <v>9</v>
      </c>
      <c r="C426" s="11" t="s">
        <v>10</v>
      </c>
      <c r="D426" s="12">
        <v>45562</v>
      </c>
      <c r="E426" s="14" t="str">
        <f>+HYPERLINK("http://trademark.i-assist.jp/data/china/image_1905th/79535743.pdf","79535743")</f>
        <v>79535743</v>
      </c>
      <c r="F426" s="13" t="s">
        <v>806</v>
      </c>
      <c r="G426" s="13" t="s">
        <v>805</v>
      </c>
      <c r="H426" s="13" t="s">
        <v>4508</v>
      </c>
      <c r="I426" s="12">
        <v>45474</v>
      </c>
    </row>
    <row r="427" spans="1:9" x14ac:dyDescent="0.15">
      <c r="A427" s="10">
        <v>426</v>
      </c>
      <c r="B427" s="9" t="s">
        <v>9</v>
      </c>
      <c r="C427" s="11" t="s">
        <v>10</v>
      </c>
      <c r="D427" s="12">
        <v>45562</v>
      </c>
      <c r="E427" s="14" t="str">
        <f>+HYPERLINK("http://trademark.i-assist.jp/data/china/image_1905th/79537339.pdf","79537339")</f>
        <v>79537339</v>
      </c>
      <c r="F427" s="13" t="s">
        <v>808</v>
      </c>
      <c r="G427" s="13" t="s">
        <v>807</v>
      </c>
      <c r="H427" s="13" t="s">
        <v>4154</v>
      </c>
      <c r="I427" s="12">
        <v>45474</v>
      </c>
    </row>
    <row r="428" spans="1:9" x14ac:dyDescent="0.15">
      <c r="A428" s="10">
        <v>427</v>
      </c>
      <c r="B428" s="9" t="s">
        <v>9</v>
      </c>
      <c r="C428" s="11" t="s">
        <v>10</v>
      </c>
      <c r="D428" s="12">
        <v>45562</v>
      </c>
      <c r="E428" s="14" t="str">
        <f>+HYPERLINK("http://trademark.i-assist.jp/data/china/image_1905th/79537694.pdf","79537694")</f>
        <v>79537694</v>
      </c>
      <c r="F428" s="13" t="s">
        <v>810</v>
      </c>
      <c r="G428" s="13" t="s">
        <v>809</v>
      </c>
      <c r="H428" s="13" t="s">
        <v>4509</v>
      </c>
      <c r="I428" s="12">
        <v>45474</v>
      </c>
    </row>
    <row r="429" spans="1:9" x14ac:dyDescent="0.15">
      <c r="A429" s="10">
        <v>428</v>
      </c>
      <c r="B429" s="9" t="s">
        <v>9</v>
      </c>
      <c r="C429" s="11" t="s">
        <v>10</v>
      </c>
      <c r="D429" s="12">
        <v>45562</v>
      </c>
      <c r="E429" s="14" t="str">
        <f>+HYPERLINK("http://trademark.i-assist.jp/data/china/image_1905th/79543549.pdf","79543549")</f>
        <v>79543549</v>
      </c>
      <c r="F429" s="13" t="s">
        <v>812</v>
      </c>
      <c r="G429" s="13" t="s">
        <v>811</v>
      </c>
      <c r="H429" s="13" t="s">
        <v>4510</v>
      </c>
      <c r="I429" s="12">
        <v>45474</v>
      </c>
    </row>
    <row r="430" spans="1:9" x14ac:dyDescent="0.15">
      <c r="A430" s="10">
        <v>429</v>
      </c>
      <c r="B430" s="9" t="s">
        <v>9</v>
      </c>
      <c r="C430" s="11" t="s">
        <v>10</v>
      </c>
      <c r="D430" s="12">
        <v>45562</v>
      </c>
      <c r="E430" s="14" t="str">
        <f>+HYPERLINK("http://trademark.i-assist.jp/data/china/image_1905th/79545666.pdf","79545666")</f>
        <v>79545666</v>
      </c>
      <c r="F430" s="13" t="s">
        <v>814</v>
      </c>
      <c r="G430" s="13" t="s">
        <v>813</v>
      </c>
      <c r="H430" s="13" t="s">
        <v>4511</v>
      </c>
      <c r="I430" s="12">
        <v>45474</v>
      </c>
    </row>
    <row r="431" spans="1:9" x14ac:dyDescent="0.15">
      <c r="A431" s="10">
        <v>430</v>
      </c>
      <c r="B431" s="9" t="s">
        <v>9</v>
      </c>
      <c r="C431" s="11" t="s">
        <v>10</v>
      </c>
      <c r="D431" s="12">
        <v>45562</v>
      </c>
      <c r="E431" s="14" t="str">
        <f>+HYPERLINK("http://trademark.i-assist.jp/data/china/image_1905th/79559325.pdf","79559325")</f>
        <v>79559325</v>
      </c>
      <c r="F431" s="13" t="s">
        <v>816</v>
      </c>
      <c r="G431" s="13" t="s">
        <v>815</v>
      </c>
      <c r="H431" s="13" t="s">
        <v>4512</v>
      </c>
      <c r="I431" s="12">
        <v>45475</v>
      </c>
    </row>
    <row r="432" spans="1:9" x14ac:dyDescent="0.15">
      <c r="A432" s="10">
        <v>431</v>
      </c>
      <c r="B432" s="9" t="s">
        <v>9</v>
      </c>
      <c r="C432" s="11" t="s">
        <v>10</v>
      </c>
      <c r="D432" s="12">
        <v>45562</v>
      </c>
      <c r="E432" s="14" t="str">
        <f>+HYPERLINK("http://trademark.i-assist.jp/data/china/image_1905th/78953885.pdf","78953885")</f>
        <v>78953885</v>
      </c>
      <c r="F432" s="13" t="s">
        <v>73</v>
      </c>
      <c r="G432" s="13" t="s">
        <v>817</v>
      </c>
      <c r="H432" s="13" t="s">
        <v>4513</v>
      </c>
      <c r="I432" s="12">
        <v>45443</v>
      </c>
    </row>
    <row r="433" spans="1:9" x14ac:dyDescent="0.15">
      <c r="A433" s="10">
        <v>432</v>
      </c>
      <c r="B433" s="9" t="s">
        <v>9</v>
      </c>
      <c r="C433" s="11" t="s">
        <v>10</v>
      </c>
      <c r="D433" s="12">
        <v>45562</v>
      </c>
      <c r="E433" s="14" t="str">
        <f>+HYPERLINK("http://trademark.i-assist.jp/data/china/image_1905th/78993673.pdf","78993673")</f>
        <v>78993673</v>
      </c>
      <c r="F433" s="13" t="s">
        <v>819</v>
      </c>
      <c r="G433" s="13" t="s">
        <v>818</v>
      </c>
      <c r="H433" s="13" t="s">
        <v>4245</v>
      </c>
      <c r="I433" s="12">
        <v>45446</v>
      </c>
    </row>
    <row r="434" spans="1:9" x14ac:dyDescent="0.15">
      <c r="A434" s="10">
        <v>433</v>
      </c>
      <c r="B434" s="9" t="s">
        <v>9</v>
      </c>
      <c r="C434" s="11" t="s">
        <v>10</v>
      </c>
      <c r="D434" s="12">
        <v>45562</v>
      </c>
      <c r="E434" s="14" t="str">
        <f>+HYPERLINK("http://trademark.i-assist.jp/data/china/image_1905th/79061421.pdf","79061421")</f>
        <v>79061421</v>
      </c>
      <c r="F434" s="13" t="s">
        <v>821</v>
      </c>
      <c r="G434" s="13" t="s">
        <v>820</v>
      </c>
      <c r="H434" s="13" t="s">
        <v>4514</v>
      </c>
      <c r="I434" s="12">
        <v>45448</v>
      </c>
    </row>
    <row r="435" spans="1:9" x14ac:dyDescent="0.15">
      <c r="A435" s="10">
        <v>434</v>
      </c>
      <c r="B435" s="9" t="s">
        <v>9</v>
      </c>
      <c r="C435" s="11" t="s">
        <v>10</v>
      </c>
      <c r="D435" s="12">
        <v>45562</v>
      </c>
      <c r="E435" s="14" t="str">
        <f>+HYPERLINK("http://trademark.i-assist.jp/data/china/image_1905th/79065638.pdf","79065638")</f>
        <v>79065638</v>
      </c>
      <c r="F435" s="13" t="s">
        <v>823</v>
      </c>
      <c r="G435" s="13" t="s">
        <v>822</v>
      </c>
      <c r="H435" s="13" t="s">
        <v>4515</v>
      </c>
      <c r="I435" s="12">
        <v>45449</v>
      </c>
    </row>
    <row r="436" spans="1:9" x14ac:dyDescent="0.15">
      <c r="A436" s="10">
        <v>435</v>
      </c>
      <c r="B436" s="9" t="s">
        <v>9</v>
      </c>
      <c r="C436" s="11" t="s">
        <v>10</v>
      </c>
      <c r="D436" s="12">
        <v>45562</v>
      </c>
      <c r="E436" s="14" t="str">
        <f>+HYPERLINK("http://trademark.i-assist.jp/data/china/image_1905th/79084494.pdf","79084494")</f>
        <v>79084494</v>
      </c>
      <c r="F436" s="13" t="s">
        <v>825</v>
      </c>
      <c r="G436" s="13" t="s">
        <v>824</v>
      </c>
      <c r="H436" s="13" t="s">
        <v>4516</v>
      </c>
      <c r="I436" s="12">
        <v>45449</v>
      </c>
    </row>
    <row r="437" spans="1:9" x14ac:dyDescent="0.15">
      <c r="A437" s="10">
        <v>436</v>
      </c>
      <c r="B437" s="9" t="s">
        <v>9</v>
      </c>
      <c r="C437" s="11" t="s">
        <v>10</v>
      </c>
      <c r="D437" s="12">
        <v>45562</v>
      </c>
      <c r="E437" s="14" t="str">
        <f>+HYPERLINK("http://trademark.i-assist.jp/data/china/image_1905th/79157318.pdf","79157318")</f>
        <v>79157318</v>
      </c>
      <c r="F437" s="13" t="s">
        <v>827</v>
      </c>
      <c r="G437" s="13" t="s">
        <v>826</v>
      </c>
      <c r="H437" s="13" t="s">
        <v>4161</v>
      </c>
      <c r="I437" s="12">
        <v>45455</v>
      </c>
    </row>
    <row r="438" spans="1:9" x14ac:dyDescent="0.15">
      <c r="A438" s="10">
        <v>437</v>
      </c>
      <c r="B438" s="9" t="s">
        <v>9</v>
      </c>
      <c r="C438" s="11" t="s">
        <v>10</v>
      </c>
      <c r="D438" s="12">
        <v>45562</v>
      </c>
      <c r="E438" s="14" t="str">
        <f>+HYPERLINK("http://trademark.i-assist.jp/data/china/image_1905th/79167949.pdf","79167949")</f>
        <v>79167949</v>
      </c>
      <c r="F438" s="13" t="s">
        <v>829</v>
      </c>
      <c r="G438" s="13" t="s">
        <v>828</v>
      </c>
      <c r="H438" s="13" t="s">
        <v>4517</v>
      </c>
      <c r="I438" s="12">
        <v>45455</v>
      </c>
    </row>
    <row r="439" spans="1:9" x14ac:dyDescent="0.15">
      <c r="A439" s="10">
        <v>438</v>
      </c>
      <c r="B439" s="9" t="s">
        <v>9</v>
      </c>
      <c r="C439" s="11" t="s">
        <v>10</v>
      </c>
      <c r="D439" s="12">
        <v>45562</v>
      </c>
      <c r="E439" s="14" t="str">
        <f>+HYPERLINK("http://trademark.i-assist.jp/data/china/image_1905th/79569039.pdf","79569039")</f>
        <v>79569039</v>
      </c>
      <c r="F439" s="13" t="s">
        <v>831</v>
      </c>
      <c r="G439" s="13" t="s">
        <v>830</v>
      </c>
      <c r="H439" s="13" t="s">
        <v>4518</v>
      </c>
      <c r="I439" s="12">
        <v>45475</v>
      </c>
    </row>
    <row r="440" spans="1:9" x14ac:dyDescent="0.15">
      <c r="A440" s="10">
        <v>439</v>
      </c>
      <c r="B440" s="9" t="s">
        <v>9</v>
      </c>
      <c r="C440" s="11" t="s">
        <v>10</v>
      </c>
      <c r="D440" s="12">
        <v>45562</v>
      </c>
      <c r="E440" s="14" t="str">
        <f>+HYPERLINK("http://trademark.i-assist.jp/data/china/image_1905th/79570178.pdf","79570178")</f>
        <v>79570178</v>
      </c>
      <c r="F440" s="13" t="s">
        <v>833</v>
      </c>
      <c r="G440" s="13" t="s">
        <v>832</v>
      </c>
      <c r="H440" s="13" t="s">
        <v>4519</v>
      </c>
      <c r="I440" s="12">
        <v>45475</v>
      </c>
    </row>
    <row r="441" spans="1:9" x14ac:dyDescent="0.15">
      <c r="A441" s="10">
        <v>440</v>
      </c>
      <c r="B441" s="9" t="s">
        <v>9</v>
      </c>
      <c r="C441" s="11" t="s">
        <v>10</v>
      </c>
      <c r="D441" s="12">
        <v>45562</v>
      </c>
      <c r="E441" s="14" t="str">
        <f>+HYPERLINK("http://trademark.i-assist.jp/data/china/image_1905th/79609778.pdf","79609778")</f>
        <v>79609778</v>
      </c>
      <c r="F441" s="13" t="s">
        <v>835</v>
      </c>
      <c r="G441" s="13" t="s">
        <v>834</v>
      </c>
      <c r="H441" s="13" t="s">
        <v>4520</v>
      </c>
      <c r="I441" s="12">
        <v>45477</v>
      </c>
    </row>
    <row r="442" spans="1:9" x14ac:dyDescent="0.15">
      <c r="A442" s="10">
        <v>441</v>
      </c>
      <c r="B442" s="9" t="s">
        <v>9</v>
      </c>
      <c r="C442" s="11" t="s">
        <v>10</v>
      </c>
      <c r="D442" s="12">
        <v>45562</v>
      </c>
      <c r="E442" s="14" t="str">
        <f>+HYPERLINK("http://trademark.i-assist.jp/data/china/image_1905th/79206948.pdf","79206948")</f>
        <v>79206948</v>
      </c>
      <c r="F442" s="13" t="s">
        <v>837</v>
      </c>
      <c r="G442" s="13" t="s">
        <v>836</v>
      </c>
      <c r="H442" s="13" t="s">
        <v>4521</v>
      </c>
      <c r="I442" s="12">
        <v>45457</v>
      </c>
    </row>
    <row r="443" spans="1:9" x14ac:dyDescent="0.15">
      <c r="A443" s="10">
        <v>442</v>
      </c>
      <c r="B443" s="9" t="s">
        <v>9</v>
      </c>
      <c r="C443" s="11" t="s">
        <v>10</v>
      </c>
      <c r="D443" s="12">
        <v>45562</v>
      </c>
      <c r="E443" s="14" t="str">
        <f>+HYPERLINK("http://trademark.i-assist.jp/data/china/image_1905th/79207993.pdf","79207993")</f>
        <v>79207993</v>
      </c>
      <c r="F443" s="13" t="s">
        <v>839</v>
      </c>
      <c r="G443" s="13" t="s">
        <v>838</v>
      </c>
      <c r="H443" s="13" t="s">
        <v>4522</v>
      </c>
      <c r="I443" s="12">
        <v>45457</v>
      </c>
    </row>
    <row r="444" spans="1:9" x14ac:dyDescent="0.15">
      <c r="A444" s="10">
        <v>443</v>
      </c>
      <c r="B444" s="9" t="s">
        <v>9</v>
      </c>
      <c r="C444" s="11" t="s">
        <v>10</v>
      </c>
      <c r="D444" s="12">
        <v>45562</v>
      </c>
      <c r="E444" s="14" t="str">
        <f>+HYPERLINK("http://trademark.i-assist.jp/data/china/image_1905th/79211404.pdf","79211404")</f>
        <v>79211404</v>
      </c>
      <c r="F444" s="13" t="s">
        <v>841</v>
      </c>
      <c r="G444" s="13" t="s">
        <v>840</v>
      </c>
      <c r="H444" s="13" t="s">
        <v>4502</v>
      </c>
      <c r="I444" s="12">
        <v>45457</v>
      </c>
    </row>
    <row r="445" spans="1:9" x14ac:dyDescent="0.15">
      <c r="A445" s="10">
        <v>444</v>
      </c>
      <c r="B445" s="9" t="s">
        <v>9</v>
      </c>
      <c r="C445" s="11" t="s">
        <v>10</v>
      </c>
      <c r="D445" s="12">
        <v>45562</v>
      </c>
      <c r="E445" s="14" t="str">
        <f>+HYPERLINK("http://trademark.i-assist.jp/data/china/image_1905th/79214520.pdf","79214520")</f>
        <v>79214520</v>
      </c>
      <c r="F445" s="13" t="s">
        <v>843</v>
      </c>
      <c r="G445" s="13" t="s">
        <v>842</v>
      </c>
      <c r="H445" s="13" t="s">
        <v>4523</v>
      </c>
      <c r="I445" s="12">
        <v>45457</v>
      </c>
    </row>
    <row r="446" spans="1:9" x14ac:dyDescent="0.15">
      <c r="A446" s="10">
        <v>445</v>
      </c>
      <c r="B446" s="9" t="s">
        <v>9</v>
      </c>
      <c r="C446" s="11" t="s">
        <v>10</v>
      </c>
      <c r="D446" s="12">
        <v>45562</v>
      </c>
      <c r="E446" s="14" t="str">
        <f>+HYPERLINK("http://trademark.i-assist.jp/data/china/image_1905th/79224446.pdf","79224446")</f>
        <v>79224446</v>
      </c>
      <c r="F446" s="13" t="s">
        <v>845</v>
      </c>
      <c r="G446" s="13" t="s">
        <v>844</v>
      </c>
      <c r="H446" s="13" t="s">
        <v>4524</v>
      </c>
      <c r="I446" s="12">
        <v>45457</v>
      </c>
    </row>
    <row r="447" spans="1:9" x14ac:dyDescent="0.15">
      <c r="A447" s="10">
        <v>446</v>
      </c>
      <c r="B447" s="9" t="s">
        <v>9</v>
      </c>
      <c r="C447" s="11" t="s">
        <v>10</v>
      </c>
      <c r="D447" s="12">
        <v>45562</v>
      </c>
      <c r="E447" s="14" t="str">
        <f>+HYPERLINK("http://trademark.i-assist.jp/data/china/image_1905th/79243697.pdf","79243697")</f>
        <v>79243697</v>
      </c>
      <c r="F447" s="13" t="s">
        <v>847</v>
      </c>
      <c r="G447" s="13" t="s">
        <v>846</v>
      </c>
      <c r="H447" s="13" t="s">
        <v>4525</v>
      </c>
      <c r="I447" s="12">
        <v>45460</v>
      </c>
    </row>
    <row r="448" spans="1:9" x14ac:dyDescent="0.15">
      <c r="A448" s="10">
        <v>447</v>
      </c>
      <c r="B448" s="9" t="s">
        <v>9</v>
      </c>
      <c r="C448" s="11" t="s">
        <v>10</v>
      </c>
      <c r="D448" s="12">
        <v>45562</v>
      </c>
      <c r="E448" s="14" t="str">
        <f>+HYPERLINK("http://trademark.i-assist.jp/data/china/image_1905th/79267494.pdf","79267494")</f>
        <v>79267494</v>
      </c>
      <c r="F448" s="13" t="s">
        <v>848</v>
      </c>
      <c r="G448" s="13" t="s">
        <v>662</v>
      </c>
      <c r="H448" s="13" t="s">
        <v>4526</v>
      </c>
      <c r="I448" s="12">
        <v>45460</v>
      </c>
    </row>
    <row r="449" spans="1:9" x14ac:dyDescent="0.15">
      <c r="A449" s="10">
        <v>448</v>
      </c>
      <c r="B449" s="9" t="s">
        <v>9</v>
      </c>
      <c r="C449" s="11" t="s">
        <v>10</v>
      </c>
      <c r="D449" s="12">
        <v>45562</v>
      </c>
      <c r="E449" s="14" t="str">
        <f>+HYPERLINK("http://trademark.i-assist.jp/data/china/image_1905th/79286895.pdf","79286895")</f>
        <v>79286895</v>
      </c>
      <c r="F449" s="13" t="s">
        <v>850</v>
      </c>
      <c r="G449" s="13" t="s">
        <v>849</v>
      </c>
      <c r="H449" s="13" t="s">
        <v>4527</v>
      </c>
      <c r="I449" s="12">
        <v>45461</v>
      </c>
    </row>
    <row r="450" spans="1:9" x14ac:dyDescent="0.15">
      <c r="A450" s="10">
        <v>449</v>
      </c>
      <c r="B450" s="9" t="s">
        <v>9</v>
      </c>
      <c r="C450" s="11" t="s">
        <v>10</v>
      </c>
      <c r="D450" s="12">
        <v>45562</v>
      </c>
      <c r="E450" s="14" t="str">
        <f>+HYPERLINK("http://trademark.i-assist.jp/data/china/image_1905th/79287787.pdf","79287787")</f>
        <v>79287787</v>
      </c>
      <c r="F450" s="13" t="s">
        <v>852</v>
      </c>
      <c r="G450" s="13" t="s">
        <v>851</v>
      </c>
      <c r="H450" s="13" t="s">
        <v>4528</v>
      </c>
      <c r="I450" s="12">
        <v>45461</v>
      </c>
    </row>
    <row r="451" spans="1:9" x14ac:dyDescent="0.15">
      <c r="A451" s="10">
        <v>450</v>
      </c>
      <c r="B451" s="9" t="s">
        <v>9</v>
      </c>
      <c r="C451" s="11" t="s">
        <v>10</v>
      </c>
      <c r="D451" s="12">
        <v>45562</v>
      </c>
      <c r="E451" s="14" t="str">
        <f>+HYPERLINK("http://trademark.i-assist.jp/data/china/image_1905th/79466426.pdf","79466426")</f>
        <v>79466426</v>
      </c>
      <c r="F451" s="13" t="s">
        <v>854</v>
      </c>
      <c r="G451" s="13" t="s">
        <v>853</v>
      </c>
      <c r="H451" s="13" t="s">
        <v>4529</v>
      </c>
      <c r="I451" s="12">
        <v>45470</v>
      </c>
    </row>
    <row r="452" spans="1:9" x14ac:dyDescent="0.15">
      <c r="A452" s="10">
        <v>451</v>
      </c>
      <c r="B452" s="9" t="s">
        <v>9</v>
      </c>
      <c r="C452" s="11" t="s">
        <v>10</v>
      </c>
      <c r="D452" s="12">
        <v>45562</v>
      </c>
      <c r="E452" s="14" t="str">
        <f>+HYPERLINK("http://trademark.i-assist.jp/data/china/image_1905th/79470765.pdf","79470765")</f>
        <v>79470765</v>
      </c>
      <c r="F452" s="13" t="s">
        <v>856</v>
      </c>
      <c r="G452" s="13" t="s">
        <v>855</v>
      </c>
      <c r="H452" s="13" t="s">
        <v>4530</v>
      </c>
      <c r="I452" s="12">
        <v>45470</v>
      </c>
    </row>
    <row r="453" spans="1:9" x14ac:dyDescent="0.15">
      <c r="A453" s="10">
        <v>452</v>
      </c>
      <c r="B453" s="9" t="s">
        <v>9</v>
      </c>
      <c r="C453" s="11" t="s">
        <v>10</v>
      </c>
      <c r="D453" s="12">
        <v>45562</v>
      </c>
      <c r="E453" s="14" t="str">
        <f>+HYPERLINK("http://trademark.i-assist.jp/data/china/image_1905th/79471472.pdf","79471472")</f>
        <v>79471472</v>
      </c>
      <c r="F453" s="13" t="s">
        <v>857</v>
      </c>
      <c r="G453" s="13" t="s">
        <v>582</v>
      </c>
      <c r="H453" s="13" t="s">
        <v>4414</v>
      </c>
      <c r="I453" s="12">
        <v>45470</v>
      </c>
    </row>
    <row r="454" spans="1:9" x14ac:dyDescent="0.15">
      <c r="A454" s="10">
        <v>453</v>
      </c>
      <c r="B454" s="9" t="s">
        <v>9</v>
      </c>
      <c r="C454" s="11" t="s">
        <v>10</v>
      </c>
      <c r="D454" s="12">
        <v>45562</v>
      </c>
      <c r="E454" s="14" t="str">
        <f>+HYPERLINK("http://trademark.i-assist.jp/data/china/image_1905th/79501551.pdf","79501551")</f>
        <v>79501551</v>
      </c>
      <c r="F454" s="13" t="s">
        <v>859</v>
      </c>
      <c r="G454" s="13" t="s">
        <v>858</v>
      </c>
      <c r="H454" s="13" t="s">
        <v>4531</v>
      </c>
      <c r="I454" s="12">
        <v>45471</v>
      </c>
    </row>
    <row r="455" spans="1:9" x14ac:dyDescent="0.15">
      <c r="A455" s="10">
        <v>454</v>
      </c>
      <c r="B455" s="9" t="s">
        <v>9</v>
      </c>
      <c r="C455" s="11" t="s">
        <v>10</v>
      </c>
      <c r="D455" s="12">
        <v>45562</v>
      </c>
      <c r="E455" s="14" t="str">
        <f>+HYPERLINK("http://trademark.i-assist.jp/data/china/image_1905th/79507527.pdf","79507527")</f>
        <v>79507527</v>
      </c>
      <c r="F455" s="13" t="s">
        <v>860</v>
      </c>
      <c r="G455" s="13" t="s">
        <v>518</v>
      </c>
      <c r="H455" s="13" t="s">
        <v>4386</v>
      </c>
      <c r="I455" s="12">
        <v>45471</v>
      </c>
    </row>
    <row r="456" spans="1:9" x14ac:dyDescent="0.15">
      <c r="A456" s="10">
        <v>455</v>
      </c>
      <c r="B456" s="9" t="s">
        <v>9</v>
      </c>
      <c r="C456" s="11" t="s">
        <v>10</v>
      </c>
      <c r="D456" s="12">
        <v>45562</v>
      </c>
      <c r="E456" s="14" t="str">
        <f>+HYPERLINK("http://trademark.i-assist.jp/data/china/image_1905th/79508436.pdf","79508436")</f>
        <v>79508436</v>
      </c>
      <c r="F456" s="13" t="s">
        <v>861</v>
      </c>
      <c r="G456" s="13" t="s">
        <v>421</v>
      </c>
      <c r="H456" s="13" t="s">
        <v>4532</v>
      </c>
      <c r="I456" s="12">
        <v>45471</v>
      </c>
    </row>
    <row r="457" spans="1:9" x14ac:dyDescent="0.15">
      <c r="A457" s="10">
        <v>456</v>
      </c>
      <c r="B457" s="9" t="s">
        <v>9</v>
      </c>
      <c r="C457" s="11" t="s">
        <v>10</v>
      </c>
      <c r="D457" s="12">
        <v>45562</v>
      </c>
      <c r="E457" s="14" t="str">
        <f>+HYPERLINK("http://trademark.i-assist.jp/data/china/image_1905th/79396362.pdf","79396362")</f>
        <v>79396362</v>
      </c>
      <c r="F457" s="13" t="s">
        <v>863</v>
      </c>
      <c r="G457" s="13" t="s">
        <v>862</v>
      </c>
      <c r="H457" s="13" t="s">
        <v>4533</v>
      </c>
      <c r="I457" s="12">
        <v>45467</v>
      </c>
    </row>
    <row r="458" spans="1:9" x14ac:dyDescent="0.15">
      <c r="A458" s="10">
        <v>457</v>
      </c>
      <c r="B458" s="9" t="s">
        <v>9</v>
      </c>
      <c r="C458" s="11" t="s">
        <v>10</v>
      </c>
      <c r="D458" s="12">
        <v>45562</v>
      </c>
      <c r="E458" s="14" t="str">
        <f>+HYPERLINK("http://trademark.i-assist.jp/data/china/image_1905th/79398666.pdf","79398666")</f>
        <v>79398666</v>
      </c>
      <c r="F458" s="13" t="s">
        <v>865</v>
      </c>
      <c r="G458" s="13" t="s">
        <v>864</v>
      </c>
      <c r="H458" s="13" t="s">
        <v>4534</v>
      </c>
      <c r="I458" s="12">
        <v>45467</v>
      </c>
    </row>
    <row r="459" spans="1:9" x14ac:dyDescent="0.15">
      <c r="A459" s="10">
        <v>458</v>
      </c>
      <c r="B459" s="9" t="s">
        <v>9</v>
      </c>
      <c r="C459" s="11" t="s">
        <v>10</v>
      </c>
      <c r="D459" s="12">
        <v>45562</v>
      </c>
      <c r="E459" s="14" t="str">
        <f>+HYPERLINK("http://trademark.i-assist.jp/data/china/image_1905th/79407230.pdf","79407230")</f>
        <v>79407230</v>
      </c>
      <c r="F459" s="13" t="s">
        <v>867</v>
      </c>
      <c r="G459" s="13" t="s">
        <v>866</v>
      </c>
      <c r="H459" s="13" t="s">
        <v>4535</v>
      </c>
      <c r="I459" s="12">
        <v>45467</v>
      </c>
    </row>
    <row r="460" spans="1:9" x14ac:dyDescent="0.15">
      <c r="A460" s="10">
        <v>459</v>
      </c>
      <c r="B460" s="9" t="s">
        <v>9</v>
      </c>
      <c r="C460" s="11" t="s">
        <v>10</v>
      </c>
      <c r="D460" s="12">
        <v>45562</v>
      </c>
      <c r="E460" s="14" t="str">
        <f>+HYPERLINK("http://trademark.i-assist.jp/data/china/image_1905th/79431446.pdf","79431446")</f>
        <v>79431446</v>
      </c>
      <c r="F460" s="13" t="s">
        <v>869</v>
      </c>
      <c r="G460" s="13" t="s">
        <v>868</v>
      </c>
      <c r="H460" s="13" t="s">
        <v>4536</v>
      </c>
      <c r="I460" s="12">
        <v>45468</v>
      </c>
    </row>
    <row r="461" spans="1:9" x14ac:dyDescent="0.15">
      <c r="A461" s="10">
        <v>460</v>
      </c>
      <c r="B461" s="9" t="s">
        <v>9</v>
      </c>
      <c r="C461" s="11" t="s">
        <v>10</v>
      </c>
      <c r="D461" s="12">
        <v>45562</v>
      </c>
      <c r="E461" s="14" t="str">
        <f>+HYPERLINK("http://trademark.i-assist.jp/data/china/image_1905th/79457275.pdf","79457275")</f>
        <v>79457275</v>
      </c>
      <c r="F461" s="13" t="s">
        <v>871</v>
      </c>
      <c r="G461" s="13" t="s">
        <v>870</v>
      </c>
      <c r="H461" s="13" t="s">
        <v>4212</v>
      </c>
      <c r="I461" s="12">
        <v>45469</v>
      </c>
    </row>
    <row r="462" spans="1:9" x14ac:dyDescent="0.15">
      <c r="A462" s="10">
        <v>461</v>
      </c>
      <c r="B462" s="9" t="s">
        <v>9</v>
      </c>
      <c r="C462" s="11" t="s">
        <v>10</v>
      </c>
      <c r="D462" s="12">
        <v>45562</v>
      </c>
      <c r="E462" s="14" t="str">
        <f>+HYPERLINK("http://trademark.i-assist.jp/data/china/image_1905th/79459298.pdf","79459298")</f>
        <v>79459298</v>
      </c>
      <c r="F462" s="13" t="s">
        <v>873</v>
      </c>
      <c r="G462" s="13" t="s">
        <v>872</v>
      </c>
      <c r="H462" s="13" t="s">
        <v>4537</v>
      </c>
      <c r="I462" s="12">
        <v>45469</v>
      </c>
    </row>
    <row r="463" spans="1:9" x14ac:dyDescent="0.15">
      <c r="A463" s="10">
        <v>462</v>
      </c>
      <c r="B463" s="9" t="s">
        <v>9</v>
      </c>
      <c r="C463" s="11" t="s">
        <v>10</v>
      </c>
      <c r="D463" s="12">
        <v>45562</v>
      </c>
      <c r="E463" s="14" t="str">
        <f>+HYPERLINK("http://trademark.i-assist.jp/data/china/image_1905th/74959020.pdf","74959020")</f>
        <v>74959020</v>
      </c>
      <c r="F463" s="13" t="s">
        <v>875</v>
      </c>
      <c r="G463" s="13" t="s">
        <v>874</v>
      </c>
      <c r="H463" s="13" t="s">
        <v>4538</v>
      </c>
      <c r="I463" s="12">
        <v>45233</v>
      </c>
    </row>
    <row r="464" spans="1:9" x14ac:dyDescent="0.15">
      <c r="A464" s="10">
        <v>463</v>
      </c>
      <c r="B464" s="9" t="s">
        <v>9</v>
      </c>
      <c r="C464" s="11" t="s">
        <v>10</v>
      </c>
      <c r="D464" s="12">
        <v>45562</v>
      </c>
      <c r="E464" s="14" t="str">
        <f>+HYPERLINK("http://trademark.i-assist.jp/data/china/image_1905th/75904486.pdf","75904486")</f>
        <v>75904486</v>
      </c>
      <c r="F464" s="13" t="s">
        <v>876</v>
      </c>
      <c r="G464" s="13" t="s">
        <v>197</v>
      </c>
      <c r="H464" s="13" t="s">
        <v>4236</v>
      </c>
      <c r="I464" s="12">
        <v>45280</v>
      </c>
    </row>
    <row r="465" spans="1:9" x14ac:dyDescent="0.15">
      <c r="A465" s="10">
        <v>464</v>
      </c>
      <c r="B465" s="9" t="s">
        <v>9</v>
      </c>
      <c r="C465" s="11" t="s">
        <v>10</v>
      </c>
      <c r="D465" s="12">
        <v>45562</v>
      </c>
      <c r="E465" s="14" t="str">
        <f>+HYPERLINK("http://trademark.i-assist.jp/data/china/image_1905th/43573728.pdf","43573728")</f>
        <v>43573728</v>
      </c>
      <c r="F465" s="13" t="s">
        <v>73</v>
      </c>
      <c r="G465" s="13" t="s">
        <v>877</v>
      </c>
      <c r="H465" s="13" t="s">
        <v>4539</v>
      </c>
      <c r="I465" s="12">
        <v>43834</v>
      </c>
    </row>
    <row r="466" spans="1:9" x14ac:dyDescent="0.15">
      <c r="A466" s="10">
        <v>465</v>
      </c>
      <c r="B466" s="9" t="s">
        <v>9</v>
      </c>
      <c r="C466" s="11" t="s">
        <v>10</v>
      </c>
      <c r="D466" s="12">
        <v>45562</v>
      </c>
      <c r="E466" s="14" t="str">
        <f>+HYPERLINK("http://trademark.i-assist.jp/data/china/image_1905th/69157553.pdf","69157553")</f>
        <v>69157553</v>
      </c>
      <c r="F466" s="13" t="s">
        <v>879</v>
      </c>
      <c r="G466" s="13" t="s">
        <v>878</v>
      </c>
      <c r="H466" s="13" t="s">
        <v>4540</v>
      </c>
      <c r="I466" s="12">
        <v>44935</v>
      </c>
    </row>
    <row r="467" spans="1:9" x14ac:dyDescent="0.15">
      <c r="A467" s="10">
        <v>466</v>
      </c>
      <c r="B467" s="9" t="s">
        <v>9</v>
      </c>
      <c r="C467" s="11" t="s">
        <v>10</v>
      </c>
      <c r="D467" s="12">
        <v>45562</v>
      </c>
      <c r="E467" s="14" t="str">
        <f>+HYPERLINK("http://trademark.i-assist.jp/data/china/image_1905th/69999093.pdf","69999093")</f>
        <v>69999093</v>
      </c>
      <c r="F467" s="13" t="s">
        <v>880</v>
      </c>
      <c r="G467" s="13" t="s">
        <v>878</v>
      </c>
      <c r="H467" s="13" t="s">
        <v>4540</v>
      </c>
      <c r="I467" s="12">
        <v>44991</v>
      </c>
    </row>
    <row r="468" spans="1:9" x14ac:dyDescent="0.15">
      <c r="A468" s="10">
        <v>467</v>
      </c>
      <c r="B468" s="9" t="s">
        <v>9</v>
      </c>
      <c r="C468" s="11" t="s">
        <v>10</v>
      </c>
      <c r="D468" s="12">
        <v>45562</v>
      </c>
      <c r="E468" s="14" t="str">
        <f>+HYPERLINK("http://trademark.i-assist.jp/data/china/image_1905th/72928636.pdf","72928636")</f>
        <v>72928636</v>
      </c>
      <c r="F468" s="13" t="s">
        <v>882</v>
      </c>
      <c r="G468" s="13" t="s">
        <v>881</v>
      </c>
      <c r="H468" s="13" t="s">
        <v>4541</v>
      </c>
      <c r="I468" s="12">
        <v>45126</v>
      </c>
    </row>
    <row r="469" spans="1:9" x14ac:dyDescent="0.15">
      <c r="A469" s="10">
        <v>468</v>
      </c>
      <c r="B469" s="9" t="s">
        <v>9</v>
      </c>
      <c r="C469" s="11" t="s">
        <v>10</v>
      </c>
      <c r="D469" s="12">
        <v>45562</v>
      </c>
      <c r="E469" s="14" t="str">
        <f>+HYPERLINK("http://trademark.i-assist.jp/data/china/image_1905th/79316789.pdf","79316789")</f>
        <v>79316789</v>
      </c>
      <c r="F469" s="13" t="s">
        <v>884</v>
      </c>
      <c r="G469" s="13" t="s">
        <v>883</v>
      </c>
      <c r="H469" s="13" t="s">
        <v>4542</v>
      </c>
      <c r="I469" s="12">
        <v>45462</v>
      </c>
    </row>
    <row r="470" spans="1:9" x14ac:dyDescent="0.15">
      <c r="A470" s="10">
        <v>469</v>
      </c>
      <c r="B470" s="9" t="s">
        <v>9</v>
      </c>
      <c r="C470" s="11" t="s">
        <v>10</v>
      </c>
      <c r="D470" s="12">
        <v>45562</v>
      </c>
      <c r="E470" s="14" t="str">
        <f>+HYPERLINK("http://trademark.i-assist.jp/data/china/image_1905th/79319668.pdf","79319668")</f>
        <v>79319668</v>
      </c>
      <c r="F470" s="13" t="s">
        <v>886</v>
      </c>
      <c r="G470" s="13" t="s">
        <v>885</v>
      </c>
      <c r="H470" s="13" t="s">
        <v>4543</v>
      </c>
      <c r="I470" s="12">
        <v>45462</v>
      </c>
    </row>
    <row r="471" spans="1:9" x14ac:dyDescent="0.15">
      <c r="A471" s="10">
        <v>470</v>
      </c>
      <c r="B471" s="9" t="s">
        <v>9</v>
      </c>
      <c r="C471" s="11" t="s">
        <v>10</v>
      </c>
      <c r="D471" s="12">
        <v>45562</v>
      </c>
      <c r="E471" s="14" t="str">
        <f>+HYPERLINK("http://trademark.i-assist.jp/data/china/image_1905th/79319953.pdf","79319953")</f>
        <v>79319953</v>
      </c>
      <c r="F471" s="13" t="s">
        <v>888</v>
      </c>
      <c r="G471" s="13" t="s">
        <v>887</v>
      </c>
      <c r="H471" s="13" t="s">
        <v>4543</v>
      </c>
      <c r="I471" s="12">
        <v>45462</v>
      </c>
    </row>
    <row r="472" spans="1:9" x14ac:dyDescent="0.15">
      <c r="A472" s="10">
        <v>471</v>
      </c>
      <c r="B472" s="9" t="s">
        <v>9</v>
      </c>
      <c r="C472" s="11" t="s">
        <v>10</v>
      </c>
      <c r="D472" s="12">
        <v>45562</v>
      </c>
      <c r="E472" s="14" t="str">
        <f>+HYPERLINK("http://trademark.i-assist.jp/data/china/image_1905th/79323339.pdf","79323339")</f>
        <v>79323339</v>
      </c>
      <c r="F472" s="13" t="s">
        <v>890</v>
      </c>
      <c r="G472" s="13" t="s">
        <v>889</v>
      </c>
      <c r="H472" s="13" t="s">
        <v>4544</v>
      </c>
      <c r="I472" s="12">
        <v>45462</v>
      </c>
    </row>
    <row r="473" spans="1:9" x14ac:dyDescent="0.15">
      <c r="A473" s="10">
        <v>472</v>
      </c>
      <c r="B473" s="9" t="s">
        <v>9</v>
      </c>
      <c r="C473" s="11" t="s">
        <v>10</v>
      </c>
      <c r="D473" s="12">
        <v>45562</v>
      </c>
      <c r="E473" s="14" t="str">
        <f>+HYPERLINK("http://trademark.i-assist.jp/data/china/image_1905th/79349808.pdf","79349808")</f>
        <v>79349808</v>
      </c>
      <c r="F473" s="13" t="s">
        <v>892</v>
      </c>
      <c r="G473" s="13" t="s">
        <v>891</v>
      </c>
      <c r="H473" s="13" t="s">
        <v>4545</v>
      </c>
      <c r="I473" s="12">
        <v>45464</v>
      </c>
    </row>
    <row r="474" spans="1:9" x14ac:dyDescent="0.15">
      <c r="A474" s="10">
        <v>473</v>
      </c>
      <c r="B474" s="9" t="s">
        <v>9</v>
      </c>
      <c r="C474" s="11" t="s">
        <v>10</v>
      </c>
      <c r="D474" s="12">
        <v>45562</v>
      </c>
      <c r="E474" s="14" t="str">
        <f>+HYPERLINK("http://trademark.i-assist.jp/data/china/image_1905th/79352644.pdf","79352644")</f>
        <v>79352644</v>
      </c>
      <c r="F474" s="13" t="s">
        <v>894</v>
      </c>
      <c r="G474" s="13" t="s">
        <v>893</v>
      </c>
      <c r="H474" s="13" t="s">
        <v>4546</v>
      </c>
      <c r="I474" s="12">
        <v>45464</v>
      </c>
    </row>
    <row r="475" spans="1:9" x14ac:dyDescent="0.15">
      <c r="A475" s="10">
        <v>474</v>
      </c>
      <c r="B475" s="9" t="s">
        <v>9</v>
      </c>
      <c r="C475" s="11" t="s">
        <v>10</v>
      </c>
      <c r="D475" s="12">
        <v>45562</v>
      </c>
      <c r="E475" s="14" t="str">
        <f>+HYPERLINK("http://trademark.i-assist.jp/data/china/image_1905th/79362100.pdf","79362100")</f>
        <v>79362100</v>
      </c>
      <c r="F475" s="13" t="s">
        <v>896</v>
      </c>
      <c r="G475" s="13" t="s">
        <v>895</v>
      </c>
      <c r="H475" s="13" t="s">
        <v>4547</v>
      </c>
      <c r="I475" s="12">
        <v>45464</v>
      </c>
    </row>
    <row r="476" spans="1:9" x14ac:dyDescent="0.15">
      <c r="A476" s="10">
        <v>475</v>
      </c>
      <c r="B476" s="9" t="s">
        <v>9</v>
      </c>
      <c r="C476" s="11" t="s">
        <v>10</v>
      </c>
      <c r="D476" s="12">
        <v>45562</v>
      </c>
      <c r="E476" s="14" t="str">
        <f>+HYPERLINK("http://trademark.i-assist.jp/data/china/image_1905th/79363148.pdf","79363148")</f>
        <v>79363148</v>
      </c>
      <c r="F476" s="13" t="s">
        <v>898</v>
      </c>
      <c r="G476" s="13" t="s">
        <v>897</v>
      </c>
      <c r="H476" s="13" t="s">
        <v>4548</v>
      </c>
      <c r="I476" s="12">
        <v>45464</v>
      </c>
    </row>
    <row r="477" spans="1:9" x14ac:dyDescent="0.15">
      <c r="A477" s="10">
        <v>476</v>
      </c>
      <c r="B477" s="9" t="s">
        <v>9</v>
      </c>
      <c r="C477" s="11" t="s">
        <v>10</v>
      </c>
      <c r="D477" s="12">
        <v>45562</v>
      </c>
      <c r="E477" s="14" t="str">
        <f>+HYPERLINK("http://trademark.i-assist.jp/data/china/image_1905th/79365849.pdf","79365849")</f>
        <v>79365849</v>
      </c>
      <c r="F477" s="13" t="s">
        <v>900</v>
      </c>
      <c r="G477" s="13" t="s">
        <v>899</v>
      </c>
      <c r="H477" s="13" t="s">
        <v>4549</v>
      </c>
      <c r="I477" s="12">
        <v>45464</v>
      </c>
    </row>
    <row r="478" spans="1:9" x14ac:dyDescent="0.15">
      <c r="A478" s="10">
        <v>477</v>
      </c>
      <c r="B478" s="9" t="s">
        <v>9</v>
      </c>
      <c r="C478" s="11" t="s">
        <v>10</v>
      </c>
      <c r="D478" s="12">
        <v>45562</v>
      </c>
      <c r="E478" s="14" t="str">
        <f>+HYPERLINK("http://trademark.i-assist.jp/data/china/image_1905th/79367071.pdf","79367071")</f>
        <v>79367071</v>
      </c>
      <c r="F478" s="13" t="s">
        <v>902</v>
      </c>
      <c r="G478" s="13" t="s">
        <v>901</v>
      </c>
      <c r="H478" s="13" t="s">
        <v>4550</v>
      </c>
      <c r="I478" s="12">
        <v>45464</v>
      </c>
    </row>
    <row r="479" spans="1:9" x14ac:dyDescent="0.15">
      <c r="A479" s="10">
        <v>478</v>
      </c>
      <c r="B479" s="9" t="s">
        <v>9</v>
      </c>
      <c r="C479" s="11" t="s">
        <v>10</v>
      </c>
      <c r="D479" s="12">
        <v>45562</v>
      </c>
      <c r="E479" s="14" t="str">
        <f>+HYPERLINK("http://trademark.i-assist.jp/data/china/image_1905th/79368471.pdf","79368471")</f>
        <v>79368471</v>
      </c>
      <c r="F479" s="13" t="s">
        <v>904</v>
      </c>
      <c r="G479" s="13" t="s">
        <v>903</v>
      </c>
      <c r="H479" s="13" t="s">
        <v>4245</v>
      </c>
      <c r="I479" s="12">
        <v>45464</v>
      </c>
    </row>
    <row r="480" spans="1:9" x14ac:dyDescent="0.15">
      <c r="A480" s="10">
        <v>479</v>
      </c>
      <c r="B480" s="9" t="s">
        <v>9</v>
      </c>
      <c r="C480" s="11" t="s">
        <v>10</v>
      </c>
      <c r="D480" s="12">
        <v>45562</v>
      </c>
      <c r="E480" s="14" t="str">
        <f>+HYPERLINK("http://trademark.i-assist.jp/data/china/image_1905th/79372812.pdf","79372812")</f>
        <v>79372812</v>
      </c>
      <c r="F480" s="13" t="s">
        <v>906</v>
      </c>
      <c r="G480" s="13" t="s">
        <v>905</v>
      </c>
      <c r="H480" s="13" t="s">
        <v>4551</v>
      </c>
      <c r="I480" s="12">
        <v>45464</v>
      </c>
    </row>
    <row r="481" spans="1:9" x14ac:dyDescent="0.15">
      <c r="A481" s="10">
        <v>480</v>
      </c>
      <c r="B481" s="9" t="s">
        <v>9</v>
      </c>
      <c r="C481" s="11" t="s">
        <v>10</v>
      </c>
      <c r="D481" s="12">
        <v>45562</v>
      </c>
      <c r="E481" s="14" t="str">
        <f>+HYPERLINK("http://trademark.i-assist.jp/data/china/image_1905th/79375510.pdf","79375510")</f>
        <v>79375510</v>
      </c>
      <c r="F481" s="13" t="s">
        <v>907</v>
      </c>
      <c r="G481" s="13" t="s">
        <v>236</v>
      </c>
      <c r="H481" s="13" t="s">
        <v>4253</v>
      </c>
      <c r="I481" s="12">
        <v>45465</v>
      </c>
    </row>
    <row r="482" spans="1:9" x14ac:dyDescent="0.15">
      <c r="A482" s="10">
        <v>481</v>
      </c>
      <c r="B482" s="9" t="s">
        <v>9</v>
      </c>
      <c r="C482" s="11" t="s">
        <v>10</v>
      </c>
      <c r="D482" s="12">
        <v>45562</v>
      </c>
      <c r="E482" s="14" t="str">
        <f>+HYPERLINK("http://trademark.i-assist.jp/data/china/image_1905th/79381094.pdf","79381094")</f>
        <v>79381094</v>
      </c>
      <c r="F482" s="13" t="s">
        <v>909</v>
      </c>
      <c r="G482" s="13" t="s">
        <v>908</v>
      </c>
      <c r="H482" s="13" t="s">
        <v>4552</v>
      </c>
      <c r="I482" s="12">
        <v>45465</v>
      </c>
    </row>
    <row r="483" spans="1:9" x14ac:dyDescent="0.15">
      <c r="A483" s="10">
        <v>482</v>
      </c>
      <c r="B483" s="9" t="s">
        <v>9</v>
      </c>
      <c r="C483" s="11" t="s">
        <v>10</v>
      </c>
      <c r="D483" s="12">
        <v>45562</v>
      </c>
      <c r="E483" s="14" t="str">
        <f>+HYPERLINK("http://trademark.i-assist.jp/data/china/image_1905th/79382657.pdf","79382657")</f>
        <v>79382657</v>
      </c>
      <c r="F483" s="13" t="s">
        <v>911</v>
      </c>
      <c r="G483" s="13" t="s">
        <v>910</v>
      </c>
      <c r="H483" s="13" t="s">
        <v>4553</v>
      </c>
      <c r="I483" s="12">
        <v>45466</v>
      </c>
    </row>
    <row r="484" spans="1:9" x14ac:dyDescent="0.15">
      <c r="A484" s="10">
        <v>483</v>
      </c>
      <c r="B484" s="9" t="s">
        <v>9</v>
      </c>
      <c r="C484" s="11" t="s">
        <v>10</v>
      </c>
      <c r="D484" s="12">
        <v>45562</v>
      </c>
      <c r="E484" s="14" t="str">
        <f>+HYPERLINK("http://trademark.i-assist.jp/data/china/image_1905th/79389216.pdf","79389216")</f>
        <v>79389216</v>
      </c>
      <c r="F484" s="13" t="s">
        <v>913</v>
      </c>
      <c r="G484" s="13" t="s">
        <v>912</v>
      </c>
      <c r="H484" s="13" t="s">
        <v>4154</v>
      </c>
      <c r="I484" s="12">
        <v>45467</v>
      </c>
    </row>
    <row r="485" spans="1:9" x14ac:dyDescent="0.15">
      <c r="A485" s="10">
        <v>484</v>
      </c>
      <c r="B485" s="9" t="s">
        <v>9</v>
      </c>
      <c r="C485" s="11" t="s">
        <v>10</v>
      </c>
      <c r="D485" s="12">
        <v>45562</v>
      </c>
      <c r="E485" s="14" t="str">
        <f>+HYPERLINK("http://trademark.i-assist.jp/data/china/image_1905th/79527900.pdf","79527900")</f>
        <v>79527900</v>
      </c>
      <c r="F485" s="13" t="s">
        <v>73</v>
      </c>
      <c r="G485" s="13" t="s">
        <v>914</v>
      </c>
      <c r="H485" s="13" t="s">
        <v>4554</v>
      </c>
      <c r="I485" s="12">
        <v>45474</v>
      </c>
    </row>
    <row r="486" spans="1:9" x14ac:dyDescent="0.15">
      <c r="A486" s="10">
        <v>485</v>
      </c>
      <c r="B486" s="9" t="s">
        <v>9</v>
      </c>
      <c r="C486" s="11" t="s">
        <v>10</v>
      </c>
      <c r="D486" s="12">
        <v>45562</v>
      </c>
      <c r="E486" s="14" t="str">
        <f>+HYPERLINK("http://trademark.i-assist.jp/data/china/image_1905th/79532951.pdf","79532951")</f>
        <v>79532951</v>
      </c>
      <c r="F486" s="13" t="s">
        <v>916</v>
      </c>
      <c r="G486" s="13" t="s">
        <v>915</v>
      </c>
      <c r="H486" s="13" t="s">
        <v>4555</v>
      </c>
      <c r="I486" s="12">
        <v>45474</v>
      </c>
    </row>
    <row r="487" spans="1:9" x14ac:dyDescent="0.15">
      <c r="A487" s="10">
        <v>486</v>
      </c>
      <c r="B487" s="9" t="s">
        <v>9</v>
      </c>
      <c r="C487" s="11" t="s">
        <v>10</v>
      </c>
      <c r="D487" s="12">
        <v>45562</v>
      </c>
      <c r="E487" s="14" t="str">
        <f>+HYPERLINK("http://trademark.i-assist.jp/data/china/image_1905th/79532994.pdf","79532994")</f>
        <v>79532994</v>
      </c>
      <c r="F487" s="13" t="s">
        <v>918</v>
      </c>
      <c r="G487" s="13" t="s">
        <v>917</v>
      </c>
      <c r="H487" s="13" t="s">
        <v>4556</v>
      </c>
      <c r="I487" s="12">
        <v>45474</v>
      </c>
    </row>
    <row r="488" spans="1:9" x14ac:dyDescent="0.15">
      <c r="A488" s="10">
        <v>487</v>
      </c>
      <c r="B488" s="9" t="s">
        <v>9</v>
      </c>
      <c r="C488" s="11" t="s">
        <v>10</v>
      </c>
      <c r="D488" s="12">
        <v>45562</v>
      </c>
      <c r="E488" s="14" t="str">
        <f>+HYPERLINK("http://trademark.i-assist.jp/data/china/image_1905th/79533049.pdf","79533049")</f>
        <v>79533049</v>
      </c>
      <c r="F488" s="13" t="s">
        <v>920</v>
      </c>
      <c r="G488" s="13" t="s">
        <v>919</v>
      </c>
      <c r="H488" s="13" t="s">
        <v>4557</v>
      </c>
      <c r="I488" s="12">
        <v>45474</v>
      </c>
    </row>
    <row r="489" spans="1:9" x14ac:dyDescent="0.15">
      <c r="A489" s="10">
        <v>488</v>
      </c>
      <c r="B489" s="9" t="s">
        <v>9</v>
      </c>
      <c r="C489" s="11" t="s">
        <v>10</v>
      </c>
      <c r="D489" s="12">
        <v>45562</v>
      </c>
      <c r="E489" s="14" t="str">
        <f>+HYPERLINK("http://trademark.i-assist.jp/data/china/image_1905th/79537821.pdf","79537821")</f>
        <v>79537821</v>
      </c>
      <c r="F489" s="13" t="s">
        <v>921</v>
      </c>
      <c r="G489" s="13" t="s">
        <v>436</v>
      </c>
      <c r="H489" s="13" t="s">
        <v>4558</v>
      </c>
      <c r="I489" s="12">
        <v>45474</v>
      </c>
    </row>
    <row r="490" spans="1:9" x14ac:dyDescent="0.15">
      <c r="A490" s="10">
        <v>489</v>
      </c>
      <c r="B490" s="9" t="s">
        <v>9</v>
      </c>
      <c r="C490" s="11" t="s">
        <v>10</v>
      </c>
      <c r="D490" s="12">
        <v>45562</v>
      </c>
      <c r="E490" s="14" t="str">
        <f>+HYPERLINK("http://trademark.i-assist.jp/data/china/image_1905th/79552423.pdf","79552423")</f>
        <v>79552423</v>
      </c>
      <c r="F490" s="13" t="s">
        <v>923</v>
      </c>
      <c r="G490" s="13" t="s">
        <v>922</v>
      </c>
      <c r="H490" s="13" t="s">
        <v>4559</v>
      </c>
      <c r="I490" s="12">
        <v>45475</v>
      </c>
    </row>
    <row r="491" spans="1:9" x14ac:dyDescent="0.15">
      <c r="A491" s="10">
        <v>490</v>
      </c>
      <c r="B491" s="9" t="s">
        <v>9</v>
      </c>
      <c r="C491" s="11" t="s">
        <v>10</v>
      </c>
      <c r="D491" s="12">
        <v>45562</v>
      </c>
      <c r="E491" s="14" t="str">
        <f>+HYPERLINK("http://trademark.i-assist.jp/data/china/image_1905th/79560388.pdf","79560388")</f>
        <v>79560388</v>
      </c>
      <c r="F491" s="13" t="s">
        <v>925</v>
      </c>
      <c r="G491" s="13" t="s">
        <v>924</v>
      </c>
      <c r="H491" s="13" t="s">
        <v>4560</v>
      </c>
      <c r="I491" s="12">
        <v>45475</v>
      </c>
    </row>
    <row r="492" spans="1:9" x14ac:dyDescent="0.15">
      <c r="A492" s="10">
        <v>491</v>
      </c>
      <c r="B492" s="9" t="s">
        <v>9</v>
      </c>
      <c r="C492" s="11" t="s">
        <v>10</v>
      </c>
      <c r="D492" s="12">
        <v>45562</v>
      </c>
      <c r="E492" s="14" t="str">
        <f>+HYPERLINK("http://trademark.i-assist.jp/data/china/image_1905th/79561955.pdf","79561955")</f>
        <v>79561955</v>
      </c>
      <c r="F492" s="13" t="s">
        <v>927</v>
      </c>
      <c r="G492" s="13" t="s">
        <v>926</v>
      </c>
      <c r="H492" s="13" t="s">
        <v>4149</v>
      </c>
      <c r="I492" s="12">
        <v>45475</v>
      </c>
    </row>
    <row r="493" spans="1:9" x14ac:dyDescent="0.15">
      <c r="A493" s="10">
        <v>492</v>
      </c>
      <c r="B493" s="9" t="s">
        <v>9</v>
      </c>
      <c r="C493" s="11" t="s">
        <v>10</v>
      </c>
      <c r="D493" s="12">
        <v>45562</v>
      </c>
      <c r="E493" s="14" t="str">
        <f>+HYPERLINK("http://trademark.i-assist.jp/data/china/image_1905th/79392177.pdf","79392177")</f>
        <v>79392177</v>
      </c>
      <c r="F493" s="13" t="s">
        <v>929</v>
      </c>
      <c r="G493" s="13" t="s">
        <v>928</v>
      </c>
      <c r="H493" s="13" t="s">
        <v>4352</v>
      </c>
      <c r="I493" s="12">
        <v>45467</v>
      </c>
    </row>
    <row r="494" spans="1:9" x14ac:dyDescent="0.15">
      <c r="A494" s="10">
        <v>493</v>
      </c>
      <c r="B494" s="9" t="s">
        <v>9</v>
      </c>
      <c r="C494" s="11" t="s">
        <v>10</v>
      </c>
      <c r="D494" s="12">
        <v>45562</v>
      </c>
      <c r="E494" s="14" t="str">
        <f>+HYPERLINK("http://trademark.i-assist.jp/data/china/image_1905th/79395319.pdf","79395319")</f>
        <v>79395319</v>
      </c>
      <c r="F494" s="13" t="s">
        <v>931</v>
      </c>
      <c r="G494" s="13" t="s">
        <v>930</v>
      </c>
      <c r="H494" s="13" t="s">
        <v>4561</v>
      </c>
      <c r="I494" s="12">
        <v>45467</v>
      </c>
    </row>
    <row r="495" spans="1:9" x14ac:dyDescent="0.15">
      <c r="A495" s="10">
        <v>494</v>
      </c>
      <c r="B495" s="9" t="s">
        <v>9</v>
      </c>
      <c r="C495" s="11" t="s">
        <v>10</v>
      </c>
      <c r="D495" s="12">
        <v>45562</v>
      </c>
      <c r="E495" s="14" t="str">
        <f>+HYPERLINK("http://trademark.i-assist.jp/data/china/image_1905th/79421974.pdf","79421974")</f>
        <v>79421974</v>
      </c>
      <c r="F495" s="13" t="s">
        <v>933</v>
      </c>
      <c r="G495" s="13" t="s">
        <v>932</v>
      </c>
      <c r="H495" s="13" t="s">
        <v>4562</v>
      </c>
      <c r="I495" s="12">
        <v>45468</v>
      </c>
    </row>
    <row r="496" spans="1:9" x14ac:dyDescent="0.15">
      <c r="A496" s="10">
        <v>495</v>
      </c>
      <c r="B496" s="9" t="s">
        <v>9</v>
      </c>
      <c r="C496" s="11" t="s">
        <v>10</v>
      </c>
      <c r="D496" s="12">
        <v>45562</v>
      </c>
      <c r="E496" s="14" t="str">
        <f>+HYPERLINK("http://trademark.i-assist.jp/data/china/image_1905th/79424607.pdf","79424607")</f>
        <v>79424607</v>
      </c>
      <c r="F496" s="13" t="s">
        <v>935</v>
      </c>
      <c r="G496" s="13" t="s">
        <v>934</v>
      </c>
      <c r="H496" s="13" t="s">
        <v>4563</v>
      </c>
      <c r="I496" s="12">
        <v>45468</v>
      </c>
    </row>
    <row r="497" spans="1:9" x14ac:dyDescent="0.15">
      <c r="A497" s="10">
        <v>496</v>
      </c>
      <c r="B497" s="9" t="s">
        <v>9</v>
      </c>
      <c r="C497" s="11" t="s">
        <v>10</v>
      </c>
      <c r="D497" s="12">
        <v>45562</v>
      </c>
      <c r="E497" s="14" t="str">
        <f>+HYPERLINK("http://trademark.i-assist.jp/data/china/image_1905th/79428071.pdf","79428071")</f>
        <v>79428071</v>
      </c>
      <c r="F497" s="13" t="s">
        <v>937</v>
      </c>
      <c r="G497" s="13" t="s">
        <v>936</v>
      </c>
      <c r="H497" s="13" t="s">
        <v>4564</v>
      </c>
      <c r="I497" s="12">
        <v>45468</v>
      </c>
    </row>
    <row r="498" spans="1:9" x14ac:dyDescent="0.15">
      <c r="A498" s="10">
        <v>497</v>
      </c>
      <c r="B498" s="9" t="s">
        <v>9</v>
      </c>
      <c r="C498" s="11" t="s">
        <v>10</v>
      </c>
      <c r="D498" s="12">
        <v>45562</v>
      </c>
      <c r="E498" s="14" t="str">
        <f>+HYPERLINK("http://trademark.i-assist.jp/data/china/image_1905th/79449333.pdf","79449333")</f>
        <v>79449333</v>
      </c>
      <c r="F498" s="13" t="s">
        <v>939</v>
      </c>
      <c r="G498" s="13" t="s">
        <v>938</v>
      </c>
      <c r="H498" s="13" t="s">
        <v>4565</v>
      </c>
      <c r="I498" s="12">
        <v>45469</v>
      </c>
    </row>
    <row r="499" spans="1:9" x14ac:dyDescent="0.15">
      <c r="A499" s="10">
        <v>498</v>
      </c>
      <c r="B499" s="9" t="s">
        <v>9</v>
      </c>
      <c r="C499" s="11" t="s">
        <v>10</v>
      </c>
      <c r="D499" s="12">
        <v>45562</v>
      </c>
      <c r="E499" s="14" t="str">
        <f>+HYPERLINK("http://trademark.i-assist.jp/data/china/image_1905th/79458150.pdf","79458150")</f>
        <v>79458150</v>
      </c>
      <c r="F499" s="13" t="s">
        <v>941</v>
      </c>
      <c r="G499" s="13" t="s">
        <v>940</v>
      </c>
      <c r="H499" s="13" t="s">
        <v>4566</v>
      </c>
      <c r="I499" s="12">
        <v>45469</v>
      </c>
    </row>
    <row r="500" spans="1:9" x14ac:dyDescent="0.15">
      <c r="A500" s="10">
        <v>499</v>
      </c>
      <c r="B500" s="9" t="s">
        <v>9</v>
      </c>
      <c r="C500" s="11" t="s">
        <v>10</v>
      </c>
      <c r="D500" s="12">
        <v>45562</v>
      </c>
      <c r="E500" s="14" t="str">
        <f>+HYPERLINK("http://trademark.i-assist.jp/data/china/image_1905th/79460961.pdf","79460961")</f>
        <v>79460961</v>
      </c>
      <c r="F500" s="13" t="s">
        <v>943</v>
      </c>
      <c r="G500" s="13" t="s">
        <v>942</v>
      </c>
      <c r="H500" s="13" t="s">
        <v>4284</v>
      </c>
      <c r="I500" s="12">
        <v>45469</v>
      </c>
    </row>
    <row r="501" spans="1:9" x14ac:dyDescent="0.15">
      <c r="A501" s="10">
        <v>500</v>
      </c>
      <c r="B501" s="9" t="s">
        <v>9</v>
      </c>
      <c r="C501" s="11" t="s">
        <v>10</v>
      </c>
      <c r="D501" s="12">
        <v>45562</v>
      </c>
      <c r="E501" s="14" t="str">
        <f>+HYPERLINK("http://trademark.i-assist.jp/data/china/image_1905th/79462731.pdf","79462731")</f>
        <v>79462731</v>
      </c>
      <c r="F501" s="13" t="s">
        <v>73</v>
      </c>
      <c r="G501" s="13" t="s">
        <v>360</v>
      </c>
      <c r="H501" s="13" t="s">
        <v>4310</v>
      </c>
      <c r="I501" s="12">
        <v>45469</v>
      </c>
    </row>
    <row r="502" spans="1:9" x14ac:dyDescent="0.15">
      <c r="A502" s="10">
        <v>501</v>
      </c>
      <c r="B502" s="9" t="s">
        <v>9</v>
      </c>
      <c r="C502" s="11" t="s">
        <v>10</v>
      </c>
      <c r="D502" s="12">
        <v>45562</v>
      </c>
      <c r="E502" s="14" t="str">
        <f>+HYPERLINK("http://trademark.i-assist.jp/data/china/image_1905th/79465470.pdf","79465470")</f>
        <v>79465470</v>
      </c>
      <c r="F502" s="13" t="s">
        <v>945</v>
      </c>
      <c r="G502" s="13" t="s">
        <v>944</v>
      </c>
      <c r="H502" s="13" t="s">
        <v>4567</v>
      </c>
      <c r="I502" s="12">
        <v>45470</v>
      </c>
    </row>
    <row r="503" spans="1:9" x14ac:dyDescent="0.15">
      <c r="A503" s="10">
        <v>502</v>
      </c>
      <c r="B503" s="9" t="s">
        <v>9</v>
      </c>
      <c r="C503" s="11" t="s">
        <v>10</v>
      </c>
      <c r="D503" s="12">
        <v>45562</v>
      </c>
      <c r="E503" s="14" t="str">
        <f>+HYPERLINK("http://trademark.i-assist.jp/data/china/image_1905th/78939149.pdf","78939149")</f>
        <v>78939149</v>
      </c>
      <c r="F503" s="13" t="s">
        <v>947</v>
      </c>
      <c r="G503" s="13" t="s">
        <v>946</v>
      </c>
      <c r="H503" s="13" t="s">
        <v>4245</v>
      </c>
      <c r="I503" s="12">
        <v>45442</v>
      </c>
    </row>
    <row r="504" spans="1:9" x14ac:dyDescent="0.15">
      <c r="A504" s="10">
        <v>503</v>
      </c>
      <c r="B504" s="9" t="s">
        <v>9</v>
      </c>
      <c r="C504" s="11" t="s">
        <v>10</v>
      </c>
      <c r="D504" s="12">
        <v>45562</v>
      </c>
      <c r="E504" s="14" t="str">
        <f>+HYPERLINK("http://trademark.i-assist.jp/data/china/image_1905th/79012605.pdf","79012605")</f>
        <v>79012605</v>
      </c>
      <c r="F504" s="13" t="s">
        <v>949</v>
      </c>
      <c r="G504" s="13" t="s">
        <v>948</v>
      </c>
      <c r="H504" s="13" t="s">
        <v>4568</v>
      </c>
      <c r="I504" s="12">
        <v>45447</v>
      </c>
    </row>
    <row r="505" spans="1:9" x14ac:dyDescent="0.15">
      <c r="A505" s="10">
        <v>504</v>
      </c>
      <c r="B505" s="9" t="s">
        <v>9</v>
      </c>
      <c r="C505" s="11" t="s">
        <v>10</v>
      </c>
      <c r="D505" s="12">
        <v>45562</v>
      </c>
      <c r="E505" s="14" t="str">
        <f>+HYPERLINK("http://trademark.i-assist.jp/data/china/image_1905th/79023699.pdf","79023699")</f>
        <v>79023699</v>
      </c>
      <c r="F505" s="13" t="s">
        <v>951</v>
      </c>
      <c r="G505" s="13" t="s">
        <v>950</v>
      </c>
      <c r="H505" s="13" t="s">
        <v>4352</v>
      </c>
      <c r="I505" s="12">
        <v>45447</v>
      </c>
    </row>
    <row r="506" spans="1:9" x14ac:dyDescent="0.15">
      <c r="A506" s="10">
        <v>505</v>
      </c>
      <c r="B506" s="9" t="s">
        <v>9</v>
      </c>
      <c r="C506" s="11" t="s">
        <v>10</v>
      </c>
      <c r="D506" s="12">
        <v>45562</v>
      </c>
      <c r="E506" s="14" t="str">
        <f>+HYPERLINK("http://trademark.i-assist.jp/data/china/image_1905th/79107762.pdf","79107762")</f>
        <v>79107762</v>
      </c>
      <c r="F506" s="13" t="s">
        <v>953</v>
      </c>
      <c r="G506" s="13" t="s">
        <v>952</v>
      </c>
      <c r="H506" s="13" t="s">
        <v>4569</v>
      </c>
      <c r="I506" s="12">
        <v>45450</v>
      </c>
    </row>
    <row r="507" spans="1:9" x14ac:dyDescent="0.15">
      <c r="A507" s="10">
        <v>506</v>
      </c>
      <c r="B507" s="9" t="s">
        <v>9</v>
      </c>
      <c r="C507" s="11" t="s">
        <v>10</v>
      </c>
      <c r="D507" s="12">
        <v>45562</v>
      </c>
      <c r="E507" s="14" t="str">
        <f>+HYPERLINK("http://trademark.i-assist.jp/data/china/image_1905th/79117640.pdf","79117640")</f>
        <v>79117640</v>
      </c>
      <c r="F507" s="13" t="s">
        <v>955</v>
      </c>
      <c r="G507" s="13" t="s">
        <v>954</v>
      </c>
      <c r="H507" s="13" t="s">
        <v>4570</v>
      </c>
      <c r="I507" s="12">
        <v>45450</v>
      </c>
    </row>
    <row r="508" spans="1:9" x14ac:dyDescent="0.15">
      <c r="A508" s="10">
        <v>507</v>
      </c>
      <c r="B508" s="9" t="s">
        <v>9</v>
      </c>
      <c r="C508" s="11" t="s">
        <v>10</v>
      </c>
      <c r="D508" s="12">
        <v>45562</v>
      </c>
      <c r="E508" s="14" t="str">
        <f>+HYPERLINK("http://trademark.i-assist.jp/data/china/image_1905th/79137379.pdf","79137379")</f>
        <v>79137379</v>
      </c>
      <c r="F508" s="13" t="s">
        <v>957</v>
      </c>
      <c r="G508" s="13" t="s">
        <v>956</v>
      </c>
      <c r="H508" s="13" t="s">
        <v>4571</v>
      </c>
      <c r="I508" s="12">
        <v>45454</v>
      </c>
    </row>
    <row r="509" spans="1:9" x14ac:dyDescent="0.15">
      <c r="A509" s="10">
        <v>508</v>
      </c>
      <c r="B509" s="9" t="s">
        <v>9</v>
      </c>
      <c r="C509" s="11" t="s">
        <v>10</v>
      </c>
      <c r="D509" s="12">
        <v>45562</v>
      </c>
      <c r="E509" s="14" t="str">
        <f>+HYPERLINK("http://trademark.i-assist.jp/data/china/image_1905th/79143123.pdf","79143123")</f>
        <v>79143123</v>
      </c>
      <c r="F509" s="13" t="s">
        <v>959</v>
      </c>
      <c r="G509" s="13" t="s">
        <v>958</v>
      </c>
      <c r="H509" s="13" t="s">
        <v>4572</v>
      </c>
      <c r="I509" s="12">
        <v>45454</v>
      </c>
    </row>
    <row r="510" spans="1:9" x14ac:dyDescent="0.15">
      <c r="A510" s="10">
        <v>509</v>
      </c>
      <c r="B510" s="9" t="s">
        <v>9</v>
      </c>
      <c r="C510" s="11" t="s">
        <v>10</v>
      </c>
      <c r="D510" s="12">
        <v>45562</v>
      </c>
      <c r="E510" s="14" t="str">
        <f>+HYPERLINK("http://trademark.i-assist.jp/data/china/image_1905th/79563107.pdf","79563107")</f>
        <v>79563107</v>
      </c>
      <c r="F510" s="13" t="s">
        <v>961</v>
      </c>
      <c r="G510" s="13" t="s">
        <v>960</v>
      </c>
      <c r="H510" s="13" t="s">
        <v>4573</v>
      </c>
      <c r="I510" s="12">
        <v>45475</v>
      </c>
    </row>
    <row r="511" spans="1:9" x14ac:dyDescent="0.15">
      <c r="A511" s="10">
        <v>510</v>
      </c>
      <c r="B511" s="9" t="s">
        <v>9</v>
      </c>
      <c r="C511" s="11" t="s">
        <v>10</v>
      </c>
      <c r="D511" s="12">
        <v>45562</v>
      </c>
      <c r="E511" s="14" t="str">
        <f>+HYPERLINK("http://trademark.i-assist.jp/data/china/image_1905th/79569225.pdf","79569225")</f>
        <v>79569225</v>
      </c>
      <c r="F511" s="13" t="s">
        <v>963</v>
      </c>
      <c r="G511" s="13" t="s">
        <v>962</v>
      </c>
      <c r="H511" s="13" t="s">
        <v>4574</v>
      </c>
      <c r="I511" s="12">
        <v>45475</v>
      </c>
    </row>
    <row r="512" spans="1:9" x14ac:dyDescent="0.15">
      <c r="A512" s="10">
        <v>511</v>
      </c>
      <c r="B512" s="9" t="s">
        <v>9</v>
      </c>
      <c r="C512" s="11" t="s">
        <v>10</v>
      </c>
      <c r="D512" s="12">
        <v>45562</v>
      </c>
      <c r="E512" s="14" t="str">
        <f>+HYPERLINK("http://trademark.i-assist.jp/data/china/image_1905th/79572458.pdf","79572458")</f>
        <v>79572458</v>
      </c>
      <c r="F512" s="13" t="s">
        <v>965</v>
      </c>
      <c r="G512" s="13" t="s">
        <v>964</v>
      </c>
      <c r="H512" s="13" t="s">
        <v>4575</v>
      </c>
      <c r="I512" s="12">
        <v>45475</v>
      </c>
    </row>
    <row r="513" spans="1:9" x14ac:dyDescent="0.15">
      <c r="A513" s="10">
        <v>512</v>
      </c>
      <c r="B513" s="9" t="s">
        <v>9</v>
      </c>
      <c r="C513" s="11" t="s">
        <v>10</v>
      </c>
      <c r="D513" s="12">
        <v>45562</v>
      </c>
      <c r="E513" s="14" t="str">
        <f>+HYPERLINK("http://trademark.i-assist.jp/data/china/image_1905th/79576325.pdf","79576325")</f>
        <v>79576325</v>
      </c>
      <c r="F513" s="13" t="s">
        <v>966</v>
      </c>
      <c r="G513" s="13" t="s">
        <v>29</v>
      </c>
      <c r="H513" s="13" t="s">
        <v>4156</v>
      </c>
      <c r="I513" s="12">
        <v>45476</v>
      </c>
    </row>
    <row r="514" spans="1:9" x14ac:dyDescent="0.15">
      <c r="A514" s="10">
        <v>513</v>
      </c>
      <c r="B514" s="9" t="s">
        <v>9</v>
      </c>
      <c r="C514" s="11" t="s">
        <v>10</v>
      </c>
      <c r="D514" s="12">
        <v>45562</v>
      </c>
      <c r="E514" s="14" t="str">
        <f>+HYPERLINK("http://trademark.i-assist.jp/data/china/image_1905th/79605080.pdf","79605080")</f>
        <v>79605080</v>
      </c>
      <c r="F514" s="13" t="s">
        <v>968</v>
      </c>
      <c r="G514" s="13" t="s">
        <v>967</v>
      </c>
      <c r="H514" s="13" t="s">
        <v>4576</v>
      </c>
      <c r="I514" s="12">
        <v>45477</v>
      </c>
    </row>
    <row r="515" spans="1:9" x14ac:dyDescent="0.15">
      <c r="A515" s="10">
        <v>514</v>
      </c>
      <c r="B515" s="9" t="s">
        <v>9</v>
      </c>
      <c r="C515" s="11" t="s">
        <v>10</v>
      </c>
      <c r="D515" s="12">
        <v>45562</v>
      </c>
      <c r="E515" s="14" t="str">
        <f>+HYPERLINK("http://trademark.i-assist.jp/data/china/image_1905th/79198560.pdf","79198560")</f>
        <v>79198560</v>
      </c>
      <c r="F515" s="13" t="s">
        <v>970</v>
      </c>
      <c r="G515" s="13" t="s">
        <v>969</v>
      </c>
      <c r="H515" s="13" t="s">
        <v>4577</v>
      </c>
      <c r="I515" s="12">
        <v>45456</v>
      </c>
    </row>
    <row r="516" spans="1:9" x14ac:dyDescent="0.15">
      <c r="A516" s="10">
        <v>515</v>
      </c>
      <c r="B516" s="9" t="s">
        <v>9</v>
      </c>
      <c r="C516" s="11" t="s">
        <v>10</v>
      </c>
      <c r="D516" s="12">
        <v>45562</v>
      </c>
      <c r="E516" s="14" t="str">
        <f>+HYPERLINK("http://trademark.i-assist.jp/data/china/image_1905th/79198880.pdf","79198880")</f>
        <v>79198880</v>
      </c>
      <c r="F516" s="13" t="s">
        <v>972</v>
      </c>
      <c r="G516" s="13" t="s">
        <v>971</v>
      </c>
      <c r="H516" s="13" t="s">
        <v>4154</v>
      </c>
      <c r="I516" s="12">
        <v>45456</v>
      </c>
    </row>
    <row r="517" spans="1:9" x14ac:dyDescent="0.15">
      <c r="A517" s="10">
        <v>516</v>
      </c>
      <c r="B517" s="9" t="s">
        <v>9</v>
      </c>
      <c r="C517" s="11" t="s">
        <v>10</v>
      </c>
      <c r="D517" s="12">
        <v>45562</v>
      </c>
      <c r="E517" s="14" t="str">
        <f>+HYPERLINK("http://trademark.i-assist.jp/data/china/image_1905th/79259063.pdf","79259063")</f>
        <v>79259063</v>
      </c>
      <c r="F517" s="13" t="s">
        <v>974</v>
      </c>
      <c r="G517" s="13" t="s">
        <v>973</v>
      </c>
      <c r="H517" s="13" t="s">
        <v>4578</v>
      </c>
      <c r="I517" s="12">
        <v>45460</v>
      </c>
    </row>
    <row r="518" spans="1:9" x14ac:dyDescent="0.15">
      <c r="A518" s="10">
        <v>517</v>
      </c>
      <c r="B518" s="9" t="s">
        <v>9</v>
      </c>
      <c r="C518" s="11" t="s">
        <v>10</v>
      </c>
      <c r="D518" s="12">
        <v>45562</v>
      </c>
      <c r="E518" s="14" t="str">
        <f>+HYPERLINK("http://trademark.i-assist.jp/data/china/image_1905th/79269514.pdf","79269514")</f>
        <v>79269514</v>
      </c>
      <c r="F518" s="13" t="s">
        <v>976</v>
      </c>
      <c r="G518" s="13" t="s">
        <v>975</v>
      </c>
      <c r="H518" s="13" t="s">
        <v>4579</v>
      </c>
      <c r="I518" s="12">
        <v>45460</v>
      </c>
    </row>
    <row r="519" spans="1:9" x14ac:dyDescent="0.15">
      <c r="A519" s="10">
        <v>518</v>
      </c>
      <c r="B519" s="9" t="s">
        <v>9</v>
      </c>
      <c r="C519" s="11" t="s">
        <v>10</v>
      </c>
      <c r="D519" s="12">
        <v>45562</v>
      </c>
      <c r="E519" s="14" t="str">
        <f>+HYPERLINK("http://trademark.i-assist.jp/data/china/image_1905th/79616190.pdf","79616190")</f>
        <v>79616190</v>
      </c>
      <c r="F519" s="13" t="s">
        <v>978</v>
      </c>
      <c r="G519" s="13" t="s">
        <v>977</v>
      </c>
      <c r="H519" s="13" t="s">
        <v>4580</v>
      </c>
      <c r="I519" s="12">
        <v>45477</v>
      </c>
    </row>
    <row r="520" spans="1:9" x14ac:dyDescent="0.15">
      <c r="A520" s="10">
        <v>519</v>
      </c>
      <c r="B520" s="9" t="s">
        <v>9</v>
      </c>
      <c r="C520" s="11" t="s">
        <v>10</v>
      </c>
      <c r="D520" s="12">
        <v>45562</v>
      </c>
      <c r="E520" s="14" t="str">
        <f>+HYPERLINK("http://trademark.i-assist.jp/data/china/image_1905th/79621676.pdf","79621676")</f>
        <v>79621676</v>
      </c>
      <c r="F520" s="13" t="s">
        <v>980</v>
      </c>
      <c r="G520" s="13" t="s">
        <v>979</v>
      </c>
      <c r="H520" s="13" t="s">
        <v>4581</v>
      </c>
      <c r="I520" s="12">
        <v>45477</v>
      </c>
    </row>
    <row r="521" spans="1:9" x14ac:dyDescent="0.15">
      <c r="A521" s="10">
        <v>520</v>
      </c>
      <c r="B521" s="9" t="s">
        <v>9</v>
      </c>
      <c r="C521" s="11" t="s">
        <v>10</v>
      </c>
      <c r="D521" s="12">
        <v>45562</v>
      </c>
      <c r="E521" s="14" t="str">
        <f>+HYPERLINK("http://trademark.i-assist.jp/data/china/image_1905th/79628520.pdf","79628520")</f>
        <v>79628520</v>
      </c>
      <c r="F521" s="13" t="s">
        <v>982</v>
      </c>
      <c r="G521" s="13" t="s">
        <v>981</v>
      </c>
      <c r="H521" s="13" t="s">
        <v>4446</v>
      </c>
      <c r="I521" s="12">
        <v>45478</v>
      </c>
    </row>
    <row r="522" spans="1:9" x14ac:dyDescent="0.15">
      <c r="A522" s="10">
        <v>521</v>
      </c>
      <c r="B522" s="9" t="s">
        <v>9</v>
      </c>
      <c r="C522" s="11" t="s">
        <v>10</v>
      </c>
      <c r="D522" s="12">
        <v>45562</v>
      </c>
      <c r="E522" s="14" t="str">
        <f>+HYPERLINK("http://trademark.i-assist.jp/data/china/image_1905th/79628917.pdf","79628917")</f>
        <v>79628917</v>
      </c>
      <c r="F522" s="13" t="s">
        <v>984</v>
      </c>
      <c r="G522" s="13" t="s">
        <v>983</v>
      </c>
      <c r="H522" s="13" t="s">
        <v>4582</v>
      </c>
      <c r="I522" s="12">
        <v>45478</v>
      </c>
    </row>
    <row r="523" spans="1:9" x14ac:dyDescent="0.15">
      <c r="A523" s="10">
        <v>522</v>
      </c>
      <c r="B523" s="9" t="s">
        <v>9</v>
      </c>
      <c r="C523" s="11" t="s">
        <v>10</v>
      </c>
      <c r="D523" s="12">
        <v>45562</v>
      </c>
      <c r="E523" s="14" t="str">
        <f>+HYPERLINK("http://trademark.i-assist.jp/data/china/image_1905th/79629664.pdf","79629664")</f>
        <v>79629664</v>
      </c>
      <c r="F523" s="13" t="s">
        <v>986</v>
      </c>
      <c r="G523" s="13" t="s">
        <v>985</v>
      </c>
      <c r="H523" s="13" t="s">
        <v>4583</v>
      </c>
      <c r="I523" s="12">
        <v>45478</v>
      </c>
    </row>
    <row r="524" spans="1:9" x14ac:dyDescent="0.15">
      <c r="A524" s="10">
        <v>523</v>
      </c>
      <c r="B524" s="9" t="s">
        <v>9</v>
      </c>
      <c r="C524" s="11" t="s">
        <v>10</v>
      </c>
      <c r="D524" s="12">
        <v>45562</v>
      </c>
      <c r="E524" s="14" t="str">
        <f>+HYPERLINK("http://trademark.i-assist.jp/data/china/image_1905th/79631529.pdf","79631529")</f>
        <v>79631529</v>
      </c>
      <c r="F524" s="13" t="s">
        <v>988</v>
      </c>
      <c r="G524" s="13" t="s">
        <v>987</v>
      </c>
      <c r="H524" s="13" t="s">
        <v>4584</v>
      </c>
      <c r="I524" s="12">
        <v>45478</v>
      </c>
    </row>
    <row r="525" spans="1:9" x14ac:dyDescent="0.15">
      <c r="A525" s="10">
        <v>524</v>
      </c>
      <c r="B525" s="9" t="s">
        <v>9</v>
      </c>
      <c r="C525" s="11" t="s">
        <v>10</v>
      </c>
      <c r="D525" s="12">
        <v>45562</v>
      </c>
      <c r="E525" s="14" t="str">
        <f>+HYPERLINK("http://trademark.i-assist.jp/data/china/image_1905th/79480430.pdf","79480430")</f>
        <v>79480430</v>
      </c>
      <c r="F525" s="13" t="s">
        <v>990</v>
      </c>
      <c r="G525" s="13" t="s">
        <v>989</v>
      </c>
      <c r="H525" s="13" t="s">
        <v>4585</v>
      </c>
      <c r="I525" s="12">
        <v>45470</v>
      </c>
    </row>
    <row r="526" spans="1:9" x14ac:dyDescent="0.15">
      <c r="A526" s="10">
        <v>525</v>
      </c>
      <c r="B526" s="9" t="s">
        <v>9</v>
      </c>
      <c r="C526" s="11" t="s">
        <v>10</v>
      </c>
      <c r="D526" s="12">
        <v>45562</v>
      </c>
      <c r="E526" s="14" t="str">
        <f>+HYPERLINK("http://trademark.i-assist.jp/data/china/image_1905th/79486783.pdf","79486783")</f>
        <v>79486783</v>
      </c>
      <c r="F526" s="13" t="s">
        <v>992</v>
      </c>
      <c r="G526" s="13" t="s">
        <v>991</v>
      </c>
      <c r="H526" s="13" t="s">
        <v>4586</v>
      </c>
      <c r="I526" s="12">
        <v>45470</v>
      </c>
    </row>
    <row r="527" spans="1:9" x14ac:dyDescent="0.15">
      <c r="A527" s="10">
        <v>526</v>
      </c>
      <c r="B527" s="9" t="s">
        <v>9</v>
      </c>
      <c r="C527" s="11" t="s">
        <v>10</v>
      </c>
      <c r="D527" s="12">
        <v>45562</v>
      </c>
      <c r="E527" s="14" t="str">
        <f>+HYPERLINK("http://trademark.i-assist.jp/data/china/image_1905th/79489101.pdf","79489101")</f>
        <v>79489101</v>
      </c>
      <c r="F527" s="13" t="s">
        <v>994</v>
      </c>
      <c r="G527" s="13" t="s">
        <v>993</v>
      </c>
      <c r="H527" s="13" t="s">
        <v>4587</v>
      </c>
      <c r="I527" s="12">
        <v>45471</v>
      </c>
    </row>
    <row r="528" spans="1:9" x14ac:dyDescent="0.15">
      <c r="A528" s="10">
        <v>527</v>
      </c>
      <c r="B528" s="9" t="s">
        <v>9</v>
      </c>
      <c r="C528" s="11" t="s">
        <v>10</v>
      </c>
      <c r="D528" s="12">
        <v>45562</v>
      </c>
      <c r="E528" s="14" t="str">
        <f>+HYPERLINK("http://trademark.i-assist.jp/data/china/image_1905th/79502588.pdf","79502588")</f>
        <v>79502588</v>
      </c>
      <c r="F528" s="13" t="s">
        <v>996</v>
      </c>
      <c r="G528" s="13" t="s">
        <v>995</v>
      </c>
      <c r="H528" s="13" t="s">
        <v>4588</v>
      </c>
      <c r="I528" s="12">
        <v>45471</v>
      </c>
    </row>
    <row r="529" spans="1:9" x14ac:dyDescent="0.15">
      <c r="A529" s="10">
        <v>528</v>
      </c>
      <c r="B529" s="9" t="s">
        <v>9</v>
      </c>
      <c r="C529" s="11" t="s">
        <v>10</v>
      </c>
      <c r="D529" s="12">
        <v>45562</v>
      </c>
      <c r="E529" s="14" t="str">
        <f>+HYPERLINK("http://trademark.i-assist.jp/data/china/image_1905th/79504168.pdf","79504168")</f>
        <v>79504168</v>
      </c>
      <c r="F529" s="13" t="s">
        <v>998</v>
      </c>
      <c r="G529" s="13" t="s">
        <v>997</v>
      </c>
      <c r="H529" s="13" t="s">
        <v>4589</v>
      </c>
      <c r="I529" s="12">
        <v>45471</v>
      </c>
    </row>
    <row r="530" spans="1:9" x14ac:dyDescent="0.15">
      <c r="A530" s="10">
        <v>529</v>
      </c>
      <c r="B530" s="9" t="s">
        <v>9</v>
      </c>
      <c r="C530" s="11" t="s">
        <v>10</v>
      </c>
      <c r="D530" s="12">
        <v>45562</v>
      </c>
      <c r="E530" s="14" t="str">
        <f>+HYPERLINK("http://trademark.i-assist.jp/data/china/image_1905th/79504802.pdf","79504802")</f>
        <v>79504802</v>
      </c>
      <c r="F530" s="13" t="s">
        <v>1000</v>
      </c>
      <c r="G530" s="13" t="s">
        <v>999</v>
      </c>
      <c r="H530" s="13" t="s">
        <v>4590</v>
      </c>
      <c r="I530" s="12">
        <v>45471</v>
      </c>
    </row>
    <row r="531" spans="1:9" x14ac:dyDescent="0.15">
      <c r="A531" s="10">
        <v>530</v>
      </c>
      <c r="B531" s="9" t="s">
        <v>9</v>
      </c>
      <c r="C531" s="11" t="s">
        <v>10</v>
      </c>
      <c r="D531" s="12">
        <v>45562</v>
      </c>
      <c r="E531" s="14" t="str">
        <f>+HYPERLINK("http://trademark.i-assist.jp/data/china/image_1905th/79637052.pdf","79637052")</f>
        <v>79637052</v>
      </c>
      <c r="F531" s="13" t="s">
        <v>1002</v>
      </c>
      <c r="G531" s="13" t="s">
        <v>1001</v>
      </c>
      <c r="H531" s="13" t="s">
        <v>4162</v>
      </c>
      <c r="I531" s="12">
        <v>45478</v>
      </c>
    </row>
    <row r="532" spans="1:9" x14ac:dyDescent="0.15">
      <c r="A532" s="10">
        <v>531</v>
      </c>
      <c r="B532" s="9" t="s">
        <v>9</v>
      </c>
      <c r="C532" s="11" t="s">
        <v>10</v>
      </c>
      <c r="D532" s="12">
        <v>45562</v>
      </c>
      <c r="E532" s="14" t="str">
        <f>+HYPERLINK("http://trademark.i-assist.jp/data/china/image_1905th/79641907.pdf","79641907")</f>
        <v>79641907</v>
      </c>
      <c r="F532" s="13" t="s">
        <v>1004</v>
      </c>
      <c r="G532" s="13" t="s">
        <v>1003</v>
      </c>
      <c r="H532" s="13" t="s">
        <v>4200</v>
      </c>
      <c r="I532" s="12">
        <v>45478</v>
      </c>
    </row>
    <row r="533" spans="1:9" x14ac:dyDescent="0.15">
      <c r="A533" s="10">
        <v>532</v>
      </c>
      <c r="B533" s="9" t="s">
        <v>9</v>
      </c>
      <c r="C533" s="11" t="s">
        <v>10</v>
      </c>
      <c r="D533" s="12">
        <v>45562</v>
      </c>
      <c r="E533" s="14" t="str">
        <f>+HYPERLINK("http://trademark.i-assist.jp/data/china/image_1905th/79642085.pdf","79642085")</f>
        <v>79642085</v>
      </c>
      <c r="F533" s="13" t="s">
        <v>1006</v>
      </c>
      <c r="G533" s="13" t="s">
        <v>1005</v>
      </c>
      <c r="H533" s="13" t="s">
        <v>4591</v>
      </c>
      <c r="I533" s="12">
        <v>45478</v>
      </c>
    </row>
    <row r="534" spans="1:9" x14ac:dyDescent="0.15">
      <c r="A534" s="10">
        <v>533</v>
      </c>
      <c r="B534" s="9" t="s">
        <v>9</v>
      </c>
      <c r="C534" s="11" t="s">
        <v>10</v>
      </c>
      <c r="D534" s="12">
        <v>45562</v>
      </c>
      <c r="E534" s="14" t="str">
        <f>+HYPERLINK("http://trademark.i-assist.jp/data/china/image_1905th/79642252.pdf","79642252")</f>
        <v>79642252</v>
      </c>
      <c r="F534" s="13" t="s">
        <v>1007</v>
      </c>
      <c r="G534" s="13" t="s">
        <v>417</v>
      </c>
      <c r="H534" s="13" t="s">
        <v>4227</v>
      </c>
      <c r="I534" s="12">
        <v>45478</v>
      </c>
    </row>
    <row r="535" spans="1:9" x14ac:dyDescent="0.15">
      <c r="A535" s="10">
        <v>534</v>
      </c>
      <c r="B535" s="9" t="s">
        <v>9</v>
      </c>
      <c r="C535" s="11" t="s">
        <v>10</v>
      </c>
      <c r="D535" s="12">
        <v>45562</v>
      </c>
      <c r="E535" s="14" t="str">
        <f>+HYPERLINK("http://trademark.i-assist.jp/data/china/image_1905th/79647845.pdf","79647845")</f>
        <v>79647845</v>
      </c>
      <c r="F535" s="13" t="s">
        <v>1009</v>
      </c>
      <c r="G535" s="13" t="s">
        <v>1008</v>
      </c>
      <c r="H535" s="13" t="s">
        <v>4592</v>
      </c>
      <c r="I535" s="12">
        <v>45479</v>
      </c>
    </row>
    <row r="536" spans="1:9" x14ac:dyDescent="0.15">
      <c r="A536" s="10">
        <v>535</v>
      </c>
      <c r="B536" s="9" t="s">
        <v>9</v>
      </c>
      <c r="C536" s="11" t="s">
        <v>10</v>
      </c>
      <c r="D536" s="12">
        <v>45562</v>
      </c>
      <c r="E536" s="14" t="str">
        <f>+HYPERLINK("http://trademark.i-assist.jp/data/china/image_1905th/79652486.pdf","79652486")</f>
        <v>79652486</v>
      </c>
      <c r="F536" s="13" t="s">
        <v>1011</v>
      </c>
      <c r="G536" s="13" t="s">
        <v>1010</v>
      </c>
      <c r="H536" s="13" t="s">
        <v>4456</v>
      </c>
      <c r="I536" s="12">
        <v>45479</v>
      </c>
    </row>
    <row r="537" spans="1:9" x14ac:dyDescent="0.15">
      <c r="A537" s="10">
        <v>536</v>
      </c>
      <c r="B537" s="9" t="s">
        <v>9</v>
      </c>
      <c r="C537" s="11" t="s">
        <v>10</v>
      </c>
      <c r="D537" s="12">
        <v>45562</v>
      </c>
      <c r="E537" s="14" t="str">
        <f>+HYPERLINK("http://trademark.i-assist.jp/data/china/image_1905th/79653547.pdf","79653547")</f>
        <v>79653547</v>
      </c>
      <c r="F537" s="13" t="s">
        <v>1013</v>
      </c>
      <c r="G537" s="13" t="s">
        <v>1012</v>
      </c>
      <c r="H537" s="13" t="s">
        <v>4174</v>
      </c>
      <c r="I537" s="12">
        <v>45480</v>
      </c>
    </row>
    <row r="538" spans="1:9" x14ac:dyDescent="0.15">
      <c r="A538" s="10">
        <v>537</v>
      </c>
      <c r="B538" s="9" t="s">
        <v>9</v>
      </c>
      <c r="C538" s="11" t="s">
        <v>10</v>
      </c>
      <c r="D538" s="12">
        <v>45562</v>
      </c>
      <c r="E538" s="14" t="str">
        <f>+HYPERLINK("http://trademark.i-assist.jp/data/china/image_1905th/79654753.pdf","79654753")</f>
        <v>79654753</v>
      </c>
      <c r="F538" s="13" t="s">
        <v>1015</v>
      </c>
      <c r="G538" s="13" t="s">
        <v>1014</v>
      </c>
      <c r="H538" s="13" t="s">
        <v>4493</v>
      </c>
      <c r="I538" s="12">
        <v>45480</v>
      </c>
    </row>
    <row r="539" spans="1:9" x14ac:dyDescent="0.15">
      <c r="A539" s="10">
        <v>538</v>
      </c>
      <c r="B539" s="9" t="s">
        <v>9</v>
      </c>
      <c r="C539" s="11" t="s">
        <v>10</v>
      </c>
      <c r="D539" s="12">
        <v>45562</v>
      </c>
      <c r="E539" s="14" t="str">
        <f>+HYPERLINK("http://trademark.i-assist.jp/data/china/image_1905th/79655439.pdf","79655439")</f>
        <v>79655439</v>
      </c>
      <c r="F539" s="13" t="s">
        <v>1016</v>
      </c>
      <c r="G539" s="13" t="s">
        <v>631</v>
      </c>
      <c r="H539" s="13" t="s">
        <v>4202</v>
      </c>
      <c r="I539" s="12">
        <v>45480</v>
      </c>
    </row>
    <row r="540" spans="1:9" x14ac:dyDescent="0.15">
      <c r="A540" s="10">
        <v>539</v>
      </c>
      <c r="B540" s="9" t="s">
        <v>9</v>
      </c>
      <c r="C540" s="11" t="s">
        <v>10</v>
      </c>
      <c r="D540" s="12">
        <v>45562</v>
      </c>
      <c r="E540" s="14" t="str">
        <f>+HYPERLINK("http://trademark.i-assist.jp/data/china/image_1905th/79659550.pdf","79659550")</f>
        <v>79659550</v>
      </c>
      <c r="F540" s="13" t="s">
        <v>1018</v>
      </c>
      <c r="G540" s="13" t="s">
        <v>1017</v>
      </c>
      <c r="H540" s="13" t="s">
        <v>4593</v>
      </c>
      <c r="I540" s="12">
        <v>45481</v>
      </c>
    </row>
    <row r="541" spans="1:9" x14ac:dyDescent="0.15">
      <c r="A541" s="10">
        <v>540</v>
      </c>
      <c r="B541" s="9" t="s">
        <v>9</v>
      </c>
      <c r="C541" s="11" t="s">
        <v>10</v>
      </c>
      <c r="D541" s="12">
        <v>45562</v>
      </c>
      <c r="E541" s="14" t="str">
        <f>+HYPERLINK("http://trademark.i-assist.jp/data/china/image_1905th/79659711.pdf","79659711")</f>
        <v>79659711</v>
      </c>
      <c r="F541" s="13" t="s">
        <v>1020</v>
      </c>
      <c r="G541" s="13" t="s">
        <v>1019</v>
      </c>
      <c r="H541" s="13" t="s">
        <v>4594</v>
      </c>
      <c r="I541" s="12">
        <v>45481</v>
      </c>
    </row>
    <row r="542" spans="1:9" x14ac:dyDescent="0.15">
      <c r="A542" s="10">
        <v>541</v>
      </c>
      <c r="B542" s="9" t="s">
        <v>9</v>
      </c>
      <c r="C542" s="11" t="s">
        <v>10</v>
      </c>
      <c r="D542" s="12">
        <v>45562</v>
      </c>
      <c r="E542" s="14" t="str">
        <f>+HYPERLINK("http://trademark.i-assist.jp/data/china/image_1905th/79720098.pdf","79720098")</f>
        <v>79720098</v>
      </c>
      <c r="F542" s="13" t="s">
        <v>1022</v>
      </c>
      <c r="G542" s="13" t="s">
        <v>1021</v>
      </c>
      <c r="H542" s="13" t="s">
        <v>4595</v>
      </c>
      <c r="I542" s="12">
        <v>45483</v>
      </c>
    </row>
    <row r="543" spans="1:9" x14ac:dyDescent="0.15">
      <c r="A543" s="10">
        <v>542</v>
      </c>
      <c r="B543" s="9" t="s">
        <v>9</v>
      </c>
      <c r="C543" s="11" t="s">
        <v>10</v>
      </c>
      <c r="D543" s="12">
        <v>45562</v>
      </c>
      <c r="E543" s="14" t="str">
        <f>+HYPERLINK("http://trademark.i-assist.jp/data/china/image_1905th/79723173.pdf","79723173")</f>
        <v>79723173</v>
      </c>
      <c r="F543" s="13" t="s">
        <v>1024</v>
      </c>
      <c r="G543" s="13" t="s">
        <v>1023</v>
      </c>
      <c r="H543" s="13" t="s">
        <v>4200</v>
      </c>
      <c r="I543" s="12">
        <v>45483</v>
      </c>
    </row>
    <row r="544" spans="1:9" x14ac:dyDescent="0.15">
      <c r="A544" s="10">
        <v>543</v>
      </c>
      <c r="B544" s="9" t="s">
        <v>9</v>
      </c>
      <c r="C544" s="11" t="s">
        <v>10</v>
      </c>
      <c r="D544" s="12">
        <v>45562</v>
      </c>
      <c r="E544" s="14" t="str">
        <f>+HYPERLINK("http://trademark.i-assist.jp/data/china/image_1905th/79723197.pdf","79723197")</f>
        <v>79723197</v>
      </c>
      <c r="F544" s="13" t="s">
        <v>1026</v>
      </c>
      <c r="G544" s="13" t="s">
        <v>1025</v>
      </c>
      <c r="H544" s="13" t="s">
        <v>4596</v>
      </c>
      <c r="I544" s="12">
        <v>45483</v>
      </c>
    </row>
    <row r="545" spans="1:9" x14ac:dyDescent="0.15">
      <c r="A545" s="10">
        <v>544</v>
      </c>
      <c r="B545" s="9" t="s">
        <v>9</v>
      </c>
      <c r="C545" s="11" t="s">
        <v>10</v>
      </c>
      <c r="D545" s="12">
        <v>45562</v>
      </c>
      <c r="E545" s="14" t="str">
        <f>+HYPERLINK("http://trademark.i-assist.jp/data/china/image_1905th/79723379.pdf","79723379")</f>
        <v>79723379</v>
      </c>
      <c r="F545" s="13" t="s">
        <v>1028</v>
      </c>
      <c r="G545" s="13" t="s">
        <v>1027</v>
      </c>
      <c r="H545" s="13" t="s">
        <v>4597</v>
      </c>
      <c r="I545" s="12">
        <v>45483</v>
      </c>
    </row>
    <row r="546" spans="1:9" x14ac:dyDescent="0.15">
      <c r="A546" s="10">
        <v>545</v>
      </c>
      <c r="B546" s="9" t="s">
        <v>9</v>
      </c>
      <c r="C546" s="11" t="s">
        <v>10</v>
      </c>
      <c r="D546" s="12">
        <v>45562</v>
      </c>
      <c r="E546" s="14" t="str">
        <f>+HYPERLINK("http://trademark.i-assist.jp/data/china/image_1905th/79733612.pdf","79733612")</f>
        <v>79733612</v>
      </c>
      <c r="F546" s="13" t="s">
        <v>1030</v>
      </c>
      <c r="G546" s="13" t="s">
        <v>1029</v>
      </c>
      <c r="H546" s="13" t="s">
        <v>4598</v>
      </c>
      <c r="I546" s="12">
        <v>45484</v>
      </c>
    </row>
    <row r="547" spans="1:9" x14ac:dyDescent="0.15">
      <c r="A547" s="10">
        <v>546</v>
      </c>
      <c r="B547" s="9" t="s">
        <v>9</v>
      </c>
      <c r="C547" s="11" t="s">
        <v>10</v>
      </c>
      <c r="D547" s="12">
        <v>45562</v>
      </c>
      <c r="E547" s="14" t="str">
        <f>+HYPERLINK("http://trademark.i-assist.jp/data/china/image_1905th/79733744.pdf","79733744")</f>
        <v>79733744</v>
      </c>
      <c r="F547" s="13" t="s">
        <v>1032</v>
      </c>
      <c r="G547" s="13" t="s">
        <v>1031</v>
      </c>
      <c r="H547" s="13" t="s">
        <v>4599</v>
      </c>
      <c r="I547" s="12">
        <v>45484</v>
      </c>
    </row>
    <row r="548" spans="1:9" x14ac:dyDescent="0.15">
      <c r="A548" s="10">
        <v>547</v>
      </c>
      <c r="B548" s="9" t="s">
        <v>9</v>
      </c>
      <c r="C548" s="11" t="s">
        <v>10</v>
      </c>
      <c r="D548" s="12">
        <v>45562</v>
      </c>
      <c r="E548" s="14" t="str">
        <f>+HYPERLINK("http://trademark.i-assist.jp/data/china/image_1905th/79734648.pdf","79734648")</f>
        <v>79734648</v>
      </c>
      <c r="F548" s="13" t="s">
        <v>1034</v>
      </c>
      <c r="G548" s="13" t="s">
        <v>1033</v>
      </c>
      <c r="H548" s="13" t="s">
        <v>4600</v>
      </c>
      <c r="I548" s="12">
        <v>45484</v>
      </c>
    </row>
    <row r="549" spans="1:9" x14ac:dyDescent="0.15">
      <c r="A549" s="10">
        <v>548</v>
      </c>
      <c r="B549" s="9" t="s">
        <v>9</v>
      </c>
      <c r="C549" s="11" t="s">
        <v>10</v>
      </c>
      <c r="D549" s="12">
        <v>45562</v>
      </c>
      <c r="E549" s="14" t="str">
        <f>+HYPERLINK("http://trademark.i-assist.jp/data/china/image_1905th/79735035.pdf","79735035")</f>
        <v>79735035</v>
      </c>
      <c r="F549" s="13" t="s">
        <v>1036</v>
      </c>
      <c r="G549" s="13" t="s">
        <v>1035</v>
      </c>
      <c r="H549" s="13" t="s">
        <v>4601</v>
      </c>
      <c r="I549" s="12">
        <v>45484</v>
      </c>
    </row>
    <row r="550" spans="1:9" x14ac:dyDescent="0.15">
      <c r="A550" s="10">
        <v>549</v>
      </c>
      <c r="B550" s="9" t="s">
        <v>9</v>
      </c>
      <c r="C550" s="11" t="s">
        <v>10</v>
      </c>
      <c r="D550" s="12">
        <v>45562</v>
      </c>
      <c r="E550" s="14" t="str">
        <f>+HYPERLINK("http://trademark.i-assist.jp/data/china/image_1905th/79735500.pdf","79735500")</f>
        <v>79735500</v>
      </c>
      <c r="F550" s="13" t="s">
        <v>1037</v>
      </c>
      <c r="G550" s="13" t="s">
        <v>605</v>
      </c>
      <c r="H550" s="13" t="s">
        <v>4394</v>
      </c>
      <c r="I550" s="12">
        <v>45484</v>
      </c>
    </row>
    <row r="551" spans="1:9" x14ac:dyDescent="0.15">
      <c r="A551" s="10">
        <v>550</v>
      </c>
      <c r="B551" s="9" t="s">
        <v>9</v>
      </c>
      <c r="C551" s="11" t="s">
        <v>10</v>
      </c>
      <c r="D551" s="12">
        <v>45562</v>
      </c>
      <c r="E551" s="14" t="str">
        <f>+HYPERLINK("http://trademark.i-assist.jp/data/china/image_1905th/79663715.pdf","79663715")</f>
        <v>79663715</v>
      </c>
      <c r="F551" s="13" t="s">
        <v>1039</v>
      </c>
      <c r="G551" s="13" t="s">
        <v>1038</v>
      </c>
      <c r="H551" s="13" t="s">
        <v>4602</v>
      </c>
      <c r="I551" s="12">
        <v>45481</v>
      </c>
    </row>
    <row r="552" spans="1:9" x14ac:dyDescent="0.15">
      <c r="A552" s="10">
        <v>551</v>
      </c>
      <c r="B552" s="9" t="s">
        <v>9</v>
      </c>
      <c r="C552" s="11" t="s">
        <v>10</v>
      </c>
      <c r="D552" s="12">
        <v>45562</v>
      </c>
      <c r="E552" s="14" t="str">
        <f>+HYPERLINK("http://trademark.i-assist.jp/data/china/image_1905th/79664558.pdf","79664558")</f>
        <v>79664558</v>
      </c>
      <c r="F552" s="13" t="s">
        <v>1041</v>
      </c>
      <c r="G552" s="13" t="s">
        <v>1040</v>
      </c>
      <c r="H552" s="13" t="s">
        <v>4603</v>
      </c>
      <c r="I552" s="12">
        <v>45481</v>
      </c>
    </row>
    <row r="553" spans="1:9" x14ac:dyDescent="0.15">
      <c r="A553" s="10">
        <v>552</v>
      </c>
      <c r="B553" s="9" t="s">
        <v>9</v>
      </c>
      <c r="C553" s="11" t="s">
        <v>10</v>
      </c>
      <c r="D553" s="12">
        <v>45562</v>
      </c>
      <c r="E553" s="14" t="str">
        <f>+HYPERLINK("http://trademark.i-assist.jp/data/china/image_1905th/79664728.pdf","79664728")</f>
        <v>79664728</v>
      </c>
      <c r="F553" s="13" t="s">
        <v>1043</v>
      </c>
      <c r="G553" s="13" t="s">
        <v>1042</v>
      </c>
      <c r="H553" s="13" t="s">
        <v>4604</v>
      </c>
      <c r="I553" s="12">
        <v>45481</v>
      </c>
    </row>
    <row r="554" spans="1:9" x14ac:dyDescent="0.15">
      <c r="A554" s="10">
        <v>553</v>
      </c>
      <c r="B554" s="9" t="s">
        <v>9</v>
      </c>
      <c r="C554" s="11" t="s">
        <v>10</v>
      </c>
      <c r="D554" s="12">
        <v>45562</v>
      </c>
      <c r="E554" s="14" t="str">
        <f>+HYPERLINK("http://trademark.i-assist.jp/data/china/image_1905th/79665830.pdf","79665830")</f>
        <v>79665830</v>
      </c>
      <c r="F554" s="13" t="s">
        <v>1045</v>
      </c>
      <c r="G554" s="13" t="s">
        <v>1044</v>
      </c>
      <c r="H554" s="13" t="s">
        <v>4605</v>
      </c>
      <c r="I554" s="12">
        <v>45481</v>
      </c>
    </row>
    <row r="555" spans="1:9" x14ac:dyDescent="0.15">
      <c r="A555" s="10">
        <v>554</v>
      </c>
      <c r="B555" s="9" t="s">
        <v>9</v>
      </c>
      <c r="C555" s="11" t="s">
        <v>10</v>
      </c>
      <c r="D555" s="12">
        <v>45562</v>
      </c>
      <c r="E555" s="14" t="str">
        <f>+HYPERLINK("http://trademark.i-assist.jp/data/china/image_1905th/79670181.pdf","79670181")</f>
        <v>79670181</v>
      </c>
      <c r="F555" s="13" t="s">
        <v>1047</v>
      </c>
      <c r="G555" s="13" t="s">
        <v>1046</v>
      </c>
      <c r="H555" s="13" t="s">
        <v>4606</v>
      </c>
      <c r="I555" s="12">
        <v>45481</v>
      </c>
    </row>
    <row r="556" spans="1:9" x14ac:dyDescent="0.15">
      <c r="A556" s="10">
        <v>555</v>
      </c>
      <c r="B556" s="9" t="s">
        <v>9</v>
      </c>
      <c r="C556" s="11" t="s">
        <v>10</v>
      </c>
      <c r="D556" s="12">
        <v>45562</v>
      </c>
      <c r="E556" s="14" t="str">
        <f>+HYPERLINK("http://trademark.i-assist.jp/data/china/image_1905th/79670367.pdf","79670367")</f>
        <v>79670367</v>
      </c>
      <c r="F556" s="13" t="s">
        <v>1049</v>
      </c>
      <c r="G556" s="13" t="s">
        <v>1048</v>
      </c>
      <c r="H556" s="13" t="s">
        <v>4607</v>
      </c>
      <c r="I556" s="12">
        <v>45481</v>
      </c>
    </row>
    <row r="557" spans="1:9" x14ac:dyDescent="0.15">
      <c r="A557" s="10">
        <v>556</v>
      </c>
      <c r="B557" s="9" t="s">
        <v>9</v>
      </c>
      <c r="C557" s="11" t="s">
        <v>10</v>
      </c>
      <c r="D557" s="12">
        <v>45562</v>
      </c>
      <c r="E557" s="14" t="str">
        <f>+HYPERLINK("http://trademark.i-assist.jp/data/china/image_1905th/79671637.pdf","79671637")</f>
        <v>79671637</v>
      </c>
      <c r="F557" s="13" t="s">
        <v>1051</v>
      </c>
      <c r="G557" s="13" t="s">
        <v>1050</v>
      </c>
      <c r="H557" s="13" t="s">
        <v>4608</v>
      </c>
      <c r="I557" s="12">
        <v>45481</v>
      </c>
    </row>
    <row r="558" spans="1:9" x14ac:dyDescent="0.15">
      <c r="A558" s="10">
        <v>557</v>
      </c>
      <c r="B558" s="9" t="s">
        <v>9</v>
      </c>
      <c r="C558" s="11" t="s">
        <v>10</v>
      </c>
      <c r="D558" s="12">
        <v>45562</v>
      </c>
      <c r="E558" s="14" t="str">
        <f>+HYPERLINK("http://trademark.i-assist.jp/data/china/image_1905th/79678666.pdf","79678666")</f>
        <v>79678666</v>
      </c>
      <c r="F558" s="13" t="s">
        <v>1052</v>
      </c>
      <c r="G558" s="13" t="s">
        <v>1044</v>
      </c>
      <c r="H558" s="13" t="s">
        <v>4605</v>
      </c>
      <c r="I558" s="12">
        <v>45481</v>
      </c>
    </row>
    <row r="559" spans="1:9" x14ac:dyDescent="0.15">
      <c r="A559" s="10">
        <v>558</v>
      </c>
      <c r="B559" s="9" t="s">
        <v>9</v>
      </c>
      <c r="C559" s="11" t="s">
        <v>10</v>
      </c>
      <c r="D559" s="12">
        <v>45562</v>
      </c>
      <c r="E559" s="14" t="str">
        <f>+HYPERLINK("http://trademark.i-assist.jp/data/china/image_1905th/79681472.pdf","79681472")</f>
        <v>79681472</v>
      </c>
      <c r="F559" s="13" t="s">
        <v>1054</v>
      </c>
      <c r="G559" s="13" t="s">
        <v>1053</v>
      </c>
      <c r="H559" s="13" t="s">
        <v>4609</v>
      </c>
      <c r="I559" s="12">
        <v>45482</v>
      </c>
    </row>
    <row r="560" spans="1:9" x14ac:dyDescent="0.15">
      <c r="A560" s="10">
        <v>559</v>
      </c>
      <c r="B560" s="9" t="s">
        <v>9</v>
      </c>
      <c r="C560" s="11" t="s">
        <v>10</v>
      </c>
      <c r="D560" s="12">
        <v>45562</v>
      </c>
      <c r="E560" s="14" t="str">
        <f>+HYPERLINK("http://trademark.i-assist.jp/data/china/image_1905th/79684861.pdf","79684861")</f>
        <v>79684861</v>
      </c>
      <c r="F560" s="13" t="s">
        <v>1056</v>
      </c>
      <c r="G560" s="13" t="s">
        <v>1055</v>
      </c>
      <c r="H560" s="13" t="s">
        <v>4149</v>
      </c>
      <c r="I560" s="12">
        <v>45482</v>
      </c>
    </row>
    <row r="561" spans="1:9" x14ac:dyDescent="0.15">
      <c r="A561" s="10">
        <v>560</v>
      </c>
      <c r="B561" s="9" t="s">
        <v>9</v>
      </c>
      <c r="C561" s="11" t="s">
        <v>10</v>
      </c>
      <c r="D561" s="12">
        <v>45562</v>
      </c>
      <c r="E561" s="14" t="str">
        <f>+HYPERLINK("http://trademark.i-assist.jp/data/china/image_1905th/79829904.pdf","79829904")</f>
        <v>79829904</v>
      </c>
      <c r="F561" s="13" t="s">
        <v>1058</v>
      </c>
      <c r="G561" s="13" t="s">
        <v>1057</v>
      </c>
      <c r="H561" s="13" t="s">
        <v>4200</v>
      </c>
      <c r="I561" s="12">
        <v>45489</v>
      </c>
    </row>
    <row r="562" spans="1:9" x14ac:dyDescent="0.15">
      <c r="A562" s="10">
        <v>561</v>
      </c>
      <c r="B562" s="9" t="s">
        <v>9</v>
      </c>
      <c r="C562" s="11" t="s">
        <v>10</v>
      </c>
      <c r="D562" s="12">
        <v>45562</v>
      </c>
      <c r="E562" s="14" t="str">
        <f>+HYPERLINK("http://trademark.i-assist.jp/data/china/image_1905th/79833961.pdf","79833961")</f>
        <v>79833961</v>
      </c>
      <c r="F562" s="13" t="s">
        <v>1059</v>
      </c>
      <c r="G562" s="13" t="s">
        <v>165</v>
      </c>
      <c r="H562" s="13" t="s">
        <v>4221</v>
      </c>
      <c r="I562" s="12">
        <v>45490</v>
      </c>
    </row>
    <row r="563" spans="1:9" x14ac:dyDescent="0.15">
      <c r="A563" s="10">
        <v>562</v>
      </c>
      <c r="B563" s="9" t="s">
        <v>9</v>
      </c>
      <c r="C563" s="11" t="s">
        <v>10</v>
      </c>
      <c r="D563" s="12">
        <v>45562</v>
      </c>
      <c r="E563" s="14" t="str">
        <f>+HYPERLINK("http://trademark.i-assist.jp/data/china/image_1905th/79835104.pdf","79835104")</f>
        <v>79835104</v>
      </c>
      <c r="F563" s="13" t="s">
        <v>1060</v>
      </c>
      <c r="G563" s="13" t="s">
        <v>715</v>
      </c>
      <c r="H563" s="13" t="s">
        <v>4469</v>
      </c>
      <c r="I563" s="12">
        <v>45490</v>
      </c>
    </row>
    <row r="564" spans="1:9" x14ac:dyDescent="0.15">
      <c r="A564" s="10">
        <v>563</v>
      </c>
      <c r="B564" s="9" t="s">
        <v>9</v>
      </c>
      <c r="C564" s="11" t="s">
        <v>10</v>
      </c>
      <c r="D564" s="12">
        <v>45562</v>
      </c>
      <c r="E564" s="14" t="str">
        <f>+HYPERLINK("http://trademark.i-assist.jp/data/china/image_1905th/79838884.pdf","79838884")</f>
        <v>79838884</v>
      </c>
      <c r="F564" s="13" t="s">
        <v>1062</v>
      </c>
      <c r="G564" s="13" t="s">
        <v>1061</v>
      </c>
      <c r="H564" s="13" t="s">
        <v>4358</v>
      </c>
      <c r="I564" s="12">
        <v>45490</v>
      </c>
    </row>
    <row r="565" spans="1:9" x14ac:dyDescent="0.15">
      <c r="A565" s="10">
        <v>564</v>
      </c>
      <c r="B565" s="9" t="s">
        <v>9</v>
      </c>
      <c r="C565" s="11" t="s">
        <v>10</v>
      </c>
      <c r="D565" s="12">
        <v>45562</v>
      </c>
      <c r="E565" s="14" t="str">
        <f>+HYPERLINK("http://trademark.i-assist.jp/data/china/image_1905th/79839406.pdf","79839406")</f>
        <v>79839406</v>
      </c>
      <c r="F565" s="13" t="s">
        <v>1063</v>
      </c>
      <c r="G565" s="13" t="s">
        <v>715</v>
      </c>
      <c r="H565" s="13" t="s">
        <v>4469</v>
      </c>
      <c r="I565" s="12">
        <v>45490</v>
      </c>
    </row>
    <row r="566" spans="1:9" x14ac:dyDescent="0.15">
      <c r="A566" s="10">
        <v>565</v>
      </c>
      <c r="B566" s="9" t="s">
        <v>9</v>
      </c>
      <c r="C566" s="11" t="s">
        <v>10</v>
      </c>
      <c r="D566" s="12">
        <v>45562</v>
      </c>
      <c r="E566" s="14" t="str">
        <f>+HYPERLINK("http://trademark.i-assist.jp/data/china/image_1905th/79853464.pdf","79853464")</f>
        <v>79853464</v>
      </c>
      <c r="F566" s="13" t="s">
        <v>1065</v>
      </c>
      <c r="G566" s="13" t="s">
        <v>1064</v>
      </c>
      <c r="H566" s="13" t="s">
        <v>4610</v>
      </c>
      <c r="I566" s="12">
        <v>45490</v>
      </c>
    </row>
    <row r="567" spans="1:9" x14ac:dyDescent="0.15">
      <c r="A567" s="10">
        <v>566</v>
      </c>
      <c r="B567" s="9" t="s">
        <v>9</v>
      </c>
      <c r="C567" s="11" t="s">
        <v>10</v>
      </c>
      <c r="D567" s="12">
        <v>45562</v>
      </c>
      <c r="E567" s="14" t="str">
        <f>+HYPERLINK("http://trademark.i-assist.jp/data/china/image_1905th/79741415.pdf","79741415")</f>
        <v>79741415</v>
      </c>
      <c r="F567" s="13" t="s">
        <v>1067</v>
      </c>
      <c r="G567" s="13" t="s">
        <v>1066</v>
      </c>
      <c r="H567" s="13" t="s">
        <v>4611</v>
      </c>
      <c r="I567" s="12">
        <v>45484</v>
      </c>
    </row>
    <row r="568" spans="1:9" x14ac:dyDescent="0.15">
      <c r="A568" s="10">
        <v>567</v>
      </c>
      <c r="B568" s="9" t="s">
        <v>9</v>
      </c>
      <c r="C568" s="11" t="s">
        <v>10</v>
      </c>
      <c r="D568" s="12">
        <v>45562</v>
      </c>
      <c r="E568" s="14" t="str">
        <f>+HYPERLINK("http://trademark.i-assist.jp/data/china/image_1905th/79749411.pdf","79749411")</f>
        <v>79749411</v>
      </c>
      <c r="F568" s="13" t="s">
        <v>1069</v>
      </c>
      <c r="G568" s="13" t="s">
        <v>1068</v>
      </c>
      <c r="H568" s="13" t="s">
        <v>4612</v>
      </c>
      <c r="I568" s="12">
        <v>45484</v>
      </c>
    </row>
    <row r="569" spans="1:9" x14ac:dyDescent="0.15">
      <c r="A569" s="10">
        <v>568</v>
      </c>
      <c r="B569" s="9" t="s">
        <v>9</v>
      </c>
      <c r="C569" s="11" t="s">
        <v>10</v>
      </c>
      <c r="D569" s="12">
        <v>45562</v>
      </c>
      <c r="E569" s="14" t="str">
        <f>+HYPERLINK("http://trademark.i-assist.jp/data/china/image_1905th/79754448.pdf","79754448")</f>
        <v>79754448</v>
      </c>
      <c r="F569" s="13" t="s">
        <v>1071</v>
      </c>
      <c r="G569" s="13" t="s">
        <v>1070</v>
      </c>
      <c r="H569" s="13" t="s">
        <v>4613</v>
      </c>
      <c r="I569" s="12">
        <v>45485</v>
      </c>
    </row>
    <row r="570" spans="1:9" x14ac:dyDescent="0.15">
      <c r="A570" s="10">
        <v>569</v>
      </c>
      <c r="B570" s="9" t="s">
        <v>9</v>
      </c>
      <c r="C570" s="11" t="s">
        <v>10</v>
      </c>
      <c r="D570" s="12">
        <v>45562</v>
      </c>
      <c r="E570" s="14" t="str">
        <f>+HYPERLINK("http://trademark.i-assist.jp/data/china/image_1905th/79760851.pdf","79760851")</f>
        <v>79760851</v>
      </c>
      <c r="F570" s="13" t="s">
        <v>1073</v>
      </c>
      <c r="G570" s="13" t="s">
        <v>1072</v>
      </c>
      <c r="H570" s="13" t="s">
        <v>4614</v>
      </c>
      <c r="I570" s="12">
        <v>45485</v>
      </c>
    </row>
    <row r="571" spans="1:9" x14ac:dyDescent="0.15">
      <c r="A571" s="10">
        <v>570</v>
      </c>
      <c r="B571" s="9" t="s">
        <v>9</v>
      </c>
      <c r="C571" s="11" t="s">
        <v>10</v>
      </c>
      <c r="D571" s="12">
        <v>45562</v>
      </c>
      <c r="E571" s="14" t="str">
        <f>+HYPERLINK("http://trademark.i-assist.jp/data/china/image_1905th/79692057.pdf","79692057")</f>
        <v>79692057</v>
      </c>
      <c r="F571" s="13" t="s">
        <v>1075</v>
      </c>
      <c r="G571" s="13" t="s">
        <v>1074</v>
      </c>
      <c r="H571" s="13" t="s">
        <v>4615</v>
      </c>
      <c r="I571" s="12">
        <v>45482</v>
      </c>
    </row>
    <row r="572" spans="1:9" x14ac:dyDescent="0.15">
      <c r="A572" s="10">
        <v>571</v>
      </c>
      <c r="B572" s="9" t="s">
        <v>9</v>
      </c>
      <c r="C572" s="11" t="s">
        <v>10</v>
      </c>
      <c r="D572" s="12">
        <v>45562</v>
      </c>
      <c r="E572" s="14" t="str">
        <f>+HYPERLINK("http://trademark.i-assist.jp/data/china/image_1905th/79696609.pdf","79696609")</f>
        <v>79696609</v>
      </c>
      <c r="F572" s="13" t="s">
        <v>1077</v>
      </c>
      <c r="G572" s="13" t="s">
        <v>1076</v>
      </c>
      <c r="H572" s="13" t="s">
        <v>4616</v>
      </c>
      <c r="I572" s="12">
        <v>45482</v>
      </c>
    </row>
    <row r="573" spans="1:9" x14ac:dyDescent="0.15">
      <c r="A573" s="10">
        <v>572</v>
      </c>
      <c r="B573" s="9" t="s">
        <v>9</v>
      </c>
      <c r="C573" s="11" t="s">
        <v>10</v>
      </c>
      <c r="D573" s="12">
        <v>45562</v>
      </c>
      <c r="E573" s="14" t="str">
        <f>+HYPERLINK("http://trademark.i-assist.jp/data/china/image_1905th/79697419.pdf","79697419")</f>
        <v>79697419</v>
      </c>
      <c r="F573" s="13" t="s">
        <v>1079</v>
      </c>
      <c r="G573" s="13" t="s">
        <v>1078</v>
      </c>
      <c r="H573" s="13" t="s">
        <v>4162</v>
      </c>
      <c r="I573" s="12">
        <v>45482</v>
      </c>
    </row>
    <row r="574" spans="1:9" x14ac:dyDescent="0.15">
      <c r="A574" s="10">
        <v>573</v>
      </c>
      <c r="B574" s="9" t="s">
        <v>9</v>
      </c>
      <c r="C574" s="11" t="s">
        <v>10</v>
      </c>
      <c r="D574" s="12">
        <v>45562</v>
      </c>
      <c r="E574" s="14" t="str">
        <f>+HYPERLINK("http://trademark.i-assist.jp/data/china/image_1905th/79701453.pdf","79701453")</f>
        <v>79701453</v>
      </c>
      <c r="F574" s="13" t="s">
        <v>1081</v>
      </c>
      <c r="G574" s="13" t="s">
        <v>1080</v>
      </c>
      <c r="H574" s="13" t="s">
        <v>4152</v>
      </c>
      <c r="I574" s="12">
        <v>45482</v>
      </c>
    </row>
    <row r="575" spans="1:9" x14ac:dyDescent="0.15">
      <c r="A575" s="10">
        <v>574</v>
      </c>
      <c r="B575" s="9" t="s">
        <v>9</v>
      </c>
      <c r="C575" s="11" t="s">
        <v>10</v>
      </c>
      <c r="D575" s="12">
        <v>45562</v>
      </c>
      <c r="E575" s="14" t="str">
        <f>+HYPERLINK("http://trademark.i-assist.jp/data/china/image_1905th/79705109.pdf","79705109")</f>
        <v>79705109</v>
      </c>
      <c r="F575" s="13" t="s">
        <v>1083</v>
      </c>
      <c r="G575" s="13" t="s">
        <v>1082</v>
      </c>
      <c r="H575" s="13" t="s">
        <v>4617</v>
      </c>
      <c r="I575" s="12">
        <v>45483</v>
      </c>
    </row>
    <row r="576" spans="1:9" x14ac:dyDescent="0.15">
      <c r="A576" s="10">
        <v>575</v>
      </c>
      <c r="B576" s="9" t="s">
        <v>9</v>
      </c>
      <c r="C576" s="11" t="s">
        <v>10</v>
      </c>
      <c r="D576" s="12">
        <v>45562</v>
      </c>
      <c r="E576" s="14" t="str">
        <f>+HYPERLINK("http://trademark.i-assist.jp/data/china/image_1905th/79705157.pdf","79705157")</f>
        <v>79705157</v>
      </c>
      <c r="F576" s="13" t="s">
        <v>1084</v>
      </c>
      <c r="G576" s="13" t="s">
        <v>619</v>
      </c>
      <c r="H576" s="13" t="s">
        <v>4427</v>
      </c>
      <c r="I576" s="12">
        <v>45483</v>
      </c>
    </row>
    <row r="577" spans="1:9" x14ac:dyDescent="0.15">
      <c r="A577" s="10">
        <v>576</v>
      </c>
      <c r="B577" s="9" t="s">
        <v>9</v>
      </c>
      <c r="C577" s="11" t="s">
        <v>10</v>
      </c>
      <c r="D577" s="12">
        <v>45562</v>
      </c>
      <c r="E577" s="14" t="str">
        <f>+HYPERLINK("http://trademark.i-assist.jp/data/china/image_1905th/79705651.pdf","79705651")</f>
        <v>79705651</v>
      </c>
      <c r="F577" s="13" t="s">
        <v>1086</v>
      </c>
      <c r="G577" s="13" t="s">
        <v>1085</v>
      </c>
      <c r="H577" s="13" t="s">
        <v>4162</v>
      </c>
      <c r="I577" s="12">
        <v>45483</v>
      </c>
    </row>
    <row r="578" spans="1:9" x14ac:dyDescent="0.15">
      <c r="A578" s="10">
        <v>577</v>
      </c>
      <c r="B578" s="9" t="s">
        <v>9</v>
      </c>
      <c r="C578" s="11" t="s">
        <v>10</v>
      </c>
      <c r="D578" s="12">
        <v>45562</v>
      </c>
      <c r="E578" s="14" t="str">
        <f>+HYPERLINK("http://trademark.i-assist.jp/data/china/image_1905th/79801341.pdf","79801341")</f>
        <v>79801341</v>
      </c>
      <c r="F578" s="13" t="s">
        <v>1088</v>
      </c>
      <c r="G578" s="13" t="s">
        <v>1087</v>
      </c>
      <c r="H578" s="13" t="s">
        <v>4618</v>
      </c>
      <c r="I578" s="12">
        <v>45488</v>
      </c>
    </row>
    <row r="579" spans="1:9" x14ac:dyDescent="0.15">
      <c r="A579" s="10">
        <v>578</v>
      </c>
      <c r="B579" s="9" t="s">
        <v>9</v>
      </c>
      <c r="C579" s="11" t="s">
        <v>10</v>
      </c>
      <c r="D579" s="12">
        <v>45562</v>
      </c>
      <c r="E579" s="14" t="str">
        <f>+HYPERLINK("http://trademark.i-assist.jp/data/china/image_1905th/79809945.pdf","79809945")</f>
        <v>79809945</v>
      </c>
      <c r="F579" s="13" t="s">
        <v>1089</v>
      </c>
      <c r="G579" s="13" t="s">
        <v>279</v>
      </c>
      <c r="H579" s="13" t="s">
        <v>4273</v>
      </c>
      <c r="I579" s="12">
        <v>45489</v>
      </c>
    </row>
    <row r="580" spans="1:9" x14ac:dyDescent="0.15">
      <c r="A580" s="10">
        <v>579</v>
      </c>
      <c r="B580" s="9" t="s">
        <v>9</v>
      </c>
      <c r="C580" s="11" t="s">
        <v>10</v>
      </c>
      <c r="D580" s="12">
        <v>45562</v>
      </c>
      <c r="E580" s="14" t="str">
        <f>+HYPERLINK("http://trademark.i-assist.jp/data/china/image_1905th/79814969.pdf","79814969")</f>
        <v>79814969</v>
      </c>
      <c r="F580" s="13" t="s">
        <v>73</v>
      </c>
      <c r="G580" s="13" t="s">
        <v>1090</v>
      </c>
      <c r="H580" s="13" t="s">
        <v>4619</v>
      </c>
      <c r="I580" s="12">
        <v>45489</v>
      </c>
    </row>
    <row r="581" spans="1:9" x14ac:dyDescent="0.15">
      <c r="A581" s="10">
        <v>580</v>
      </c>
      <c r="B581" s="9" t="s">
        <v>9</v>
      </c>
      <c r="C581" s="11" t="s">
        <v>10</v>
      </c>
      <c r="D581" s="12">
        <v>45562</v>
      </c>
      <c r="E581" s="14" t="str">
        <f>+HYPERLINK("http://trademark.i-assist.jp/data/china/image_1905th/79820228.pdf","79820228")</f>
        <v>79820228</v>
      </c>
      <c r="F581" s="13" t="s">
        <v>1091</v>
      </c>
      <c r="G581" s="13" t="s">
        <v>279</v>
      </c>
      <c r="H581" s="13" t="s">
        <v>4273</v>
      </c>
      <c r="I581" s="12">
        <v>45489</v>
      </c>
    </row>
    <row r="582" spans="1:9" x14ac:dyDescent="0.15">
      <c r="A582" s="10">
        <v>581</v>
      </c>
      <c r="B582" s="9" t="s">
        <v>9</v>
      </c>
      <c r="C582" s="11" t="s">
        <v>10</v>
      </c>
      <c r="D582" s="12">
        <v>45562</v>
      </c>
      <c r="E582" s="14" t="str">
        <f>+HYPERLINK("http://trademark.i-assist.jp/data/china/image_1905th/79776681.pdf","79776681")</f>
        <v>79776681</v>
      </c>
      <c r="F582" s="13" t="s">
        <v>1093</v>
      </c>
      <c r="G582" s="13" t="s">
        <v>1092</v>
      </c>
      <c r="H582" s="13" t="s">
        <v>4620</v>
      </c>
      <c r="I582" s="12">
        <v>45486</v>
      </c>
    </row>
    <row r="583" spans="1:9" x14ac:dyDescent="0.15">
      <c r="A583" s="10">
        <v>582</v>
      </c>
      <c r="B583" s="9" t="s">
        <v>9</v>
      </c>
      <c r="C583" s="11" t="s">
        <v>10</v>
      </c>
      <c r="D583" s="12">
        <v>45562</v>
      </c>
      <c r="E583" s="14" t="str">
        <f>+HYPERLINK("http://trademark.i-assist.jp/data/china/image_1905th/79777188.pdf","79777188")</f>
        <v>79777188</v>
      </c>
      <c r="F583" s="13" t="s">
        <v>1095</v>
      </c>
      <c r="G583" s="13" t="s">
        <v>1094</v>
      </c>
      <c r="H583" s="13" t="s">
        <v>4621</v>
      </c>
      <c r="I583" s="12">
        <v>45486</v>
      </c>
    </row>
    <row r="584" spans="1:9" x14ac:dyDescent="0.15">
      <c r="A584" s="10">
        <v>583</v>
      </c>
      <c r="B584" s="9" t="s">
        <v>9</v>
      </c>
      <c r="C584" s="11" t="s">
        <v>10</v>
      </c>
      <c r="D584" s="12">
        <v>45562</v>
      </c>
      <c r="E584" s="14" t="str">
        <f>+HYPERLINK("http://trademark.i-assist.jp/data/china/image_1905th/79790238.pdf","79790238")</f>
        <v>79790238</v>
      </c>
      <c r="F584" s="13" t="s">
        <v>1097</v>
      </c>
      <c r="G584" s="13" t="s">
        <v>1096</v>
      </c>
      <c r="H584" s="13" t="s">
        <v>4394</v>
      </c>
      <c r="I584" s="12">
        <v>45488</v>
      </c>
    </row>
    <row r="585" spans="1:9" x14ac:dyDescent="0.15">
      <c r="A585" s="10">
        <v>584</v>
      </c>
      <c r="B585" s="9" t="s">
        <v>9</v>
      </c>
      <c r="C585" s="11" t="s">
        <v>10</v>
      </c>
      <c r="D585" s="12">
        <v>45562</v>
      </c>
      <c r="E585" s="14" t="str">
        <f>+HYPERLINK("http://trademark.i-assist.jp/data/china/image_1905th/79635616.pdf","79635616")</f>
        <v>79635616</v>
      </c>
      <c r="F585" s="13" t="s">
        <v>1099</v>
      </c>
      <c r="G585" s="13" t="s">
        <v>1098</v>
      </c>
      <c r="H585" s="13" t="s">
        <v>4622</v>
      </c>
      <c r="I585" s="12">
        <v>45478</v>
      </c>
    </row>
    <row r="586" spans="1:9" x14ac:dyDescent="0.15">
      <c r="A586" s="10">
        <v>585</v>
      </c>
      <c r="B586" s="9" t="s">
        <v>9</v>
      </c>
      <c r="C586" s="11" t="s">
        <v>10</v>
      </c>
      <c r="D586" s="12">
        <v>45562</v>
      </c>
      <c r="E586" s="14" t="str">
        <f>+HYPERLINK("http://trademark.i-assist.jp/data/china/image_1905th/79635977.pdf","79635977")</f>
        <v>79635977</v>
      </c>
      <c r="F586" s="13" t="s">
        <v>1101</v>
      </c>
      <c r="G586" s="13" t="s">
        <v>1100</v>
      </c>
      <c r="H586" s="13" t="s">
        <v>4623</v>
      </c>
      <c r="I586" s="12">
        <v>45478</v>
      </c>
    </row>
    <row r="587" spans="1:9" x14ac:dyDescent="0.15">
      <c r="A587" s="10">
        <v>586</v>
      </c>
      <c r="B587" s="9" t="s">
        <v>9</v>
      </c>
      <c r="C587" s="11" t="s">
        <v>10</v>
      </c>
      <c r="D587" s="12">
        <v>45562</v>
      </c>
      <c r="E587" s="14" t="str">
        <f>+HYPERLINK("http://trademark.i-assist.jp/data/china/image_1905th/79642342.pdf","79642342")</f>
        <v>79642342</v>
      </c>
      <c r="F587" s="13" t="s">
        <v>1103</v>
      </c>
      <c r="G587" s="13" t="s">
        <v>1102</v>
      </c>
      <c r="H587" s="13" t="s">
        <v>4200</v>
      </c>
      <c r="I587" s="12">
        <v>45478</v>
      </c>
    </row>
    <row r="588" spans="1:9" x14ac:dyDescent="0.15">
      <c r="A588" s="10">
        <v>587</v>
      </c>
      <c r="B588" s="9" t="s">
        <v>9</v>
      </c>
      <c r="C588" s="11" t="s">
        <v>10</v>
      </c>
      <c r="D588" s="12">
        <v>45562</v>
      </c>
      <c r="E588" s="14" t="str">
        <f>+HYPERLINK("http://trademark.i-assist.jp/data/china/image_1905th/79644659.pdf","79644659")</f>
        <v>79644659</v>
      </c>
      <c r="F588" s="13" t="s">
        <v>1105</v>
      </c>
      <c r="G588" s="13" t="s">
        <v>1104</v>
      </c>
      <c r="H588" s="13" t="s">
        <v>4624</v>
      </c>
      <c r="I588" s="12">
        <v>45478</v>
      </c>
    </row>
    <row r="589" spans="1:9" x14ac:dyDescent="0.15">
      <c r="A589" s="10">
        <v>588</v>
      </c>
      <c r="B589" s="9" t="s">
        <v>9</v>
      </c>
      <c r="C589" s="11" t="s">
        <v>10</v>
      </c>
      <c r="D589" s="12">
        <v>45562</v>
      </c>
      <c r="E589" s="14" t="str">
        <f>+HYPERLINK("http://trademark.i-assist.jp/data/china/image_1905th/79646136.pdf","79646136")</f>
        <v>79646136</v>
      </c>
      <c r="F589" s="13" t="s">
        <v>1107</v>
      </c>
      <c r="G589" s="13" t="s">
        <v>1106</v>
      </c>
      <c r="H589" s="13" t="s">
        <v>4625</v>
      </c>
      <c r="I589" s="12">
        <v>45478</v>
      </c>
    </row>
    <row r="590" spans="1:9" x14ac:dyDescent="0.15">
      <c r="A590" s="10">
        <v>589</v>
      </c>
      <c r="B590" s="9" t="s">
        <v>9</v>
      </c>
      <c r="C590" s="11" t="s">
        <v>10</v>
      </c>
      <c r="D590" s="12">
        <v>45562</v>
      </c>
      <c r="E590" s="14" t="str">
        <f>+HYPERLINK("http://trademark.i-assist.jp/data/china/image_1905th/79648010.pdf","79648010")</f>
        <v>79648010</v>
      </c>
      <c r="F590" s="13" t="s">
        <v>1109</v>
      </c>
      <c r="G590" s="13" t="s">
        <v>1108</v>
      </c>
      <c r="H590" s="13" t="s">
        <v>4626</v>
      </c>
      <c r="I590" s="12">
        <v>45479</v>
      </c>
    </row>
    <row r="591" spans="1:9" x14ac:dyDescent="0.15">
      <c r="A591" s="10">
        <v>590</v>
      </c>
      <c r="B591" s="9" t="s">
        <v>9</v>
      </c>
      <c r="C591" s="11" t="s">
        <v>10</v>
      </c>
      <c r="D591" s="12">
        <v>45562</v>
      </c>
      <c r="E591" s="14" t="str">
        <f>+HYPERLINK("http://trademark.i-assist.jp/data/china/image_1905th/79654434.pdf","79654434")</f>
        <v>79654434</v>
      </c>
      <c r="F591" s="13" t="s">
        <v>1110</v>
      </c>
      <c r="G591" s="13" t="s">
        <v>631</v>
      </c>
      <c r="H591" s="13" t="s">
        <v>4202</v>
      </c>
      <c r="I591" s="12">
        <v>45480</v>
      </c>
    </row>
    <row r="592" spans="1:9" x14ac:dyDescent="0.15">
      <c r="A592" s="10">
        <v>591</v>
      </c>
      <c r="B592" s="9" t="s">
        <v>9</v>
      </c>
      <c r="C592" s="11" t="s">
        <v>10</v>
      </c>
      <c r="D592" s="12">
        <v>45562</v>
      </c>
      <c r="E592" s="14" t="str">
        <f>+HYPERLINK("http://trademark.i-assist.jp/data/china/image_1905th/79654542.pdf","79654542")</f>
        <v>79654542</v>
      </c>
      <c r="F592" s="13" t="s">
        <v>1111</v>
      </c>
      <c r="G592" s="13" t="s">
        <v>128</v>
      </c>
      <c r="H592" s="13" t="s">
        <v>4204</v>
      </c>
      <c r="I592" s="12">
        <v>45480</v>
      </c>
    </row>
    <row r="593" spans="1:9" x14ac:dyDescent="0.15">
      <c r="A593" s="10">
        <v>592</v>
      </c>
      <c r="B593" s="9" t="s">
        <v>9</v>
      </c>
      <c r="C593" s="11" t="s">
        <v>10</v>
      </c>
      <c r="D593" s="12">
        <v>45562</v>
      </c>
      <c r="E593" s="14" t="str">
        <f>+HYPERLINK("http://trademark.i-assist.jp/data/china/image_1905th/79720124.pdf","79720124")</f>
        <v>79720124</v>
      </c>
      <c r="F593" s="13" t="s">
        <v>1113</v>
      </c>
      <c r="G593" s="13" t="s">
        <v>1112</v>
      </c>
      <c r="H593" s="13" t="s">
        <v>4627</v>
      </c>
      <c r="I593" s="12">
        <v>45483</v>
      </c>
    </row>
    <row r="594" spans="1:9" x14ac:dyDescent="0.15">
      <c r="A594" s="10">
        <v>593</v>
      </c>
      <c r="B594" s="9" t="s">
        <v>9</v>
      </c>
      <c r="C594" s="11" t="s">
        <v>10</v>
      </c>
      <c r="D594" s="12">
        <v>45562</v>
      </c>
      <c r="E594" s="14" t="str">
        <f>+HYPERLINK("http://trademark.i-assist.jp/data/china/image_1905th/79721202.pdf","79721202")</f>
        <v>79721202</v>
      </c>
      <c r="F594" s="13" t="s">
        <v>1115</v>
      </c>
      <c r="G594" s="13" t="s">
        <v>1114</v>
      </c>
      <c r="H594" s="13" t="s">
        <v>4628</v>
      </c>
      <c r="I594" s="12">
        <v>45483</v>
      </c>
    </row>
    <row r="595" spans="1:9" x14ac:dyDescent="0.15">
      <c r="A595" s="10">
        <v>594</v>
      </c>
      <c r="B595" s="9" t="s">
        <v>9</v>
      </c>
      <c r="C595" s="11" t="s">
        <v>10</v>
      </c>
      <c r="D595" s="12">
        <v>45562</v>
      </c>
      <c r="E595" s="14" t="str">
        <f>+HYPERLINK("http://trademark.i-assist.jp/data/china/image_1905th/79726606.pdf","79726606")</f>
        <v>79726606</v>
      </c>
      <c r="F595" s="13" t="s">
        <v>1117</v>
      </c>
      <c r="G595" s="13" t="s">
        <v>1116</v>
      </c>
      <c r="H595" s="13" t="s">
        <v>4629</v>
      </c>
      <c r="I595" s="12">
        <v>45483</v>
      </c>
    </row>
    <row r="596" spans="1:9" x14ac:dyDescent="0.15">
      <c r="A596" s="10">
        <v>595</v>
      </c>
      <c r="B596" s="9" t="s">
        <v>9</v>
      </c>
      <c r="C596" s="11" t="s">
        <v>10</v>
      </c>
      <c r="D596" s="12">
        <v>45562</v>
      </c>
      <c r="E596" s="14" t="str">
        <f>+HYPERLINK("http://trademark.i-assist.jp/data/china/image_1905th/79731014.pdf","79731014")</f>
        <v>79731014</v>
      </c>
      <c r="F596" s="13" t="s">
        <v>1119</v>
      </c>
      <c r="G596" s="13" t="s">
        <v>1118</v>
      </c>
      <c r="H596" s="13" t="s">
        <v>4149</v>
      </c>
      <c r="I596" s="12">
        <v>45484</v>
      </c>
    </row>
    <row r="597" spans="1:9" x14ac:dyDescent="0.15">
      <c r="A597" s="10">
        <v>596</v>
      </c>
      <c r="B597" s="9" t="s">
        <v>9</v>
      </c>
      <c r="C597" s="11" t="s">
        <v>10</v>
      </c>
      <c r="D597" s="12">
        <v>45562</v>
      </c>
      <c r="E597" s="14" t="str">
        <f>+HYPERLINK("http://trademark.i-assist.jp/data/china/image_1905th/79738657.pdf","79738657")</f>
        <v>79738657</v>
      </c>
      <c r="F597" s="13" t="s">
        <v>1121</v>
      </c>
      <c r="G597" s="13" t="s">
        <v>1120</v>
      </c>
      <c r="H597" s="13" t="s">
        <v>4630</v>
      </c>
      <c r="I597" s="12">
        <v>45484</v>
      </c>
    </row>
    <row r="598" spans="1:9" x14ac:dyDescent="0.15">
      <c r="A598" s="10">
        <v>597</v>
      </c>
      <c r="B598" s="9" t="s">
        <v>9</v>
      </c>
      <c r="C598" s="11" t="s">
        <v>10</v>
      </c>
      <c r="D598" s="12">
        <v>45562</v>
      </c>
      <c r="E598" s="14" t="str">
        <f>+HYPERLINK("http://trademark.i-assist.jp/data/china/image_1905th/79614347.pdf","79614347")</f>
        <v>79614347</v>
      </c>
      <c r="F598" s="13" t="s">
        <v>1123</v>
      </c>
      <c r="G598" s="13" t="s">
        <v>1122</v>
      </c>
      <c r="H598" s="13" t="s">
        <v>4620</v>
      </c>
      <c r="I598" s="12">
        <v>45477</v>
      </c>
    </row>
    <row r="599" spans="1:9" x14ac:dyDescent="0.15">
      <c r="A599" s="10">
        <v>598</v>
      </c>
      <c r="B599" s="9" t="s">
        <v>9</v>
      </c>
      <c r="C599" s="11" t="s">
        <v>10</v>
      </c>
      <c r="D599" s="12">
        <v>45562</v>
      </c>
      <c r="E599" s="14" t="str">
        <f>+HYPERLINK("http://trademark.i-assist.jp/data/china/image_1905th/79621793.pdf","79621793")</f>
        <v>79621793</v>
      </c>
      <c r="F599" s="13" t="s">
        <v>1124</v>
      </c>
      <c r="G599" s="13" t="s">
        <v>1122</v>
      </c>
      <c r="H599" s="13" t="s">
        <v>4620</v>
      </c>
      <c r="I599" s="12">
        <v>45477</v>
      </c>
    </row>
    <row r="600" spans="1:9" x14ac:dyDescent="0.15">
      <c r="A600" s="10">
        <v>599</v>
      </c>
      <c r="B600" s="9" t="s">
        <v>9</v>
      </c>
      <c r="C600" s="11" t="s">
        <v>10</v>
      </c>
      <c r="D600" s="12">
        <v>45562</v>
      </c>
      <c r="E600" s="14" t="str">
        <f>+HYPERLINK("http://trademark.i-assist.jp/data/china/image_1905th/79624856.pdf","79624856")</f>
        <v>79624856</v>
      </c>
      <c r="F600" s="13" t="s">
        <v>1126</v>
      </c>
      <c r="G600" s="13" t="s">
        <v>1125</v>
      </c>
      <c r="H600" s="13" t="s">
        <v>4631</v>
      </c>
      <c r="I600" s="12">
        <v>45478</v>
      </c>
    </row>
    <row r="601" spans="1:9" x14ac:dyDescent="0.15">
      <c r="A601" s="10">
        <v>600</v>
      </c>
      <c r="B601" s="9" t="s">
        <v>9</v>
      </c>
      <c r="C601" s="11" t="s">
        <v>10</v>
      </c>
      <c r="D601" s="12">
        <v>45562</v>
      </c>
      <c r="E601" s="14" t="str">
        <f>+HYPERLINK("http://trademark.i-assist.jp/data/china/image_1905th/79688393.pdf","79688393")</f>
        <v>79688393</v>
      </c>
      <c r="F601" s="13" t="s">
        <v>1128</v>
      </c>
      <c r="G601" s="13" t="s">
        <v>1127</v>
      </c>
      <c r="H601" s="13" t="s">
        <v>4632</v>
      </c>
      <c r="I601" s="12">
        <v>45482</v>
      </c>
    </row>
    <row r="602" spans="1:9" x14ac:dyDescent="0.15">
      <c r="A602" s="10">
        <v>601</v>
      </c>
      <c r="B602" s="9" t="s">
        <v>9</v>
      </c>
      <c r="C602" s="11" t="s">
        <v>10</v>
      </c>
      <c r="D602" s="12">
        <v>45562</v>
      </c>
      <c r="E602" s="14" t="str">
        <f>+HYPERLINK("http://trademark.i-assist.jp/data/china/image_1905th/79688747.pdf","79688747")</f>
        <v>79688747</v>
      </c>
      <c r="F602" s="13" t="s">
        <v>1130</v>
      </c>
      <c r="G602" s="13" t="s">
        <v>1129</v>
      </c>
      <c r="H602" s="13" t="s">
        <v>4533</v>
      </c>
      <c r="I602" s="12">
        <v>45482</v>
      </c>
    </row>
    <row r="603" spans="1:9" x14ac:dyDescent="0.15">
      <c r="A603" s="10">
        <v>602</v>
      </c>
      <c r="B603" s="9" t="s">
        <v>9</v>
      </c>
      <c r="C603" s="11" t="s">
        <v>10</v>
      </c>
      <c r="D603" s="12">
        <v>45562</v>
      </c>
      <c r="E603" s="14" t="str">
        <f>+HYPERLINK("http://trademark.i-assist.jp/data/china/image_1905th/79690747.pdf","79690747")</f>
        <v>79690747</v>
      </c>
      <c r="F603" s="13" t="s">
        <v>1132</v>
      </c>
      <c r="G603" s="13" t="s">
        <v>1131</v>
      </c>
      <c r="H603" s="13" t="s">
        <v>4633</v>
      </c>
      <c r="I603" s="12">
        <v>45482</v>
      </c>
    </row>
    <row r="604" spans="1:9" x14ac:dyDescent="0.15">
      <c r="A604" s="10">
        <v>603</v>
      </c>
      <c r="B604" s="9" t="s">
        <v>9</v>
      </c>
      <c r="C604" s="11" t="s">
        <v>10</v>
      </c>
      <c r="D604" s="12">
        <v>45562</v>
      </c>
      <c r="E604" s="14" t="str">
        <f>+HYPERLINK("http://trademark.i-assist.jp/data/china/image_1905th/79692257.pdf","79692257")</f>
        <v>79692257</v>
      </c>
      <c r="F604" s="13" t="s">
        <v>1134</v>
      </c>
      <c r="G604" s="13" t="s">
        <v>1133</v>
      </c>
      <c r="H604" s="13" t="s">
        <v>4634</v>
      </c>
      <c r="I604" s="12">
        <v>45482</v>
      </c>
    </row>
    <row r="605" spans="1:9" x14ac:dyDescent="0.15">
      <c r="A605" s="10">
        <v>604</v>
      </c>
      <c r="B605" s="9" t="s">
        <v>9</v>
      </c>
      <c r="C605" s="11" t="s">
        <v>10</v>
      </c>
      <c r="D605" s="12">
        <v>45562</v>
      </c>
      <c r="E605" s="14" t="str">
        <f>+HYPERLINK("http://trademark.i-assist.jp/data/china/image_1905th/79692317.pdf","79692317")</f>
        <v>79692317</v>
      </c>
      <c r="F605" s="13" t="s">
        <v>1136</v>
      </c>
      <c r="G605" s="13" t="s">
        <v>1135</v>
      </c>
      <c r="H605" s="13" t="s">
        <v>4635</v>
      </c>
      <c r="I605" s="12">
        <v>45482</v>
      </c>
    </row>
    <row r="606" spans="1:9" x14ac:dyDescent="0.15">
      <c r="A606" s="10">
        <v>605</v>
      </c>
      <c r="B606" s="9" t="s">
        <v>9</v>
      </c>
      <c r="C606" s="11" t="s">
        <v>10</v>
      </c>
      <c r="D606" s="12">
        <v>45562</v>
      </c>
      <c r="E606" s="14" t="str">
        <f>+HYPERLINK("http://trademark.i-assist.jp/data/china/image_1905th/79695143.pdf","79695143")</f>
        <v>79695143</v>
      </c>
      <c r="F606" s="13" t="s">
        <v>1138</v>
      </c>
      <c r="G606" s="13" t="s">
        <v>1137</v>
      </c>
      <c r="H606" s="13" t="s">
        <v>4636</v>
      </c>
      <c r="I606" s="12">
        <v>45482</v>
      </c>
    </row>
    <row r="607" spans="1:9" x14ac:dyDescent="0.15">
      <c r="A607" s="10">
        <v>606</v>
      </c>
      <c r="B607" s="9" t="s">
        <v>9</v>
      </c>
      <c r="C607" s="11" t="s">
        <v>10</v>
      </c>
      <c r="D607" s="12">
        <v>45562</v>
      </c>
      <c r="E607" s="14" t="str">
        <f>+HYPERLINK("http://trademark.i-assist.jp/data/china/image_1905th/79699083.pdf","79699083")</f>
        <v>79699083</v>
      </c>
      <c r="F607" s="13" t="s">
        <v>1140</v>
      </c>
      <c r="G607" s="13" t="s">
        <v>1139</v>
      </c>
      <c r="H607" s="13" t="s">
        <v>4637</v>
      </c>
      <c r="I607" s="12">
        <v>45482</v>
      </c>
    </row>
    <row r="608" spans="1:9" x14ac:dyDescent="0.15">
      <c r="A608" s="10">
        <v>607</v>
      </c>
      <c r="B608" s="9" t="s">
        <v>9</v>
      </c>
      <c r="C608" s="11" t="s">
        <v>10</v>
      </c>
      <c r="D608" s="12">
        <v>45562</v>
      </c>
      <c r="E608" s="14" t="str">
        <f>+HYPERLINK("http://trademark.i-assist.jp/data/china/image_1905th/79705116.pdf","79705116")</f>
        <v>79705116</v>
      </c>
      <c r="F608" s="13" t="s">
        <v>1142</v>
      </c>
      <c r="G608" s="13" t="s">
        <v>1141</v>
      </c>
      <c r="H608" s="13" t="s">
        <v>4638</v>
      </c>
      <c r="I608" s="12">
        <v>45483</v>
      </c>
    </row>
    <row r="609" spans="1:9" x14ac:dyDescent="0.15">
      <c r="A609" s="10">
        <v>608</v>
      </c>
      <c r="B609" s="9" t="s">
        <v>9</v>
      </c>
      <c r="C609" s="11" t="s">
        <v>10</v>
      </c>
      <c r="D609" s="12">
        <v>45562</v>
      </c>
      <c r="E609" s="14" t="str">
        <f>+HYPERLINK("http://trademark.i-assist.jp/data/china/image_1905th/79706092.pdf","79706092")</f>
        <v>79706092</v>
      </c>
      <c r="F609" s="13" t="s">
        <v>1144</v>
      </c>
      <c r="G609" s="13" t="s">
        <v>1143</v>
      </c>
      <c r="H609" s="13" t="s">
        <v>4639</v>
      </c>
      <c r="I609" s="12">
        <v>45483</v>
      </c>
    </row>
    <row r="610" spans="1:9" x14ac:dyDescent="0.15">
      <c r="A610" s="10">
        <v>609</v>
      </c>
      <c r="B610" s="9" t="s">
        <v>9</v>
      </c>
      <c r="C610" s="11" t="s">
        <v>10</v>
      </c>
      <c r="D610" s="12">
        <v>45562</v>
      </c>
      <c r="E610" s="14" t="str">
        <f>+HYPERLINK("http://trademark.i-assist.jp/data/china/image_1905th/79708422.pdf","79708422")</f>
        <v>79708422</v>
      </c>
      <c r="F610" s="13" t="s">
        <v>1146</v>
      </c>
      <c r="G610" s="13" t="s">
        <v>1145</v>
      </c>
      <c r="H610" s="13" t="s">
        <v>4640</v>
      </c>
      <c r="I610" s="12">
        <v>45483</v>
      </c>
    </row>
    <row r="611" spans="1:9" x14ac:dyDescent="0.15">
      <c r="A611" s="10">
        <v>610</v>
      </c>
      <c r="B611" s="9" t="s">
        <v>9</v>
      </c>
      <c r="C611" s="11" t="s">
        <v>10</v>
      </c>
      <c r="D611" s="12">
        <v>45562</v>
      </c>
      <c r="E611" s="14" t="str">
        <f>+HYPERLINK("http://trademark.i-assist.jp/data/china/image_1905th/79467293.pdf","79467293")</f>
        <v>79467293</v>
      </c>
      <c r="F611" s="13" t="s">
        <v>1148</v>
      </c>
      <c r="G611" s="13" t="s">
        <v>1147</v>
      </c>
      <c r="H611" s="13" t="s">
        <v>4641</v>
      </c>
      <c r="I611" s="12">
        <v>45470</v>
      </c>
    </row>
    <row r="612" spans="1:9" x14ac:dyDescent="0.15">
      <c r="A612" s="10">
        <v>611</v>
      </c>
      <c r="B612" s="9" t="s">
        <v>9</v>
      </c>
      <c r="C612" s="11" t="s">
        <v>10</v>
      </c>
      <c r="D612" s="12">
        <v>45562</v>
      </c>
      <c r="E612" s="14" t="str">
        <f>+HYPERLINK("http://trademark.i-assist.jp/data/china/image_1905th/79472786.pdf","79472786")</f>
        <v>79472786</v>
      </c>
      <c r="F612" s="13" t="s">
        <v>1149</v>
      </c>
      <c r="G612" s="13" t="s">
        <v>989</v>
      </c>
      <c r="H612" s="13" t="s">
        <v>4585</v>
      </c>
      <c r="I612" s="12">
        <v>45470</v>
      </c>
    </row>
    <row r="613" spans="1:9" x14ac:dyDescent="0.15">
      <c r="A613" s="10">
        <v>612</v>
      </c>
      <c r="B613" s="9" t="s">
        <v>9</v>
      </c>
      <c r="C613" s="11" t="s">
        <v>10</v>
      </c>
      <c r="D613" s="12">
        <v>45562</v>
      </c>
      <c r="E613" s="14" t="str">
        <f>+HYPERLINK("http://trademark.i-assist.jp/data/china/image_1905th/79477583.pdf","79477583")</f>
        <v>79477583</v>
      </c>
      <c r="F613" s="13" t="s">
        <v>1151</v>
      </c>
      <c r="G613" s="13" t="s">
        <v>1150</v>
      </c>
      <c r="H613" s="13" t="s">
        <v>4642</v>
      </c>
      <c r="I613" s="12">
        <v>45470</v>
      </c>
    </row>
    <row r="614" spans="1:9" x14ac:dyDescent="0.15">
      <c r="A614" s="10">
        <v>613</v>
      </c>
      <c r="B614" s="9" t="s">
        <v>9</v>
      </c>
      <c r="C614" s="11" t="s">
        <v>10</v>
      </c>
      <c r="D614" s="12">
        <v>45562</v>
      </c>
      <c r="E614" s="14" t="str">
        <f>+HYPERLINK("http://trademark.i-assist.jp/data/china/image_1905th/79486805.pdf","79486805")</f>
        <v>79486805</v>
      </c>
      <c r="F614" s="13" t="s">
        <v>73</v>
      </c>
      <c r="G614" s="13" t="s">
        <v>1152</v>
      </c>
      <c r="H614" s="13" t="s">
        <v>4643</v>
      </c>
      <c r="I614" s="12">
        <v>45470</v>
      </c>
    </row>
    <row r="615" spans="1:9" x14ac:dyDescent="0.15">
      <c r="A615" s="10">
        <v>614</v>
      </c>
      <c r="B615" s="9" t="s">
        <v>9</v>
      </c>
      <c r="C615" s="11" t="s">
        <v>10</v>
      </c>
      <c r="D615" s="12">
        <v>45562</v>
      </c>
      <c r="E615" s="14" t="str">
        <f>+HYPERLINK("http://trademark.i-assist.jp/data/china/image_1905th/79493007.pdf","79493007")</f>
        <v>79493007</v>
      </c>
      <c r="F615" s="13" t="s">
        <v>1154</v>
      </c>
      <c r="G615" s="13" t="s">
        <v>1153</v>
      </c>
      <c r="H615" s="13" t="s">
        <v>4644</v>
      </c>
      <c r="I615" s="12">
        <v>45471</v>
      </c>
    </row>
    <row r="616" spans="1:9" x14ac:dyDescent="0.15">
      <c r="A616" s="10">
        <v>615</v>
      </c>
      <c r="B616" s="9" t="s">
        <v>9</v>
      </c>
      <c r="C616" s="11" t="s">
        <v>10</v>
      </c>
      <c r="D616" s="12">
        <v>45562</v>
      </c>
      <c r="E616" s="14" t="str">
        <f>+HYPERLINK("http://trademark.i-assist.jp/data/china/image_1905th/79496922.pdf","79496922")</f>
        <v>79496922</v>
      </c>
      <c r="F616" s="13" t="s">
        <v>1156</v>
      </c>
      <c r="G616" s="13" t="s">
        <v>1155</v>
      </c>
      <c r="H616" s="13" t="s">
        <v>4620</v>
      </c>
      <c r="I616" s="12">
        <v>45471</v>
      </c>
    </row>
    <row r="617" spans="1:9" x14ac:dyDescent="0.15">
      <c r="A617" s="10">
        <v>616</v>
      </c>
      <c r="B617" s="9" t="s">
        <v>9</v>
      </c>
      <c r="C617" s="11" t="s">
        <v>10</v>
      </c>
      <c r="D617" s="12">
        <v>45562</v>
      </c>
      <c r="E617" s="14" t="str">
        <f>+HYPERLINK("http://trademark.i-assist.jp/data/china/image_1905th/79499740.pdf","79499740")</f>
        <v>79499740</v>
      </c>
      <c r="F617" s="13" t="s">
        <v>1157</v>
      </c>
      <c r="G617" s="13" t="s">
        <v>565</v>
      </c>
      <c r="H617" s="13" t="s">
        <v>4409</v>
      </c>
      <c r="I617" s="12">
        <v>45471</v>
      </c>
    </row>
    <row r="618" spans="1:9" x14ac:dyDescent="0.15">
      <c r="A618" s="10">
        <v>617</v>
      </c>
      <c r="B618" s="9" t="s">
        <v>9</v>
      </c>
      <c r="C618" s="11" t="s">
        <v>10</v>
      </c>
      <c r="D618" s="12">
        <v>45562</v>
      </c>
      <c r="E618" s="14" t="str">
        <f>+HYPERLINK("http://trademark.i-assist.jp/data/china/image_1905th/79502507.pdf","79502507")</f>
        <v>79502507</v>
      </c>
      <c r="F618" s="13" t="s">
        <v>1159</v>
      </c>
      <c r="G618" s="13" t="s">
        <v>1158</v>
      </c>
      <c r="H618" s="13" t="s">
        <v>4645</v>
      </c>
      <c r="I618" s="12">
        <v>45471</v>
      </c>
    </row>
    <row r="619" spans="1:9" x14ac:dyDescent="0.15">
      <c r="A619" s="10">
        <v>618</v>
      </c>
      <c r="B619" s="9" t="s">
        <v>9</v>
      </c>
      <c r="C619" s="11" t="s">
        <v>10</v>
      </c>
      <c r="D619" s="12">
        <v>45562</v>
      </c>
      <c r="E619" s="14" t="str">
        <f>+HYPERLINK("http://trademark.i-assist.jp/data/china/image_1905th/79506192.pdf","79506192")</f>
        <v>79506192</v>
      </c>
      <c r="F619" s="13" t="s">
        <v>1161</v>
      </c>
      <c r="G619" s="13" t="s">
        <v>1160</v>
      </c>
      <c r="H619" s="13" t="s">
        <v>4646</v>
      </c>
      <c r="I619" s="12">
        <v>45471</v>
      </c>
    </row>
    <row r="620" spans="1:9" x14ac:dyDescent="0.15">
      <c r="A620" s="10">
        <v>619</v>
      </c>
      <c r="B620" s="9" t="s">
        <v>9</v>
      </c>
      <c r="C620" s="11" t="s">
        <v>10</v>
      </c>
      <c r="D620" s="12">
        <v>45562</v>
      </c>
      <c r="E620" s="14" t="str">
        <f>+HYPERLINK("http://trademark.i-assist.jp/data/china/image_1905th/79665867.pdf","79665867")</f>
        <v>79665867</v>
      </c>
      <c r="F620" s="13" t="s">
        <v>1162</v>
      </c>
      <c r="G620" s="13" t="s">
        <v>766</v>
      </c>
      <c r="H620" s="13" t="s">
        <v>4492</v>
      </c>
      <c r="I620" s="12">
        <v>45481</v>
      </c>
    </row>
    <row r="621" spans="1:9" x14ac:dyDescent="0.15">
      <c r="A621" s="10">
        <v>620</v>
      </c>
      <c r="B621" s="9" t="s">
        <v>9</v>
      </c>
      <c r="C621" s="11" t="s">
        <v>10</v>
      </c>
      <c r="D621" s="12">
        <v>45562</v>
      </c>
      <c r="E621" s="14" t="str">
        <f>+HYPERLINK("http://trademark.i-assist.jp/data/china/image_1905th/79666648.pdf","79666648")</f>
        <v>79666648</v>
      </c>
      <c r="F621" s="13" t="s">
        <v>1163</v>
      </c>
      <c r="G621" s="13" t="s">
        <v>1044</v>
      </c>
      <c r="H621" s="13" t="s">
        <v>4605</v>
      </c>
      <c r="I621" s="12">
        <v>45481</v>
      </c>
    </row>
    <row r="622" spans="1:9" x14ac:dyDescent="0.15">
      <c r="A622" s="10">
        <v>621</v>
      </c>
      <c r="B622" s="9" t="s">
        <v>9</v>
      </c>
      <c r="C622" s="11" t="s">
        <v>10</v>
      </c>
      <c r="D622" s="12">
        <v>45562</v>
      </c>
      <c r="E622" s="14" t="str">
        <f>+HYPERLINK("http://trademark.i-assist.jp/data/china/image_1905th/79666836.pdf","79666836")</f>
        <v>79666836</v>
      </c>
      <c r="F622" s="13" t="s">
        <v>1165</v>
      </c>
      <c r="G622" s="13" t="s">
        <v>1164</v>
      </c>
      <c r="H622" s="13" t="s">
        <v>4449</v>
      </c>
      <c r="I622" s="12">
        <v>45481</v>
      </c>
    </row>
    <row r="623" spans="1:9" x14ac:dyDescent="0.15">
      <c r="A623" s="10">
        <v>622</v>
      </c>
      <c r="B623" s="9" t="s">
        <v>9</v>
      </c>
      <c r="C623" s="11" t="s">
        <v>10</v>
      </c>
      <c r="D623" s="12">
        <v>45562</v>
      </c>
      <c r="E623" s="14" t="str">
        <f>+HYPERLINK("http://trademark.i-assist.jp/data/china/image_1905th/79673407.pdf","79673407")</f>
        <v>79673407</v>
      </c>
      <c r="F623" s="13" t="s">
        <v>1166</v>
      </c>
      <c r="G623" s="13" t="s">
        <v>134</v>
      </c>
      <c r="H623" s="13" t="s">
        <v>4207</v>
      </c>
      <c r="I623" s="12">
        <v>45481</v>
      </c>
    </row>
    <row r="624" spans="1:9" x14ac:dyDescent="0.15">
      <c r="A624" s="10">
        <v>623</v>
      </c>
      <c r="B624" s="9" t="s">
        <v>9</v>
      </c>
      <c r="C624" s="11" t="s">
        <v>10</v>
      </c>
      <c r="D624" s="12">
        <v>45562</v>
      </c>
      <c r="E624" s="14" t="str">
        <f>+HYPERLINK("http://trademark.i-assist.jp/data/china/image_1905th/79674024.pdf","79674024")</f>
        <v>79674024</v>
      </c>
      <c r="F624" s="13" t="s">
        <v>1167</v>
      </c>
      <c r="G624" s="13" t="s">
        <v>152</v>
      </c>
      <c r="H624" s="13" t="s">
        <v>4215</v>
      </c>
      <c r="I624" s="12">
        <v>45481</v>
      </c>
    </row>
    <row r="625" spans="1:9" x14ac:dyDescent="0.15">
      <c r="A625" s="10">
        <v>624</v>
      </c>
      <c r="B625" s="9" t="s">
        <v>9</v>
      </c>
      <c r="C625" s="11" t="s">
        <v>10</v>
      </c>
      <c r="D625" s="12">
        <v>45562</v>
      </c>
      <c r="E625" s="14" t="str">
        <f>+HYPERLINK("http://trademark.i-assist.jp/data/china/image_1905th/79674722.pdf","79674722")</f>
        <v>79674722</v>
      </c>
      <c r="F625" s="13" t="s">
        <v>1169</v>
      </c>
      <c r="G625" s="13" t="s">
        <v>1168</v>
      </c>
      <c r="H625" s="13" t="s">
        <v>4647</v>
      </c>
      <c r="I625" s="12">
        <v>45481</v>
      </c>
    </row>
    <row r="626" spans="1:9" x14ac:dyDescent="0.15">
      <c r="A626" s="10">
        <v>625</v>
      </c>
      <c r="B626" s="9" t="s">
        <v>9</v>
      </c>
      <c r="C626" s="11" t="s">
        <v>10</v>
      </c>
      <c r="D626" s="12">
        <v>45562</v>
      </c>
      <c r="E626" s="14" t="str">
        <f>+HYPERLINK("http://trademark.i-assist.jp/data/china/image_1905th/79676592.pdf","79676592")</f>
        <v>79676592</v>
      </c>
      <c r="F626" s="13" t="s">
        <v>1171</v>
      </c>
      <c r="G626" s="13" t="s">
        <v>1170</v>
      </c>
      <c r="H626" s="13" t="s">
        <v>4648</v>
      </c>
      <c r="I626" s="12">
        <v>45481</v>
      </c>
    </row>
    <row r="627" spans="1:9" x14ac:dyDescent="0.15">
      <c r="A627" s="10">
        <v>626</v>
      </c>
      <c r="B627" s="9" t="s">
        <v>9</v>
      </c>
      <c r="C627" s="11" t="s">
        <v>10</v>
      </c>
      <c r="D627" s="12">
        <v>45562</v>
      </c>
      <c r="E627" s="14" t="str">
        <f>+HYPERLINK("http://trademark.i-assist.jp/data/china/image_1905th/79680745.pdf","79680745")</f>
        <v>79680745</v>
      </c>
      <c r="F627" s="13" t="s">
        <v>1173</v>
      </c>
      <c r="G627" s="13" t="s">
        <v>1172</v>
      </c>
      <c r="H627" s="13" t="s">
        <v>4649</v>
      </c>
      <c r="I627" s="12">
        <v>45482</v>
      </c>
    </row>
    <row r="628" spans="1:9" x14ac:dyDescent="0.15">
      <c r="A628" s="10">
        <v>627</v>
      </c>
      <c r="B628" s="9" t="s">
        <v>9</v>
      </c>
      <c r="C628" s="11" t="s">
        <v>10</v>
      </c>
      <c r="D628" s="12">
        <v>45562</v>
      </c>
      <c r="E628" s="14" t="str">
        <f>+HYPERLINK("http://trademark.i-assist.jp/data/china/image_1905th/79682079.pdf","79682079")</f>
        <v>79682079</v>
      </c>
      <c r="F628" s="13" t="s">
        <v>1175</v>
      </c>
      <c r="G628" s="13" t="s">
        <v>1174</v>
      </c>
      <c r="H628" s="13" t="s">
        <v>4650</v>
      </c>
      <c r="I628" s="12">
        <v>45482</v>
      </c>
    </row>
    <row r="629" spans="1:9" x14ac:dyDescent="0.15">
      <c r="A629" s="10">
        <v>628</v>
      </c>
      <c r="B629" s="9" t="s">
        <v>9</v>
      </c>
      <c r="C629" s="11" t="s">
        <v>10</v>
      </c>
      <c r="D629" s="12">
        <v>45562</v>
      </c>
      <c r="E629" s="14" t="str">
        <f>+HYPERLINK("http://trademark.i-assist.jp/data/china/image_1905th/79682860.pdf","79682860")</f>
        <v>79682860</v>
      </c>
      <c r="F629" s="13" t="s">
        <v>1177</v>
      </c>
      <c r="G629" s="13" t="s">
        <v>1176</v>
      </c>
      <c r="H629" s="13" t="s">
        <v>4651</v>
      </c>
      <c r="I629" s="12">
        <v>45482</v>
      </c>
    </row>
    <row r="630" spans="1:9" x14ac:dyDescent="0.15">
      <c r="A630" s="10">
        <v>629</v>
      </c>
      <c r="B630" s="9" t="s">
        <v>9</v>
      </c>
      <c r="C630" s="11" t="s">
        <v>10</v>
      </c>
      <c r="D630" s="12">
        <v>45562</v>
      </c>
      <c r="E630" s="14" t="str">
        <f>+HYPERLINK("http://trademark.i-assist.jp/data/china/image_1905th/79683846.pdf","79683846")</f>
        <v>79683846</v>
      </c>
      <c r="F630" s="13" t="s">
        <v>1179</v>
      </c>
      <c r="G630" s="13" t="s">
        <v>1178</v>
      </c>
      <c r="H630" s="13" t="s">
        <v>4652</v>
      </c>
      <c r="I630" s="12">
        <v>45482</v>
      </c>
    </row>
    <row r="631" spans="1:9" x14ac:dyDescent="0.15">
      <c r="A631" s="10">
        <v>630</v>
      </c>
      <c r="B631" s="9" t="s">
        <v>9</v>
      </c>
      <c r="C631" s="11" t="s">
        <v>10</v>
      </c>
      <c r="D631" s="12">
        <v>45562</v>
      </c>
      <c r="E631" s="14" t="str">
        <f>+HYPERLINK("http://trademark.i-assist.jp/data/china/image_1905th/79686166.pdf","79686166")</f>
        <v>79686166</v>
      </c>
      <c r="F631" s="13" t="s">
        <v>1181</v>
      </c>
      <c r="G631" s="13" t="s">
        <v>1180</v>
      </c>
      <c r="H631" s="13" t="s">
        <v>4653</v>
      </c>
      <c r="I631" s="12">
        <v>45482</v>
      </c>
    </row>
    <row r="632" spans="1:9" x14ac:dyDescent="0.15">
      <c r="A632" s="10">
        <v>631</v>
      </c>
      <c r="B632" s="9" t="s">
        <v>9</v>
      </c>
      <c r="C632" s="11" t="s">
        <v>10</v>
      </c>
      <c r="D632" s="12">
        <v>45562</v>
      </c>
      <c r="E632" s="14" t="str">
        <f>+HYPERLINK("http://trademark.i-assist.jp/data/china/image_1905th/79534510.pdf","79534510")</f>
        <v>79534510</v>
      </c>
      <c r="F632" s="13" t="s">
        <v>1183</v>
      </c>
      <c r="G632" s="13" t="s">
        <v>1182</v>
      </c>
      <c r="H632" s="13" t="s">
        <v>4150</v>
      </c>
      <c r="I632" s="12">
        <v>45474</v>
      </c>
    </row>
    <row r="633" spans="1:9" x14ac:dyDescent="0.15">
      <c r="A633" s="10">
        <v>632</v>
      </c>
      <c r="B633" s="9" t="s">
        <v>9</v>
      </c>
      <c r="C633" s="11" t="s">
        <v>10</v>
      </c>
      <c r="D633" s="12">
        <v>45562</v>
      </c>
      <c r="E633" s="14" t="str">
        <f>+HYPERLINK("http://trademark.i-assist.jp/data/china/image_1905th/79534566.pdf","79534566")</f>
        <v>79534566</v>
      </c>
      <c r="F633" s="13" t="s">
        <v>1184</v>
      </c>
      <c r="G633" s="13" t="s">
        <v>17</v>
      </c>
      <c r="H633" s="13" t="s">
        <v>4654</v>
      </c>
      <c r="I633" s="12">
        <v>45474</v>
      </c>
    </row>
    <row r="634" spans="1:9" x14ac:dyDescent="0.15">
      <c r="A634" s="10">
        <v>633</v>
      </c>
      <c r="B634" s="9" t="s">
        <v>9</v>
      </c>
      <c r="C634" s="11" t="s">
        <v>10</v>
      </c>
      <c r="D634" s="12">
        <v>45562</v>
      </c>
      <c r="E634" s="14" t="str">
        <f>+HYPERLINK("http://trademark.i-assist.jp/data/china/image_1905th/79537582.pdf","79537582")</f>
        <v>79537582</v>
      </c>
      <c r="F634" s="13" t="s">
        <v>1186</v>
      </c>
      <c r="G634" s="13" t="s">
        <v>1185</v>
      </c>
      <c r="H634" s="13" t="s">
        <v>4655</v>
      </c>
      <c r="I634" s="12">
        <v>45474</v>
      </c>
    </row>
    <row r="635" spans="1:9" x14ac:dyDescent="0.15">
      <c r="A635" s="10">
        <v>634</v>
      </c>
      <c r="B635" s="9" t="s">
        <v>9</v>
      </c>
      <c r="C635" s="11" t="s">
        <v>10</v>
      </c>
      <c r="D635" s="12">
        <v>45562</v>
      </c>
      <c r="E635" s="14" t="str">
        <f>+HYPERLINK("http://trademark.i-assist.jp/data/china/image_1905th/79542286.pdf","79542286")</f>
        <v>79542286</v>
      </c>
      <c r="F635" s="13" t="s">
        <v>1188</v>
      </c>
      <c r="G635" s="13" t="s">
        <v>1187</v>
      </c>
      <c r="H635" s="13" t="s">
        <v>4440</v>
      </c>
      <c r="I635" s="12">
        <v>45474</v>
      </c>
    </row>
    <row r="636" spans="1:9" x14ac:dyDescent="0.15">
      <c r="A636" s="10">
        <v>635</v>
      </c>
      <c r="B636" s="9" t="s">
        <v>9</v>
      </c>
      <c r="C636" s="11" t="s">
        <v>10</v>
      </c>
      <c r="D636" s="12">
        <v>45562</v>
      </c>
      <c r="E636" s="14" t="str">
        <f>+HYPERLINK("http://trademark.i-assist.jp/data/china/image_1905th/79548990.pdf","79548990")</f>
        <v>79548990</v>
      </c>
      <c r="F636" s="13" t="s">
        <v>1189</v>
      </c>
      <c r="G636" s="13" t="s">
        <v>436</v>
      </c>
      <c r="H636" s="13" t="s">
        <v>4558</v>
      </c>
      <c r="I636" s="12">
        <v>45474</v>
      </c>
    </row>
    <row r="637" spans="1:9" x14ac:dyDescent="0.15">
      <c r="A637" s="10">
        <v>636</v>
      </c>
      <c r="B637" s="9" t="s">
        <v>9</v>
      </c>
      <c r="C637" s="11" t="s">
        <v>10</v>
      </c>
      <c r="D637" s="12">
        <v>45562</v>
      </c>
      <c r="E637" s="14" t="str">
        <f>+HYPERLINK("http://trademark.i-assist.jp/data/china/image_1905th/79560276.pdf","79560276")</f>
        <v>79560276</v>
      </c>
      <c r="F637" s="13" t="s">
        <v>1191</v>
      </c>
      <c r="G637" s="13" t="s">
        <v>1190</v>
      </c>
      <c r="H637" s="13" t="s">
        <v>4227</v>
      </c>
      <c r="I637" s="12">
        <v>45475</v>
      </c>
    </row>
    <row r="638" spans="1:9" x14ac:dyDescent="0.15">
      <c r="A638" s="10">
        <v>637</v>
      </c>
      <c r="B638" s="9" t="s">
        <v>9</v>
      </c>
      <c r="C638" s="11" t="s">
        <v>10</v>
      </c>
      <c r="D638" s="12">
        <v>45562</v>
      </c>
      <c r="E638" s="14" t="str">
        <f>+HYPERLINK("http://trademark.i-assist.jp/data/china/image_1905th/79740366.pdf","79740366")</f>
        <v>79740366</v>
      </c>
      <c r="F638" s="13" t="s">
        <v>1193</v>
      </c>
      <c r="G638" s="13" t="s">
        <v>1192</v>
      </c>
      <c r="H638" s="13" t="s">
        <v>4656</v>
      </c>
      <c r="I638" s="12">
        <v>45484</v>
      </c>
    </row>
    <row r="639" spans="1:9" x14ac:dyDescent="0.15">
      <c r="A639" s="10">
        <v>638</v>
      </c>
      <c r="B639" s="9" t="s">
        <v>9</v>
      </c>
      <c r="C639" s="11" t="s">
        <v>10</v>
      </c>
      <c r="D639" s="12">
        <v>45562</v>
      </c>
      <c r="E639" s="14" t="str">
        <f>+HYPERLINK("http://trademark.i-assist.jp/data/china/image_1905th/79742435.pdf","79742435")</f>
        <v>79742435</v>
      </c>
      <c r="F639" s="13" t="s">
        <v>73</v>
      </c>
      <c r="G639" s="13" t="s">
        <v>1194</v>
      </c>
      <c r="H639" s="13" t="s">
        <v>4657</v>
      </c>
      <c r="I639" s="12">
        <v>45484</v>
      </c>
    </row>
    <row r="640" spans="1:9" x14ac:dyDescent="0.15">
      <c r="A640" s="10">
        <v>639</v>
      </c>
      <c r="B640" s="9" t="s">
        <v>9</v>
      </c>
      <c r="C640" s="11" t="s">
        <v>10</v>
      </c>
      <c r="D640" s="12">
        <v>45562</v>
      </c>
      <c r="E640" s="14" t="str">
        <f>+HYPERLINK("http://trademark.i-assist.jp/data/china/image_1905th/79751152.pdf","79751152")</f>
        <v>79751152</v>
      </c>
      <c r="F640" s="13" t="s">
        <v>1196</v>
      </c>
      <c r="G640" s="13" t="s">
        <v>1195</v>
      </c>
      <c r="H640" s="13" t="s">
        <v>4658</v>
      </c>
      <c r="I640" s="12">
        <v>45484</v>
      </c>
    </row>
    <row r="641" spans="1:9" x14ac:dyDescent="0.15">
      <c r="A641" s="10">
        <v>640</v>
      </c>
      <c r="B641" s="9" t="s">
        <v>9</v>
      </c>
      <c r="C641" s="11" t="s">
        <v>10</v>
      </c>
      <c r="D641" s="12">
        <v>45562</v>
      </c>
      <c r="E641" s="14" t="str">
        <f>+HYPERLINK("http://trademark.i-assist.jp/data/china/image_1905th/79756161.pdf","79756161")</f>
        <v>79756161</v>
      </c>
      <c r="F641" s="13" t="s">
        <v>1198</v>
      </c>
      <c r="G641" s="13" t="s">
        <v>1197</v>
      </c>
      <c r="H641" s="13" t="s">
        <v>4659</v>
      </c>
      <c r="I641" s="12">
        <v>45485</v>
      </c>
    </row>
    <row r="642" spans="1:9" x14ac:dyDescent="0.15">
      <c r="A642" s="10">
        <v>641</v>
      </c>
      <c r="B642" s="9" t="s">
        <v>9</v>
      </c>
      <c r="C642" s="11" t="s">
        <v>10</v>
      </c>
      <c r="D642" s="12">
        <v>45562</v>
      </c>
      <c r="E642" s="14" t="str">
        <f>+HYPERLINK("http://trademark.i-assist.jp/data/china/image_1905th/79756302.pdf","79756302")</f>
        <v>79756302</v>
      </c>
      <c r="F642" s="13" t="s">
        <v>1200</v>
      </c>
      <c r="G642" s="13" t="s">
        <v>1199</v>
      </c>
      <c r="H642" s="13" t="s">
        <v>4206</v>
      </c>
      <c r="I642" s="12">
        <v>45485</v>
      </c>
    </row>
    <row r="643" spans="1:9" x14ac:dyDescent="0.15">
      <c r="A643" s="10">
        <v>642</v>
      </c>
      <c r="B643" s="9" t="s">
        <v>9</v>
      </c>
      <c r="C643" s="11" t="s">
        <v>10</v>
      </c>
      <c r="D643" s="12">
        <v>45562</v>
      </c>
      <c r="E643" s="14" t="str">
        <f>+HYPERLINK("http://trademark.i-assist.jp/data/china/image_1905th/79760111.pdf","79760111")</f>
        <v>79760111</v>
      </c>
      <c r="F643" s="13" t="s">
        <v>1202</v>
      </c>
      <c r="G643" s="13" t="s">
        <v>1201</v>
      </c>
      <c r="H643" s="13" t="s">
        <v>4660</v>
      </c>
      <c r="I643" s="12">
        <v>45485</v>
      </c>
    </row>
    <row r="644" spans="1:9" x14ac:dyDescent="0.15">
      <c r="A644" s="10">
        <v>643</v>
      </c>
      <c r="B644" s="9" t="s">
        <v>9</v>
      </c>
      <c r="C644" s="11" t="s">
        <v>10</v>
      </c>
      <c r="D644" s="12">
        <v>45562</v>
      </c>
      <c r="E644" s="14" t="str">
        <f>+HYPERLINK("http://trademark.i-assist.jp/data/china/image_1905th/79762790.pdf","79762790")</f>
        <v>79762790</v>
      </c>
      <c r="F644" s="13" t="s">
        <v>1204</v>
      </c>
      <c r="G644" s="13" t="s">
        <v>1203</v>
      </c>
      <c r="H644" s="13" t="s">
        <v>4661</v>
      </c>
      <c r="I644" s="12">
        <v>45485</v>
      </c>
    </row>
    <row r="645" spans="1:9" x14ac:dyDescent="0.15">
      <c r="A645" s="10">
        <v>644</v>
      </c>
      <c r="B645" s="9" t="s">
        <v>9</v>
      </c>
      <c r="C645" s="11" t="s">
        <v>10</v>
      </c>
      <c r="D645" s="12">
        <v>45562</v>
      </c>
      <c r="E645" s="14" t="str">
        <f>+HYPERLINK("http://trademark.i-assist.jp/data/china/image_1905th/79767020.pdf","79767020")</f>
        <v>79767020</v>
      </c>
      <c r="F645" s="13" t="s">
        <v>1206</v>
      </c>
      <c r="G645" s="13" t="s">
        <v>1205</v>
      </c>
      <c r="H645" s="13" t="s">
        <v>4662</v>
      </c>
      <c r="I645" s="12">
        <v>45485</v>
      </c>
    </row>
    <row r="646" spans="1:9" x14ac:dyDescent="0.15">
      <c r="A646" s="10">
        <v>645</v>
      </c>
      <c r="B646" s="9" t="s">
        <v>9</v>
      </c>
      <c r="C646" s="11" t="s">
        <v>10</v>
      </c>
      <c r="D646" s="12">
        <v>45562</v>
      </c>
      <c r="E646" s="14" t="str">
        <f>+HYPERLINK("http://trademark.i-assist.jp/data/china/image_1905th/79769611.pdf","79769611")</f>
        <v>79769611</v>
      </c>
      <c r="F646" s="13" t="s">
        <v>1208</v>
      </c>
      <c r="G646" s="13" t="s">
        <v>1207</v>
      </c>
      <c r="H646" s="13" t="s">
        <v>4663</v>
      </c>
      <c r="I646" s="12">
        <v>45485</v>
      </c>
    </row>
    <row r="647" spans="1:9" x14ac:dyDescent="0.15">
      <c r="A647" s="10">
        <v>646</v>
      </c>
      <c r="B647" s="9" t="s">
        <v>9</v>
      </c>
      <c r="C647" s="11" t="s">
        <v>10</v>
      </c>
      <c r="D647" s="12">
        <v>45562</v>
      </c>
      <c r="E647" s="14" t="str">
        <f>+HYPERLINK("http://trademark.i-assist.jp/data/china/image_1905th/79778129.pdf","79778129")</f>
        <v>79778129</v>
      </c>
      <c r="F647" s="13" t="s">
        <v>1209</v>
      </c>
      <c r="G647" s="13" t="s">
        <v>1094</v>
      </c>
      <c r="H647" s="13" t="s">
        <v>4621</v>
      </c>
      <c r="I647" s="12">
        <v>45486</v>
      </c>
    </row>
    <row r="648" spans="1:9" x14ac:dyDescent="0.15">
      <c r="A648" s="10">
        <v>647</v>
      </c>
      <c r="B648" s="9" t="s">
        <v>9</v>
      </c>
      <c r="C648" s="11" t="s">
        <v>10</v>
      </c>
      <c r="D648" s="12">
        <v>45562</v>
      </c>
      <c r="E648" s="14" t="str">
        <f>+HYPERLINK("http://trademark.i-assist.jp/data/china/image_1905th/79781963.pdf","79781963")</f>
        <v>79781963</v>
      </c>
      <c r="F648" s="13" t="s">
        <v>1210</v>
      </c>
      <c r="G648" s="13" t="s">
        <v>275</v>
      </c>
      <c r="H648" s="13" t="s">
        <v>4664</v>
      </c>
      <c r="I648" s="12">
        <v>45486</v>
      </c>
    </row>
    <row r="649" spans="1:9" x14ac:dyDescent="0.15">
      <c r="A649" s="10">
        <v>648</v>
      </c>
      <c r="B649" s="9" t="s">
        <v>9</v>
      </c>
      <c r="C649" s="11" t="s">
        <v>10</v>
      </c>
      <c r="D649" s="12">
        <v>45562</v>
      </c>
      <c r="E649" s="14" t="str">
        <f>+HYPERLINK("http://trademark.i-assist.jp/data/china/image_1905th/79797327.pdf","79797327")</f>
        <v>79797327</v>
      </c>
      <c r="F649" s="13" t="s">
        <v>1212</v>
      </c>
      <c r="G649" s="13" t="s">
        <v>1211</v>
      </c>
      <c r="H649" s="13" t="s">
        <v>4665</v>
      </c>
      <c r="I649" s="12">
        <v>45488</v>
      </c>
    </row>
    <row r="650" spans="1:9" x14ac:dyDescent="0.15">
      <c r="A650" s="10">
        <v>649</v>
      </c>
      <c r="B650" s="9" t="s">
        <v>9</v>
      </c>
      <c r="C650" s="11" t="s">
        <v>10</v>
      </c>
      <c r="D650" s="12">
        <v>45562</v>
      </c>
      <c r="E650" s="14" t="str">
        <f>+HYPERLINK("http://trademark.i-assist.jp/data/china/image_1905th/79807247.pdf","79807247")</f>
        <v>79807247</v>
      </c>
      <c r="F650" s="13" t="s">
        <v>1213</v>
      </c>
      <c r="G650" s="13" t="s">
        <v>584</v>
      </c>
      <c r="H650" s="13" t="s">
        <v>4415</v>
      </c>
      <c r="I650" s="12">
        <v>45488</v>
      </c>
    </row>
    <row r="651" spans="1:9" x14ac:dyDescent="0.15">
      <c r="A651" s="10">
        <v>650</v>
      </c>
      <c r="B651" s="9" t="s">
        <v>9</v>
      </c>
      <c r="C651" s="11" t="s">
        <v>10</v>
      </c>
      <c r="D651" s="12">
        <v>45562</v>
      </c>
      <c r="E651" s="14" t="str">
        <f>+HYPERLINK("http://trademark.i-assist.jp/data/china/image_1905th/79808751.pdf","79808751")</f>
        <v>79808751</v>
      </c>
      <c r="F651" s="13" t="s">
        <v>1215</v>
      </c>
      <c r="G651" s="13" t="s">
        <v>1214</v>
      </c>
      <c r="H651" s="13" t="s">
        <v>4666</v>
      </c>
      <c r="I651" s="12">
        <v>45489</v>
      </c>
    </row>
    <row r="652" spans="1:9" x14ac:dyDescent="0.15">
      <c r="A652" s="10">
        <v>651</v>
      </c>
      <c r="B652" s="9" t="s">
        <v>9</v>
      </c>
      <c r="C652" s="11" t="s">
        <v>10</v>
      </c>
      <c r="D652" s="12">
        <v>45562</v>
      </c>
      <c r="E652" s="14" t="str">
        <f>+HYPERLINK("http://trademark.i-assist.jp/data/china/image_1905th/79816757.pdf","79816757")</f>
        <v>79816757</v>
      </c>
      <c r="F652" s="13" t="s">
        <v>1217</v>
      </c>
      <c r="G652" s="13" t="s">
        <v>1216</v>
      </c>
      <c r="H652" s="13" t="s">
        <v>4667</v>
      </c>
      <c r="I652" s="12">
        <v>45489</v>
      </c>
    </row>
    <row r="653" spans="1:9" x14ac:dyDescent="0.15">
      <c r="A653" s="10">
        <v>652</v>
      </c>
      <c r="B653" s="9" t="s">
        <v>9</v>
      </c>
      <c r="C653" s="11" t="s">
        <v>10</v>
      </c>
      <c r="D653" s="12">
        <v>45562</v>
      </c>
      <c r="E653" s="14" t="str">
        <f>+HYPERLINK("http://trademark.i-assist.jp/data/china/image_1905th/79568306.pdf","79568306")</f>
        <v>79568306</v>
      </c>
      <c r="F653" s="13" t="s">
        <v>1219</v>
      </c>
      <c r="G653" s="13" t="s">
        <v>1218</v>
      </c>
      <c r="H653" s="13" t="s">
        <v>4668</v>
      </c>
      <c r="I653" s="12">
        <v>45475</v>
      </c>
    </row>
    <row r="654" spans="1:9" x14ac:dyDescent="0.15">
      <c r="A654" s="10">
        <v>653</v>
      </c>
      <c r="B654" s="9" t="s">
        <v>9</v>
      </c>
      <c r="C654" s="11" t="s">
        <v>10</v>
      </c>
      <c r="D654" s="12">
        <v>45562</v>
      </c>
      <c r="E654" s="14" t="str">
        <f>+HYPERLINK("http://trademark.i-assist.jp/data/china/image_1905th/79574041.pdf","79574041")</f>
        <v>79574041</v>
      </c>
      <c r="F654" s="13" t="s">
        <v>1221</v>
      </c>
      <c r="G654" s="13" t="s">
        <v>1220</v>
      </c>
      <c r="H654" s="13" t="s">
        <v>4345</v>
      </c>
      <c r="I654" s="12">
        <v>45475</v>
      </c>
    </row>
    <row r="655" spans="1:9" x14ac:dyDescent="0.15">
      <c r="A655" s="10">
        <v>654</v>
      </c>
      <c r="B655" s="9" t="s">
        <v>9</v>
      </c>
      <c r="C655" s="11" t="s">
        <v>10</v>
      </c>
      <c r="D655" s="12">
        <v>45562</v>
      </c>
      <c r="E655" s="14" t="str">
        <f>+HYPERLINK("http://trademark.i-assist.jp/data/china/image_1905th/79584543.pdf","79584543")</f>
        <v>79584543</v>
      </c>
      <c r="F655" s="13" t="s">
        <v>1223</v>
      </c>
      <c r="G655" s="13" t="s">
        <v>1222</v>
      </c>
      <c r="H655" s="13" t="s">
        <v>4669</v>
      </c>
      <c r="I655" s="12">
        <v>45476</v>
      </c>
    </row>
    <row r="656" spans="1:9" x14ac:dyDescent="0.15">
      <c r="A656" s="10">
        <v>655</v>
      </c>
      <c r="B656" s="9" t="s">
        <v>9</v>
      </c>
      <c r="C656" s="11" t="s">
        <v>10</v>
      </c>
      <c r="D656" s="12">
        <v>45562</v>
      </c>
      <c r="E656" s="14" t="str">
        <f>+HYPERLINK("http://trademark.i-assist.jp/data/china/image_1905th/79585636.pdf","79585636")</f>
        <v>79585636</v>
      </c>
      <c r="F656" s="13" t="s">
        <v>1225</v>
      </c>
      <c r="G656" s="13" t="s">
        <v>1224</v>
      </c>
      <c r="H656" s="13" t="s">
        <v>4162</v>
      </c>
      <c r="I656" s="12">
        <v>45476</v>
      </c>
    </row>
    <row r="657" spans="1:9" x14ac:dyDescent="0.15">
      <c r="A657" s="10">
        <v>656</v>
      </c>
      <c r="B657" s="9" t="s">
        <v>9</v>
      </c>
      <c r="C657" s="11" t="s">
        <v>10</v>
      </c>
      <c r="D657" s="12">
        <v>45562</v>
      </c>
      <c r="E657" s="14" t="str">
        <f>+HYPERLINK("http://trademark.i-assist.jp/data/china/image_1905th/79586563.pdf","79586563")</f>
        <v>79586563</v>
      </c>
      <c r="F657" s="13" t="s">
        <v>1227</v>
      </c>
      <c r="G657" s="13" t="s">
        <v>1226</v>
      </c>
      <c r="H657" s="13" t="s">
        <v>4278</v>
      </c>
      <c r="I657" s="12">
        <v>45476</v>
      </c>
    </row>
    <row r="658" spans="1:9" x14ac:dyDescent="0.15">
      <c r="A658" s="10">
        <v>657</v>
      </c>
      <c r="B658" s="9" t="s">
        <v>9</v>
      </c>
      <c r="C658" s="11" t="s">
        <v>10</v>
      </c>
      <c r="D658" s="12">
        <v>45562</v>
      </c>
      <c r="E658" s="14" t="str">
        <f>+HYPERLINK("http://trademark.i-assist.jp/data/china/image_1905th/79586813.pdf","79586813")</f>
        <v>79586813</v>
      </c>
      <c r="F658" s="13" t="s">
        <v>1229</v>
      </c>
      <c r="G658" s="13" t="s">
        <v>1228</v>
      </c>
      <c r="H658" s="13" t="s">
        <v>4670</v>
      </c>
      <c r="I658" s="12">
        <v>45476</v>
      </c>
    </row>
    <row r="659" spans="1:9" x14ac:dyDescent="0.15">
      <c r="A659" s="10">
        <v>658</v>
      </c>
      <c r="B659" s="9" t="s">
        <v>9</v>
      </c>
      <c r="C659" s="11" t="s">
        <v>10</v>
      </c>
      <c r="D659" s="12">
        <v>45562</v>
      </c>
      <c r="E659" s="14" t="str">
        <f>+HYPERLINK("http://trademark.i-assist.jp/data/china/image_1905th/79587279.pdf","79587279")</f>
        <v>79587279</v>
      </c>
      <c r="F659" s="13" t="s">
        <v>1231</v>
      </c>
      <c r="G659" s="13" t="s">
        <v>1230</v>
      </c>
      <c r="H659" s="13" t="s">
        <v>4671</v>
      </c>
      <c r="I659" s="12">
        <v>45476</v>
      </c>
    </row>
    <row r="660" spans="1:9" x14ac:dyDescent="0.15">
      <c r="A660" s="10">
        <v>659</v>
      </c>
      <c r="B660" s="9" t="s">
        <v>9</v>
      </c>
      <c r="C660" s="11" t="s">
        <v>10</v>
      </c>
      <c r="D660" s="12">
        <v>45562</v>
      </c>
      <c r="E660" s="14" t="str">
        <f>+HYPERLINK("http://trademark.i-assist.jp/data/china/image_1905th/79587406.pdf","79587406")</f>
        <v>79587406</v>
      </c>
      <c r="F660" s="13" t="s">
        <v>1233</v>
      </c>
      <c r="G660" s="13" t="s">
        <v>1232</v>
      </c>
      <c r="H660" s="13" t="s">
        <v>4154</v>
      </c>
      <c r="I660" s="12">
        <v>45476</v>
      </c>
    </row>
    <row r="661" spans="1:9" x14ac:dyDescent="0.15">
      <c r="A661" s="10">
        <v>660</v>
      </c>
      <c r="B661" s="9" t="s">
        <v>9</v>
      </c>
      <c r="C661" s="11" t="s">
        <v>10</v>
      </c>
      <c r="D661" s="12">
        <v>45562</v>
      </c>
      <c r="E661" s="14" t="str">
        <f>+HYPERLINK("http://trademark.i-assist.jp/data/china/image_1905th/79601027.pdf","79601027")</f>
        <v>79601027</v>
      </c>
      <c r="F661" s="13" t="s">
        <v>1235</v>
      </c>
      <c r="G661" s="13" t="s">
        <v>1234</v>
      </c>
      <c r="H661" s="13" t="s">
        <v>4358</v>
      </c>
      <c r="I661" s="12">
        <v>45477</v>
      </c>
    </row>
    <row r="662" spans="1:9" x14ac:dyDescent="0.15">
      <c r="A662" s="10">
        <v>661</v>
      </c>
      <c r="B662" s="9" t="s">
        <v>9</v>
      </c>
      <c r="C662" s="11" t="s">
        <v>10</v>
      </c>
      <c r="D662" s="12">
        <v>45562</v>
      </c>
      <c r="E662" s="14" t="str">
        <f>+HYPERLINK("http://trademark.i-assist.jp/data/china/image_1905th/79601199.pdf","79601199")</f>
        <v>79601199</v>
      </c>
      <c r="F662" s="13" t="s">
        <v>1237</v>
      </c>
      <c r="G662" s="13" t="s">
        <v>1236</v>
      </c>
      <c r="H662" s="13" t="s">
        <v>4233</v>
      </c>
      <c r="I662" s="12">
        <v>45477</v>
      </c>
    </row>
    <row r="663" spans="1:9" x14ac:dyDescent="0.15">
      <c r="A663" s="10">
        <v>662</v>
      </c>
      <c r="B663" s="9" t="s">
        <v>9</v>
      </c>
      <c r="C663" s="11" t="s">
        <v>10</v>
      </c>
      <c r="D663" s="12">
        <v>45562</v>
      </c>
      <c r="E663" s="14" t="str">
        <f>+HYPERLINK("http://trademark.i-assist.jp/data/china/image_1905th/79605322.pdf","79605322")</f>
        <v>79605322</v>
      </c>
      <c r="F663" s="13" t="s">
        <v>1239</v>
      </c>
      <c r="G663" s="13" t="s">
        <v>1238</v>
      </c>
      <c r="H663" s="13" t="s">
        <v>4672</v>
      </c>
      <c r="I663" s="12">
        <v>45477</v>
      </c>
    </row>
    <row r="664" spans="1:9" x14ac:dyDescent="0.15">
      <c r="A664" s="10">
        <v>663</v>
      </c>
      <c r="B664" s="9" t="s">
        <v>9</v>
      </c>
      <c r="C664" s="11" t="s">
        <v>10</v>
      </c>
      <c r="D664" s="12">
        <v>45562</v>
      </c>
      <c r="E664" s="14" t="str">
        <f>+HYPERLINK("http://trademark.i-assist.jp/data/china/image_1905th/79392854.pdf","79392854")</f>
        <v>79392854</v>
      </c>
      <c r="F664" s="13" t="s">
        <v>1240</v>
      </c>
      <c r="G664" s="13" t="s">
        <v>862</v>
      </c>
      <c r="H664" s="13" t="s">
        <v>4533</v>
      </c>
      <c r="I664" s="12">
        <v>45467</v>
      </c>
    </row>
    <row r="665" spans="1:9" x14ac:dyDescent="0.15">
      <c r="A665" s="10">
        <v>664</v>
      </c>
      <c r="B665" s="9" t="s">
        <v>9</v>
      </c>
      <c r="C665" s="11" t="s">
        <v>10</v>
      </c>
      <c r="D665" s="12">
        <v>45562</v>
      </c>
      <c r="E665" s="14" t="str">
        <f>+HYPERLINK("http://trademark.i-assist.jp/data/china/image_1905th/79401992.pdf","79401992")</f>
        <v>79401992</v>
      </c>
      <c r="F665" s="13" t="s">
        <v>1241</v>
      </c>
      <c r="G665" s="13" t="s">
        <v>163</v>
      </c>
      <c r="H665" s="13" t="s">
        <v>4220</v>
      </c>
      <c r="I665" s="12">
        <v>45467</v>
      </c>
    </row>
    <row r="666" spans="1:9" x14ac:dyDescent="0.15">
      <c r="A666" s="10">
        <v>665</v>
      </c>
      <c r="B666" s="9" t="s">
        <v>9</v>
      </c>
      <c r="C666" s="11" t="s">
        <v>10</v>
      </c>
      <c r="D666" s="12">
        <v>45562</v>
      </c>
      <c r="E666" s="14" t="str">
        <f>+HYPERLINK("http://trademark.i-assist.jp/data/china/image_1905th/79421396.pdf","79421396")</f>
        <v>79421396</v>
      </c>
      <c r="F666" s="13" t="s">
        <v>1243</v>
      </c>
      <c r="G666" s="13" t="s">
        <v>1242</v>
      </c>
      <c r="H666" s="13" t="s">
        <v>4154</v>
      </c>
      <c r="I666" s="12">
        <v>45468</v>
      </c>
    </row>
    <row r="667" spans="1:9" x14ac:dyDescent="0.15">
      <c r="A667" s="10">
        <v>666</v>
      </c>
      <c r="B667" s="9" t="s">
        <v>9</v>
      </c>
      <c r="C667" s="11" t="s">
        <v>10</v>
      </c>
      <c r="D667" s="12">
        <v>45562</v>
      </c>
      <c r="E667" s="14" t="str">
        <f>+HYPERLINK("http://trademark.i-assist.jp/data/china/image_1905th/79433131.pdf","79433131")</f>
        <v>79433131</v>
      </c>
      <c r="F667" s="13" t="s">
        <v>1244</v>
      </c>
      <c r="G667" s="13" t="s">
        <v>356</v>
      </c>
      <c r="H667" s="13" t="s">
        <v>4308</v>
      </c>
      <c r="I667" s="12">
        <v>45468</v>
      </c>
    </row>
    <row r="668" spans="1:9" x14ac:dyDescent="0.15">
      <c r="A668" s="10">
        <v>667</v>
      </c>
      <c r="B668" s="9" t="s">
        <v>9</v>
      </c>
      <c r="C668" s="11" t="s">
        <v>10</v>
      </c>
      <c r="D668" s="12">
        <v>45562</v>
      </c>
      <c r="E668" s="14" t="str">
        <f>+HYPERLINK("http://trademark.i-assist.jp/data/china/image_1905th/79444990.pdf","79444990")</f>
        <v>79444990</v>
      </c>
      <c r="F668" s="13" t="s">
        <v>1246</v>
      </c>
      <c r="G668" s="13" t="s">
        <v>1245</v>
      </c>
      <c r="H668" s="13" t="s">
        <v>4203</v>
      </c>
      <c r="I668" s="12">
        <v>45469</v>
      </c>
    </row>
    <row r="669" spans="1:9" x14ac:dyDescent="0.15">
      <c r="A669" s="10">
        <v>668</v>
      </c>
      <c r="B669" s="9" t="s">
        <v>9</v>
      </c>
      <c r="C669" s="11" t="s">
        <v>10</v>
      </c>
      <c r="D669" s="12">
        <v>45562</v>
      </c>
      <c r="E669" s="14" t="str">
        <f>+HYPERLINK("http://trademark.i-assist.jp/data/china/image_1905th/79453025.pdf","79453025")</f>
        <v>79453025</v>
      </c>
      <c r="F669" s="13" t="s">
        <v>1248</v>
      </c>
      <c r="G669" s="13" t="s">
        <v>1247</v>
      </c>
      <c r="H669" s="13" t="s">
        <v>4236</v>
      </c>
      <c r="I669" s="12">
        <v>45469</v>
      </c>
    </row>
    <row r="670" spans="1:9" x14ac:dyDescent="0.15">
      <c r="A670" s="10">
        <v>669</v>
      </c>
      <c r="B670" s="9" t="s">
        <v>9</v>
      </c>
      <c r="C670" s="11" t="s">
        <v>10</v>
      </c>
      <c r="D670" s="12">
        <v>45562</v>
      </c>
      <c r="E670" s="14" t="str">
        <f>+HYPERLINK("http://trademark.i-assist.jp/data/china/image_1905th/78336973.pdf","78336973")</f>
        <v>78336973</v>
      </c>
      <c r="F670" s="13" t="s">
        <v>1250</v>
      </c>
      <c r="G670" s="13" t="s">
        <v>1249</v>
      </c>
      <c r="H670" s="13" t="s">
        <v>4673</v>
      </c>
      <c r="I670" s="12">
        <v>45411</v>
      </c>
    </row>
    <row r="671" spans="1:9" x14ac:dyDescent="0.15">
      <c r="A671" s="10">
        <v>670</v>
      </c>
      <c r="B671" s="9" t="s">
        <v>9</v>
      </c>
      <c r="C671" s="11" t="s">
        <v>10</v>
      </c>
      <c r="D671" s="12">
        <v>45562</v>
      </c>
      <c r="E671" s="14" t="str">
        <f>+HYPERLINK("http://trademark.i-assist.jp/data/china/image_1905th/78376432.pdf","78376432")</f>
        <v>78376432</v>
      </c>
      <c r="F671" s="13" t="s">
        <v>1252</v>
      </c>
      <c r="G671" s="13" t="s">
        <v>1251</v>
      </c>
      <c r="H671" s="13" t="s">
        <v>4674</v>
      </c>
      <c r="I671" s="12">
        <v>45418</v>
      </c>
    </row>
    <row r="672" spans="1:9" x14ac:dyDescent="0.15">
      <c r="A672" s="10">
        <v>671</v>
      </c>
      <c r="B672" s="9" t="s">
        <v>9</v>
      </c>
      <c r="C672" s="11" t="s">
        <v>10</v>
      </c>
      <c r="D672" s="12">
        <v>45562</v>
      </c>
      <c r="E672" s="14" t="str">
        <f>+HYPERLINK("http://trademark.i-assist.jp/data/china/image_1905th/78825139.pdf","78825139")</f>
        <v>78825139</v>
      </c>
      <c r="F672" s="13" t="s">
        <v>1254</v>
      </c>
      <c r="G672" s="13" t="s">
        <v>1253</v>
      </c>
      <c r="H672" s="13" t="s">
        <v>4675</v>
      </c>
      <c r="I672" s="12">
        <v>45436</v>
      </c>
    </row>
    <row r="673" spans="1:9" x14ac:dyDescent="0.15">
      <c r="A673" s="10">
        <v>672</v>
      </c>
      <c r="B673" s="9" t="s">
        <v>9</v>
      </c>
      <c r="C673" s="11" t="s">
        <v>10</v>
      </c>
      <c r="D673" s="12">
        <v>45562</v>
      </c>
      <c r="E673" s="14" t="str">
        <f>+HYPERLINK("http://trademark.i-assist.jp/data/china/image_1905th/73231037.pdf","73231037")</f>
        <v>73231037</v>
      </c>
      <c r="F673" s="13" t="s">
        <v>1256</v>
      </c>
      <c r="G673" s="13" t="s">
        <v>1255</v>
      </c>
      <c r="H673" s="13" t="s">
        <v>4676</v>
      </c>
      <c r="I673" s="12">
        <v>45140</v>
      </c>
    </row>
    <row r="674" spans="1:9" x14ac:dyDescent="0.15">
      <c r="A674" s="10">
        <v>673</v>
      </c>
      <c r="B674" s="9" t="s">
        <v>9</v>
      </c>
      <c r="C674" s="11" t="s">
        <v>10</v>
      </c>
      <c r="D674" s="12">
        <v>45562</v>
      </c>
      <c r="E674" s="14" t="str">
        <f>+HYPERLINK("http://trademark.i-assist.jp/data/china/image_1905th/74333061.pdf","74333061")</f>
        <v>74333061</v>
      </c>
      <c r="F674" s="13" t="s">
        <v>1258</v>
      </c>
      <c r="G674" s="13" t="s">
        <v>1257</v>
      </c>
      <c r="H674" s="13" t="s">
        <v>4677</v>
      </c>
      <c r="I674" s="12">
        <v>45196</v>
      </c>
    </row>
    <row r="675" spans="1:9" x14ac:dyDescent="0.15">
      <c r="A675" s="10">
        <v>674</v>
      </c>
      <c r="B675" s="9" t="s">
        <v>9</v>
      </c>
      <c r="C675" s="11" t="s">
        <v>10</v>
      </c>
      <c r="D675" s="12">
        <v>45562</v>
      </c>
      <c r="E675" s="14" t="str">
        <f>+HYPERLINK("http://trademark.i-assist.jp/data/china/image_1905th/79190737.pdf","79190737")</f>
        <v>79190737</v>
      </c>
      <c r="F675" s="13" t="s">
        <v>1260</v>
      </c>
      <c r="G675" s="13" t="s">
        <v>1259</v>
      </c>
      <c r="H675" s="13" t="s">
        <v>4678</v>
      </c>
      <c r="I675" s="12">
        <v>45456</v>
      </c>
    </row>
    <row r="676" spans="1:9" x14ac:dyDescent="0.15">
      <c r="A676" s="10">
        <v>675</v>
      </c>
      <c r="B676" s="9" t="s">
        <v>9</v>
      </c>
      <c r="C676" s="11" t="s">
        <v>10</v>
      </c>
      <c r="D676" s="12">
        <v>45562</v>
      </c>
      <c r="E676" s="14" t="str">
        <f>+HYPERLINK("http://trademark.i-assist.jp/data/china/image_1905th/79195490.pdf","79195490")</f>
        <v>79195490</v>
      </c>
      <c r="F676" s="13" t="s">
        <v>1262</v>
      </c>
      <c r="G676" s="13" t="s">
        <v>1261</v>
      </c>
      <c r="H676" s="13" t="s">
        <v>4679</v>
      </c>
      <c r="I676" s="12">
        <v>45456</v>
      </c>
    </row>
    <row r="677" spans="1:9" x14ac:dyDescent="0.15">
      <c r="A677" s="10">
        <v>676</v>
      </c>
      <c r="B677" s="9" t="s">
        <v>9</v>
      </c>
      <c r="C677" s="11" t="s">
        <v>10</v>
      </c>
      <c r="D677" s="12">
        <v>45562</v>
      </c>
      <c r="E677" s="14" t="str">
        <f>+HYPERLINK("http://trademark.i-assist.jp/data/china/image_1905th/79203851.pdf","79203851")</f>
        <v>79203851</v>
      </c>
      <c r="F677" s="13" t="s">
        <v>1264</v>
      </c>
      <c r="G677" s="13" t="s">
        <v>1263</v>
      </c>
      <c r="H677" s="13" t="s">
        <v>4328</v>
      </c>
      <c r="I677" s="12">
        <v>45456</v>
      </c>
    </row>
    <row r="678" spans="1:9" x14ac:dyDescent="0.15">
      <c r="A678" s="10">
        <v>677</v>
      </c>
      <c r="B678" s="9" t="s">
        <v>9</v>
      </c>
      <c r="C678" s="11" t="s">
        <v>10</v>
      </c>
      <c r="D678" s="12">
        <v>45562</v>
      </c>
      <c r="E678" s="14" t="str">
        <f>+HYPERLINK("http://trademark.i-assist.jp/data/china/image_1905th/79215902.pdf","79215902")</f>
        <v>79215902</v>
      </c>
      <c r="F678" s="13" t="s">
        <v>1266</v>
      </c>
      <c r="G678" s="13" t="s">
        <v>1265</v>
      </c>
      <c r="H678" s="13" t="s">
        <v>4680</v>
      </c>
      <c r="I678" s="12">
        <v>45457</v>
      </c>
    </row>
    <row r="679" spans="1:9" x14ac:dyDescent="0.15">
      <c r="A679" s="10">
        <v>678</v>
      </c>
      <c r="B679" s="9" t="s">
        <v>9</v>
      </c>
      <c r="C679" s="11" t="s">
        <v>10</v>
      </c>
      <c r="D679" s="12">
        <v>45562</v>
      </c>
      <c r="E679" s="14" t="str">
        <f>+HYPERLINK("http://trademark.i-assist.jp/data/china/image_1905th/79221889.pdf","79221889")</f>
        <v>79221889</v>
      </c>
      <c r="F679" s="13" t="s">
        <v>1268</v>
      </c>
      <c r="G679" s="13" t="s">
        <v>1267</v>
      </c>
      <c r="H679" s="13" t="s">
        <v>4681</v>
      </c>
      <c r="I679" s="12">
        <v>45457</v>
      </c>
    </row>
    <row r="680" spans="1:9" x14ac:dyDescent="0.15">
      <c r="A680" s="10">
        <v>679</v>
      </c>
      <c r="B680" s="9" t="s">
        <v>9</v>
      </c>
      <c r="C680" s="11" t="s">
        <v>10</v>
      </c>
      <c r="D680" s="12">
        <v>45562</v>
      </c>
      <c r="E680" s="14" t="str">
        <f>+HYPERLINK("http://trademark.i-assist.jp/data/china/image_1905th/79228439.pdf","79228439")</f>
        <v>79228439</v>
      </c>
      <c r="F680" s="13" t="s">
        <v>1270</v>
      </c>
      <c r="G680" s="13" t="s">
        <v>1269</v>
      </c>
      <c r="H680" s="13" t="s">
        <v>4682</v>
      </c>
      <c r="I680" s="12">
        <v>45457</v>
      </c>
    </row>
    <row r="681" spans="1:9" x14ac:dyDescent="0.15">
      <c r="A681" s="10">
        <v>680</v>
      </c>
      <c r="B681" s="9" t="s">
        <v>9</v>
      </c>
      <c r="C681" s="11" t="s">
        <v>10</v>
      </c>
      <c r="D681" s="12">
        <v>45562</v>
      </c>
      <c r="E681" s="14" t="str">
        <f>+HYPERLINK("http://trademark.i-assist.jp/data/china/image_1905th/79251806.pdf","79251806")</f>
        <v>79251806</v>
      </c>
      <c r="F681" s="13" t="s">
        <v>1272</v>
      </c>
      <c r="G681" s="13" t="s">
        <v>1271</v>
      </c>
      <c r="H681" s="13" t="s">
        <v>4683</v>
      </c>
      <c r="I681" s="12">
        <v>45460</v>
      </c>
    </row>
    <row r="682" spans="1:9" x14ac:dyDescent="0.15">
      <c r="A682" s="10">
        <v>681</v>
      </c>
      <c r="B682" s="9" t="s">
        <v>9</v>
      </c>
      <c r="C682" s="11" t="s">
        <v>10</v>
      </c>
      <c r="D682" s="12">
        <v>45562</v>
      </c>
      <c r="E682" s="14" t="str">
        <f>+HYPERLINK("http://trademark.i-assist.jp/data/china/image_1905th/79263080.pdf","79263080")</f>
        <v>79263080</v>
      </c>
      <c r="F682" s="13" t="s">
        <v>1274</v>
      </c>
      <c r="G682" s="13" t="s">
        <v>1273</v>
      </c>
      <c r="H682" s="13" t="s">
        <v>4684</v>
      </c>
      <c r="I682" s="12">
        <v>45460</v>
      </c>
    </row>
    <row r="683" spans="1:9" x14ac:dyDescent="0.15">
      <c r="A683" s="10">
        <v>682</v>
      </c>
      <c r="B683" s="9" t="s">
        <v>9</v>
      </c>
      <c r="C683" s="11" t="s">
        <v>10</v>
      </c>
      <c r="D683" s="12">
        <v>45562</v>
      </c>
      <c r="E683" s="14" t="str">
        <f>+HYPERLINK("http://trademark.i-assist.jp/data/china/image_1905th/79264908.pdf","79264908")</f>
        <v>79264908</v>
      </c>
      <c r="F683" s="13" t="s">
        <v>1276</v>
      </c>
      <c r="G683" s="13" t="s">
        <v>1275</v>
      </c>
      <c r="H683" s="13" t="s">
        <v>4685</v>
      </c>
      <c r="I683" s="12">
        <v>45460</v>
      </c>
    </row>
    <row r="684" spans="1:9" x14ac:dyDescent="0.15">
      <c r="A684" s="10">
        <v>683</v>
      </c>
      <c r="B684" s="9" t="s">
        <v>9</v>
      </c>
      <c r="C684" s="11" t="s">
        <v>10</v>
      </c>
      <c r="D684" s="12">
        <v>45562</v>
      </c>
      <c r="E684" s="14" t="str">
        <f>+HYPERLINK("http://trademark.i-assist.jp/data/china/image_1905th/79270513.pdf","79270513")</f>
        <v>79270513</v>
      </c>
      <c r="F684" s="13" t="s">
        <v>1277</v>
      </c>
      <c r="G684" s="13" t="s">
        <v>207</v>
      </c>
      <c r="H684" s="13" t="s">
        <v>4241</v>
      </c>
      <c r="I684" s="12">
        <v>45460</v>
      </c>
    </row>
    <row r="685" spans="1:9" x14ac:dyDescent="0.15">
      <c r="A685" s="10">
        <v>684</v>
      </c>
      <c r="B685" s="9" t="s">
        <v>9</v>
      </c>
      <c r="C685" s="11" t="s">
        <v>10</v>
      </c>
      <c r="D685" s="12">
        <v>45562</v>
      </c>
      <c r="E685" s="14" t="str">
        <f>+HYPERLINK("http://trademark.i-assist.jp/data/china/image_1905th/79280572.pdf","79280572")</f>
        <v>79280572</v>
      </c>
      <c r="F685" s="13" t="s">
        <v>1279</v>
      </c>
      <c r="G685" s="13" t="s">
        <v>1278</v>
      </c>
      <c r="H685" s="13" t="s">
        <v>4686</v>
      </c>
      <c r="I685" s="12">
        <v>45461</v>
      </c>
    </row>
    <row r="686" spans="1:9" x14ac:dyDescent="0.15">
      <c r="A686" s="10">
        <v>685</v>
      </c>
      <c r="B686" s="9" t="s">
        <v>9</v>
      </c>
      <c r="C686" s="11" t="s">
        <v>10</v>
      </c>
      <c r="D686" s="12">
        <v>45562</v>
      </c>
      <c r="E686" s="14" t="str">
        <f>+HYPERLINK("http://trademark.i-assist.jp/data/china/image_1905th/79290819.pdf","79290819")</f>
        <v>79290819</v>
      </c>
      <c r="F686" s="13" t="s">
        <v>1281</v>
      </c>
      <c r="G686" s="13" t="s">
        <v>1280</v>
      </c>
      <c r="H686" s="13" t="s">
        <v>4687</v>
      </c>
      <c r="I686" s="12">
        <v>45461</v>
      </c>
    </row>
    <row r="687" spans="1:9" x14ac:dyDescent="0.15">
      <c r="A687" s="10">
        <v>686</v>
      </c>
      <c r="B687" s="9" t="s">
        <v>9</v>
      </c>
      <c r="C687" s="11" t="s">
        <v>10</v>
      </c>
      <c r="D687" s="12">
        <v>45562</v>
      </c>
      <c r="E687" s="14" t="str">
        <f>+HYPERLINK("http://trademark.i-assist.jp/data/china/image_1905th/79296850.pdf","79296850")</f>
        <v>79296850</v>
      </c>
      <c r="F687" s="13" t="s">
        <v>1283</v>
      </c>
      <c r="G687" s="13" t="s">
        <v>1282</v>
      </c>
      <c r="H687" s="13" t="s">
        <v>4688</v>
      </c>
      <c r="I687" s="12">
        <v>45461</v>
      </c>
    </row>
    <row r="688" spans="1:9" x14ac:dyDescent="0.15">
      <c r="A688" s="10">
        <v>687</v>
      </c>
      <c r="B688" s="9" t="s">
        <v>9</v>
      </c>
      <c r="C688" s="11" t="s">
        <v>10</v>
      </c>
      <c r="D688" s="12">
        <v>45562</v>
      </c>
      <c r="E688" s="14" t="str">
        <f>+HYPERLINK("http://trademark.i-assist.jp/data/china/image_1905th/79301936.pdf","79301936")</f>
        <v>79301936</v>
      </c>
      <c r="F688" s="13" t="s">
        <v>1285</v>
      </c>
      <c r="G688" s="13" t="s">
        <v>1284</v>
      </c>
      <c r="H688" s="13" t="s">
        <v>4689</v>
      </c>
      <c r="I688" s="12">
        <v>45462</v>
      </c>
    </row>
    <row r="689" spans="1:9" x14ac:dyDescent="0.15">
      <c r="A689" s="10">
        <v>688</v>
      </c>
      <c r="B689" s="9" t="s">
        <v>9</v>
      </c>
      <c r="C689" s="11" t="s">
        <v>10</v>
      </c>
      <c r="D689" s="12">
        <v>45562</v>
      </c>
      <c r="E689" s="14" t="str">
        <f>+HYPERLINK("http://trademark.i-assist.jp/data/china/image_1905th/79307784.pdf","79307784")</f>
        <v>79307784</v>
      </c>
      <c r="F689" s="13" t="s">
        <v>1287</v>
      </c>
      <c r="G689" s="13" t="s">
        <v>1286</v>
      </c>
      <c r="H689" s="13" t="s">
        <v>4690</v>
      </c>
      <c r="I689" s="12">
        <v>45462</v>
      </c>
    </row>
    <row r="690" spans="1:9" x14ac:dyDescent="0.15">
      <c r="A690" s="10">
        <v>689</v>
      </c>
      <c r="B690" s="9" t="s">
        <v>9</v>
      </c>
      <c r="C690" s="11" t="s">
        <v>10</v>
      </c>
      <c r="D690" s="12">
        <v>45562</v>
      </c>
      <c r="E690" s="14" t="str">
        <f>+HYPERLINK("http://trademark.i-assist.jp/data/china/image_1905th/79325796.pdf","79325796")</f>
        <v>79325796</v>
      </c>
      <c r="F690" s="13" t="s">
        <v>1289</v>
      </c>
      <c r="G690" s="13" t="s">
        <v>1288</v>
      </c>
      <c r="H690" s="13" t="s">
        <v>4691</v>
      </c>
      <c r="I690" s="12">
        <v>45463</v>
      </c>
    </row>
    <row r="691" spans="1:9" x14ac:dyDescent="0.15">
      <c r="A691" s="10">
        <v>690</v>
      </c>
      <c r="B691" s="9" t="s">
        <v>9</v>
      </c>
      <c r="C691" s="11" t="s">
        <v>10</v>
      </c>
      <c r="D691" s="12">
        <v>45562</v>
      </c>
      <c r="E691" s="14" t="str">
        <f>+HYPERLINK("http://trademark.i-assist.jp/data/china/image_1905th/79336966.pdf","79336966")</f>
        <v>79336966</v>
      </c>
      <c r="F691" s="13" t="s">
        <v>1291</v>
      </c>
      <c r="G691" s="13" t="s">
        <v>1290</v>
      </c>
      <c r="H691" s="13" t="s">
        <v>4692</v>
      </c>
      <c r="I691" s="12">
        <v>45463</v>
      </c>
    </row>
    <row r="692" spans="1:9" x14ac:dyDescent="0.15">
      <c r="A692" s="10">
        <v>691</v>
      </c>
      <c r="B692" s="9" t="s">
        <v>9</v>
      </c>
      <c r="C692" s="11" t="s">
        <v>10</v>
      </c>
      <c r="D692" s="12">
        <v>45562</v>
      </c>
      <c r="E692" s="14" t="str">
        <f>+HYPERLINK("http://trademark.i-assist.jp/data/china/image_1905th/79351914.pdf","79351914")</f>
        <v>79351914</v>
      </c>
      <c r="F692" s="13" t="s">
        <v>1293</v>
      </c>
      <c r="G692" s="13" t="s">
        <v>1292</v>
      </c>
      <c r="H692" s="13" t="s">
        <v>4245</v>
      </c>
      <c r="I692" s="12">
        <v>45464</v>
      </c>
    </row>
    <row r="693" spans="1:9" x14ac:dyDescent="0.15">
      <c r="A693" s="10">
        <v>692</v>
      </c>
      <c r="B693" s="9" t="s">
        <v>9</v>
      </c>
      <c r="C693" s="11" t="s">
        <v>10</v>
      </c>
      <c r="D693" s="12">
        <v>45562</v>
      </c>
      <c r="E693" s="14" t="str">
        <f>+HYPERLINK("http://trademark.i-assist.jp/data/china/image_1905th/79373688.pdf","79373688")</f>
        <v>79373688</v>
      </c>
      <c r="F693" s="13" t="s">
        <v>1294</v>
      </c>
      <c r="G693" s="13" t="s">
        <v>891</v>
      </c>
      <c r="H693" s="13" t="s">
        <v>4545</v>
      </c>
      <c r="I693" s="12">
        <v>45464</v>
      </c>
    </row>
    <row r="694" spans="1:9" x14ac:dyDescent="0.15">
      <c r="A694" s="10">
        <v>693</v>
      </c>
      <c r="B694" s="9" t="s">
        <v>9</v>
      </c>
      <c r="C694" s="11" t="s">
        <v>10</v>
      </c>
      <c r="D694" s="12">
        <v>45562</v>
      </c>
      <c r="E694" s="14" t="str">
        <f>+HYPERLINK("http://trademark.i-assist.jp/data/china/image_1905th/79379610.pdf","79379610")</f>
        <v>79379610</v>
      </c>
      <c r="F694" s="13" t="s">
        <v>1296</v>
      </c>
      <c r="G694" s="13" t="s">
        <v>1295</v>
      </c>
      <c r="H694" s="13" t="s">
        <v>4253</v>
      </c>
      <c r="I694" s="12">
        <v>45465</v>
      </c>
    </row>
    <row r="695" spans="1:9" x14ac:dyDescent="0.15">
      <c r="A695" s="10">
        <v>694</v>
      </c>
      <c r="B695" s="9" t="s">
        <v>9</v>
      </c>
      <c r="C695" s="11" t="s">
        <v>10</v>
      </c>
      <c r="D695" s="12">
        <v>45562</v>
      </c>
      <c r="E695" s="14" t="str">
        <f>+HYPERLINK("http://trademark.i-assist.jp/data/china/image_1905th/79385442.pdf","79385442")</f>
        <v>79385442</v>
      </c>
      <c r="F695" s="13" t="s">
        <v>1298</v>
      </c>
      <c r="G695" s="13" t="s">
        <v>1297</v>
      </c>
      <c r="H695" s="13" t="s">
        <v>4693</v>
      </c>
      <c r="I695" s="12">
        <v>45467</v>
      </c>
    </row>
    <row r="696" spans="1:9" x14ac:dyDescent="0.15">
      <c r="A696" s="10">
        <v>695</v>
      </c>
      <c r="B696" s="9" t="s">
        <v>9</v>
      </c>
      <c r="C696" s="11" t="s">
        <v>10</v>
      </c>
      <c r="D696" s="12">
        <v>45562</v>
      </c>
      <c r="E696" s="14" t="str">
        <f>+HYPERLINK("http://trademark.i-assist.jp/data/china/image_1905th/79388475.pdf","79388475")</f>
        <v>79388475</v>
      </c>
      <c r="F696" s="13" t="s">
        <v>1300</v>
      </c>
      <c r="G696" s="13" t="s">
        <v>1299</v>
      </c>
      <c r="H696" s="13" t="s">
        <v>4174</v>
      </c>
      <c r="I696" s="12">
        <v>45467</v>
      </c>
    </row>
    <row r="697" spans="1:9" x14ac:dyDescent="0.15">
      <c r="A697" s="10">
        <v>696</v>
      </c>
      <c r="B697" s="9" t="s">
        <v>9</v>
      </c>
      <c r="C697" s="11" t="s">
        <v>10</v>
      </c>
      <c r="D697" s="12">
        <v>45562</v>
      </c>
      <c r="E697" s="14" t="str">
        <f>+HYPERLINK("http://trademark.i-assist.jp/data/china/image_1905th/78958735.pdf","78958735")</f>
        <v>78958735</v>
      </c>
      <c r="F697" s="13" t="s">
        <v>1302</v>
      </c>
      <c r="G697" s="13" t="s">
        <v>1301</v>
      </c>
      <c r="H697" s="13" t="s">
        <v>4694</v>
      </c>
      <c r="I697" s="12">
        <v>45443</v>
      </c>
    </row>
    <row r="698" spans="1:9" x14ac:dyDescent="0.15">
      <c r="A698" s="10">
        <v>697</v>
      </c>
      <c r="B698" s="9" t="s">
        <v>9</v>
      </c>
      <c r="C698" s="11" t="s">
        <v>10</v>
      </c>
      <c r="D698" s="12">
        <v>45562</v>
      </c>
      <c r="E698" s="14" t="str">
        <f>+HYPERLINK("http://trademark.i-assist.jp/data/china/image_1905th/79023464.pdf","79023464")</f>
        <v>79023464</v>
      </c>
      <c r="F698" s="13" t="s">
        <v>1304</v>
      </c>
      <c r="G698" s="13" t="s">
        <v>1303</v>
      </c>
      <c r="H698" s="13" t="s">
        <v>4695</v>
      </c>
      <c r="I698" s="12">
        <v>45447</v>
      </c>
    </row>
    <row r="699" spans="1:9" x14ac:dyDescent="0.15">
      <c r="A699" s="10">
        <v>698</v>
      </c>
      <c r="B699" s="9" t="s">
        <v>9</v>
      </c>
      <c r="C699" s="11" t="s">
        <v>10</v>
      </c>
      <c r="D699" s="12">
        <v>45562</v>
      </c>
      <c r="E699" s="14" t="str">
        <f>+HYPERLINK("http://trademark.i-assist.jp/data/china/image_1905th/79043048.pdf","79043048")</f>
        <v>79043048</v>
      </c>
      <c r="F699" s="13" t="s">
        <v>1306</v>
      </c>
      <c r="G699" s="13" t="s">
        <v>1305</v>
      </c>
      <c r="H699" s="13" t="s">
        <v>4696</v>
      </c>
      <c r="I699" s="12">
        <v>45448</v>
      </c>
    </row>
    <row r="700" spans="1:9" x14ac:dyDescent="0.15">
      <c r="A700" s="10">
        <v>699</v>
      </c>
      <c r="B700" s="9" t="s">
        <v>9</v>
      </c>
      <c r="C700" s="11" t="s">
        <v>10</v>
      </c>
      <c r="D700" s="12">
        <v>45562</v>
      </c>
      <c r="E700" s="14" t="str">
        <f>+HYPERLINK("http://trademark.i-assist.jp/data/china/image_1905th/79044216.pdf","79044216")</f>
        <v>79044216</v>
      </c>
      <c r="F700" s="13" t="s">
        <v>1307</v>
      </c>
      <c r="G700" s="13" t="s">
        <v>1305</v>
      </c>
      <c r="H700" s="13" t="s">
        <v>4696</v>
      </c>
      <c r="I700" s="12">
        <v>45448</v>
      </c>
    </row>
    <row r="701" spans="1:9" x14ac:dyDescent="0.15">
      <c r="A701" s="10">
        <v>700</v>
      </c>
      <c r="B701" s="9" t="s">
        <v>9</v>
      </c>
      <c r="C701" s="11" t="s">
        <v>10</v>
      </c>
      <c r="D701" s="12">
        <v>45562</v>
      </c>
      <c r="E701" s="14" t="str">
        <f>+HYPERLINK("http://trademark.i-assist.jp/data/china/image_1905th/79085070.pdf","79085070")</f>
        <v>79085070</v>
      </c>
      <c r="F701" s="13" t="s">
        <v>1309</v>
      </c>
      <c r="G701" s="13" t="s">
        <v>1308</v>
      </c>
      <c r="H701" s="13" t="s">
        <v>4697</v>
      </c>
      <c r="I701" s="12">
        <v>45449</v>
      </c>
    </row>
    <row r="702" spans="1:9" x14ac:dyDescent="0.15">
      <c r="A702" s="10">
        <v>701</v>
      </c>
      <c r="B702" s="9" t="s">
        <v>9</v>
      </c>
      <c r="C702" s="11" t="s">
        <v>10</v>
      </c>
      <c r="D702" s="12">
        <v>45562</v>
      </c>
      <c r="E702" s="14" t="str">
        <f>+HYPERLINK("http://trademark.i-assist.jp/data/china/image_1905th/79095631.pdf","79095631")</f>
        <v>79095631</v>
      </c>
      <c r="F702" s="13" t="s">
        <v>1311</v>
      </c>
      <c r="G702" s="13" t="s">
        <v>1310</v>
      </c>
      <c r="H702" s="13" t="s">
        <v>4698</v>
      </c>
      <c r="I702" s="12">
        <v>45450</v>
      </c>
    </row>
    <row r="703" spans="1:9" x14ac:dyDescent="0.15">
      <c r="A703" s="10">
        <v>702</v>
      </c>
      <c r="B703" s="9" t="s">
        <v>9</v>
      </c>
      <c r="C703" s="11" t="s">
        <v>10</v>
      </c>
      <c r="D703" s="12">
        <v>45562</v>
      </c>
      <c r="E703" s="14" t="str">
        <f>+HYPERLINK("http://trademark.i-assist.jp/data/china/image_1905th/79137900.pdf","79137900")</f>
        <v>79137900</v>
      </c>
      <c r="F703" s="13" t="s">
        <v>1313</v>
      </c>
      <c r="G703" s="13" t="s">
        <v>1312</v>
      </c>
      <c r="H703" s="13" t="s">
        <v>4699</v>
      </c>
      <c r="I703" s="12">
        <v>45454</v>
      </c>
    </row>
    <row r="704" spans="1:9" x14ac:dyDescent="0.15">
      <c r="A704" s="10">
        <v>703</v>
      </c>
      <c r="B704" s="9" t="s">
        <v>9</v>
      </c>
      <c r="C704" s="11" t="s">
        <v>10</v>
      </c>
      <c r="D704" s="12">
        <v>45562</v>
      </c>
      <c r="E704" s="14" t="str">
        <f>+HYPERLINK("http://trademark.i-assist.jp/data/china/image_1905th/79151425.pdf","79151425")</f>
        <v>79151425</v>
      </c>
      <c r="F704" s="13" t="s">
        <v>1315</v>
      </c>
      <c r="G704" s="13" t="s">
        <v>1314</v>
      </c>
      <c r="H704" s="13" t="s">
        <v>4700</v>
      </c>
      <c r="I704" s="12">
        <v>45454</v>
      </c>
    </row>
    <row r="705" spans="1:9" x14ac:dyDescent="0.15">
      <c r="A705" s="10">
        <v>704</v>
      </c>
      <c r="B705" s="9" t="s">
        <v>9</v>
      </c>
      <c r="C705" s="11" t="s">
        <v>10</v>
      </c>
      <c r="D705" s="12">
        <v>45562</v>
      </c>
      <c r="E705" s="14" t="str">
        <f>+HYPERLINK("http://trademark.i-assist.jp/data/china/image_1905th/79152473.pdf","79152473")</f>
        <v>79152473</v>
      </c>
      <c r="F705" s="13" t="s">
        <v>1317</v>
      </c>
      <c r="G705" s="13" t="s">
        <v>1316</v>
      </c>
      <c r="H705" s="13" t="s">
        <v>4701</v>
      </c>
      <c r="I705" s="12">
        <v>45454</v>
      </c>
    </row>
    <row r="706" spans="1:9" x14ac:dyDescent="0.15">
      <c r="A706" s="10">
        <v>705</v>
      </c>
      <c r="B706" s="9" t="s">
        <v>9</v>
      </c>
      <c r="C706" s="11" t="s">
        <v>10</v>
      </c>
      <c r="D706" s="12">
        <v>45562</v>
      </c>
      <c r="E706" s="14" t="str">
        <f>+HYPERLINK("http://trademark.i-assist.jp/data/china/image_1905th/76307482.pdf","76307482")</f>
        <v>76307482</v>
      </c>
      <c r="F706" s="13" t="s">
        <v>1319</v>
      </c>
      <c r="G706" s="13" t="s">
        <v>1318</v>
      </c>
      <c r="H706" s="13" t="s">
        <v>4702</v>
      </c>
      <c r="I706" s="12">
        <v>45301</v>
      </c>
    </row>
    <row r="707" spans="1:9" x14ac:dyDescent="0.15">
      <c r="A707" s="10">
        <v>706</v>
      </c>
      <c r="B707" s="9" t="s">
        <v>9</v>
      </c>
      <c r="C707" s="11" t="s">
        <v>10</v>
      </c>
      <c r="D707" s="12">
        <v>45562</v>
      </c>
      <c r="E707" s="14" t="str">
        <f>+HYPERLINK("http://trademark.i-assist.jp/data/china/image_1905th/77321572.pdf","77321572")</f>
        <v>77321572</v>
      </c>
      <c r="F707" s="13" t="s">
        <v>1321</v>
      </c>
      <c r="G707" s="13" t="s">
        <v>1320</v>
      </c>
      <c r="H707" s="13" t="s">
        <v>4703</v>
      </c>
      <c r="I707" s="12">
        <v>45366</v>
      </c>
    </row>
    <row r="708" spans="1:9" x14ac:dyDescent="0.15">
      <c r="A708" s="10">
        <v>707</v>
      </c>
      <c r="B708" s="9" t="s">
        <v>9</v>
      </c>
      <c r="C708" s="11" t="s">
        <v>10</v>
      </c>
      <c r="D708" s="12">
        <v>45562</v>
      </c>
      <c r="E708" s="14" t="str">
        <f>+HYPERLINK("http://trademark.i-assist.jp/data/china/image_1905th/77748946.pdf","77748946")</f>
        <v>77748946</v>
      </c>
      <c r="F708" s="13" t="s">
        <v>1323</v>
      </c>
      <c r="G708" s="13" t="s">
        <v>1322</v>
      </c>
      <c r="H708" s="13" t="s">
        <v>4704</v>
      </c>
      <c r="I708" s="12">
        <v>45385</v>
      </c>
    </row>
    <row r="709" spans="1:9" x14ac:dyDescent="0.15">
      <c r="A709" s="10">
        <v>708</v>
      </c>
      <c r="B709" s="9" t="s">
        <v>9</v>
      </c>
      <c r="C709" s="11" t="s">
        <v>10</v>
      </c>
      <c r="D709" s="12">
        <v>45562</v>
      </c>
      <c r="E709" s="14" t="str">
        <f>+HYPERLINK("http://trademark.i-assist.jp/data/china/image_1905th/79831486.pdf","79831486")</f>
        <v>79831486</v>
      </c>
      <c r="F709" s="13" t="s">
        <v>1324</v>
      </c>
      <c r="G709" s="13" t="s">
        <v>279</v>
      </c>
      <c r="H709" s="13" t="s">
        <v>4273</v>
      </c>
      <c r="I709" s="12">
        <v>45489</v>
      </c>
    </row>
    <row r="710" spans="1:9" x14ac:dyDescent="0.15">
      <c r="A710" s="10">
        <v>709</v>
      </c>
      <c r="B710" s="9" t="s">
        <v>9</v>
      </c>
      <c r="C710" s="11" t="s">
        <v>10</v>
      </c>
      <c r="D710" s="12">
        <v>45562</v>
      </c>
      <c r="E710" s="14" t="str">
        <f>+HYPERLINK("http://trademark.i-assist.jp/data/china/image_1905th/79834098.pdf","79834098")</f>
        <v>79834098</v>
      </c>
      <c r="F710" s="13" t="s">
        <v>1325</v>
      </c>
      <c r="G710" s="13" t="s">
        <v>715</v>
      </c>
      <c r="H710" s="13" t="s">
        <v>4469</v>
      </c>
      <c r="I710" s="12">
        <v>45490</v>
      </c>
    </row>
    <row r="711" spans="1:9" x14ac:dyDescent="0.15">
      <c r="A711" s="10">
        <v>710</v>
      </c>
      <c r="B711" s="9" t="s">
        <v>9</v>
      </c>
      <c r="C711" s="11" t="s">
        <v>10</v>
      </c>
      <c r="D711" s="12">
        <v>45562</v>
      </c>
      <c r="E711" s="14" t="str">
        <f>+HYPERLINK("http://trademark.i-assist.jp/data/china/image_1905th/79836942.pdf","79836942")</f>
        <v>79836942</v>
      </c>
      <c r="F711" s="13" t="s">
        <v>1327</v>
      </c>
      <c r="G711" s="13" t="s">
        <v>1326</v>
      </c>
      <c r="H711" s="13" t="s">
        <v>4705</v>
      </c>
      <c r="I711" s="12">
        <v>45490</v>
      </c>
    </row>
    <row r="712" spans="1:9" x14ac:dyDescent="0.15">
      <c r="A712" s="10">
        <v>711</v>
      </c>
      <c r="B712" s="9" t="s">
        <v>9</v>
      </c>
      <c r="C712" s="11" t="s">
        <v>10</v>
      </c>
      <c r="D712" s="12">
        <v>45562</v>
      </c>
      <c r="E712" s="14" t="str">
        <f>+HYPERLINK("http://trademark.i-assist.jp/data/china/image_1905th/79846587.pdf","79846587")</f>
        <v>79846587</v>
      </c>
      <c r="F712" s="13" t="s">
        <v>1329</v>
      </c>
      <c r="G712" s="13" t="s">
        <v>1328</v>
      </c>
      <c r="H712" s="13" t="s">
        <v>4706</v>
      </c>
      <c r="I712" s="12">
        <v>45490</v>
      </c>
    </row>
    <row r="713" spans="1:9" x14ac:dyDescent="0.15">
      <c r="A713" s="10">
        <v>712</v>
      </c>
      <c r="B713" s="9" t="s">
        <v>9</v>
      </c>
      <c r="C713" s="11" t="s">
        <v>10</v>
      </c>
      <c r="D713" s="12">
        <v>45562</v>
      </c>
      <c r="E713" s="14" t="str">
        <f>+HYPERLINK("http://trademark.i-assist.jp/data/china/image_1905th/79873496.pdf","79873496")</f>
        <v>79873496</v>
      </c>
      <c r="F713" s="13" t="s">
        <v>1331</v>
      </c>
      <c r="G713" s="13" t="s">
        <v>1330</v>
      </c>
      <c r="H713" s="13" t="s">
        <v>4707</v>
      </c>
      <c r="I713" s="12">
        <v>45491</v>
      </c>
    </row>
    <row r="714" spans="1:9" x14ac:dyDescent="0.15">
      <c r="A714" s="10">
        <v>713</v>
      </c>
      <c r="B714" s="9" t="s">
        <v>9</v>
      </c>
      <c r="C714" s="11" t="s">
        <v>10</v>
      </c>
      <c r="D714" s="12">
        <v>45562</v>
      </c>
      <c r="E714" s="14" t="str">
        <f>+HYPERLINK("http://trademark.i-assist.jp/data/china/image_1905th/79881210.pdf","79881210")</f>
        <v>79881210</v>
      </c>
      <c r="F714" s="13" t="s">
        <v>1333</v>
      </c>
      <c r="G714" s="13" t="s">
        <v>1332</v>
      </c>
      <c r="H714" s="13" t="s">
        <v>4708</v>
      </c>
      <c r="I714" s="12">
        <v>45491</v>
      </c>
    </row>
    <row r="715" spans="1:9" x14ac:dyDescent="0.15">
      <c r="A715" s="10">
        <v>714</v>
      </c>
      <c r="B715" s="9" t="s">
        <v>9</v>
      </c>
      <c r="C715" s="11" t="s">
        <v>10</v>
      </c>
      <c r="D715" s="12">
        <v>45562</v>
      </c>
      <c r="E715" s="14" t="str">
        <f>+HYPERLINK("http://trademark.i-assist.jp/data/china/image_1905th/74878389.pdf","74878389")</f>
        <v>74878389</v>
      </c>
      <c r="F715" s="13" t="s">
        <v>1335</v>
      </c>
      <c r="G715" s="13" t="s">
        <v>1334</v>
      </c>
      <c r="H715" s="13" t="s">
        <v>4709</v>
      </c>
      <c r="I715" s="12">
        <v>45230</v>
      </c>
    </row>
    <row r="716" spans="1:9" x14ac:dyDescent="0.15">
      <c r="A716" s="10">
        <v>715</v>
      </c>
      <c r="B716" s="9" t="s">
        <v>9</v>
      </c>
      <c r="C716" s="11" t="s">
        <v>10</v>
      </c>
      <c r="D716" s="12">
        <v>45562</v>
      </c>
      <c r="E716" s="14" t="str">
        <f>+HYPERLINK("http://trademark.i-assist.jp/data/china/image_1905th/75241311.pdf","75241311")</f>
        <v>75241311</v>
      </c>
      <c r="F716" s="13" t="s">
        <v>1337</v>
      </c>
      <c r="G716" s="13" t="s">
        <v>1336</v>
      </c>
      <c r="H716" s="13" t="s">
        <v>4710</v>
      </c>
      <c r="I716" s="12">
        <v>45247</v>
      </c>
    </row>
    <row r="717" spans="1:9" x14ac:dyDescent="0.15">
      <c r="A717" s="10">
        <v>716</v>
      </c>
      <c r="B717" s="9" t="s">
        <v>9</v>
      </c>
      <c r="C717" s="11" t="s">
        <v>10</v>
      </c>
      <c r="D717" s="12">
        <v>45562</v>
      </c>
      <c r="E717" s="14" t="str">
        <f>+HYPERLINK("http://trademark.i-assist.jp/data/china/image_1905th/75784565.pdf","75784565")</f>
        <v>75784565</v>
      </c>
      <c r="F717" s="13" t="s">
        <v>1339</v>
      </c>
      <c r="G717" s="13" t="s">
        <v>1338</v>
      </c>
      <c r="H717" s="13" t="s">
        <v>4711</v>
      </c>
      <c r="I717" s="12">
        <v>45274</v>
      </c>
    </row>
    <row r="718" spans="1:9" x14ac:dyDescent="0.15">
      <c r="A718" s="10">
        <v>717</v>
      </c>
      <c r="B718" s="9" t="s">
        <v>9</v>
      </c>
      <c r="C718" s="11" t="s">
        <v>10</v>
      </c>
      <c r="D718" s="12">
        <v>45562</v>
      </c>
      <c r="E718" s="14" t="str">
        <f>+HYPERLINK("http://trademark.i-assist.jp/data/china/image_1905th/77256431.pdf","77256431")</f>
        <v>77256431</v>
      </c>
      <c r="F718" s="13" t="s">
        <v>1341</v>
      </c>
      <c r="G718" s="13" t="s">
        <v>1340</v>
      </c>
      <c r="H718" s="13" t="s">
        <v>4712</v>
      </c>
      <c r="I718" s="12">
        <v>45363</v>
      </c>
    </row>
    <row r="719" spans="1:9" x14ac:dyDescent="0.15">
      <c r="A719" s="10">
        <v>718</v>
      </c>
      <c r="B719" s="9" t="s">
        <v>9</v>
      </c>
      <c r="C719" s="11" t="s">
        <v>10</v>
      </c>
      <c r="D719" s="12">
        <v>45562</v>
      </c>
      <c r="E719" s="14" t="str">
        <f>+HYPERLINK("http://trademark.i-assist.jp/data/china/image_1905th/67677205.pdf","67677205")</f>
        <v>67677205</v>
      </c>
      <c r="F719" s="13" t="s">
        <v>1343</v>
      </c>
      <c r="G719" s="13" t="s">
        <v>1342</v>
      </c>
      <c r="H719" s="13" t="s">
        <v>4713</v>
      </c>
      <c r="I719" s="12">
        <v>44846</v>
      </c>
    </row>
    <row r="720" spans="1:9" x14ac:dyDescent="0.15">
      <c r="A720" s="10">
        <v>719</v>
      </c>
      <c r="B720" s="9" t="s">
        <v>9</v>
      </c>
      <c r="C720" s="11" t="s">
        <v>10</v>
      </c>
      <c r="D720" s="12">
        <v>45562</v>
      </c>
      <c r="E720" s="14" t="str">
        <f>+HYPERLINK("http://trademark.i-assist.jp/data/china/image_1905th/67715549.pdf","67715549")</f>
        <v>67715549</v>
      </c>
      <c r="F720" s="13" t="s">
        <v>1345</v>
      </c>
      <c r="G720" s="13" t="s">
        <v>1344</v>
      </c>
      <c r="H720" s="13" t="s">
        <v>4714</v>
      </c>
      <c r="I720" s="12">
        <v>44847</v>
      </c>
    </row>
    <row r="721" spans="1:9" x14ac:dyDescent="0.15">
      <c r="A721" s="10">
        <v>720</v>
      </c>
      <c r="B721" s="9" t="s">
        <v>9</v>
      </c>
      <c r="C721" s="11" t="s">
        <v>10</v>
      </c>
      <c r="D721" s="12">
        <v>45562</v>
      </c>
      <c r="E721" s="14" t="str">
        <f>+HYPERLINK("http://trademark.i-assist.jp/data/china/image_1905th/67781958.pdf","67781958")</f>
        <v>67781958</v>
      </c>
      <c r="F721" s="13" t="s">
        <v>1346</v>
      </c>
      <c r="G721" s="13" t="s">
        <v>878</v>
      </c>
      <c r="H721" s="13" t="s">
        <v>4540</v>
      </c>
      <c r="I721" s="12">
        <v>44851</v>
      </c>
    </row>
    <row r="722" spans="1:9" x14ac:dyDescent="0.15">
      <c r="A722" s="10">
        <v>721</v>
      </c>
      <c r="B722" s="9" t="s">
        <v>9</v>
      </c>
      <c r="C722" s="11" t="s">
        <v>10</v>
      </c>
      <c r="D722" s="12">
        <v>45562</v>
      </c>
      <c r="E722" s="14" t="str">
        <f>+HYPERLINK("http://trademark.i-assist.jp/data/china/image_1905th/68997533.pdf","68997533")</f>
        <v>68997533</v>
      </c>
      <c r="F722" s="13" t="s">
        <v>1348</v>
      </c>
      <c r="G722" s="13" t="s">
        <v>1347</v>
      </c>
      <c r="H722" s="13" t="s">
        <v>4715</v>
      </c>
      <c r="I722" s="12">
        <v>44921</v>
      </c>
    </row>
    <row r="723" spans="1:9" x14ac:dyDescent="0.15">
      <c r="A723" s="10">
        <v>722</v>
      </c>
      <c r="B723" s="9" t="s">
        <v>9</v>
      </c>
      <c r="C723" s="11" t="s">
        <v>10</v>
      </c>
      <c r="D723" s="12">
        <v>45562</v>
      </c>
      <c r="E723" s="14" t="str">
        <f>+HYPERLINK("http://trademark.i-assist.jp/data/china/image_1905th/72543838.pdf","72543838")</f>
        <v>72543838</v>
      </c>
      <c r="F723" s="13" t="s">
        <v>1350</v>
      </c>
      <c r="G723" s="13" t="s">
        <v>1349</v>
      </c>
      <c r="H723" s="13" t="s">
        <v>4716</v>
      </c>
      <c r="I723" s="12">
        <v>45107</v>
      </c>
    </row>
    <row r="724" spans="1:9" x14ac:dyDescent="0.15">
      <c r="A724" s="10">
        <v>723</v>
      </c>
      <c r="B724" s="9" t="s">
        <v>9</v>
      </c>
      <c r="C724" s="11" t="s">
        <v>10</v>
      </c>
      <c r="D724" s="12">
        <v>45562</v>
      </c>
      <c r="E724" s="14" t="str">
        <f>+HYPERLINK("http://trademark.i-assist.jp/data/china/image_1905th/74163980.pdf","74163980")</f>
        <v>74163980</v>
      </c>
      <c r="F724" s="13" t="s">
        <v>1352</v>
      </c>
      <c r="G724" s="13" t="s">
        <v>1351</v>
      </c>
      <c r="H724" s="13" t="s">
        <v>4717</v>
      </c>
      <c r="I724" s="12">
        <v>45188</v>
      </c>
    </row>
    <row r="725" spans="1:9" x14ac:dyDescent="0.15">
      <c r="A725" s="10">
        <v>724</v>
      </c>
      <c r="B725" s="9" t="s">
        <v>9</v>
      </c>
      <c r="C725" s="11" t="s">
        <v>10</v>
      </c>
      <c r="D725" s="12">
        <v>45562</v>
      </c>
      <c r="E725" s="14" t="str">
        <f>+HYPERLINK("http://trademark.i-assist.jp/data/china/image_1905th/78918916.pdf","78918916")</f>
        <v>78918916</v>
      </c>
      <c r="F725" s="13" t="s">
        <v>1354</v>
      </c>
      <c r="G725" s="13" t="s">
        <v>1353</v>
      </c>
      <c r="H725" s="13" t="s">
        <v>4227</v>
      </c>
      <c r="I725" s="12">
        <v>45441</v>
      </c>
    </row>
    <row r="726" spans="1:9" x14ac:dyDescent="0.15">
      <c r="A726" s="10">
        <v>725</v>
      </c>
      <c r="B726" s="9" t="s">
        <v>9</v>
      </c>
      <c r="C726" s="11" t="s">
        <v>10</v>
      </c>
      <c r="D726" s="12">
        <v>45562</v>
      </c>
      <c r="E726" s="14" t="str">
        <f>+HYPERLINK("http://trademark.i-assist.jp/data/china/image_1905th/79047619.pdf","79047619")</f>
        <v>79047619</v>
      </c>
      <c r="F726" s="13" t="s">
        <v>1355</v>
      </c>
      <c r="G726" s="13" t="s">
        <v>1305</v>
      </c>
      <c r="H726" s="13" t="s">
        <v>4696</v>
      </c>
      <c r="I726" s="12">
        <v>45448</v>
      </c>
    </row>
    <row r="727" spans="1:9" x14ac:dyDescent="0.15">
      <c r="A727" s="10">
        <v>726</v>
      </c>
      <c r="B727" s="9" t="s">
        <v>9</v>
      </c>
      <c r="C727" s="11" t="s">
        <v>10</v>
      </c>
      <c r="D727" s="12">
        <v>45562</v>
      </c>
      <c r="E727" s="14" t="str">
        <f>+HYPERLINK("http://trademark.i-assist.jp/data/china/image_1905th/79077317.pdf","79077317")</f>
        <v>79077317</v>
      </c>
      <c r="F727" s="13" t="s">
        <v>1357</v>
      </c>
      <c r="G727" s="13" t="s">
        <v>1356</v>
      </c>
      <c r="H727" s="13" t="s">
        <v>4718</v>
      </c>
      <c r="I727" s="12">
        <v>45449</v>
      </c>
    </row>
    <row r="728" spans="1:9" x14ac:dyDescent="0.15">
      <c r="A728" s="10">
        <v>727</v>
      </c>
      <c r="B728" s="9" t="s">
        <v>9</v>
      </c>
      <c r="C728" s="11" t="s">
        <v>10</v>
      </c>
      <c r="D728" s="12">
        <v>45562</v>
      </c>
      <c r="E728" s="14" t="str">
        <f>+HYPERLINK("http://trademark.i-assist.jp/data/china/image_1905th/79115304.pdf","79115304")</f>
        <v>79115304</v>
      </c>
      <c r="F728" s="13" t="s">
        <v>1359</v>
      </c>
      <c r="G728" s="13" t="s">
        <v>1358</v>
      </c>
      <c r="H728" s="13" t="s">
        <v>4719</v>
      </c>
      <c r="I728" s="12">
        <v>45450</v>
      </c>
    </row>
    <row r="729" spans="1:9" x14ac:dyDescent="0.15">
      <c r="A729" s="10">
        <v>728</v>
      </c>
      <c r="B729" s="9" t="s">
        <v>9</v>
      </c>
      <c r="C729" s="11" t="s">
        <v>10</v>
      </c>
      <c r="D729" s="12">
        <v>45562</v>
      </c>
      <c r="E729" s="14" t="str">
        <f>+HYPERLINK("http://trademark.i-assist.jp/data/china/image_1905th/79135484.pdf","79135484")</f>
        <v>79135484</v>
      </c>
      <c r="F729" s="13" t="s">
        <v>1361</v>
      </c>
      <c r="G729" s="13" t="s">
        <v>1360</v>
      </c>
      <c r="H729" s="13" t="s">
        <v>4720</v>
      </c>
      <c r="I729" s="12">
        <v>45454</v>
      </c>
    </row>
    <row r="730" spans="1:9" x14ac:dyDescent="0.15">
      <c r="A730" s="10">
        <v>729</v>
      </c>
      <c r="B730" s="9" t="s">
        <v>9</v>
      </c>
      <c r="C730" s="11" t="s">
        <v>10</v>
      </c>
      <c r="D730" s="12">
        <v>45562</v>
      </c>
      <c r="E730" s="14" t="str">
        <f>+HYPERLINK("http://trademark.i-assist.jp/data/china/image_1905th/79150448.pdf","79150448")</f>
        <v>79150448</v>
      </c>
      <c r="F730" s="13" t="s">
        <v>1363</v>
      </c>
      <c r="G730" s="13" t="s">
        <v>1362</v>
      </c>
      <c r="H730" s="13" t="s">
        <v>4721</v>
      </c>
      <c r="I730" s="12">
        <v>45454</v>
      </c>
    </row>
    <row r="731" spans="1:9" x14ac:dyDescent="0.15">
      <c r="A731" s="10">
        <v>730</v>
      </c>
      <c r="B731" s="9" t="s">
        <v>9</v>
      </c>
      <c r="C731" s="11" t="s">
        <v>10</v>
      </c>
      <c r="D731" s="12">
        <v>45562</v>
      </c>
      <c r="E731" s="14" t="str">
        <f>+HYPERLINK("http://trademark.i-assist.jp/data/china/image_1905th/79178196.pdf","79178196")</f>
        <v>79178196</v>
      </c>
      <c r="F731" s="13" t="s">
        <v>1365</v>
      </c>
      <c r="G731" s="13" t="s">
        <v>1364</v>
      </c>
      <c r="H731" s="13" t="s">
        <v>4722</v>
      </c>
      <c r="I731" s="12">
        <v>45455</v>
      </c>
    </row>
    <row r="732" spans="1:9" x14ac:dyDescent="0.15">
      <c r="A732" s="10">
        <v>731</v>
      </c>
      <c r="B732" s="9" t="s">
        <v>9</v>
      </c>
      <c r="C732" s="11" t="s">
        <v>10</v>
      </c>
      <c r="D732" s="12">
        <v>45562</v>
      </c>
      <c r="E732" s="14" t="str">
        <f>+HYPERLINK("http://trademark.i-assist.jp/data/china/image_1905th/78277356.pdf","78277356")</f>
        <v>78277356</v>
      </c>
      <c r="F732" s="13" t="s">
        <v>1367</v>
      </c>
      <c r="G732" s="13" t="s">
        <v>1366</v>
      </c>
      <c r="H732" s="13" t="s">
        <v>4723</v>
      </c>
      <c r="I732" s="12">
        <v>45409</v>
      </c>
    </row>
    <row r="733" spans="1:9" x14ac:dyDescent="0.15">
      <c r="A733" s="10">
        <v>732</v>
      </c>
      <c r="B733" s="9" t="s">
        <v>9</v>
      </c>
      <c r="C733" s="11" t="s">
        <v>10</v>
      </c>
      <c r="D733" s="12">
        <v>45562</v>
      </c>
      <c r="E733" s="14" t="str">
        <f>+HYPERLINK("http://trademark.i-assist.jp/data/china/image_1905th/78380957.pdf","78380957")</f>
        <v>78380957</v>
      </c>
      <c r="F733" s="13" t="s">
        <v>1369</v>
      </c>
      <c r="G733" s="13" t="s">
        <v>1368</v>
      </c>
      <c r="H733" s="13" t="s">
        <v>4724</v>
      </c>
      <c r="I733" s="12">
        <v>45418</v>
      </c>
    </row>
    <row r="734" spans="1:9" x14ac:dyDescent="0.15">
      <c r="A734" s="10">
        <v>733</v>
      </c>
      <c r="B734" s="9" t="s">
        <v>9</v>
      </c>
      <c r="C734" s="11" t="s">
        <v>10</v>
      </c>
      <c r="D734" s="12">
        <v>45562</v>
      </c>
      <c r="E734" s="14" t="str">
        <f>+HYPERLINK("http://trademark.i-assist.jp/data/china/image_1905th/78386155.pdf","78386155")</f>
        <v>78386155</v>
      </c>
      <c r="F734" s="13" t="s">
        <v>1371</v>
      </c>
      <c r="G734" s="13" t="s">
        <v>1370</v>
      </c>
      <c r="H734" s="13" t="s">
        <v>4725</v>
      </c>
      <c r="I734" s="12">
        <v>45419</v>
      </c>
    </row>
    <row r="735" spans="1:9" x14ac:dyDescent="0.15">
      <c r="A735" s="10">
        <v>734</v>
      </c>
      <c r="B735" s="9" t="s">
        <v>9</v>
      </c>
      <c r="C735" s="11" t="s">
        <v>10</v>
      </c>
      <c r="D735" s="12">
        <v>45562</v>
      </c>
      <c r="E735" s="14" t="str">
        <f>+HYPERLINK("http://trademark.i-assist.jp/data/china/image_1905th/79311132.pdf","79311132")</f>
        <v>79311132</v>
      </c>
      <c r="F735" s="13" t="s">
        <v>1373</v>
      </c>
      <c r="G735" s="13" t="s">
        <v>1372</v>
      </c>
      <c r="H735" s="13" t="s">
        <v>4726</v>
      </c>
      <c r="I735" s="12">
        <v>45462</v>
      </c>
    </row>
    <row r="736" spans="1:9" x14ac:dyDescent="0.15">
      <c r="A736" s="10">
        <v>735</v>
      </c>
      <c r="B736" s="9" t="s">
        <v>9</v>
      </c>
      <c r="C736" s="11" t="s">
        <v>10</v>
      </c>
      <c r="D736" s="12">
        <v>45562</v>
      </c>
      <c r="E736" s="14" t="str">
        <f>+HYPERLINK("http://trademark.i-assist.jp/data/china/image_1905th/79344703.pdf","79344703")</f>
        <v>79344703</v>
      </c>
      <c r="F736" s="13" t="s">
        <v>1374</v>
      </c>
      <c r="G736" s="13" t="s">
        <v>1290</v>
      </c>
      <c r="H736" s="13" t="s">
        <v>4692</v>
      </c>
      <c r="I736" s="12">
        <v>45463</v>
      </c>
    </row>
    <row r="737" spans="1:9" x14ac:dyDescent="0.15">
      <c r="A737" s="10">
        <v>736</v>
      </c>
      <c r="B737" s="9" t="s">
        <v>9</v>
      </c>
      <c r="C737" s="11" t="s">
        <v>10</v>
      </c>
      <c r="D737" s="12">
        <v>45562</v>
      </c>
      <c r="E737" s="14" t="str">
        <f>+HYPERLINK("http://trademark.i-assist.jp/data/china/image_1905th/79358551.pdf","79358551")</f>
        <v>79358551</v>
      </c>
      <c r="F737" s="13" t="s">
        <v>1376</v>
      </c>
      <c r="G737" s="13" t="s">
        <v>1375</v>
      </c>
      <c r="H737" s="13" t="s">
        <v>4727</v>
      </c>
      <c r="I737" s="12">
        <v>45464</v>
      </c>
    </row>
    <row r="738" spans="1:9" x14ac:dyDescent="0.15">
      <c r="A738" s="10">
        <v>737</v>
      </c>
      <c r="B738" s="9" t="s">
        <v>9</v>
      </c>
      <c r="C738" s="11" t="s">
        <v>10</v>
      </c>
      <c r="D738" s="12">
        <v>45562</v>
      </c>
      <c r="E738" s="14" t="str">
        <f>+HYPERLINK("http://trademark.i-assist.jp/data/china/image_1905th/78849069.pdf","78849069")</f>
        <v>78849069</v>
      </c>
      <c r="F738" s="13" t="s">
        <v>1378</v>
      </c>
      <c r="G738" s="13" t="s">
        <v>1377</v>
      </c>
      <c r="H738" s="13" t="s">
        <v>4728</v>
      </c>
      <c r="I738" s="12">
        <v>45439</v>
      </c>
    </row>
    <row r="739" spans="1:9" x14ac:dyDescent="0.15">
      <c r="A739" s="10">
        <v>738</v>
      </c>
      <c r="B739" s="9" t="s">
        <v>9</v>
      </c>
      <c r="C739" s="11" t="s">
        <v>10</v>
      </c>
      <c r="D739" s="12">
        <v>45562</v>
      </c>
      <c r="E739" s="14" t="str">
        <f>+HYPERLINK("http://trademark.i-assist.jp/data/china/image_1905th/79400307.pdf","79400307")</f>
        <v>79400307</v>
      </c>
      <c r="F739" s="13" t="s">
        <v>1380</v>
      </c>
      <c r="G739" s="13" t="s">
        <v>1379</v>
      </c>
      <c r="H739" s="13" t="s">
        <v>4729</v>
      </c>
      <c r="I739" s="12">
        <v>45467</v>
      </c>
    </row>
    <row r="740" spans="1:9" x14ac:dyDescent="0.15">
      <c r="A740" s="10">
        <v>739</v>
      </c>
      <c r="B740" s="9" t="s">
        <v>9</v>
      </c>
      <c r="C740" s="11" t="s">
        <v>10</v>
      </c>
      <c r="D740" s="12">
        <v>45562</v>
      </c>
      <c r="E740" s="14" t="str">
        <f>+HYPERLINK("http://trademark.i-assist.jp/data/china/image_1905th/79406710.pdf","79406710")</f>
        <v>79406710</v>
      </c>
      <c r="F740" s="13" t="s">
        <v>1382</v>
      </c>
      <c r="G740" s="13" t="s">
        <v>1381</v>
      </c>
      <c r="H740" s="13" t="s">
        <v>4730</v>
      </c>
      <c r="I740" s="12">
        <v>45467</v>
      </c>
    </row>
    <row r="741" spans="1:9" x14ac:dyDescent="0.15">
      <c r="A741" s="10">
        <v>740</v>
      </c>
      <c r="B741" s="9" t="s">
        <v>9</v>
      </c>
      <c r="C741" s="11" t="s">
        <v>10</v>
      </c>
      <c r="D741" s="12">
        <v>45562</v>
      </c>
      <c r="E741" s="14" t="str">
        <f>+HYPERLINK("http://trademark.i-assist.jp/data/china/image_1905th/79424027.pdf","79424027")</f>
        <v>79424027</v>
      </c>
      <c r="F741" s="13" t="s">
        <v>1384</v>
      </c>
      <c r="G741" s="13" t="s">
        <v>1383</v>
      </c>
      <c r="H741" s="13" t="s">
        <v>4731</v>
      </c>
      <c r="I741" s="12">
        <v>45468</v>
      </c>
    </row>
    <row r="742" spans="1:9" x14ac:dyDescent="0.15">
      <c r="A742" s="10">
        <v>741</v>
      </c>
      <c r="B742" s="9" t="s">
        <v>9</v>
      </c>
      <c r="C742" s="11" t="s">
        <v>10</v>
      </c>
      <c r="D742" s="12">
        <v>45562</v>
      </c>
      <c r="E742" s="14" t="str">
        <f>+HYPERLINK("http://trademark.i-assist.jp/data/china/image_1905th/79425181.pdf","79425181")</f>
        <v>79425181</v>
      </c>
      <c r="F742" s="13" t="s">
        <v>1386</v>
      </c>
      <c r="G742" s="13" t="s">
        <v>1385</v>
      </c>
      <c r="H742" s="13" t="s">
        <v>4732</v>
      </c>
      <c r="I742" s="12">
        <v>45468</v>
      </c>
    </row>
    <row r="743" spans="1:9" x14ac:dyDescent="0.15">
      <c r="A743" s="10">
        <v>742</v>
      </c>
      <c r="B743" s="9" t="s">
        <v>9</v>
      </c>
      <c r="C743" s="11" t="s">
        <v>10</v>
      </c>
      <c r="D743" s="12">
        <v>45562</v>
      </c>
      <c r="E743" s="14" t="str">
        <f>+HYPERLINK("http://trademark.i-assist.jp/data/china/image_1905th/79431576.pdf","79431576")</f>
        <v>79431576</v>
      </c>
      <c r="F743" s="13" t="s">
        <v>1388</v>
      </c>
      <c r="G743" s="13" t="s">
        <v>1387</v>
      </c>
      <c r="H743" s="13" t="s">
        <v>4733</v>
      </c>
      <c r="I743" s="12">
        <v>45468</v>
      </c>
    </row>
    <row r="744" spans="1:9" x14ac:dyDescent="0.15">
      <c r="A744" s="10">
        <v>743</v>
      </c>
      <c r="B744" s="9" t="s">
        <v>9</v>
      </c>
      <c r="C744" s="11" t="s">
        <v>10</v>
      </c>
      <c r="D744" s="12">
        <v>45562</v>
      </c>
      <c r="E744" s="14" t="str">
        <f>+HYPERLINK("http://trademark.i-assist.jp/data/china/image_1905th/79431956.pdf","79431956")</f>
        <v>79431956</v>
      </c>
      <c r="F744" s="13" t="s">
        <v>1390</v>
      </c>
      <c r="G744" s="13" t="s">
        <v>1389</v>
      </c>
      <c r="H744" s="13" t="s">
        <v>4734</v>
      </c>
      <c r="I744" s="12">
        <v>45468</v>
      </c>
    </row>
    <row r="745" spans="1:9" x14ac:dyDescent="0.15">
      <c r="A745" s="10">
        <v>744</v>
      </c>
      <c r="B745" s="9" t="s">
        <v>9</v>
      </c>
      <c r="C745" s="11" t="s">
        <v>10</v>
      </c>
      <c r="D745" s="12">
        <v>45562</v>
      </c>
      <c r="E745" s="14" t="str">
        <f>+HYPERLINK("http://trademark.i-assist.jp/data/china/image_1905th/79433703.pdf","79433703")</f>
        <v>79433703</v>
      </c>
      <c r="F745" s="13" t="s">
        <v>1392</v>
      </c>
      <c r="G745" s="13" t="s">
        <v>1391</v>
      </c>
      <c r="H745" s="13" t="s">
        <v>4536</v>
      </c>
      <c r="I745" s="12">
        <v>45468</v>
      </c>
    </row>
    <row r="746" spans="1:9" x14ac:dyDescent="0.15">
      <c r="A746" s="10">
        <v>745</v>
      </c>
      <c r="B746" s="9" t="s">
        <v>9</v>
      </c>
      <c r="C746" s="11" t="s">
        <v>10</v>
      </c>
      <c r="D746" s="12">
        <v>45562</v>
      </c>
      <c r="E746" s="14" t="str">
        <f>+HYPERLINK("http://trademark.i-assist.jp/data/china/image_1905th/79451084.pdf","79451084")</f>
        <v>79451084</v>
      </c>
      <c r="F746" s="13" t="s">
        <v>1394</v>
      </c>
      <c r="G746" s="13" t="s">
        <v>1393</v>
      </c>
      <c r="H746" s="13" t="s">
        <v>4735</v>
      </c>
      <c r="I746" s="12">
        <v>45469</v>
      </c>
    </row>
    <row r="747" spans="1:9" x14ac:dyDescent="0.15">
      <c r="A747" s="10">
        <v>746</v>
      </c>
      <c r="B747" s="9" t="s">
        <v>9</v>
      </c>
      <c r="C747" s="11" t="s">
        <v>10</v>
      </c>
      <c r="D747" s="12">
        <v>45562</v>
      </c>
      <c r="E747" s="14" t="str">
        <f>+HYPERLINK("http://trademark.i-assist.jp/data/china/image_1905th/79454050.pdf","79454050")</f>
        <v>79454050</v>
      </c>
      <c r="F747" s="13" t="s">
        <v>1396</v>
      </c>
      <c r="G747" s="13" t="s">
        <v>1395</v>
      </c>
      <c r="H747" s="13" t="s">
        <v>4736</v>
      </c>
      <c r="I747" s="12">
        <v>45469</v>
      </c>
    </row>
    <row r="748" spans="1:9" x14ac:dyDescent="0.15">
      <c r="A748" s="10">
        <v>747</v>
      </c>
      <c r="B748" s="9" t="s">
        <v>9</v>
      </c>
      <c r="C748" s="11" t="s">
        <v>10</v>
      </c>
      <c r="D748" s="12">
        <v>45562</v>
      </c>
      <c r="E748" s="14" t="str">
        <f>+HYPERLINK("http://trademark.i-assist.jp/data/china/image_1905th/79457784.pdf","79457784")</f>
        <v>79457784</v>
      </c>
      <c r="F748" s="13" t="s">
        <v>1398</v>
      </c>
      <c r="G748" s="13" t="s">
        <v>1397</v>
      </c>
      <c r="H748" s="13" t="s">
        <v>4737</v>
      </c>
      <c r="I748" s="12">
        <v>45469</v>
      </c>
    </row>
    <row r="749" spans="1:9" x14ac:dyDescent="0.15">
      <c r="A749" s="10">
        <v>748</v>
      </c>
      <c r="B749" s="9" t="s">
        <v>9</v>
      </c>
      <c r="C749" s="11" t="s">
        <v>10</v>
      </c>
      <c r="D749" s="12">
        <v>45562</v>
      </c>
      <c r="E749" s="14" t="str">
        <f>+HYPERLINK("http://trademark.i-assist.jp/data/china/image_1905th/79775851.pdf","79775851")</f>
        <v>79775851</v>
      </c>
      <c r="F749" s="13" t="s">
        <v>1400</v>
      </c>
      <c r="G749" s="13" t="s">
        <v>1399</v>
      </c>
      <c r="H749" s="13" t="s">
        <v>4738</v>
      </c>
      <c r="I749" s="12">
        <v>45486</v>
      </c>
    </row>
    <row r="750" spans="1:9" x14ac:dyDescent="0.15">
      <c r="A750" s="10">
        <v>749</v>
      </c>
      <c r="B750" s="9" t="s">
        <v>9</v>
      </c>
      <c r="C750" s="11" t="s">
        <v>10</v>
      </c>
      <c r="D750" s="12">
        <v>45562</v>
      </c>
      <c r="E750" s="14" t="str">
        <f>+HYPERLINK("http://trademark.i-assist.jp/data/china/image_1905th/79777837.pdf","79777837")</f>
        <v>79777837</v>
      </c>
      <c r="F750" s="13" t="s">
        <v>1401</v>
      </c>
      <c r="G750" s="13" t="s">
        <v>275</v>
      </c>
      <c r="H750" s="13" t="s">
        <v>4271</v>
      </c>
      <c r="I750" s="12">
        <v>45486</v>
      </c>
    </row>
    <row r="751" spans="1:9" x14ac:dyDescent="0.15">
      <c r="A751" s="10">
        <v>750</v>
      </c>
      <c r="B751" s="9" t="s">
        <v>9</v>
      </c>
      <c r="C751" s="11" t="s">
        <v>10</v>
      </c>
      <c r="D751" s="12">
        <v>45562</v>
      </c>
      <c r="E751" s="14" t="str">
        <f>+HYPERLINK("http://trademark.i-assist.jp/data/china/image_1905th/79783387.pdf","79783387")</f>
        <v>79783387</v>
      </c>
      <c r="F751" s="13" t="s">
        <v>73</v>
      </c>
      <c r="G751" s="13" t="s">
        <v>1402</v>
      </c>
      <c r="H751" s="13" t="s">
        <v>4739</v>
      </c>
      <c r="I751" s="12">
        <v>45487</v>
      </c>
    </row>
    <row r="752" spans="1:9" x14ac:dyDescent="0.15">
      <c r="A752" s="10">
        <v>751</v>
      </c>
      <c r="B752" s="9" t="s">
        <v>9</v>
      </c>
      <c r="C752" s="11" t="s">
        <v>10</v>
      </c>
      <c r="D752" s="12">
        <v>45562</v>
      </c>
      <c r="E752" s="14" t="str">
        <f>+HYPERLINK("http://trademark.i-assist.jp/data/china/image_1905th/79796076.pdf","79796076")</f>
        <v>79796076</v>
      </c>
      <c r="F752" s="13" t="s">
        <v>1404</v>
      </c>
      <c r="G752" s="13" t="s">
        <v>1403</v>
      </c>
      <c r="H752" s="13" t="s">
        <v>4740</v>
      </c>
      <c r="I752" s="12">
        <v>45488</v>
      </c>
    </row>
    <row r="753" spans="1:9" x14ac:dyDescent="0.15">
      <c r="A753" s="10">
        <v>752</v>
      </c>
      <c r="B753" s="9" t="s">
        <v>9</v>
      </c>
      <c r="C753" s="11" t="s">
        <v>10</v>
      </c>
      <c r="D753" s="12">
        <v>45562</v>
      </c>
      <c r="E753" s="14" t="str">
        <f>+HYPERLINK("http://trademark.i-assist.jp/data/china/image_1905th/79796865.pdf","79796865")</f>
        <v>79796865</v>
      </c>
      <c r="F753" s="13" t="s">
        <v>1406</v>
      </c>
      <c r="G753" s="13" t="s">
        <v>1405</v>
      </c>
      <c r="H753" s="13" t="s">
        <v>4741</v>
      </c>
      <c r="I753" s="12">
        <v>45488</v>
      </c>
    </row>
    <row r="754" spans="1:9" x14ac:dyDescent="0.15">
      <c r="A754" s="10">
        <v>753</v>
      </c>
      <c r="B754" s="9" t="s">
        <v>9</v>
      </c>
      <c r="C754" s="11" t="s">
        <v>10</v>
      </c>
      <c r="D754" s="12">
        <v>45562</v>
      </c>
      <c r="E754" s="14" t="str">
        <f>+HYPERLINK("http://trademark.i-assist.jp/data/china/image_1905th/79798702.pdf","79798702")</f>
        <v>79798702</v>
      </c>
      <c r="F754" s="13" t="s">
        <v>1408</v>
      </c>
      <c r="G754" s="13" t="s">
        <v>1407</v>
      </c>
      <c r="H754" s="13" t="s">
        <v>4742</v>
      </c>
      <c r="I754" s="12">
        <v>45488</v>
      </c>
    </row>
    <row r="755" spans="1:9" x14ac:dyDescent="0.15">
      <c r="A755" s="10">
        <v>754</v>
      </c>
      <c r="B755" s="9" t="s">
        <v>9</v>
      </c>
      <c r="C755" s="11" t="s">
        <v>10</v>
      </c>
      <c r="D755" s="12">
        <v>45562</v>
      </c>
      <c r="E755" s="14" t="str">
        <f>+HYPERLINK("http://trademark.i-assist.jp/data/china/image_1905th/79809924.pdf","79809924")</f>
        <v>79809924</v>
      </c>
      <c r="F755" s="13" t="s">
        <v>1410</v>
      </c>
      <c r="G755" s="13" t="s">
        <v>1409</v>
      </c>
      <c r="H755" s="13" t="s">
        <v>4743</v>
      </c>
      <c r="I755" s="12">
        <v>45489</v>
      </c>
    </row>
    <row r="756" spans="1:9" x14ac:dyDescent="0.15">
      <c r="A756" s="10">
        <v>755</v>
      </c>
      <c r="B756" s="9" t="s">
        <v>9</v>
      </c>
      <c r="C756" s="11" t="s">
        <v>10</v>
      </c>
      <c r="D756" s="12">
        <v>45562</v>
      </c>
      <c r="E756" s="14" t="str">
        <f>+HYPERLINK("http://trademark.i-assist.jp/data/china/image_1905th/79822419.pdf","79822419")</f>
        <v>79822419</v>
      </c>
      <c r="F756" s="13" t="s">
        <v>1411</v>
      </c>
      <c r="G756" s="13" t="s">
        <v>279</v>
      </c>
      <c r="H756" s="13" t="s">
        <v>4273</v>
      </c>
      <c r="I756" s="12">
        <v>45489</v>
      </c>
    </row>
    <row r="757" spans="1:9" x14ac:dyDescent="0.15">
      <c r="A757" s="10">
        <v>756</v>
      </c>
      <c r="B757" s="9" t="s">
        <v>9</v>
      </c>
      <c r="C757" s="11" t="s">
        <v>10</v>
      </c>
      <c r="D757" s="12">
        <v>45562</v>
      </c>
      <c r="E757" s="14" t="str">
        <f>+HYPERLINK("http://trademark.i-assist.jp/data/china/image_1905th/79829791.pdf","79829791")</f>
        <v>79829791</v>
      </c>
      <c r="F757" s="13" t="s">
        <v>1413</v>
      </c>
      <c r="G757" s="13" t="s">
        <v>1412</v>
      </c>
      <c r="H757" s="13" t="s">
        <v>4744</v>
      </c>
      <c r="I757" s="12">
        <v>45489</v>
      </c>
    </row>
    <row r="758" spans="1:9" x14ac:dyDescent="0.15">
      <c r="A758" s="10">
        <v>757</v>
      </c>
      <c r="B758" s="9" t="s">
        <v>9</v>
      </c>
      <c r="C758" s="11" t="s">
        <v>10</v>
      </c>
      <c r="D758" s="12">
        <v>45562</v>
      </c>
      <c r="E758" s="14" t="str">
        <f>+HYPERLINK("http://trademark.i-assist.jp/data/china/image_1905th/79841309.pdf","79841309")</f>
        <v>79841309</v>
      </c>
      <c r="F758" s="13" t="s">
        <v>1415</v>
      </c>
      <c r="G758" s="13" t="s">
        <v>1414</v>
      </c>
      <c r="H758" s="13" t="s">
        <v>4745</v>
      </c>
      <c r="I758" s="12">
        <v>45490</v>
      </c>
    </row>
    <row r="759" spans="1:9" x14ac:dyDescent="0.15">
      <c r="A759" s="10">
        <v>758</v>
      </c>
      <c r="B759" s="9" t="s">
        <v>9</v>
      </c>
      <c r="C759" s="11" t="s">
        <v>10</v>
      </c>
      <c r="D759" s="12">
        <v>45562</v>
      </c>
      <c r="E759" s="14" t="str">
        <f>+HYPERLINK("http://trademark.i-assist.jp/data/china/image_1905th/79842817.pdf","79842817")</f>
        <v>79842817</v>
      </c>
      <c r="F759" s="13" t="s">
        <v>1417</v>
      </c>
      <c r="G759" s="13" t="s">
        <v>1416</v>
      </c>
      <c r="H759" s="13" t="s">
        <v>4212</v>
      </c>
      <c r="I759" s="12">
        <v>45490</v>
      </c>
    </row>
    <row r="760" spans="1:9" x14ac:dyDescent="0.15">
      <c r="A760" s="10">
        <v>759</v>
      </c>
      <c r="B760" s="9" t="s">
        <v>9</v>
      </c>
      <c r="C760" s="11" t="s">
        <v>10</v>
      </c>
      <c r="D760" s="12">
        <v>45562</v>
      </c>
      <c r="E760" s="14" t="str">
        <f>+HYPERLINK("http://trademark.i-assist.jp/data/china/image_1905th/79843911.pdf","79843911")</f>
        <v>79843911</v>
      </c>
      <c r="F760" s="13" t="s">
        <v>1418</v>
      </c>
      <c r="G760" s="13" t="s">
        <v>266</v>
      </c>
      <c r="H760" s="13" t="s">
        <v>4267</v>
      </c>
      <c r="I760" s="12">
        <v>45490</v>
      </c>
    </row>
    <row r="761" spans="1:9" x14ac:dyDescent="0.15">
      <c r="A761" s="10">
        <v>760</v>
      </c>
      <c r="B761" s="9" t="s">
        <v>9</v>
      </c>
      <c r="C761" s="11" t="s">
        <v>10</v>
      </c>
      <c r="D761" s="12">
        <v>45562</v>
      </c>
      <c r="E761" s="14" t="str">
        <f>+HYPERLINK("http://trademark.i-assist.jp/data/china/image_1905th/79849902.pdf","79849902")</f>
        <v>79849902</v>
      </c>
      <c r="F761" s="13" t="s">
        <v>1420</v>
      </c>
      <c r="G761" s="13" t="s">
        <v>1419</v>
      </c>
      <c r="H761" s="13" t="s">
        <v>4746</v>
      </c>
      <c r="I761" s="12">
        <v>45490</v>
      </c>
    </row>
    <row r="762" spans="1:9" x14ac:dyDescent="0.15">
      <c r="A762" s="10">
        <v>761</v>
      </c>
      <c r="B762" s="9" t="s">
        <v>9</v>
      </c>
      <c r="C762" s="11" t="s">
        <v>10</v>
      </c>
      <c r="D762" s="12">
        <v>45562</v>
      </c>
      <c r="E762" s="14" t="str">
        <f>+HYPERLINK("http://trademark.i-assist.jp/data/china/image_1905th/79854939.pdf","79854939")</f>
        <v>79854939</v>
      </c>
      <c r="F762" s="13" t="s">
        <v>1421</v>
      </c>
      <c r="G762" s="13" t="s">
        <v>715</v>
      </c>
      <c r="H762" s="13" t="s">
        <v>4469</v>
      </c>
      <c r="I762" s="12">
        <v>45490</v>
      </c>
    </row>
    <row r="763" spans="1:9" x14ac:dyDescent="0.15">
      <c r="A763" s="10">
        <v>762</v>
      </c>
      <c r="B763" s="9" t="s">
        <v>9</v>
      </c>
      <c r="C763" s="11" t="s">
        <v>10</v>
      </c>
      <c r="D763" s="12">
        <v>45562</v>
      </c>
      <c r="E763" s="14" t="str">
        <f>+HYPERLINK("http://trademark.i-assist.jp/data/china/image_1905th/79864274.pdf","79864274")</f>
        <v>79864274</v>
      </c>
      <c r="F763" s="13" t="s">
        <v>1423</v>
      </c>
      <c r="G763" s="13" t="s">
        <v>1422</v>
      </c>
      <c r="H763" s="13" t="s">
        <v>4358</v>
      </c>
      <c r="I763" s="12">
        <v>45491</v>
      </c>
    </row>
    <row r="764" spans="1:9" x14ac:dyDescent="0.15">
      <c r="A764" s="10">
        <v>763</v>
      </c>
      <c r="B764" s="9" t="s">
        <v>9</v>
      </c>
      <c r="C764" s="11" t="s">
        <v>10</v>
      </c>
      <c r="D764" s="12">
        <v>45562</v>
      </c>
      <c r="E764" s="14" t="str">
        <f>+HYPERLINK("http://trademark.i-assist.jp/data/china/image_1905th/79639658.pdf","79639658")</f>
        <v>79639658</v>
      </c>
      <c r="F764" s="13" t="s">
        <v>1425</v>
      </c>
      <c r="G764" s="13" t="s">
        <v>1424</v>
      </c>
      <c r="H764" s="13" t="s">
        <v>4747</v>
      </c>
      <c r="I764" s="12">
        <v>45478</v>
      </c>
    </row>
    <row r="765" spans="1:9" x14ac:dyDescent="0.15">
      <c r="A765" s="10">
        <v>764</v>
      </c>
      <c r="B765" s="9" t="s">
        <v>9</v>
      </c>
      <c r="C765" s="11" t="s">
        <v>10</v>
      </c>
      <c r="D765" s="12">
        <v>45562</v>
      </c>
      <c r="E765" s="14" t="str">
        <f>+HYPERLINK("http://trademark.i-assist.jp/data/china/image_1905th/79639852.pdf","79639852")</f>
        <v>79639852</v>
      </c>
      <c r="F765" s="13" t="s">
        <v>1426</v>
      </c>
      <c r="G765" s="13" t="s">
        <v>983</v>
      </c>
      <c r="H765" s="13" t="s">
        <v>4582</v>
      </c>
      <c r="I765" s="12">
        <v>45478</v>
      </c>
    </row>
    <row r="766" spans="1:9" x14ac:dyDescent="0.15">
      <c r="A766" s="10">
        <v>765</v>
      </c>
      <c r="B766" s="9" t="s">
        <v>9</v>
      </c>
      <c r="C766" s="11" t="s">
        <v>10</v>
      </c>
      <c r="D766" s="12">
        <v>45562</v>
      </c>
      <c r="E766" s="14" t="str">
        <f>+HYPERLINK("http://trademark.i-assist.jp/data/china/image_1905th/79641890.pdf","79641890")</f>
        <v>79641890</v>
      </c>
      <c r="F766" s="13" t="s">
        <v>1428</v>
      </c>
      <c r="G766" s="13" t="s">
        <v>1427</v>
      </c>
      <c r="H766" s="13" t="s">
        <v>4748</v>
      </c>
      <c r="I766" s="12">
        <v>45478</v>
      </c>
    </row>
    <row r="767" spans="1:9" x14ac:dyDescent="0.15">
      <c r="A767" s="10">
        <v>766</v>
      </c>
      <c r="B767" s="9" t="s">
        <v>9</v>
      </c>
      <c r="C767" s="11" t="s">
        <v>10</v>
      </c>
      <c r="D767" s="12">
        <v>45562</v>
      </c>
      <c r="E767" s="14" t="str">
        <f>+HYPERLINK("http://trademark.i-assist.jp/data/china/image_1905th/79643676.pdf","79643676")</f>
        <v>79643676</v>
      </c>
      <c r="F767" s="13" t="s">
        <v>1429</v>
      </c>
      <c r="G767" s="13" t="s">
        <v>417</v>
      </c>
      <c r="H767" s="13" t="s">
        <v>4227</v>
      </c>
      <c r="I767" s="12">
        <v>45478</v>
      </c>
    </row>
    <row r="768" spans="1:9" x14ac:dyDescent="0.15">
      <c r="A768" s="10">
        <v>767</v>
      </c>
      <c r="B768" s="9" t="s">
        <v>9</v>
      </c>
      <c r="C768" s="11" t="s">
        <v>10</v>
      </c>
      <c r="D768" s="12">
        <v>45562</v>
      </c>
      <c r="E768" s="14" t="str">
        <f>+HYPERLINK("http://trademark.i-assist.jp/data/china/image_1905th/79643938.pdf","79643938")</f>
        <v>79643938</v>
      </c>
      <c r="F768" s="13" t="s">
        <v>73</v>
      </c>
      <c r="G768" s="13" t="s">
        <v>1430</v>
      </c>
      <c r="H768" s="13" t="s">
        <v>4749</v>
      </c>
      <c r="I768" s="12">
        <v>45478</v>
      </c>
    </row>
    <row r="769" spans="1:9" x14ac:dyDescent="0.15">
      <c r="A769" s="10">
        <v>768</v>
      </c>
      <c r="B769" s="9" t="s">
        <v>9</v>
      </c>
      <c r="C769" s="11" t="s">
        <v>10</v>
      </c>
      <c r="D769" s="12">
        <v>45562</v>
      </c>
      <c r="E769" s="14" t="str">
        <f>+HYPERLINK("http://trademark.i-assist.jp/data/china/image_1905th/79645700.pdf","79645700")</f>
        <v>79645700</v>
      </c>
      <c r="F769" s="13" t="s">
        <v>1432</v>
      </c>
      <c r="G769" s="13" t="s">
        <v>1431</v>
      </c>
      <c r="H769" s="13" t="s">
        <v>4750</v>
      </c>
      <c r="I769" s="12">
        <v>45478</v>
      </c>
    </row>
    <row r="770" spans="1:9" x14ac:dyDescent="0.15">
      <c r="A770" s="10">
        <v>769</v>
      </c>
      <c r="B770" s="9" t="s">
        <v>9</v>
      </c>
      <c r="C770" s="11" t="s">
        <v>10</v>
      </c>
      <c r="D770" s="12">
        <v>45562</v>
      </c>
      <c r="E770" s="14" t="str">
        <f>+HYPERLINK("http://trademark.i-assist.jp/data/china/image_1905th/79646971.pdf","79646971")</f>
        <v>79646971</v>
      </c>
      <c r="F770" s="13" t="s">
        <v>1434</v>
      </c>
      <c r="G770" s="13" t="s">
        <v>1433</v>
      </c>
      <c r="H770" s="13" t="s">
        <v>4751</v>
      </c>
      <c r="I770" s="12">
        <v>45478</v>
      </c>
    </row>
    <row r="771" spans="1:9" x14ac:dyDescent="0.15">
      <c r="A771" s="10">
        <v>770</v>
      </c>
      <c r="B771" s="9" t="s">
        <v>9</v>
      </c>
      <c r="C771" s="11" t="s">
        <v>10</v>
      </c>
      <c r="D771" s="12">
        <v>45562</v>
      </c>
      <c r="E771" s="14" t="str">
        <f>+HYPERLINK("http://trademark.i-assist.jp/data/china/image_1905th/79652669.pdf","79652669")</f>
        <v>79652669</v>
      </c>
      <c r="F771" s="13" t="s">
        <v>1436</v>
      </c>
      <c r="G771" s="13" t="s">
        <v>1435</v>
      </c>
      <c r="H771" s="13" t="s">
        <v>4201</v>
      </c>
      <c r="I771" s="12">
        <v>45479</v>
      </c>
    </row>
    <row r="772" spans="1:9" x14ac:dyDescent="0.15">
      <c r="A772" s="10">
        <v>771</v>
      </c>
      <c r="B772" s="9" t="s">
        <v>9</v>
      </c>
      <c r="C772" s="11" t="s">
        <v>10</v>
      </c>
      <c r="D772" s="12">
        <v>45562</v>
      </c>
      <c r="E772" s="14" t="str">
        <f>+HYPERLINK("http://trademark.i-assist.jp/data/china/image_1905th/7965.pdf","7965")</f>
        <v>7965</v>
      </c>
      <c r="F772" s="13" t="s">
        <v>1437</v>
      </c>
      <c r="G772" s="13" t="s">
        <v>128</v>
      </c>
      <c r="H772" s="13" t="s">
        <v>4204</v>
      </c>
      <c r="I772" s="12">
        <v>45480</v>
      </c>
    </row>
    <row r="773" spans="1:9" x14ac:dyDescent="0.15">
      <c r="A773" s="10">
        <v>772</v>
      </c>
      <c r="B773" s="9" t="s">
        <v>9</v>
      </c>
      <c r="C773" s="11" t="s">
        <v>10</v>
      </c>
      <c r="D773" s="12">
        <v>45562</v>
      </c>
      <c r="E773" s="14" t="str">
        <f>+HYPERLINK("http://trademark.i-assist.jp/data/china/image_1905th/79658324.pdf","79658324")</f>
        <v>79658324</v>
      </c>
      <c r="F773" s="13" t="s">
        <v>1439</v>
      </c>
      <c r="G773" s="13" t="s">
        <v>1438</v>
      </c>
      <c r="H773" s="13" t="s">
        <v>4162</v>
      </c>
      <c r="I773" s="12">
        <v>45481</v>
      </c>
    </row>
    <row r="774" spans="1:9" x14ac:dyDescent="0.15">
      <c r="A774" s="10">
        <v>773</v>
      </c>
      <c r="B774" s="9" t="s">
        <v>9</v>
      </c>
      <c r="C774" s="11" t="s">
        <v>10</v>
      </c>
      <c r="D774" s="12">
        <v>45562</v>
      </c>
      <c r="E774" s="14" t="str">
        <f>+HYPERLINK("http://trademark.i-assist.jp/data/china/image_1905th/79659293.pdf","79659293")</f>
        <v>79659293</v>
      </c>
      <c r="F774" s="13" t="s">
        <v>1441</v>
      </c>
      <c r="G774" s="13" t="s">
        <v>1440</v>
      </c>
      <c r="H774" s="13" t="s">
        <v>4752</v>
      </c>
      <c r="I774" s="12">
        <v>45481</v>
      </c>
    </row>
    <row r="775" spans="1:9" x14ac:dyDescent="0.15">
      <c r="A775" s="10">
        <v>774</v>
      </c>
      <c r="B775" s="9" t="s">
        <v>9</v>
      </c>
      <c r="C775" s="11" t="s">
        <v>10</v>
      </c>
      <c r="D775" s="12">
        <v>45562</v>
      </c>
      <c r="E775" s="14" t="str">
        <f>+HYPERLINK("http://trademark.i-assist.jp/data/china/image_1905th/79745014.pdf","79745014")</f>
        <v>79745014</v>
      </c>
      <c r="F775" s="13" t="s">
        <v>1442</v>
      </c>
      <c r="G775" s="13" t="s">
        <v>815</v>
      </c>
      <c r="H775" s="13" t="s">
        <v>4512</v>
      </c>
      <c r="I775" s="12">
        <v>45484</v>
      </c>
    </row>
    <row r="776" spans="1:9" x14ac:dyDescent="0.15">
      <c r="A776" s="10">
        <v>775</v>
      </c>
      <c r="B776" s="9" t="s">
        <v>9</v>
      </c>
      <c r="C776" s="11" t="s">
        <v>10</v>
      </c>
      <c r="D776" s="12">
        <v>45562</v>
      </c>
      <c r="E776" s="14" t="str">
        <f>+HYPERLINK("http://trademark.i-assist.jp/data/china/image_1905th/79749401.pdf","79749401")</f>
        <v>79749401</v>
      </c>
      <c r="F776" s="13" t="s">
        <v>1444</v>
      </c>
      <c r="G776" s="13" t="s">
        <v>1443</v>
      </c>
      <c r="H776" s="13" t="s">
        <v>4753</v>
      </c>
      <c r="I776" s="12">
        <v>45484</v>
      </c>
    </row>
    <row r="777" spans="1:9" x14ac:dyDescent="0.15">
      <c r="A777" s="10">
        <v>776</v>
      </c>
      <c r="B777" s="9" t="s">
        <v>9</v>
      </c>
      <c r="C777" s="11" t="s">
        <v>10</v>
      </c>
      <c r="D777" s="12">
        <v>45562</v>
      </c>
      <c r="E777" s="14" t="str">
        <f>+HYPERLINK("http://trademark.i-assist.jp/data/china/image_1905th/79752854.pdf","79752854")</f>
        <v>79752854</v>
      </c>
      <c r="F777" s="13" t="s">
        <v>1446</v>
      </c>
      <c r="G777" s="13" t="s">
        <v>1445</v>
      </c>
      <c r="H777" s="13" t="s">
        <v>4754</v>
      </c>
      <c r="I777" s="12">
        <v>45485</v>
      </c>
    </row>
    <row r="778" spans="1:9" x14ac:dyDescent="0.15">
      <c r="A778" s="10">
        <v>777</v>
      </c>
      <c r="B778" s="9" t="s">
        <v>9</v>
      </c>
      <c r="C778" s="11" t="s">
        <v>10</v>
      </c>
      <c r="D778" s="12">
        <v>45562</v>
      </c>
      <c r="E778" s="14" t="str">
        <f>+HYPERLINK("http://trademark.i-assist.jp/data/china/image_1905th/79754298.pdf","79754298")</f>
        <v>79754298</v>
      </c>
      <c r="F778" s="13" t="s">
        <v>1448</v>
      </c>
      <c r="G778" s="13" t="s">
        <v>1447</v>
      </c>
      <c r="H778" s="13" t="s">
        <v>4755</v>
      </c>
      <c r="I778" s="12">
        <v>45485</v>
      </c>
    </row>
    <row r="779" spans="1:9" x14ac:dyDescent="0.15">
      <c r="A779" s="10">
        <v>778</v>
      </c>
      <c r="B779" s="9" t="s">
        <v>9</v>
      </c>
      <c r="C779" s="11" t="s">
        <v>10</v>
      </c>
      <c r="D779" s="12">
        <v>45562</v>
      </c>
      <c r="E779" s="14" t="str">
        <f>+HYPERLINK("http://trademark.i-assist.jp/data/china/image_1905th/79757290.pdf","79757290")</f>
        <v>79757290</v>
      </c>
      <c r="F779" s="13" t="s">
        <v>1450</v>
      </c>
      <c r="G779" s="13" t="s">
        <v>1449</v>
      </c>
      <c r="H779" s="13" t="s">
        <v>4756</v>
      </c>
      <c r="I779" s="12">
        <v>45485</v>
      </c>
    </row>
    <row r="780" spans="1:9" x14ac:dyDescent="0.15">
      <c r="A780" s="10">
        <v>779</v>
      </c>
      <c r="B780" s="9" t="s">
        <v>9</v>
      </c>
      <c r="C780" s="11" t="s">
        <v>10</v>
      </c>
      <c r="D780" s="12">
        <v>45562</v>
      </c>
      <c r="E780" s="14" t="str">
        <f>+HYPERLINK("http://trademark.i-assist.jp/data/china/image_1905th/79762849.pdf","79762849")</f>
        <v>79762849</v>
      </c>
      <c r="F780" s="13" t="s">
        <v>1452</v>
      </c>
      <c r="G780" s="13" t="s">
        <v>1451</v>
      </c>
      <c r="H780" s="13" t="s">
        <v>4757</v>
      </c>
      <c r="I780" s="12">
        <v>45485</v>
      </c>
    </row>
    <row r="781" spans="1:9" x14ac:dyDescent="0.15">
      <c r="A781" s="10">
        <v>780</v>
      </c>
      <c r="B781" s="9" t="s">
        <v>9</v>
      </c>
      <c r="C781" s="11" t="s">
        <v>10</v>
      </c>
      <c r="D781" s="12">
        <v>45562</v>
      </c>
      <c r="E781" s="14" t="str">
        <f>+HYPERLINK("http://trademark.i-assist.jp/data/china/image_1905th/79771709.pdf","79771709")</f>
        <v>79771709</v>
      </c>
      <c r="F781" s="13" t="s">
        <v>1453</v>
      </c>
      <c r="G781" s="13" t="s">
        <v>262</v>
      </c>
      <c r="H781" s="13" t="s">
        <v>4758</v>
      </c>
      <c r="I781" s="12">
        <v>45485</v>
      </c>
    </row>
    <row r="782" spans="1:9" x14ac:dyDescent="0.15">
      <c r="A782" s="10">
        <v>781</v>
      </c>
      <c r="B782" s="9" t="s">
        <v>9</v>
      </c>
      <c r="C782" s="11" t="s">
        <v>10</v>
      </c>
      <c r="D782" s="12">
        <v>45562</v>
      </c>
      <c r="E782" s="14" t="str">
        <f>+HYPERLINK("http://trademark.i-assist.jp/data/china/image_1905th/79688504.pdf","79688504")</f>
        <v>79688504</v>
      </c>
      <c r="F782" s="13" t="s">
        <v>1455</v>
      </c>
      <c r="G782" s="13" t="s">
        <v>1454</v>
      </c>
      <c r="H782" s="13" t="s">
        <v>4759</v>
      </c>
      <c r="I782" s="12">
        <v>45482</v>
      </c>
    </row>
    <row r="783" spans="1:9" x14ac:dyDescent="0.15">
      <c r="A783" s="10">
        <v>782</v>
      </c>
      <c r="B783" s="9" t="s">
        <v>9</v>
      </c>
      <c r="C783" s="11" t="s">
        <v>10</v>
      </c>
      <c r="D783" s="12">
        <v>45562</v>
      </c>
      <c r="E783" s="14" t="str">
        <f>+HYPERLINK("http://trademark.i-assist.jp/data/china/image_1905th/79688852.pdf","79688852")</f>
        <v>79688852</v>
      </c>
      <c r="F783" s="13" t="s">
        <v>1457</v>
      </c>
      <c r="G783" s="13" t="s">
        <v>1456</v>
      </c>
      <c r="H783" s="13" t="s">
        <v>4760</v>
      </c>
      <c r="I783" s="12">
        <v>45482</v>
      </c>
    </row>
    <row r="784" spans="1:9" x14ac:dyDescent="0.15">
      <c r="A784" s="10">
        <v>783</v>
      </c>
      <c r="B784" s="9" t="s">
        <v>9</v>
      </c>
      <c r="C784" s="11" t="s">
        <v>10</v>
      </c>
      <c r="D784" s="12">
        <v>45562</v>
      </c>
      <c r="E784" s="14" t="str">
        <f>+HYPERLINK("http://trademark.i-assist.jp/data/china/image_1905th/79690448.pdf","79690448")</f>
        <v>79690448</v>
      </c>
      <c r="F784" s="13" t="s">
        <v>1458</v>
      </c>
      <c r="G784" s="13" t="s">
        <v>613</v>
      </c>
      <c r="H784" s="13" t="s">
        <v>4424</v>
      </c>
      <c r="I784" s="12">
        <v>45482</v>
      </c>
    </row>
    <row r="785" spans="1:9" x14ac:dyDescent="0.15">
      <c r="A785" s="10">
        <v>784</v>
      </c>
      <c r="B785" s="9" t="s">
        <v>9</v>
      </c>
      <c r="C785" s="11" t="s">
        <v>10</v>
      </c>
      <c r="D785" s="12">
        <v>45562</v>
      </c>
      <c r="E785" s="14" t="str">
        <f>+HYPERLINK("http://trademark.i-assist.jp/data/china/image_1905th/79691895.pdf","79691895")</f>
        <v>79691895</v>
      </c>
      <c r="F785" s="13" t="s">
        <v>1460</v>
      </c>
      <c r="G785" s="13" t="s">
        <v>1459</v>
      </c>
      <c r="H785" s="13" t="s">
        <v>4761</v>
      </c>
      <c r="I785" s="12">
        <v>45482</v>
      </c>
    </row>
    <row r="786" spans="1:9" x14ac:dyDescent="0.15">
      <c r="A786" s="10">
        <v>785</v>
      </c>
      <c r="B786" s="9" t="s">
        <v>9</v>
      </c>
      <c r="C786" s="11" t="s">
        <v>10</v>
      </c>
      <c r="D786" s="12">
        <v>45562</v>
      </c>
      <c r="E786" s="14" t="str">
        <f>+HYPERLINK("http://trademark.i-assist.jp/data/china/image_1905th/79694413.pdf","79694413")</f>
        <v>79694413</v>
      </c>
      <c r="F786" s="13" t="s">
        <v>73</v>
      </c>
      <c r="G786" s="13" t="s">
        <v>1461</v>
      </c>
      <c r="H786" s="13" t="s">
        <v>4762</v>
      </c>
      <c r="I786" s="12">
        <v>45482</v>
      </c>
    </row>
    <row r="787" spans="1:9" x14ac:dyDescent="0.15">
      <c r="A787" s="10">
        <v>786</v>
      </c>
      <c r="B787" s="9" t="s">
        <v>9</v>
      </c>
      <c r="C787" s="11" t="s">
        <v>10</v>
      </c>
      <c r="D787" s="12">
        <v>45562</v>
      </c>
      <c r="E787" s="14" t="str">
        <f>+HYPERLINK("http://trademark.i-assist.jp/data/china/image_1905th/79698975.pdf","79698975")</f>
        <v>79698975</v>
      </c>
      <c r="F787" s="13" t="s">
        <v>1463</v>
      </c>
      <c r="G787" s="13" t="s">
        <v>1462</v>
      </c>
      <c r="H787" s="13" t="s">
        <v>4763</v>
      </c>
      <c r="I787" s="12">
        <v>45482</v>
      </c>
    </row>
    <row r="788" spans="1:9" x14ac:dyDescent="0.15">
      <c r="A788" s="10">
        <v>787</v>
      </c>
      <c r="B788" s="9" t="s">
        <v>9</v>
      </c>
      <c r="C788" s="11" t="s">
        <v>10</v>
      </c>
      <c r="D788" s="12">
        <v>45562</v>
      </c>
      <c r="E788" s="14" t="str">
        <f>+HYPERLINK("http://trademark.i-assist.jp/data/china/image_1905th/79700254.pdf","79700254")</f>
        <v>79700254</v>
      </c>
      <c r="F788" s="13" t="s">
        <v>1465</v>
      </c>
      <c r="G788" s="13" t="s">
        <v>1464</v>
      </c>
      <c r="H788" s="13" t="s">
        <v>4764</v>
      </c>
      <c r="I788" s="12">
        <v>45482</v>
      </c>
    </row>
    <row r="789" spans="1:9" x14ac:dyDescent="0.15">
      <c r="A789" s="10">
        <v>788</v>
      </c>
      <c r="B789" s="9" t="s">
        <v>9</v>
      </c>
      <c r="C789" s="11" t="s">
        <v>10</v>
      </c>
      <c r="D789" s="12">
        <v>45562</v>
      </c>
      <c r="E789" s="14" t="str">
        <f>+HYPERLINK("http://trademark.i-assist.jp/data/china/image_1905th/79701522.pdf","79701522")</f>
        <v>79701522</v>
      </c>
      <c r="F789" s="13" t="s">
        <v>1467</v>
      </c>
      <c r="G789" s="13" t="s">
        <v>1466</v>
      </c>
      <c r="H789" s="13" t="s">
        <v>4765</v>
      </c>
      <c r="I789" s="12">
        <v>45482</v>
      </c>
    </row>
    <row r="790" spans="1:9" x14ac:dyDescent="0.15">
      <c r="A790" s="10">
        <v>789</v>
      </c>
      <c r="B790" s="9" t="s">
        <v>9</v>
      </c>
      <c r="C790" s="11" t="s">
        <v>10</v>
      </c>
      <c r="D790" s="12">
        <v>45562</v>
      </c>
      <c r="E790" s="14" t="str">
        <f>+HYPERLINK("http://trademark.i-assist.jp/data/china/image_1905th/79707004.pdf","79707004")</f>
        <v>79707004</v>
      </c>
      <c r="F790" s="13" t="s">
        <v>1469</v>
      </c>
      <c r="G790" s="13" t="s">
        <v>1468</v>
      </c>
      <c r="H790" s="13" t="s">
        <v>4766</v>
      </c>
      <c r="I790" s="12">
        <v>45483</v>
      </c>
    </row>
    <row r="791" spans="1:9" x14ac:dyDescent="0.15">
      <c r="A791" s="10">
        <v>790</v>
      </c>
      <c r="B791" s="9" t="s">
        <v>9</v>
      </c>
      <c r="C791" s="11" t="s">
        <v>10</v>
      </c>
      <c r="D791" s="12">
        <v>45562</v>
      </c>
      <c r="E791" s="14" t="str">
        <f>+HYPERLINK("http://trademark.i-assist.jp/data/china/image_1905th/79707631.pdf","79707631")</f>
        <v>79707631</v>
      </c>
      <c r="F791" s="13" t="s">
        <v>1471</v>
      </c>
      <c r="G791" s="13" t="s">
        <v>1470</v>
      </c>
      <c r="H791" s="13" t="s">
        <v>4767</v>
      </c>
      <c r="I791" s="12">
        <v>45483</v>
      </c>
    </row>
    <row r="792" spans="1:9" x14ac:dyDescent="0.15">
      <c r="A792" s="10">
        <v>791</v>
      </c>
      <c r="B792" s="9" t="s">
        <v>9</v>
      </c>
      <c r="C792" s="11" t="s">
        <v>10</v>
      </c>
      <c r="D792" s="12">
        <v>45562</v>
      </c>
      <c r="E792" s="14" t="str">
        <f>+HYPERLINK("http://trademark.i-assist.jp/data/china/image_1905th/79467746.pdf","79467746")</f>
        <v>79467746</v>
      </c>
      <c r="F792" s="13" t="s">
        <v>1473</v>
      </c>
      <c r="G792" s="13" t="s">
        <v>1472</v>
      </c>
      <c r="H792" s="13" t="s">
        <v>4768</v>
      </c>
      <c r="I792" s="12">
        <v>45470</v>
      </c>
    </row>
    <row r="793" spans="1:9" x14ac:dyDescent="0.15">
      <c r="A793" s="10">
        <v>792</v>
      </c>
      <c r="B793" s="9" t="s">
        <v>9</v>
      </c>
      <c r="C793" s="11" t="s">
        <v>10</v>
      </c>
      <c r="D793" s="12">
        <v>45562</v>
      </c>
      <c r="E793" s="14" t="str">
        <f>+HYPERLINK("http://trademark.i-assist.jp/data/china/image_1905th/79469672.pdf","79469672")</f>
        <v>79469672</v>
      </c>
      <c r="F793" s="13" t="s">
        <v>1475</v>
      </c>
      <c r="G793" s="13" t="s">
        <v>1474</v>
      </c>
      <c r="H793" s="13" t="s">
        <v>4769</v>
      </c>
      <c r="I793" s="12">
        <v>45470</v>
      </c>
    </row>
    <row r="794" spans="1:9" x14ac:dyDescent="0.15">
      <c r="A794" s="10">
        <v>793</v>
      </c>
      <c r="B794" s="9" t="s">
        <v>9</v>
      </c>
      <c r="C794" s="11" t="s">
        <v>10</v>
      </c>
      <c r="D794" s="12">
        <v>45562</v>
      </c>
      <c r="E794" s="14" t="str">
        <f>+HYPERLINK("http://trademark.i-assist.jp/data/china/image_1905th/79469784.pdf","79469784")</f>
        <v>79469784</v>
      </c>
      <c r="F794" s="13" t="s">
        <v>1477</v>
      </c>
      <c r="G794" s="13" t="s">
        <v>1476</v>
      </c>
      <c r="H794" s="13" t="s">
        <v>4770</v>
      </c>
      <c r="I794" s="12">
        <v>45470</v>
      </c>
    </row>
    <row r="795" spans="1:9" x14ac:dyDescent="0.15">
      <c r="A795" s="10">
        <v>794</v>
      </c>
      <c r="B795" s="9" t="s">
        <v>9</v>
      </c>
      <c r="C795" s="11" t="s">
        <v>10</v>
      </c>
      <c r="D795" s="12">
        <v>45562</v>
      </c>
      <c r="E795" s="14" t="str">
        <f>+HYPERLINK("http://trademark.i-assist.jp/data/china/image_1905th/79470146.pdf","79470146")</f>
        <v>79470146</v>
      </c>
      <c r="F795" s="13" t="s">
        <v>1479</v>
      </c>
      <c r="G795" s="13" t="s">
        <v>1478</v>
      </c>
      <c r="H795" s="13" t="s">
        <v>4771</v>
      </c>
      <c r="I795" s="12">
        <v>45470</v>
      </c>
    </row>
    <row r="796" spans="1:9" x14ac:dyDescent="0.15">
      <c r="A796" s="10">
        <v>795</v>
      </c>
      <c r="B796" s="9" t="s">
        <v>9</v>
      </c>
      <c r="C796" s="11" t="s">
        <v>10</v>
      </c>
      <c r="D796" s="12">
        <v>45562</v>
      </c>
      <c r="E796" s="14" t="str">
        <f>+HYPERLINK("http://trademark.i-assist.jp/data/china/image_1905th/79480119.pdf","79480119")</f>
        <v>79480119</v>
      </c>
      <c r="F796" s="13" t="s">
        <v>1481</v>
      </c>
      <c r="G796" s="13" t="s">
        <v>1480</v>
      </c>
      <c r="H796" s="13" t="s">
        <v>4622</v>
      </c>
      <c r="I796" s="12">
        <v>45470</v>
      </c>
    </row>
    <row r="797" spans="1:9" x14ac:dyDescent="0.15">
      <c r="A797" s="10">
        <v>796</v>
      </c>
      <c r="B797" s="9" t="s">
        <v>9</v>
      </c>
      <c r="C797" s="11" t="s">
        <v>10</v>
      </c>
      <c r="D797" s="12">
        <v>45562</v>
      </c>
      <c r="E797" s="14" t="str">
        <f>+HYPERLINK("http://trademark.i-assist.jp/data/china/image_1905th/79490317.pdf","79490317")</f>
        <v>79490317</v>
      </c>
      <c r="F797" s="13" t="s">
        <v>1482</v>
      </c>
      <c r="G797" s="13" t="s">
        <v>421</v>
      </c>
      <c r="H797" s="13" t="s">
        <v>4532</v>
      </c>
      <c r="I797" s="12">
        <v>45471</v>
      </c>
    </row>
    <row r="798" spans="1:9" x14ac:dyDescent="0.15">
      <c r="A798" s="10">
        <v>797</v>
      </c>
      <c r="B798" s="9" t="s">
        <v>9</v>
      </c>
      <c r="C798" s="11" t="s">
        <v>10</v>
      </c>
      <c r="D798" s="12">
        <v>45562</v>
      </c>
      <c r="E798" s="14" t="str">
        <f>+HYPERLINK("http://trademark.i-assist.jp/data/china/image_1905th/79512041.pdf","79512041")</f>
        <v>79512041</v>
      </c>
      <c r="F798" s="13" t="s">
        <v>1484</v>
      </c>
      <c r="G798" s="13" t="s">
        <v>1483</v>
      </c>
      <c r="H798" s="13" t="s">
        <v>4772</v>
      </c>
      <c r="I798" s="12">
        <v>45471</v>
      </c>
    </row>
    <row r="799" spans="1:9" x14ac:dyDescent="0.15">
      <c r="A799" s="10">
        <v>798</v>
      </c>
      <c r="B799" s="9" t="s">
        <v>9</v>
      </c>
      <c r="C799" s="11" t="s">
        <v>10</v>
      </c>
      <c r="D799" s="12">
        <v>45562</v>
      </c>
      <c r="E799" s="14" t="str">
        <f>+HYPERLINK("http://trademark.i-assist.jp/data/china/image_1905th/79528146.pdf","79528146")</f>
        <v>79528146</v>
      </c>
      <c r="F799" s="13" t="s">
        <v>1486</v>
      </c>
      <c r="G799" s="13" t="s">
        <v>1485</v>
      </c>
      <c r="H799" s="13" t="s">
        <v>4773</v>
      </c>
      <c r="I799" s="12">
        <v>45474</v>
      </c>
    </row>
    <row r="800" spans="1:9" x14ac:dyDescent="0.15">
      <c r="A800" s="10">
        <v>799</v>
      </c>
      <c r="B800" s="9" t="s">
        <v>9</v>
      </c>
      <c r="C800" s="11" t="s">
        <v>10</v>
      </c>
      <c r="D800" s="12">
        <v>45562</v>
      </c>
      <c r="E800" s="14" t="str">
        <f>+HYPERLINK("http://trademark.i-assist.jp/data/china/image_1905th/79530137.pdf","79530137")</f>
        <v>79530137</v>
      </c>
      <c r="F800" s="13" t="s">
        <v>1487</v>
      </c>
      <c r="G800" s="13" t="s">
        <v>436</v>
      </c>
      <c r="H800" s="13" t="s">
        <v>4344</v>
      </c>
      <c r="I800" s="12">
        <v>45474</v>
      </c>
    </row>
    <row r="801" spans="1:9" x14ac:dyDescent="0.15">
      <c r="A801" s="10">
        <v>800</v>
      </c>
      <c r="B801" s="9" t="s">
        <v>9</v>
      </c>
      <c r="C801" s="11" t="s">
        <v>10</v>
      </c>
      <c r="D801" s="12">
        <v>45562</v>
      </c>
      <c r="E801" s="14" t="str">
        <f>+HYPERLINK("http://trademark.i-assist.jp/data/china/image_1905th/79542025.pdf","79542025")</f>
        <v>79542025</v>
      </c>
      <c r="F801" s="13" t="s">
        <v>1489</v>
      </c>
      <c r="G801" s="13" t="s">
        <v>1488</v>
      </c>
      <c r="H801" s="13" t="s">
        <v>4774</v>
      </c>
      <c r="I801" s="12">
        <v>45474</v>
      </c>
    </row>
    <row r="802" spans="1:9" x14ac:dyDescent="0.15">
      <c r="A802" s="10">
        <v>801</v>
      </c>
      <c r="B802" s="9" t="s">
        <v>9</v>
      </c>
      <c r="C802" s="11" t="s">
        <v>10</v>
      </c>
      <c r="D802" s="12">
        <v>45562</v>
      </c>
      <c r="E802" s="14" t="str">
        <f>+HYPERLINK("http://trademark.i-assist.jp/data/china/image_1905th/79544418.pdf","79544418")</f>
        <v>79544418</v>
      </c>
      <c r="F802" s="13" t="s">
        <v>1491</v>
      </c>
      <c r="G802" s="13" t="s">
        <v>1490</v>
      </c>
      <c r="H802" s="13" t="s">
        <v>4775</v>
      </c>
      <c r="I802" s="12">
        <v>45474</v>
      </c>
    </row>
    <row r="803" spans="1:9" x14ac:dyDescent="0.15">
      <c r="A803" s="10">
        <v>802</v>
      </c>
      <c r="B803" s="9" t="s">
        <v>9</v>
      </c>
      <c r="C803" s="11" t="s">
        <v>10</v>
      </c>
      <c r="D803" s="12">
        <v>45562</v>
      </c>
      <c r="E803" s="14" t="str">
        <f>+HYPERLINK("http://trademark.i-assist.jp/data/china/image_1905th/79546521.pdf","79546521")</f>
        <v>79546521</v>
      </c>
      <c r="F803" s="13" t="s">
        <v>1493</v>
      </c>
      <c r="G803" s="13" t="s">
        <v>1492</v>
      </c>
      <c r="H803" s="13" t="s">
        <v>4776</v>
      </c>
      <c r="I803" s="12">
        <v>45474</v>
      </c>
    </row>
    <row r="804" spans="1:9" x14ac:dyDescent="0.15">
      <c r="A804" s="10">
        <v>803</v>
      </c>
      <c r="B804" s="9" t="s">
        <v>9</v>
      </c>
      <c r="C804" s="11" t="s">
        <v>10</v>
      </c>
      <c r="D804" s="12">
        <v>45562</v>
      </c>
      <c r="E804" s="14" t="str">
        <f>+HYPERLINK("http://trademark.i-assist.jp/data/china/image_1905th/79546602.pdf","79546602")</f>
        <v>79546602</v>
      </c>
      <c r="F804" s="13" t="s">
        <v>1495</v>
      </c>
      <c r="G804" s="13" t="s">
        <v>1494</v>
      </c>
      <c r="H804" s="13" t="s">
        <v>4777</v>
      </c>
      <c r="I804" s="12">
        <v>45474</v>
      </c>
    </row>
    <row r="805" spans="1:9" x14ac:dyDescent="0.15">
      <c r="A805" s="10">
        <v>804</v>
      </c>
      <c r="B805" s="9" t="s">
        <v>9</v>
      </c>
      <c r="C805" s="11" t="s">
        <v>10</v>
      </c>
      <c r="D805" s="12">
        <v>45562</v>
      </c>
      <c r="E805" s="14" t="str">
        <f>+HYPERLINK("http://trademark.i-assist.jp/data/china/image_1905th/79549211.pdf","79549211")</f>
        <v>79549211</v>
      </c>
      <c r="F805" s="13" t="s">
        <v>1497</v>
      </c>
      <c r="G805" s="13" t="s">
        <v>1496</v>
      </c>
      <c r="H805" s="13" t="s">
        <v>4778</v>
      </c>
      <c r="I805" s="12">
        <v>45474</v>
      </c>
    </row>
    <row r="806" spans="1:9" x14ac:dyDescent="0.15">
      <c r="A806" s="10">
        <v>805</v>
      </c>
      <c r="B806" s="9" t="s">
        <v>9</v>
      </c>
      <c r="C806" s="11" t="s">
        <v>10</v>
      </c>
      <c r="D806" s="12">
        <v>45562</v>
      </c>
      <c r="E806" s="14" t="str">
        <f>+HYPERLINK("http://trademark.i-assist.jp/data/china/image_1905th/79550526.pdf","79550526")</f>
        <v>79550526</v>
      </c>
      <c r="F806" s="13" t="s">
        <v>73</v>
      </c>
      <c r="G806" s="13" t="s">
        <v>1498</v>
      </c>
      <c r="H806" s="13" t="s">
        <v>4779</v>
      </c>
      <c r="I806" s="12">
        <v>45474</v>
      </c>
    </row>
    <row r="807" spans="1:9" x14ac:dyDescent="0.15">
      <c r="A807" s="10">
        <v>806</v>
      </c>
      <c r="B807" s="9" t="s">
        <v>9</v>
      </c>
      <c r="C807" s="11" t="s">
        <v>10</v>
      </c>
      <c r="D807" s="12">
        <v>45562</v>
      </c>
      <c r="E807" s="14" t="str">
        <f>+HYPERLINK("http://trademark.i-assist.jp/data/china/image_1905th/79552763.pdf","79552763")</f>
        <v>79552763</v>
      </c>
      <c r="F807" s="13" t="s">
        <v>1500</v>
      </c>
      <c r="G807" s="13" t="s">
        <v>1499</v>
      </c>
      <c r="H807" s="13" t="s">
        <v>4780</v>
      </c>
      <c r="I807" s="12">
        <v>45475</v>
      </c>
    </row>
    <row r="808" spans="1:9" x14ac:dyDescent="0.15">
      <c r="A808" s="10">
        <v>807</v>
      </c>
      <c r="B808" s="9" t="s">
        <v>9</v>
      </c>
      <c r="C808" s="11" t="s">
        <v>10</v>
      </c>
      <c r="D808" s="12">
        <v>45562</v>
      </c>
      <c r="E808" s="14" t="str">
        <f>+HYPERLINK("http://trademark.i-assist.jp/data/china/image_1905th/79556245.pdf","79556245")</f>
        <v>79556245</v>
      </c>
      <c r="F808" s="13" t="s">
        <v>1502</v>
      </c>
      <c r="G808" s="13" t="s">
        <v>1501</v>
      </c>
      <c r="H808" s="13" t="s">
        <v>4328</v>
      </c>
      <c r="I808" s="12">
        <v>45475</v>
      </c>
    </row>
    <row r="809" spans="1:9" x14ac:dyDescent="0.15">
      <c r="A809" s="10">
        <v>808</v>
      </c>
      <c r="B809" s="9" t="s">
        <v>9</v>
      </c>
      <c r="C809" s="11" t="s">
        <v>10</v>
      </c>
      <c r="D809" s="12">
        <v>45562</v>
      </c>
      <c r="E809" s="14" t="str">
        <f>+HYPERLINK("http://trademark.i-assist.jp/data/china/image_1905th/79556879.pdf","79556879")</f>
        <v>79556879</v>
      </c>
      <c r="F809" s="13" t="s">
        <v>73</v>
      </c>
      <c r="G809" s="13" t="s">
        <v>1503</v>
      </c>
      <c r="H809" s="13" t="s">
        <v>4781</v>
      </c>
      <c r="I809" s="12">
        <v>45475</v>
      </c>
    </row>
    <row r="810" spans="1:9" x14ac:dyDescent="0.15">
      <c r="A810" s="10">
        <v>809</v>
      </c>
      <c r="B810" s="9" t="s">
        <v>9</v>
      </c>
      <c r="C810" s="11" t="s">
        <v>10</v>
      </c>
      <c r="D810" s="12">
        <v>45562</v>
      </c>
      <c r="E810" s="14" t="str">
        <f>+HYPERLINK("http://trademark.i-assist.jp/data/china/image_1905th/79580992.pdf","79580992")</f>
        <v>79580992</v>
      </c>
      <c r="F810" s="13" t="s">
        <v>1505</v>
      </c>
      <c r="G810" s="13" t="s">
        <v>1504</v>
      </c>
      <c r="H810" s="13" t="s">
        <v>4782</v>
      </c>
      <c r="I810" s="12">
        <v>45476</v>
      </c>
    </row>
    <row r="811" spans="1:9" x14ac:dyDescent="0.15">
      <c r="A811" s="10">
        <v>810</v>
      </c>
      <c r="B811" s="9" t="s">
        <v>9</v>
      </c>
      <c r="C811" s="11" t="s">
        <v>10</v>
      </c>
      <c r="D811" s="12">
        <v>45562</v>
      </c>
      <c r="E811" s="14" t="str">
        <f>+HYPERLINK("http://trademark.i-assist.jp/data/china/image_1905th/79597979.pdf","79597979")</f>
        <v>79597979</v>
      </c>
      <c r="F811" s="13" t="s">
        <v>1507</v>
      </c>
      <c r="G811" s="13" t="s">
        <v>1506</v>
      </c>
      <c r="H811" s="13" t="s">
        <v>4783</v>
      </c>
      <c r="I811" s="12">
        <v>45476</v>
      </c>
    </row>
    <row r="812" spans="1:9" x14ac:dyDescent="0.15">
      <c r="A812" s="10">
        <v>811</v>
      </c>
      <c r="B812" s="9" t="s">
        <v>9</v>
      </c>
      <c r="C812" s="11" t="s">
        <v>10</v>
      </c>
      <c r="D812" s="12">
        <v>45562</v>
      </c>
      <c r="E812" s="14" t="str">
        <f>+HYPERLINK("http://trademark.i-assist.jp/data/china/image_1905th/79605330.pdf","79605330")</f>
        <v>79605330</v>
      </c>
      <c r="F812" s="13" t="s">
        <v>1509</v>
      </c>
      <c r="G812" s="13" t="s">
        <v>1508</v>
      </c>
      <c r="H812" s="13" t="s">
        <v>4784</v>
      </c>
      <c r="I812" s="12">
        <v>45477</v>
      </c>
    </row>
    <row r="813" spans="1:9" x14ac:dyDescent="0.15">
      <c r="A813" s="10">
        <v>812</v>
      </c>
      <c r="B813" s="9" t="s">
        <v>9</v>
      </c>
      <c r="C813" s="11" t="s">
        <v>10</v>
      </c>
      <c r="D813" s="12">
        <v>45562</v>
      </c>
      <c r="E813" s="14" t="str">
        <f>+HYPERLINK("http://trademark.i-assist.jp/data/china/image_1905th/79610518.pdf","79610518")</f>
        <v>79610518</v>
      </c>
      <c r="F813" s="13" t="s">
        <v>1510</v>
      </c>
      <c r="G813" s="13" t="s">
        <v>1122</v>
      </c>
      <c r="H813" s="13" t="s">
        <v>4620</v>
      </c>
      <c r="I813" s="12">
        <v>45477</v>
      </c>
    </row>
    <row r="814" spans="1:9" x14ac:dyDescent="0.15">
      <c r="A814" s="10">
        <v>813</v>
      </c>
      <c r="B814" s="9" t="s">
        <v>9</v>
      </c>
      <c r="C814" s="11" t="s">
        <v>10</v>
      </c>
      <c r="D814" s="12">
        <v>45562</v>
      </c>
      <c r="E814" s="14" t="str">
        <f>+HYPERLINK("http://trademark.i-assist.jp/data/china/image_1905th/79612444.pdf","79612444")</f>
        <v>79612444</v>
      </c>
      <c r="F814" s="13" t="s">
        <v>1512</v>
      </c>
      <c r="G814" s="13" t="s">
        <v>1511</v>
      </c>
      <c r="H814" s="13" t="s">
        <v>4720</v>
      </c>
      <c r="I814" s="12">
        <v>45477</v>
      </c>
    </row>
    <row r="815" spans="1:9" x14ac:dyDescent="0.15">
      <c r="A815" s="10">
        <v>814</v>
      </c>
      <c r="B815" s="9" t="s">
        <v>9</v>
      </c>
      <c r="C815" s="11" t="s">
        <v>10</v>
      </c>
      <c r="D815" s="12">
        <v>45562</v>
      </c>
      <c r="E815" s="14" t="str">
        <f>+HYPERLINK("http://trademark.i-assist.jp/data/china/image_1905th/79615225.pdf","79615225")</f>
        <v>79615225</v>
      </c>
      <c r="F815" s="13" t="s">
        <v>1514</v>
      </c>
      <c r="G815" s="13" t="s">
        <v>1513</v>
      </c>
      <c r="H815" s="13" t="s">
        <v>4785</v>
      </c>
      <c r="I815" s="12">
        <v>45477</v>
      </c>
    </row>
    <row r="816" spans="1:9" x14ac:dyDescent="0.15">
      <c r="A816" s="10">
        <v>815</v>
      </c>
      <c r="B816" s="9" t="s">
        <v>9</v>
      </c>
      <c r="C816" s="11" t="s">
        <v>10</v>
      </c>
      <c r="D816" s="12">
        <v>45562</v>
      </c>
      <c r="E816" s="14" t="str">
        <f>+HYPERLINK("http://trademark.i-assist.jp/data/china/image_1905th/79619118.pdf","79619118")</f>
        <v>79619118</v>
      </c>
      <c r="F816" s="13" t="s">
        <v>1516</v>
      </c>
      <c r="G816" s="13" t="s">
        <v>1515</v>
      </c>
      <c r="H816" s="13" t="s">
        <v>4786</v>
      </c>
      <c r="I816" s="12">
        <v>45477</v>
      </c>
    </row>
    <row r="817" spans="1:9" x14ac:dyDescent="0.15">
      <c r="A817" s="10">
        <v>816</v>
      </c>
      <c r="B817" s="9" t="s">
        <v>9</v>
      </c>
      <c r="C817" s="11" t="s">
        <v>10</v>
      </c>
      <c r="D817" s="12">
        <v>45562</v>
      </c>
      <c r="E817" s="14" t="str">
        <f>+HYPERLINK("http://trademark.i-assist.jp/data/china/image_1905th/79622476.pdf","79622476")</f>
        <v>79622476</v>
      </c>
      <c r="F817" s="13" t="s">
        <v>1518</v>
      </c>
      <c r="G817" s="13" t="s">
        <v>1517</v>
      </c>
      <c r="H817" s="13" t="s">
        <v>4787</v>
      </c>
      <c r="I817" s="12">
        <v>45477</v>
      </c>
    </row>
    <row r="818" spans="1:9" x14ac:dyDescent="0.15">
      <c r="A818" s="10">
        <v>817</v>
      </c>
      <c r="B818" s="9" t="s">
        <v>9</v>
      </c>
      <c r="C818" s="11" t="s">
        <v>10</v>
      </c>
      <c r="D818" s="12">
        <v>45562</v>
      </c>
      <c r="E818" s="14" t="str">
        <f>+HYPERLINK("http://trademark.i-assist.jp/data/china/image_1905th/79622781.pdf","79622781")</f>
        <v>79622781</v>
      </c>
      <c r="F818" s="13" t="s">
        <v>1520</v>
      </c>
      <c r="G818" s="13" t="s">
        <v>1519</v>
      </c>
      <c r="H818" s="13" t="s">
        <v>4788</v>
      </c>
      <c r="I818" s="12">
        <v>45478</v>
      </c>
    </row>
    <row r="819" spans="1:9" x14ac:dyDescent="0.15">
      <c r="A819" s="10">
        <v>818</v>
      </c>
      <c r="B819" s="9" t="s">
        <v>9</v>
      </c>
      <c r="C819" s="11" t="s">
        <v>10</v>
      </c>
      <c r="D819" s="12">
        <v>45562</v>
      </c>
      <c r="E819" s="14" t="str">
        <f>+HYPERLINK("http://trademark.i-assist.jp/data/china/image_1905th/79632926.pdf","79632926")</f>
        <v>79632926</v>
      </c>
      <c r="F819" s="13" t="s">
        <v>1522</v>
      </c>
      <c r="G819" s="13" t="s">
        <v>1521</v>
      </c>
      <c r="H819" s="13" t="s">
        <v>4789</v>
      </c>
      <c r="I819" s="12">
        <v>45478</v>
      </c>
    </row>
    <row r="820" spans="1:9" x14ac:dyDescent="0.15">
      <c r="A820" s="10">
        <v>819</v>
      </c>
      <c r="B820" s="9" t="s">
        <v>9</v>
      </c>
      <c r="C820" s="11" t="s">
        <v>10</v>
      </c>
      <c r="D820" s="12">
        <v>45562</v>
      </c>
      <c r="E820" s="14" t="str">
        <f>+HYPERLINK("http://trademark.i-assist.jp/data/china/image_1905th/79721890.pdf","79721890")</f>
        <v>79721890</v>
      </c>
      <c r="F820" s="13" t="s">
        <v>1524</v>
      </c>
      <c r="G820" s="13" t="s">
        <v>1523</v>
      </c>
      <c r="H820" s="13" t="s">
        <v>4200</v>
      </c>
      <c r="I820" s="12">
        <v>45483</v>
      </c>
    </row>
    <row r="821" spans="1:9" x14ac:dyDescent="0.15">
      <c r="A821" s="10">
        <v>820</v>
      </c>
      <c r="B821" s="9" t="s">
        <v>9</v>
      </c>
      <c r="C821" s="11" t="s">
        <v>10</v>
      </c>
      <c r="D821" s="12">
        <v>45562</v>
      </c>
      <c r="E821" s="14" t="str">
        <f>+HYPERLINK("http://trademark.i-assist.jp/data/china/image_1905th/79725967.pdf","79725967")</f>
        <v>79725967</v>
      </c>
      <c r="F821" s="13" t="s">
        <v>1526</v>
      </c>
      <c r="G821" s="13" t="s">
        <v>1525</v>
      </c>
      <c r="H821" s="13" t="s">
        <v>4790</v>
      </c>
      <c r="I821" s="12">
        <v>45483</v>
      </c>
    </row>
    <row r="822" spans="1:9" x14ac:dyDescent="0.15">
      <c r="A822" s="10">
        <v>821</v>
      </c>
      <c r="B822" s="9" t="s">
        <v>9</v>
      </c>
      <c r="C822" s="11" t="s">
        <v>10</v>
      </c>
      <c r="D822" s="12">
        <v>45562</v>
      </c>
      <c r="E822" s="14" t="str">
        <f>+HYPERLINK("http://trademark.i-assist.jp/data/china/image_1905th/79726997.pdf","79726997")</f>
        <v>79726997</v>
      </c>
      <c r="F822" s="13" t="s">
        <v>1528</v>
      </c>
      <c r="G822" s="13" t="s">
        <v>1527</v>
      </c>
      <c r="H822" s="13" t="s">
        <v>4791</v>
      </c>
      <c r="I822" s="12">
        <v>45483</v>
      </c>
    </row>
    <row r="823" spans="1:9" x14ac:dyDescent="0.15">
      <c r="A823" s="10">
        <v>822</v>
      </c>
      <c r="B823" s="9" t="s">
        <v>9</v>
      </c>
      <c r="C823" s="11" t="s">
        <v>10</v>
      </c>
      <c r="D823" s="12">
        <v>45562</v>
      </c>
      <c r="E823" s="14" t="str">
        <f>+HYPERLINK("http://trademark.i-assist.jp/data/china/image_1905th/79732636.pdf","79732636")</f>
        <v>79732636</v>
      </c>
      <c r="F823" s="13" t="s">
        <v>1530</v>
      </c>
      <c r="G823" s="13" t="s">
        <v>1529</v>
      </c>
      <c r="H823" s="13" t="s">
        <v>4792</v>
      </c>
      <c r="I823" s="12">
        <v>45484</v>
      </c>
    </row>
    <row r="824" spans="1:9" x14ac:dyDescent="0.15">
      <c r="A824" s="10">
        <v>823</v>
      </c>
      <c r="B824" s="9" t="s">
        <v>9</v>
      </c>
      <c r="C824" s="11" t="s">
        <v>10</v>
      </c>
      <c r="D824" s="12">
        <v>45562</v>
      </c>
      <c r="E824" s="14" t="str">
        <f>+HYPERLINK("http://trademark.i-assist.jp/data/china/image_1905th/79732749.pdf","79732749")</f>
        <v>79732749</v>
      </c>
      <c r="F824" s="13" t="s">
        <v>1532</v>
      </c>
      <c r="G824" s="13" t="s">
        <v>1531</v>
      </c>
      <c r="H824" s="13" t="s">
        <v>4793</v>
      </c>
      <c r="I824" s="12">
        <v>45484</v>
      </c>
    </row>
    <row r="825" spans="1:9" x14ac:dyDescent="0.15">
      <c r="A825" s="10">
        <v>824</v>
      </c>
      <c r="B825" s="9" t="s">
        <v>9</v>
      </c>
      <c r="C825" s="11" t="s">
        <v>10</v>
      </c>
      <c r="D825" s="12">
        <v>45562</v>
      </c>
      <c r="E825" s="14" t="str">
        <f>+HYPERLINK("http://trademark.i-assist.jp/data/china/image_1905th/79734320.pdf","79734320")</f>
        <v>79734320</v>
      </c>
      <c r="F825" s="13" t="s">
        <v>1534</v>
      </c>
      <c r="G825" s="13" t="s">
        <v>1533</v>
      </c>
      <c r="H825" s="13" t="s">
        <v>4794</v>
      </c>
      <c r="I825" s="12">
        <v>45484</v>
      </c>
    </row>
    <row r="826" spans="1:9" x14ac:dyDescent="0.15">
      <c r="A826" s="10">
        <v>825</v>
      </c>
      <c r="B826" s="9" t="s">
        <v>9</v>
      </c>
      <c r="C826" s="11" t="s">
        <v>10</v>
      </c>
      <c r="D826" s="12">
        <v>45562</v>
      </c>
      <c r="E826" s="14" t="str">
        <f>+HYPERLINK("http://trademark.i-assist.jp/data/china/image_1905th/79734794.pdf","79734794")</f>
        <v>79734794</v>
      </c>
      <c r="F826" s="13" t="s">
        <v>1536</v>
      </c>
      <c r="G826" s="13" t="s">
        <v>1535</v>
      </c>
      <c r="H826" s="13" t="s">
        <v>4795</v>
      </c>
      <c r="I826" s="12">
        <v>45484</v>
      </c>
    </row>
    <row r="827" spans="1:9" x14ac:dyDescent="0.15">
      <c r="A827" s="10">
        <v>826</v>
      </c>
      <c r="B827" s="9" t="s">
        <v>9</v>
      </c>
      <c r="C827" s="11" t="s">
        <v>10</v>
      </c>
      <c r="D827" s="12">
        <v>45562</v>
      </c>
      <c r="E827" s="14" t="str">
        <f>+HYPERLINK("http://trademark.i-assist.jp/data/china/image_1905th/79220186.pdf","79220186")</f>
        <v>79220186</v>
      </c>
      <c r="F827" s="13" t="s">
        <v>1537</v>
      </c>
      <c r="G827" s="13" t="s">
        <v>838</v>
      </c>
      <c r="H827" s="13" t="s">
        <v>4522</v>
      </c>
      <c r="I827" s="12">
        <v>45457</v>
      </c>
    </row>
    <row r="828" spans="1:9" x14ac:dyDescent="0.15">
      <c r="A828" s="10">
        <v>827</v>
      </c>
      <c r="B828" s="9" t="s">
        <v>9</v>
      </c>
      <c r="C828" s="11" t="s">
        <v>10</v>
      </c>
      <c r="D828" s="12">
        <v>45562</v>
      </c>
      <c r="E828" s="14" t="str">
        <f>+HYPERLINK("http://trademark.i-assist.jp/data/china/image_1905th/79229426.pdf","79229426")</f>
        <v>79229426</v>
      </c>
      <c r="F828" s="13" t="s">
        <v>1539</v>
      </c>
      <c r="G828" s="13" t="s">
        <v>1538</v>
      </c>
      <c r="H828" s="13" t="s">
        <v>4796</v>
      </c>
      <c r="I828" s="12">
        <v>45457</v>
      </c>
    </row>
    <row r="829" spans="1:9" x14ac:dyDescent="0.15">
      <c r="A829" s="10">
        <v>828</v>
      </c>
      <c r="B829" s="9" t="s">
        <v>9</v>
      </c>
      <c r="C829" s="11" t="s">
        <v>10</v>
      </c>
      <c r="D829" s="12">
        <v>45562</v>
      </c>
      <c r="E829" s="14" t="str">
        <f>+HYPERLINK("http://trademark.i-assist.jp/data/china/image_1905th/79249864.pdf","79249864")</f>
        <v>79249864</v>
      </c>
      <c r="F829" s="13" t="s">
        <v>1541</v>
      </c>
      <c r="G829" s="13" t="s">
        <v>1540</v>
      </c>
      <c r="H829" s="13" t="s">
        <v>4797</v>
      </c>
      <c r="I829" s="12">
        <v>45460</v>
      </c>
    </row>
    <row r="830" spans="1:9" x14ac:dyDescent="0.15">
      <c r="A830" s="10">
        <v>829</v>
      </c>
      <c r="B830" s="9" t="s">
        <v>9</v>
      </c>
      <c r="C830" s="11" t="s">
        <v>10</v>
      </c>
      <c r="D830" s="12">
        <v>45562</v>
      </c>
      <c r="E830" s="14" t="str">
        <f>+HYPERLINK("http://trademark.i-assist.jp/data/china/image_1905th/79262069.pdf","79262069")</f>
        <v>79262069</v>
      </c>
      <c r="F830" s="13" t="s">
        <v>1543</v>
      </c>
      <c r="G830" s="13" t="s">
        <v>1542</v>
      </c>
      <c r="H830" s="13" t="s">
        <v>4798</v>
      </c>
      <c r="I830" s="12">
        <v>45460</v>
      </c>
    </row>
    <row r="831" spans="1:9" x14ac:dyDescent="0.15">
      <c r="A831" s="10">
        <v>830</v>
      </c>
      <c r="B831" s="9" t="s">
        <v>9</v>
      </c>
      <c r="C831" s="11" t="s">
        <v>10</v>
      </c>
      <c r="D831" s="12">
        <v>45562</v>
      </c>
      <c r="E831" s="14" t="str">
        <f>+HYPERLINK("http://trademark.i-assist.jp/data/china/image_1905th/79263193.pdf","79263193")</f>
        <v>79263193</v>
      </c>
      <c r="F831" s="13" t="s">
        <v>1545</v>
      </c>
      <c r="G831" s="13" t="s">
        <v>1544</v>
      </c>
      <c r="H831" s="13" t="s">
        <v>4799</v>
      </c>
      <c r="I831" s="12">
        <v>45460</v>
      </c>
    </row>
    <row r="832" spans="1:9" x14ac:dyDescent="0.15">
      <c r="A832" s="10">
        <v>831</v>
      </c>
      <c r="B832" s="9" t="s">
        <v>9</v>
      </c>
      <c r="C832" s="11" t="s">
        <v>10</v>
      </c>
      <c r="D832" s="12">
        <v>45562</v>
      </c>
      <c r="E832" s="14" t="str">
        <f>+HYPERLINK("http://trademark.i-assist.jp/data/china/image_1905th/79267260.pdf","79267260")</f>
        <v>79267260</v>
      </c>
      <c r="F832" s="13" t="s">
        <v>1547</v>
      </c>
      <c r="G832" s="13" t="s">
        <v>1546</v>
      </c>
      <c r="H832" s="13" t="s">
        <v>4800</v>
      </c>
      <c r="I832" s="12">
        <v>45460</v>
      </c>
    </row>
    <row r="833" spans="1:9" x14ac:dyDescent="0.15">
      <c r="A833" s="10">
        <v>832</v>
      </c>
      <c r="B833" s="9" t="s">
        <v>9</v>
      </c>
      <c r="C833" s="11" t="s">
        <v>10</v>
      </c>
      <c r="D833" s="12">
        <v>45562</v>
      </c>
      <c r="E833" s="14" t="str">
        <f>+HYPERLINK("http://trademark.i-assist.jp/data/china/image_1905th/79275139.pdf","79275139")</f>
        <v>79275139</v>
      </c>
      <c r="F833" s="13" t="s">
        <v>1549</v>
      </c>
      <c r="G833" s="13" t="s">
        <v>1548</v>
      </c>
      <c r="H833" s="13" t="s">
        <v>4801</v>
      </c>
      <c r="I833" s="12">
        <v>45461</v>
      </c>
    </row>
    <row r="834" spans="1:9" x14ac:dyDescent="0.15">
      <c r="A834" s="10">
        <v>833</v>
      </c>
      <c r="B834" s="9" t="s">
        <v>9</v>
      </c>
      <c r="C834" s="11" t="s">
        <v>10</v>
      </c>
      <c r="D834" s="12">
        <v>45562</v>
      </c>
      <c r="E834" s="14" t="str">
        <f>+HYPERLINK("http://trademark.i-assist.jp/data/china/image_1905th/79299728.pdf","79299728")</f>
        <v>79299728</v>
      </c>
      <c r="F834" s="13" t="s">
        <v>1550</v>
      </c>
      <c r="G834" s="13" t="s">
        <v>662</v>
      </c>
      <c r="H834" s="13" t="s">
        <v>4802</v>
      </c>
      <c r="I834" s="12">
        <v>45462</v>
      </c>
    </row>
    <row r="835" spans="1:9" x14ac:dyDescent="0.15">
      <c r="A835" s="10">
        <v>834</v>
      </c>
      <c r="B835" s="9" t="s">
        <v>9</v>
      </c>
      <c r="C835" s="11" t="s">
        <v>10</v>
      </c>
      <c r="D835" s="12">
        <v>45562</v>
      </c>
      <c r="E835" s="14" t="str">
        <f>+HYPERLINK("http://trademark.i-assist.jp/data/china/image_1905th/79303916.pdf","79303916")</f>
        <v>79303916</v>
      </c>
      <c r="F835" s="13" t="s">
        <v>1551</v>
      </c>
      <c r="G835" s="13" t="s">
        <v>383</v>
      </c>
      <c r="H835" s="13" t="s">
        <v>4803</v>
      </c>
      <c r="I835" s="12">
        <v>45462</v>
      </c>
    </row>
    <row r="836" spans="1:9" x14ac:dyDescent="0.15">
      <c r="A836" s="10">
        <v>835</v>
      </c>
      <c r="B836" s="9" t="s">
        <v>9</v>
      </c>
      <c r="C836" s="11" t="s">
        <v>10</v>
      </c>
      <c r="D836" s="12">
        <v>45562</v>
      </c>
      <c r="E836" s="14" t="str">
        <f>+HYPERLINK("http://trademark.i-assist.jp/data/china/image_1905th/79305052.pdf","79305052")</f>
        <v>79305052</v>
      </c>
      <c r="F836" s="13" t="s">
        <v>1553</v>
      </c>
      <c r="G836" s="13" t="s">
        <v>1552</v>
      </c>
      <c r="H836" s="13" t="s">
        <v>4212</v>
      </c>
      <c r="I836" s="12">
        <v>45462</v>
      </c>
    </row>
    <row r="837" spans="1:9" x14ac:dyDescent="0.15">
      <c r="A837" s="10">
        <v>836</v>
      </c>
      <c r="B837" s="9" t="s">
        <v>9</v>
      </c>
      <c r="C837" s="11" t="s">
        <v>10</v>
      </c>
      <c r="D837" s="12">
        <v>45562</v>
      </c>
      <c r="E837" s="14" t="str">
        <f>+HYPERLINK("http://trademark.i-assist.jp/data/china/image_1905th/79664621.pdf","79664621")</f>
        <v>79664621</v>
      </c>
      <c r="F837" s="13" t="s">
        <v>1555</v>
      </c>
      <c r="G837" s="13" t="s">
        <v>1554</v>
      </c>
      <c r="H837" s="13" t="s">
        <v>4804</v>
      </c>
      <c r="I837" s="12">
        <v>45481</v>
      </c>
    </row>
    <row r="838" spans="1:9" x14ac:dyDescent="0.15">
      <c r="A838" s="10">
        <v>837</v>
      </c>
      <c r="B838" s="9" t="s">
        <v>9</v>
      </c>
      <c r="C838" s="11" t="s">
        <v>10</v>
      </c>
      <c r="D838" s="12">
        <v>45562</v>
      </c>
      <c r="E838" s="14" t="str">
        <f>+HYPERLINK("http://trademark.i-assist.jp/data/china/image_1905th/79667541.pdf","79667541")</f>
        <v>79667541</v>
      </c>
      <c r="F838" s="13" t="s">
        <v>1557</v>
      </c>
      <c r="G838" s="13" t="s">
        <v>1556</v>
      </c>
      <c r="H838" s="13" t="s">
        <v>4440</v>
      </c>
      <c r="I838" s="12">
        <v>45481</v>
      </c>
    </row>
    <row r="839" spans="1:9" x14ac:dyDescent="0.15">
      <c r="A839" s="10">
        <v>838</v>
      </c>
      <c r="B839" s="9" t="s">
        <v>9</v>
      </c>
      <c r="C839" s="11" t="s">
        <v>10</v>
      </c>
      <c r="D839" s="12">
        <v>45562</v>
      </c>
      <c r="E839" s="14" t="str">
        <f>+HYPERLINK("http://trademark.i-assist.jp/data/china/image_1905th/79683621.pdf","79683621")</f>
        <v>79683621</v>
      </c>
      <c r="F839" s="13" t="s">
        <v>1559</v>
      </c>
      <c r="G839" s="13" t="s">
        <v>1558</v>
      </c>
      <c r="H839" s="13" t="s">
        <v>4805</v>
      </c>
      <c r="I839" s="12">
        <v>45482</v>
      </c>
    </row>
    <row r="840" spans="1:9" x14ac:dyDescent="0.15">
      <c r="A840" s="10">
        <v>839</v>
      </c>
      <c r="B840" s="9" t="s">
        <v>9</v>
      </c>
      <c r="C840" s="11" t="s">
        <v>10</v>
      </c>
      <c r="D840" s="12">
        <v>45562</v>
      </c>
      <c r="E840" s="14" t="str">
        <f>+HYPERLINK("http://trademark.i-assist.jp/data/china/image_1905th/79319683.pdf","79319683")</f>
        <v>79319683</v>
      </c>
      <c r="F840" s="13" t="s">
        <v>1561</v>
      </c>
      <c r="G840" s="13" t="s">
        <v>1560</v>
      </c>
      <c r="H840" s="13" t="s">
        <v>4806</v>
      </c>
      <c r="I840" s="12">
        <v>45462</v>
      </c>
    </row>
    <row r="841" spans="1:9" x14ac:dyDescent="0.15">
      <c r="A841" s="10">
        <v>840</v>
      </c>
      <c r="B841" s="9" t="s">
        <v>9</v>
      </c>
      <c r="C841" s="11" t="s">
        <v>10</v>
      </c>
      <c r="D841" s="12">
        <v>45562</v>
      </c>
      <c r="E841" s="14" t="str">
        <f>+HYPERLINK("http://trademark.i-assist.jp/data/china/image_1905th/79335611.pdf","79335611")</f>
        <v>79335611</v>
      </c>
      <c r="F841" s="13" t="s">
        <v>1562</v>
      </c>
      <c r="G841" s="13" t="s">
        <v>228</v>
      </c>
      <c r="H841" s="13" t="s">
        <v>4250</v>
      </c>
      <c r="I841" s="12">
        <v>45463</v>
      </c>
    </row>
    <row r="842" spans="1:9" x14ac:dyDescent="0.15">
      <c r="A842" s="10">
        <v>841</v>
      </c>
      <c r="B842" s="9" t="s">
        <v>9</v>
      </c>
      <c r="C842" s="11" t="s">
        <v>10</v>
      </c>
      <c r="D842" s="12">
        <v>45562</v>
      </c>
      <c r="E842" s="14" t="str">
        <f>+HYPERLINK("http://trademark.i-assist.jp/data/china/image_1905th/79349068.pdf","79349068")</f>
        <v>79349068</v>
      </c>
      <c r="F842" s="13" t="s">
        <v>1564</v>
      </c>
      <c r="G842" s="13" t="s">
        <v>1563</v>
      </c>
      <c r="H842" s="13" t="s">
        <v>4807</v>
      </c>
      <c r="I842" s="12">
        <v>45463</v>
      </c>
    </row>
    <row r="843" spans="1:9" x14ac:dyDescent="0.15">
      <c r="A843" s="10">
        <v>842</v>
      </c>
      <c r="B843" s="9" t="s">
        <v>9</v>
      </c>
      <c r="C843" s="11" t="s">
        <v>10</v>
      </c>
      <c r="D843" s="12">
        <v>45562</v>
      </c>
      <c r="E843" s="14" t="str">
        <f>+HYPERLINK("http://trademark.i-assist.jp/data/china/image_1905th/79366656.pdf","79366656")</f>
        <v>79366656</v>
      </c>
      <c r="F843" s="13" t="s">
        <v>1566</v>
      </c>
      <c r="G843" s="13" t="s">
        <v>1565</v>
      </c>
      <c r="H843" s="13" t="s">
        <v>4808</v>
      </c>
      <c r="I843" s="12">
        <v>45464</v>
      </c>
    </row>
    <row r="844" spans="1:9" x14ac:dyDescent="0.15">
      <c r="A844" s="10">
        <v>843</v>
      </c>
      <c r="B844" s="9" t="s">
        <v>9</v>
      </c>
      <c r="C844" s="11" t="s">
        <v>10</v>
      </c>
      <c r="D844" s="12">
        <v>45562</v>
      </c>
      <c r="E844" s="14" t="str">
        <f>+HYPERLINK("http://trademark.i-assist.jp/data/china/image_1905th/79369385.pdf","79369385")</f>
        <v>79369385</v>
      </c>
      <c r="F844" s="13" t="s">
        <v>1568</v>
      </c>
      <c r="G844" s="13" t="s">
        <v>1567</v>
      </c>
      <c r="H844" s="13" t="s">
        <v>4809</v>
      </c>
      <c r="I844" s="12">
        <v>45464</v>
      </c>
    </row>
    <row r="845" spans="1:9" x14ac:dyDescent="0.15">
      <c r="A845" s="10">
        <v>844</v>
      </c>
      <c r="B845" s="9" t="s">
        <v>9</v>
      </c>
      <c r="C845" s="11" t="s">
        <v>10</v>
      </c>
      <c r="D845" s="12">
        <v>45562</v>
      </c>
      <c r="E845" s="14" t="str">
        <f>+HYPERLINK("http://trademark.i-assist.jp/data/china/image_1905th/79370511.pdf","79370511")</f>
        <v>79370511</v>
      </c>
      <c r="F845" s="13" t="s">
        <v>1570</v>
      </c>
      <c r="G845" s="13" t="s">
        <v>1569</v>
      </c>
      <c r="H845" s="13" t="s">
        <v>4810</v>
      </c>
      <c r="I845" s="12">
        <v>45464</v>
      </c>
    </row>
    <row r="846" spans="1:9" x14ac:dyDescent="0.15">
      <c r="A846" s="10">
        <v>845</v>
      </c>
      <c r="B846" s="9" t="s">
        <v>9</v>
      </c>
      <c r="C846" s="11" t="s">
        <v>10</v>
      </c>
      <c r="D846" s="12">
        <v>45562</v>
      </c>
      <c r="E846" s="14" t="str">
        <f>+HYPERLINK("http://trademark.i-assist.jp/data/china/image_1905th/79372903.pdf","79372903")</f>
        <v>79372903</v>
      </c>
      <c r="F846" s="13" t="s">
        <v>900</v>
      </c>
      <c r="G846" s="13" t="s">
        <v>899</v>
      </c>
      <c r="H846" s="13" t="s">
        <v>4549</v>
      </c>
      <c r="I846" s="12">
        <v>45464</v>
      </c>
    </row>
    <row r="847" spans="1:9" x14ac:dyDescent="0.15">
      <c r="A847" s="10">
        <v>846</v>
      </c>
      <c r="B847" s="9" t="s">
        <v>9</v>
      </c>
      <c r="C847" s="11" t="s">
        <v>10</v>
      </c>
      <c r="D847" s="12">
        <v>45562</v>
      </c>
      <c r="E847" s="14" t="str">
        <f>+HYPERLINK("http://trademark.i-assist.jp/data/china/image_1905th/79387588.pdf","79387588")</f>
        <v>79387588</v>
      </c>
      <c r="F847" s="13" t="s">
        <v>1572</v>
      </c>
      <c r="G847" s="13" t="s">
        <v>1571</v>
      </c>
      <c r="H847" s="13" t="s">
        <v>4811</v>
      </c>
      <c r="I847" s="12">
        <v>45467</v>
      </c>
    </row>
    <row r="848" spans="1:9" x14ac:dyDescent="0.15">
      <c r="A848" s="10">
        <v>847</v>
      </c>
      <c r="B848" s="9" t="s">
        <v>9</v>
      </c>
      <c r="C848" s="11" t="s">
        <v>10</v>
      </c>
      <c r="D848" s="12">
        <v>45562</v>
      </c>
      <c r="E848" s="14" t="str">
        <f>+HYPERLINK("http://trademark.i-assist.jp/data/china/image_1905th/79713994.pdf","79713994")</f>
        <v>79713994</v>
      </c>
      <c r="F848" s="13" t="s">
        <v>1574</v>
      </c>
      <c r="G848" s="13" t="s">
        <v>1573</v>
      </c>
      <c r="H848" s="13" t="s">
        <v>4812</v>
      </c>
      <c r="I848" s="12">
        <v>45483</v>
      </c>
    </row>
    <row r="849" spans="1:9" x14ac:dyDescent="0.15">
      <c r="A849" s="10">
        <v>848</v>
      </c>
      <c r="B849" s="9" t="s">
        <v>9</v>
      </c>
      <c r="C849" s="11" t="s">
        <v>10</v>
      </c>
      <c r="D849" s="12">
        <v>45562</v>
      </c>
      <c r="E849" s="14" t="str">
        <f>+HYPERLINK("http://trademark.i-assist.jp/data/china/image_1905th/79715671.pdf","79715671")</f>
        <v>79715671</v>
      </c>
      <c r="F849" s="13" t="s">
        <v>1576</v>
      </c>
      <c r="G849" s="13" t="s">
        <v>1575</v>
      </c>
      <c r="H849" s="13" t="s">
        <v>4813</v>
      </c>
      <c r="I849" s="12">
        <v>45483</v>
      </c>
    </row>
    <row r="850" spans="1:9" x14ac:dyDescent="0.15">
      <c r="A850" s="10">
        <v>849</v>
      </c>
      <c r="B850" s="9" t="s">
        <v>9</v>
      </c>
      <c r="C850" s="11" t="s">
        <v>10</v>
      </c>
      <c r="D850" s="12">
        <v>45562</v>
      </c>
      <c r="E850" s="14" t="str">
        <f>+HYPERLINK("http://trademark.i-assist.jp/data/china/image_1905th/79723401.pdf","79723401")</f>
        <v>79723401</v>
      </c>
      <c r="F850" s="13" t="s">
        <v>1578</v>
      </c>
      <c r="G850" s="13" t="s">
        <v>1577</v>
      </c>
      <c r="H850" s="13" t="s">
        <v>4814</v>
      </c>
      <c r="I850" s="12">
        <v>45483</v>
      </c>
    </row>
    <row r="851" spans="1:9" x14ac:dyDescent="0.15">
      <c r="A851" s="10">
        <v>850</v>
      </c>
      <c r="B851" s="9" t="s">
        <v>9</v>
      </c>
      <c r="C851" s="11" t="s">
        <v>10</v>
      </c>
      <c r="D851" s="12">
        <v>45562</v>
      </c>
      <c r="E851" s="14" t="str">
        <f>+HYPERLINK("http://trademark.i-assist.jp/data/china/image_1905th/79726493.pdf","79726493")</f>
        <v>79726493</v>
      </c>
      <c r="F851" s="13" t="s">
        <v>1580</v>
      </c>
      <c r="G851" s="13" t="s">
        <v>1579</v>
      </c>
      <c r="H851" s="13" t="s">
        <v>4815</v>
      </c>
      <c r="I851" s="12">
        <v>45483</v>
      </c>
    </row>
    <row r="852" spans="1:9" x14ac:dyDescent="0.15">
      <c r="A852" s="10">
        <v>851</v>
      </c>
      <c r="B852" s="9" t="s">
        <v>9</v>
      </c>
      <c r="C852" s="11" t="s">
        <v>10</v>
      </c>
      <c r="D852" s="12">
        <v>45562</v>
      </c>
      <c r="E852" s="14" t="str">
        <f>+HYPERLINK("http://trademark.i-assist.jp/data/china/image_1905th/79737615.pdf","79737615")</f>
        <v>79737615</v>
      </c>
      <c r="F852" s="13" t="s">
        <v>1582</v>
      </c>
      <c r="G852" s="13" t="s">
        <v>1581</v>
      </c>
      <c r="H852" s="13" t="s">
        <v>4816</v>
      </c>
      <c r="I852" s="12">
        <v>45484</v>
      </c>
    </row>
    <row r="853" spans="1:9" x14ac:dyDescent="0.15">
      <c r="A853" s="10">
        <v>852</v>
      </c>
      <c r="B853" s="9" t="s">
        <v>9</v>
      </c>
      <c r="C853" s="11" t="s">
        <v>10</v>
      </c>
      <c r="D853" s="12">
        <v>45562</v>
      </c>
      <c r="E853" s="14" t="str">
        <f>+HYPERLINK("http://trademark.i-assist.jp/data/china/image_1905th/79835857.pdf","79835857")</f>
        <v>79835857</v>
      </c>
      <c r="F853" s="13" t="s">
        <v>73</v>
      </c>
      <c r="G853" s="13" t="s">
        <v>1583</v>
      </c>
      <c r="H853" s="13" t="s">
        <v>4817</v>
      </c>
      <c r="I853" s="12">
        <v>45490</v>
      </c>
    </row>
    <row r="854" spans="1:9" x14ac:dyDescent="0.15">
      <c r="A854" s="10">
        <v>853</v>
      </c>
      <c r="B854" s="9" t="s">
        <v>9</v>
      </c>
      <c r="C854" s="11" t="s">
        <v>10</v>
      </c>
      <c r="D854" s="12">
        <v>45562</v>
      </c>
      <c r="E854" s="14" t="str">
        <f>+HYPERLINK("http://trademark.i-assist.jp/data/china/image_1905th/79841036.pdf","79841036")</f>
        <v>79841036</v>
      </c>
      <c r="F854" s="13" t="s">
        <v>1585</v>
      </c>
      <c r="G854" s="13" t="s">
        <v>1584</v>
      </c>
      <c r="H854" s="13" t="s">
        <v>4818</v>
      </c>
      <c r="I854" s="12">
        <v>45490</v>
      </c>
    </row>
    <row r="855" spans="1:9" x14ac:dyDescent="0.15">
      <c r="A855" s="10">
        <v>854</v>
      </c>
      <c r="B855" s="9" t="s">
        <v>9</v>
      </c>
      <c r="C855" s="11" t="s">
        <v>10</v>
      </c>
      <c r="D855" s="12">
        <v>45562</v>
      </c>
      <c r="E855" s="14" t="str">
        <f>+HYPERLINK("http://trademark.i-assist.jp/data/china/image_1905th/79849054.pdf","79849054")</f>
        <v>79849054</v>
      </c>
      <c r="F855" s="13" t="s">
        <v>1586</v>
      </c>
      <c r="G855" s="13" t="s">
        <v>715</v>
      </c>
      <c r="H855" s="13" t="s">
        <v>4469</v>
      </c>
      <c r="I855" s="12">
        <v>45490</v>
      </c>
    </row>
    <row r="856" spans="1:9" x14ac:dyDescent="0.15">
      <c r="A856" s="10">
        <v>855</v>
      </c>
      <c r="B856" s="9" t="s">
        <v>9</v>
      </c>
      <c r="C856" s="11" t="s">
        <v>10</v>
      </c>
      <c r="D856" s="12">
        <v>45562</v>
      </c>
      <c r="E856" s="14" t="str">
        <f>+HYPERLINK("http://trademark.i-assist.jp/data/china/image_1905th/79687130.pdf","79687130")</f>
        <v>79687130</v>
      </c>
      <c r="F856" s="13" t="s">
        <v>1587</v>
      </c>
      <c r="G856" s="13" t="s">
        <v>1174</v>
      </c>
      <c r="H856" s="13" t="s">
        <v>4650</v>
      </c>
      <c r="I856" s="12">
        <v>45482</v>
      </c>
    </row>
    <row r="857" spans="1:9" x14ac:dyDescent="0.15">
      <c r="A857" s="10">
        <v>856</v>
      </c>
      <c r="B857" s="9" t="s">
        <v>9</v>
      </c>
      <c r="C857" s="11" t="s">
        <v>10</v>
      </c>
      <c r="D857" s="12">
        <v>45562</v>
      </c>
      <c r="E857" s="14" t="str">
        <f>+HYPERLINK("http://trademark.i-assist.jp/data/china/image_1905th/79687956.pdf","79687956")</f>
        <v>79687956</v>
      </c>
      <c r="F857" s="13" t="s">
        <v>1588</v>
      </c>
      <c r="G857" s="13" t="s">
        <v>1076</v>
      </c>
      <c r="H857" s="13" t="s">
        <v>4616</v>
      </c>
      <c r="I857" s="12">
        <v>45482</v>
      </c>
    </row>
    <row r="858" spans="1:9" x14ac:dyDescent="0.15">
      <c r="A858" s="10">
        <v>857</v>
      </c>
      <c r="B858" s="9" t="s">
        <v>9</v>
      </c>
      <c r="C858" s="11" t="s">
        <v>10</v>
      </c>
      <c r="D858" s="12">
        <v>45562</v>
      </c>
      <c r="E858" s="14" t="str">
        <f>+HYPERLINK("http://trademark.i-assist.jp/data/china/image_1905th/79689474.pdf","79689474")</f>
        <v>79689474</v>
      </c>
      <c r="F858" s="13" t="s">
        <v>1590</v>
      </c>
      <c r="G858" s="13" t="s">
        <v>1589</v>
      </c>
      <c r="H858" s="13" t="s">
        <v>4819</v>
      </c>
      <c r="I858" s="12">
        <v>45482</v>
      </c>
    </row>
    <row r="859" spans="1:9" x14ac:dyDescent="0.15">
      <c r="A859" s="10">
        <v>858</v>
      </c>
      <c r="B859" s="9" t="s">
        <v>9</v>
      </c>
      <c r="C859" s="11" t="s">
        <v>10</v>
      </c>
      <c r="D859" s="12">
        <v>45562</v>
      </c>
      <c r="E859" s="14" t="str">
        <f>+HYPERLINK("http://trademark.i-assist.jp/data/china/image_1905th/79704131.pdf","79704131")</f>
        <v>79704131</v>
      </c>
      <c r="F859" s="13" t="s">
        <v>1592</v>
      </c>
      <c r="G859" s="13" t="s">
        <v>1591</v>
      </c>
      <c r="H859" s="13" t="s">
        <v>4820</v>
      </c>
      <c r="I859" s="12">
        <v>45482</v>
      </c>
    </row>
    <row r="860" spans="1:9" x14ac:dyDescent="0.15">
      <c r="A860" s="10">
        <v>859</v>
      </c>
      <c r="B860" s="9" t="s">
        <v>9</v>
      </c>
      <c r="C860" s="11" t="s">
        <v>10</v>
      </c>
      <c r="D860" s="12">
        <v>45562</v>
      </c>
      <c r="E860" s="14" t="str">
        <f>+HYPERLINK("http://trademark.i-assist.jp/data/china/image_1905th/79704407.pdf","79704407")</f>
        <v>79704407</v>
      </c>
      <c r="F860" s="13" t="s">
        <v>1594</v>
      </c>
      <c r="G860" s="13" t="s">
        <v>1593</v>
      </c>
      <c r="H860" s="13" t="s">
        <v>4821</v>
      </c>
      <c r="I860" s="12">
        <v>45482</v>
      </c>
    </row>
    <row r="861" spans="1:9" x14ac:dyDescent="0.15">
      <c r="A861" s="10">
        <v>860</v>
      </c>
      <c r="B861" s="9" t="s">
        <v>9</v>
      </c>
      <c r="C861" s="11" t="s">
        <v>10</v>
      </c>
      <c r="D861" s="12">
        <v>45562</v>
      </c>
      <c r="E861" s="14" t="str">
        <f>+HYPERLINK("http://trademark.i-assist.jp/data/china/image_1905th/79708776.pdf","79708776")</f>
        <v>79708776</v>
      </c>
      <c r="F861" s="13" t="s">
        <v>1596</v>
      </c>
      <c r="G861" s="13" t="s">
        <v>1595</v>
      </c>
      <c r="H861" s="13" t="s">
        <v>4822</v>
      </c>
      <c r="I861" s="12">
        <v>45483</v>
      </c>
    </row>
    <row r="862" spans="1:9" x14ac:dyDescent="0.15">
      <c r="A862" s="10">
        <v>861</v>
      </c>
      <c r="B862" s="9" t="s">
        <v>9</v>
      </c>
      <c r="C862" s="11" t="s">
        <v>10</v>
      </c>
      <c r="D862" s="12">
        <v>45562</v>
      </c>
      <c r="E862" s="14" t="str">
        <f>+HYPERLINK("http://trademark.i-assist.jp/data/china/image_1905th/79741931.pdf","79741931")</f>
        <v>79741931</v>
      </c>
      <c r="F862" s="13" t="s">
        <v>1598</v>
      </c>
      <c r="G862" s="13" t="s">
        <v>1597</v>
      </c>
      <c r="H862" s="13" t="s">
        <v>4823</v>
      </c>
      <c r="I862" s="12">
        <v>45484</v>
      </c>
    </row>
    <row r="863" spans="1:9" x14ac:dyDescent="0.15">
      <c r="A863" s="10">
        <v>862</v>
      </c>
      <c r="B863" s="9" t="s">
        <v>9</v>
      </c>
      <c r="C863" s="11" t="s">
        <v>10</v>
      </c>
      <c r="D863" s="12">
        <v>45562</v>
      </c>
      <c r="E863" s="14" t="str">
        <f>+HYPERLINK("http://trademark.i-assist.jp/data/china/image_1905th/79742898.pdf","79742898")</f>
        <v>79742898</v>
      </c>
      <c r="F863" s="13" t="s">
        <v>1600</v>
      </c>
      <c r="G863" s="13" t="s">
        <v>1599</v>
      </c>
      <c r="H863" s="13" t="s">
        <v>4824</v>
      </c>
      <c r="I863" s="12">
        <v>45484</v>
      </c>
    </row>
    <row r="864" spans="1:9" x14ac:dyDescent="0.15">
      <c r="A864" s="10">
        <v>863</v>
      </c>
      <c r="B864" s="9" t="s">
        <v>9</v>
      </c>
      <c r="C864" s="11" t="s">
        <v>10</v>
      </c>
      <c r="D864" s="12">
        <v>45562</v>
      </c>
      <c r="E864" s="14" t="str">
        <f>+HYPERLINK("http://trademark.i-assist.jp/data/china/image_1905th/79749608.pdf","79749608")</f>
        <v>79749608</v>
      </c>
      <c r="F864" s="13" t="s">
        <v>1602</v>
      </c>
      <c r="G864" s="13" t="s">
        <v>1601</v>
      </c>
      <c r="H864" s="13" t="s">
        <v>4825</v>
      </c>
      <c r="I864" s="12">
        <v>45484</v>
      </c>
    </row>
    <row r="865" spans="1:9" x14ac:dyDescent="0.15">
      <c r="A865" s="10">
        <v>864</v>
      </c>
      <c r="B865" s="9" t="s">
        <v>9</v>
      </c>
      <c r="C865" s="11" t="s">
        <v>10</v>
      </c>
      <c r="D865" s="12">
        <v>45562</v>
      </c>
      <c r="E865" s="14" t="str">
        <f>+HYPERLINK("http://trademark.i-assist.jp/data/china/image_1905th/79751159.pdf","79751159")</f>
        <v>79751159</v>
      </c>
      <c r="F865" s="13" t="s">
        <v>1604</v>
      </c>
      <c r="G865" s="13" t="s">
        <v>1603</v>
      </c>
      <c r="H865" s="13" t="s">
        <v>4826</v>
      </c>
      <c r="I865" s="12">
        <v>45484</v>
      </c>
    </row>
    <row r="866" spans="1:9" x14ac:dyDescent="0.15">
      <c r="A866" s="10">
        <v>865</v>
      </c>
      <c r="B866" s="9" t="s">
        <v>9</v>
      </c>
      <c r="C866" s="11" t="s">
        <v>10</v>
      </c>
      <c r="D866" s="12">
        <v>45562</v>
      </c>
      <c r="E866" s="14" t="str">
        <f>+HYPERLINK("http://trademark.i-assist.jp/data/china/image_1905th/79751536.pdf","79751536")</f>
        <v>79751536</v>
      </c>
      <c r="F866" s="13" t="s">
        <v>1606</v>
      </c>
      <c r="G866" s="13" t="s">
        <v>1605</v>
      </c>
      <c r="H866" s="13" t="s">
        <v>4827</v>
      </c>
      <c r="I866" s="12">
        <v>45484</v>
      </c>
    </row>
    <row r="867" spans="1:9" x14ac:dyDescent="0.15">
      <c r="A867" s="10">
        <v>866</v>
      </c>
      <c r="B867" s="9" t="s">
        <v>9</v>
      </c>
      <c r="C867" s="11" t="s">
        <v>10</v>
      </c>
      <c r="D867" s="12">
        <v>45562</v>
      </c>
      <c r="E867" s="14" t="str">
        <f>+HYPERLINK("http://trademark.i-assist.jp/data/china/image_1905th/79754364.pdf","79754364")</f>
        <v>79754364</v>
      </c>
      <c r="F867" s="13" t="s">
        <v>1608</v>
      </c>
      <c r="G867" s="13" t="s">
        <v>1607</v>
      </c>
      <c r="H867" s="13" t="s">
        <v>4828</v>
      </c>
      <c r="I867" s="12">
        <v>45485</v>
      </c>
    </row>
    <row r="868" spans="1:9" x14ac:dyDescent="0.15">
      <c r="A868" s="10">
        <v>867</v>
      </c>
      <c r="B868" s="9" t="s">
        <v>9</v>
      </c>
      <c r="C868" s="11" t="s">
        <v>10</v>
      </c>
      <c r="D868" s="12">
        <v>45562</v>
      </c>
      <c r="E868" s="14" t="str">
        <f>+HYPERLINK("http://trademark.i-assist.jp/data/china/image_1905th/79756643.pdf","79756643")</f>
        <v>79756643</v>
      </c>
      <c r="F868" s="13" t="s">
        <v>1609</v>
      </c>
      <c r="G868" s="13" t="s">
        <v>62</v>
      </c>
      <c r="H868" s="13" t="s">
        <v>4172</v>
      </c>
      <c r="I868" s="12">
        <v>45485</v>
      </c>
    </row>
    <row r="869" spans="1:9" x14ac:dyDescent="0.15">
      <c r="A869" s="10">
        <v>868</v>
      </c>
      <c r="B869" s="9" t="s">
        <v>9</v>
      </c>
      <c r="C869" s="11" t="s">
        <v>10</v>
      </c>
      <c r="D869" s="12">
        <v>45562</v>
      </c>
      <c r="E869" s="14" t="str">
        <f>+HYPERLINK("http://trademark.i-assist.jp/data/china/image_1905th/79756797.pdf","79756797")</f>
        <v>79756797</v>
      </c>
      <c r="F869" s="13" t="s">
        <v>1611</v>
      </c>
      <c r="G869" s="13" t="s">
        <v>1610</v>
      </c>
      <c r="H869" s="13" t="s">
        <v>4829</v>
      </c>
      <c r="I869" s="12">
        <v>45485</v>
      </c>
    </row>
    <row r="870" spans="1:9" x14ac:dyDescent="0.15">
      <c r="A870" s="10">
        <v>869</v>
      </c>
      <c r="B870" s="9" t="s">
        <v>9</v>
      </c>
      <c r="C870" s="11" t="s">
        <v>10</v>
      </c>
      <c r="D870" s="12">
        <v>45562</v>
      </c>
      <c r="E870" s="14" t="str">
        <f>+HYPERLINK("http://trademark.i-assist.jp/data/china/image_1905th/79763515.pdf","79763515")</f>
        <v>79763515</v>
      </c>
      <c r="F870" s="13" t="s">
        <v>1613</v>
      </c>
      <c r="G870" s="13" t="s">
        <v>1612</v>
      </c>
      <c r="H870" s="13" t="s">
        <v>4830</v>
      </c>
      <c r="I870" s="12">
        <v>45485</v>
      </c>
    </row>
    <row r="871" spans="1:9" x14ac:dyDescent="0.15">
      <c r="A871" s="10">
        <v>870</v>
      </c>
      <c r="B871" s="9" t="s">
        <v>9</v>
      </c>
      <c r="C871" s="11" t="s">
        <v>10</v>
      </c>
      <c r="D871" s="12">
        <v>45562</v>
      </c>
      <c r="E871" s="14" t="str">
        <f>+HYPERLINK("http://trademark.i-assist.jp/data/china/image_1905th/79769356.pdf","79769356")</f>
        <v>79769356</v>
      </c>
      <c r="F871" s="13" t="s">
        <v>1615</v>
      </c>
      <c r="G871" s="13" t="s">
        <v>1614</v>
      </c>
      <c r="H871" s="13" t="s">
        <v>4831</v>
      </c>
      <c r="I871" s="12">
        <v>45485</v>
      </c>
    </row>
    <row r="872" spans="1:9" x14ac:dyDescent="0.15">
      <c r="A872" s="10">
        <v>871</v>
      </c>
      <c r="B872" s="9" t="s">
        <v>9</v>
      </c>
      <c r="C872" s="11" t="s">
        <v>10</v>
      </c>
      <c r="D872" s="12">
        <v>45562</v>
      </c>
      <c r="E872" s="14" t="str">
        <f>+HYPERLINK("http://trademark.i-assist.jp/data/china/image_1905th/79770114.pdf","79770114")</f>
        <v>79770114</v>
      </c>
      <c r="F872" s="13" t="s">
        <v>1617</v>
      </c>
      <c r="G872" s="13" t="s">
        <v>1616</v>
      </c>
      <c r="H872" s="13" t="s">
        <v>4832</v>
      </c>
      <c r="I872" s="12">
        <v>45485</v>
      </c>
    </row>
    <row r="873" spans="1:9" x14ac:dyDescent="0.15">
      <c r="A873" s="10">
        <v>872</v>
      </c>
      <c r="B873" s="9" t="s">
        <v>9</v>
      </c>
      <c r="C873" s="11" t="s">
        <v>10</v>
      </c>
      <c r="D873" s="12">
        <v>45562</v>
      </c>
      <c r="E873" s="14" t="str">
        <f>+HYPERLINK("http://trademark.i-assist.jp/data/china/image_1905th/79776923.pdf","79776923")</f>
        <v>79776923</v>
      </c>
      <c r="F873" s="13" t="s">
        <v>1619</v>
      </c>
      <c r="G873" s="13" t="s">
        <v>1618</v>
      </c>
      <c r="H873" s="13" t="s">
        <v>4833</v>
      </c>
      <c r="I873" s="12">
        <v>45486</v>
      </c>
    </row>
    <row r="874" spans="1:9" x14ac:dyDescent="0.15">
      <c r="A874" s="10">
        <v>873</v>
      </c>
      <c r="B874" s="9" t="s">
        <v>9</v>
      </c>
      <c r="C874" s="11" t="s">
        <v>10</v>
      </c>
      <c r="D874" s="12">
        <v>45562</v>
      </c>
      <c r="E874" s="14" t="str">
        <f>+HYPERLINK("http://trademark.i-assist.jp/data/china/image_1905th/79779326.pdf","79779326")</f>
        <v>79779326</v>
      </c>
      <c r="F874" s="13" t="s">
        <v>1621</v>
      </c>
      <c r="G874" s="13" t="s">
        <v>1620</v>
      </c>
      <c r="H874" s="13" t="s">
        <v>4162</v>
      </c>
      <c r="I874" s="12">
        <v>45486</v>
      </c>
    </row>
    <row r="875" spans="1:9" x14ac:dyDescent="0.15">
      <c r="A875" s="10">
        <v>874</v>
      </c>
      <c r="B875" s="9" t="s">
        <v>9</v>
      </c>
      <c r="C875" s="11" t="s">
        <v>10</v>
      </c>
      <c r="D875" s="12">
        <v>45562</v>
      </c>
      <c r="E875" s="14" t="str">
        <f>+HYPERLINK("http://trademark.i-assist.jp/data/china/image_1905th/79780647.pdf","79780647")</f>
        <v>79780647</v>
      </c>
      <c r="F875" s="13" t="s">
        <v>1623</v>
      </c>
      <c r="G875" s="13" t="s">
        <v>1622</v>
      </c>
      <c r="H875" s="13" t="s">
        <v>4834</v>
      </c>
      <c r="I875" s="12">
        <v>45486</v>
      </c>
    </row>
    <row r="876" spans="1:9" x14ac:dyDescent="0.15">
      <c r="A876" s="10">
        <v>875</v>
      </c>
      <c r="B876" s="9" t="s">
        <v>9</v>
      </c>
      <c r="C876" s="11" t="s">
        <v>10</v>
      </c>
      <c r="D876" s="12">
        <v>45562</v>
      </c>
      <c r="E876" s="14" t="str">
        <f>+HYPERLINK("http://trademark.i-assist.jp/data/china/image_1905th/79784869.pdf","79784869")</f>
        <v>79784869</v>
      </c>
      <c r="F876" s="13" t="s">
        <v>1625</v>
      </c>
      <c r="G876" s="13" t="s">
        <v>1624</v>
      </c>
      <c r="H876" s="13" t="s">
        <v>4835</v>
      </c>
      <c r="I876" s="12">
        <v>45487</v>
      </c>
    </row>
    <row r="877" spans="1:9" x14ac:dyDescent="0.15">
      <c r="A877" s="10">
        <v>876</v>
      </c>
      <c r="B877" s="9" t="s">
        <v>9</v>
      </c>
      <c r="C877" s="11" t="s">
        <v>10</v>
      </c>
      <c r="D877" s="12">
        <v>45562</v>
      </c>
      <c r="E877" s="14" t="str">
        <f>+HYPERLINK("http://trademark.i-assist.jp/data/china/image_1905th/79800877.pdf","79800877")</f>
        <v>79800877</v>
      </c>
      <c r="F877" s="13" t="s">
        <v>73</v>
      </c>
      <c r="G877" s="13" t="s">
        <v>1626</v>
      </c>
      <c r="H877" s="13" t="s">
        <v>4836</v>
      </c>
      <c r="I877" s="12">
        <v>45488</v>
      </c>
    </row>
    <row r="878" spans="1:9" x14ac:dyDescent="0.15">
      <c r="A878" s="10">
        <v>877</v>
      </c>
      <c r="B878" s="9" t="s">
        <v>9</v>
      </c>
      <c r="C878" s="11" t="s">
        <v>10</v>
      </c>
      <c r="D878" s="12">
        <v>45562</v>
      </c>
      <c r="E878" s="14" t="str">
        <f>+HYPERLINK("http://trademark.i-assist.jp/data/china/image_1905th/79812439.pdf","79812439")</f>
        <v>79812439</v>
      </c>
      <c r="F878" s="13" t="s">
        <v>1627</v>
      </c>
      <c r="G878" s="13" t="s">
        <v>279</v>
      </c>
      <c r="H878" s="13" t="s">
        <v>4273</v>
      </c>
      <c r="I878" s="12">
        <v>45489</v>
      </c>
    </row>
    <row r="879" spans="1:9" x14ac:dyDescent="0.15">
      <c r="A879" s="10">
        <v>878</v>
      </c>
      <c r="B879" s="9" t="s">
        <v>9</v>
      </c>
      <c r="C879" s="11" t="s">
        <v>10</v>
      </c>
      <c r="D879" s="12">
        <v>45562</v>
      </c>
      <c r="E879" s="14" t="str">
        <f>+HYPERLINK("http://trademark.i-assist.jp/data/china/image_1905th/79818688.pdf","79818688")</f>
        <v>79818688</v>
      </c>
      <c r="F879" s="13" t="s">
        <v>1628</v>
      </c>
      <c r="G879" s="13" t="s">
        <v>279</v>
      </c>
      <c r="H879" s="13" t="s">
        <v>4273</v>
      </c>
      <c r="I879" s="12">
        <v>45489</v>
      </c>
    </row>
    <row r="880" spans="1:9" x14ac:dyDescent="0.15">
      <c r="A880" s="10">
        <v>879</v>
      </c>
      <c r="B880" s="9" t="s">
        <v>9</v>
      </c>
      <c r="C880" s="11" t="s">
        <v>10</v>
      </c>
      <c r="D880" s="12">
        <v>45562</v>
      </c>
      <c r="E880" s="14" t="str">
        <f>+HYPERLINK("http://trademark.i-assist.jp/data/china/image_1905th/79567421.pdf","79567421")</f>
        <v>79567421</v>
      </c>
      <c r="F880" s="13" t="s">
        <v>1630</v>
      </c>
      <c r="G880" s="13" t="s">
        <v>1629</v>
      </c>
      <c r="H880" s="13" t="s">
        <v>4837</v>
      </c>
      <c r="I880" s="12">
        <v>45475</v>
      </c>
    </row>
    <row r="881" spans="1:9" x14ac:dyDescent="0.15">
      <c r="A881" s="10">
        <v>880</v>
      </c>
      <c r="B881" s="9" t="s">
        <v>9</v>
      </c>
      <c r="C881" s="11" t="s">
        <v>10</v>
      </c>
      <c r="D881" s="12">
        <v>45562</v>
      </c>
      <c r="E881" s="14" t="str">
        <f>+HYPERLINK("http://trademark.i-assist.jp/data/china/image_1905th/79592734.pdf","79592734")</f>
        <v>79592734</v>
      </c>
      <c r="F881" s="13" t="s">
        <v>1632</v>
      </c>
      <c r="G881" s="13" t="s">
        <v>1631</v>
      </c>
      <c r="H881" s="13" t="s">
        <v>4838</v>
      </c>
      <c r="I881" s="12">
        <v>45476</v>
      </c>
    </row>
    <row r="882" spans="1:9" x14ac:dyDescent="0.15">
      <c r="A882" s="10">
        <v>881</v>
      </c>
      <c r="B882" s="9" t="s">
        <v>9</v>
      </c>
      <c r="C882" s="11" t="s">
        <v>10</v>
      </c>
      <c r="D882" s="12">
        <v>45562</v>
      </c>
      <c r="E882" s="14" t="str">
        <f>+HYPERLINK("http://trademark.i-assist.jp/data/china/image_1905th/79593123.pdf","79593123")</f>
        <v>79593123</v>
      </c>
      <c r="F882" s="13" t="s">
        <v>1634</v>
      </c>
      <c r="G882" s="13" t="s">
        <v>1633</v>
      </c>
      <c r="H882" s="13" t="s">
        <v>4328</v>
      </c>
      <c r="I882" s="12">
        <v>45476</v>
      </c>
    </row>
    <row r="883" spans="1:9" x14ac:dyDescent="0.15">
      <c r="A883" s="10">
        <v>882</v>
      </c>
      <c r="B883" s="9" t="s">
        <v>9</v>
      </c>
      <c r="C883" s="11" t="s">
        <v>10</v>
      </c>
      <c r="D883" s="12">
        <v>45562</v>
      </c>
      <c r="E883" s="14" t="str">
        <f>+HYPERLINK("http://trademark.i-assist.jp/data/china/image_1905th/79594243.pdf","79594243")</f>
        <v>79594243</v>
      </c>
      <c r="F883" s="13" t="s">
        <v>1636</v>
      </c>
      <c r="G883" s="13" t="s">
        <v>1635</v>
      </c>
      <c r="H883" s="13" t="s">
        <v>4212</v>
      </c>
      <c r="I883" s="12">
        <v>45476</v>
      </c>
    </row>
    <row r="884" spans="1:9" x14ac:dyDescent="0.15">
      <c r="A884" s="10">
        <v>883</v>
      </c>
      <c r="B884" s="9" t="s">
        <v>9</v>
      </c>
      <c r="C884" s="11" t="s">
        <v>10</v>
      </c>
      <c r="D884" s="12">
        <v>45562</v>
      </c>
      <c r="E884" s="14" t="str">
        <f>+HYPERLINK("http://trademark.i-assist.jp/data/china/image_1905th/79596073.pdf","79596073")</f>
        <v>79596073</v>
      </c>
      <c r="F884" s="13" t="s">
        <v>1638</v>
      </c>
      <c r="G884" s="13" t="s">
        <v>1637</v>
      </c>
      <c r="H884" s="13" t="s">
        <v>4839</v>
      </c>
      <c r="I884" s="12">
        <v>45476</v>
      </c>
    </row>
    <row r="885" spans="1:9" x14ac:dyDescent="0.15">
      <c r="A885" s="10">
        <v>884</v>
      </c>
      <c r="B885" s="9" t="s">
        <v>9</v>
      </c>
      <c r="C885" s="11" t="s">
        <v>10</v>
      </c>
      <c r="D885" s="12">
        <v>45562</v>
      </c>
      <c r="E885" s="14" t="str">
        <f>+HYPERLINK("http://trademark.i-assist.jp/data/china/image_1905th/79598805.pdf","79598805")</f>
        <v>79598805</v>
      </c>
      <c r="F885" s="13" t="s">
        <v>1640</v>
      </c>
      <c r="G885" s="13" t="s">
        <v>1639</v>
      </c>
      <c r="H885" s="13" t="s">
        <v>4840</v>
      </c>
      <c r="I885" s="12">
        <v>45476</v>
      </c>
    </row>
    <row r="886" spans="1:9" x14ac:dyDescent="0.15">
      <c r="A886" s="10">
        <v>885</v>
      </c>
      <c r="B886" s="9" t="s">
        <v>9</v>
      </c>
      <c r="C886" s="11" t="s">
        <v>10</v>
      </c>
      <c r="D886" s="12">
        <v>45562</v>
      </c>
      <c r="E886" s="14" t="str">
        <f>+HYPERLINK("http://trademark.i-assist.jp/data/china/image_1905th/79394351.pdf","79394351")</f>
        <v>79394351</v>
      </c>
      <c r="F886" s="13" t="s">
        <v>1642</v>
      </c>
      <c r="G886" s="13" t="s">
        <v>1641</v>
      </c>
      <c r="H886" s="13" t="s">
        <v>4154</v>
      </c>
      <c r="I886" s="12">
        <v>45467</v>
      </c>
    </row>
    <row r="887" spans="1:9" x14ac:dyDescent="0.15">
      <c r="A887" s="10">
        <v>886</v>
      </c>
      <c r="B887" s="9" t="s">
        <v>9</v>
      </c>
      <c r="C887" s="11" t="s">
        <v>10</v>
      </c>
      <c r="D887" s="12">
        <v>45562</v>
      </c>
      <c r="E887" s="14" t="str">
        <f>+HYPERLINK("http://trademark.i-assist.jp/data/china/image_1905th/79395650.pdf","79395650")</f>
        <v>79395650</v>
      </c>
      <c r="F887" s="13" t="s">
        <v>1644</v>
      </c>
      <c r="G887" s="13" t="s">
        <v>1643</v>
      </c>
      <c r="H887" s="13" t="s">
        <v>4841</v>
      </c>
      <c r="I887" s="12">
        <v>45467</v>
      </c>
    </row>
    <row r="888" spans="1:9" x14ac:dyDescent="0.15">
      <c r="A888" s="10">
        <v>887</v>
      </c>
      <c r="B888" s="9" t="s">
        <v>9</v>
      </c>
      <c r="C888" s="11" t="s">
        <v>10</v>
      </c>
      <c r="D888" s="12">
        <v>45562</v>
      </c>
      <c r="E888" s="14" t="str">
        <f>+HYPERLINK("http://trademark.i-assist.jp/data/china/image_1905th/79397532.pdf","79397532")</f>
        <v>79397532</v>
      </c>
      <c r="F888" s="13" t="s">
        <v>1646</v>
      </c>
      <c r="G888" s="13" t="s">
        <v>1645</v>
      </c>
      <c r="H888" s="13" t="s">
        <v>4842</v>
      </c>
      <c r="I888" s="12">
        <v>45467</v>
      </c>
    </row>
    <row r="889" spans="1:9" x14ac:dyDescent="0.15">
      <c r="A889" s="10">
        <v>888</v>
      </c>
      <c r="B889" s="9" t="s">
        <v>9</v>
      </c>
      <c r="C889" s="11" t="s">
        <v>10</v>
      </c>
      <c r="D889" s="12">
        <v>45562</v>
      </c>
      <c r="E889" s="14" t="str">
        <f>+HYPERLINK("http://trademark.i-assist.jp/data/china/image_1905th/79401106.pdf","79401106")</f>
        <v>79401106</v>
      </c>
      <c r="F889" s="13" t="s">
        <v>1648</v>
      </c>
      <c r="G889" s="13" t="s">
        <v>1647</v>
      </c>
      <c r="H889" s="13" t="s">
        <v>4843</v>
      </c>
      <c r="I889" s="12">
        <v>45467</v>
      </c>
    </row>
    <row r="890" spans="1:9" x14ac:dyDescent="0.15">
      <c r="A890" s="10">
        <v>889</v>
      </c>
      <c r="B890" s="9" t="s">
        <v>9</v>
      </c>
      <c r="C890" s="11" t="s">
        <v>10</v>
      </c>
      <c r="D890" s="12">
        <v>45562</v>
      </c>
      <c r="E890" s="14" t="str">
        <f>+HYPERLINK("http://trademark.i-assist.jp/data/china/image_1905th/79402672.pdf","79402672")</f>
        <v>79402672</v>
      </c>
      <c r="F890" s="13" t="s">
        <v>1650</v>
      </c>
      <c r="G890" s="13" t="s">
        <v>1649</v>
      </c>
      <c r="H890" s="13" t="s">
        <v>4844</v>
      </c>
      <c r="I890" s="12">
        <v>45467</v>
      </c>
    </row>
    <row r="891" spans="1:9" x14ac:dyDescent="0.15">
      <c r="A891" s="10">
        <v>890</v>
      </c>
      <c r="B891" s="9" t="s">
        <v>9</v>
      </c>
      <c r="C891" s="11" t="s">
        <v>10</v>
      </c>
      <c r="D891" s="12">
        <v>45562</v>
      </c>
      <c r="E891" s="14" t="str">
        <f>+HYPERLINK("http://trademark.i-assist.jp/data/china/image_1905th/79405368.pdf","79405368")</f>
        <v>79405368</v>
      </c>
      <c r="F891" s="13" t="s">
        <v>1652</v>
      </c>
      <c r="G891" s="13" t="s">
        <v>1651</v>
      </c>
      <c r="H891" s="13" t="s">
        <v>4845</v>
      </c>
      <c r="I891" s="12">
        <v>45467</v>
      </c>
    </row>
    <row r="892" spans="1:9" x14ac:dyDescent="0.15">
      <c r="A892" s="10">
        <v>891</v>
      </c>
      <c r="B892" s="9" t="s">
        <v>9</v>
      </c>
      <c r="C892" s="11" t="s">
        <v>10</v>
      </c>
      <c r="D892" s="12">
        <v>45562</v>
      </c>
      <c r="E892" s="14" t="str">
        <f>+HYPERLINK("http://trademark.i-assist.jp/data/china/image_1905th/79426017.pdf","79426017")</f>
        <v>79426017</v>
      </c>
      <c r="F892" s="13" t="s">
        <v>1654</v>
      </c>
      <c r="G892" s="13" t="s">
        <v>1653</v>
      </c>
      <c r="H892" s="13" t="s">
        <v>4846</v>
      </c>
      <c r="I892" s="12">
        <v>45468</v>
      </c>
    </row>
    <row r="893" spans="1:9" x14ac:dyDescent="0.15">
      <c r="A893" s="10">
        <v>892</v>
      </c>
      <c r="B893" s="9" t="s">
        <v>9</v>
      </c>
      <c r="C893" s="11" t="s">
        <v>10</v>
      </c>
      <c r="D893" s="12">
        <v>45562</v>
      </c>
      <c r="E893" s="14" t="str">
        <f>+HYPERLINK("http://trademark.i-assist.jp/data/china/image_1905th/79435278.pdf","79435278")</f>
        <v>79435278</v>
      </c>
      <c r="F893" s="13" t="s">
        <v>1656</v>
      </c>
      <c r="G893" s="13" t="s">
        <v>1655</v>
      </c>
      <c r="H893" s="13" t="s">
        <v>4847</v>
      </c>
      <c r="I893" s="12">
        <v>45468</v>
      </c>
    </row>
    <row r="894" spans="1:9" x14ac:dyDescent="0.15">
      <c r="A894" s="10">
        <v>893</v>
      </c>
      <c r="B894" s="9" t="s">
        <v>9</v>
      </c>
      <c r="C894" s="11" t="s">
        <v>10</v>
      </c>
      <c r="D894" s="12">
        <v>45562</v>
      </c>
      <c r="E894" s="14" t="str">
        <f>+HYPERLINK("http://trademark.i-assist.jp/data/china/image_1905th/79456203.pdf","79456203")</f>
        <v>79456203</v>
      </c>
      <c r="F894" s="13" t="s">
        <v>1658</v>
      </c>
      <c r="G894" s="13" t="s">
        <v>1657</v>
      </c>
      <c r="H894" s="13" t="s">
        <v>4848</v>
      </c>
      <c r="I894" s="12">
        <v>45469</v>
      </c>
    </row>
    <row r="895" spans="1:9" x14ac:dyDescent="0.15">
      <c r="A895" s="10">
        <v>894</v>
      </c>
      <c r="B895" s="9" t="s">
        <v>9</v>
      </c>
      <c r="C895" s="11" t="s">
        <v>10</v>
      </c>
      <c r="D895" s="12">
        <v>45562</v>
      </c>
      <c r="E895" s="14" t="str">
        <f>+HYPERLINK("http://trademark.i-assist.jp/data/china/image_1905th/79462658.pdf","79462658")</f>
        <v>79462658</v>
      </c>
      <c r="F895" s="13" t="s">
        <v>1660</v>
      </c>
      <c r="G895" s="13" t="s">
        <v>1659</v>
      </c>
      <c r="H895" s="13" t="s">
        <v>4849</v>
      </c>
      <c r="I895" s="12">
        <v>45469</v>
      </c>
    </row>
    <row r="896" spans="1:9" x14ac:dyDescent="0.15">
      <c r="A896" s="10">
        <v>895</v>
      </c>
      <c r="B896" s="9" t="s">
        <v>9</v>
      </c>
      <c r="C896" s="11" t="s">
        <v>10</v>
      </c>
      <c r="D896" s="12">
        <v>45562</v>
      </c>
      <c r="E896" s="14" t="str">
        <f>+HYPERLINK("http://trademark.i-assist.jp/data/china/image_1905th/79638197.pdf","79638197")</f>
        <v>79638197</v>
      </c>
      <c r="F896" s="13" t="s">
        <v>1662</v>
      </c>
      <c r="G896" s="13" t="s">
        <v>1661</v>
      </c>
      <c r="H896" s="13" t="s">
        <v>4850</v>
      </c>
      <c r="I896" s="12">
        <v>45478</v>
      </c>
    </row>
    <row r="897" spans="1:9" x14ac:dyDescent="0.15">
      <c r="A897" s="10">
        <v>896</v>
      </c>
      <c r="B897" s="9" t="s">
        <v>9</v>
      </c>
      <c r="C897" s="11" t="s">
        <v>10</v>
      </c>
      <c r="D897" s="12">
        <v>45562</v>
      </c>
      <c r="E897" s="14" t="str">
        <f>+HYPERLINK("http://trademark.i-assist.jp/data/china/image_1905th/79639233.pdf","79639233")</f>
        <v>79639233</v>
      </c>
      <c r="F897" s="13" t="s">
        <v>1664</v>
      </c>
      <c r="G897" s="13" t="s">
        <v>1663</v>
      </c>
      <c r="H897" s="13" t="s">
        <v>4851</v>
      </c>
      <c r="I897" s="12">
        <v>45478</v>
      </c>
    </row>
    <row r="898" spans="1:9" x14ac:dyDescent="0.15">
      <c r="A898" s="10">
        <v>897</v>
      </c>
      <c r="B898" s="9" t="s">
        <v>9</v>
      </c>
      <c r="C898" s="11" t="s">
        <v>10</v>
      </c>
      <c r="D898" s="12">
        <v>45562</v>
      </c>
      <c r="E898" s="14" t="str">
        <f>+HYPERLINK("http://trademark.i-assist.jp/data/china/image_1905th/79640270.pdf","79640270")</f>
        <v>79640270</v>
      </c>
      <c r="F898" s="13" t="s">
        <v>1665</v>
      </c>
      <c r="G898" s="13" t="s">
        <v>119</v>
      </c>
      <c r="H898" s="13" t="s">
        <v>4199</v>
      </c>
      <c r="I898" s="12">
        <v>45478</v>
      </c>
    </row>
    <row r="899" spans="1:9" x14ac:dyDescent="0.15">
      <c r="A899" s="10">
        <v>898</v>
      </c>
      <c r="B899" s="9" t="s">
        <v>9</v>
      </c>
      <c r="C899" s="11" t="s">
        <v>10</v>
      </c>
      <c r="D899" s="12">
        <v>45562</v>
      </c>
      <c r="E899" s="14" t="str">
        <f>+HYPERLINK("http://trademark.i-assist.jp/data/china/image_1905th/79640867.pdf","79640867")</f>
        <v>79640867</v>
      </c>
      <c r="F899" s="13" t="s">
        <v>1666</v>
      </c>
      <c r="G899" s="13" t="s">
        <v>1523</v>
      </c>
      <c r="H899" s="13" t="s">
        <v>4200</v>
      </c>
      <c r="I899" s="12">
        <v>45478</v>
      </c>
    </row>
    <row r="900" spans="1:9" x14ac:dyDescent="0.15">
      <c r="A900" s="10">
        <v>899</v>
      </c>
      <c r="B900" s="9" t="s">
        <v>9</v>
      </c>
      <c r="C900" s="11" t="s">
        <v>10</v>
      </c>
      <c r="D900" s="12">
        <v>45562</v>
      </c>
      <c r="E900" s="14" t="str">
        <f>+HYPERLINK("http://trademark.i-assist.jp/data/china/image_1905th/79641239.pdf","79641239")</f>
        <v>79641239</v>
      </c>
      <c r="F900" s="13" t="s">
        <v>1668</v>
      </c>
      <c r="G900" s="13" t="s">
        <v>1667</v>
      </c>
      <c r="H900" s="13" t="s">
        <v>4852</v>
      </c>
      <c r="I900" s="12">
        <v>45478</v>
      </c>
    </row>
    <row r="901" spans="1:9" x14ac:dyDescent="0.15">
      <c r="A901" s="10">
        <v>900</v>
      </c>
      <c r="B901" s="9" t="s">
        <v>9</v>
      </c>
      <c r="C901" s="11" t="s">
        <v>10</v>
      </c>
      <c r="D901" s="12">
        <v>45562</v>
      </c>
      <c r="E901" s="14" t="str">
        <f>+HYPERLINK("http://trademark.i-assist.jp/data/china/image_1905th/79641472.pdf","79641472")</f>
        <v>79641472</v>
      </c>
      <c r="F901" s="13" t="s">
        <v>73</v>
      </c>
      <c r="G901" s="13" t="s">
        <v>1669</v>
      </c>
      <c r="H901" s="13" t="s">
        <v>4853</v>
      </c>
      <c r="I901" s="12">
        <v>45478</v>
      </c>
    </row>
    <row r="902" spans="1:9" x14ac:dyDescent="0.15">
      <c r="A902" s="10">
        <v>901</v>
      </c>
      <c r="B902" s="9" t="s">
        <v>9</v>
      </c>
      <c r="C902" s="11" t="s">
        <v>10</v>
      </c>
      <c r="D902" s="12">
        <v>45562</v>
      </c>
      <c r="E902" s="14" t="str">
        <f>+HYPERLINK("http://trademark.i-assist.jp/data/china/image_1905th/79653520.pdf","79653520")</f>
        <v>79653520</v>
      </c>
      <c r="F902" s="13" t="s">
        <v>1670</v>
      </c>
      <c r="G902" s="13" t="s">
        <v>631</v>
      </c>
      <c r="H902" s="13" t="s">
        <v>4202</v>
      </c>
      <c r="I902" s="12">
        <v>45480</v>
      </c>
    </row>
    <row r="903" spans="1:9" x14ac:dyDescent="0.15">
      <c r="A903" s="10">
        <v>902</v>
      </c>
      <c r="B903" s="9" t="s">
        <v>9</v>
      </c>
      <c r="C903" s="11" t="s">
        <v>10</v>
      </c>
      <c r="D903" s="12">
        <v>45562</v>
      </c>
      <c r="E903" s="14" t="str">
        <f>+HYPERLINK("http://trademark.i-assist.jp/data/china/image_1905th/79659806.pdf","79659806")</f>
        <v>79659806</v>
      </c>
      <c r="F903" s="13" t="s">
        <v>1672</v>
      </c>
      <c r="G903" s="13" t="s">
        <v>1671</v>
      </c>
      <c r="H903" s="13" t="s">
        <v>4854</v>
      </c>
      <c r="I903" s="12">
        <v>45481</v>
      </c>
    </row>
    <row r="904" spans="1:9" x14ac:dyDescent="0.15">
      <c r="A904" s="10">
        <v>903</v>
      </c>
      <c r="B904" s="9" t="s">
        <v>9</v>
      </c>
      <c r="C904" s="11" t="s">
        <v>10</v>
      </c>
      <c r="D904" s="12">
        <v>45562</v>
      </c>
      <c r="E904" s="14" t="str">
        <f>+HYPERLINK("http://trademark.i-assist.jp/data/china/image_1905th/79659876.pdf","79659876")</f>
        <v>79659876</v>
      </c>
      <c r="F904" s="13" t="s">
        <v>1674</v>
      </c>
      <c r="G904" s="13" t="s">
        <v>1673</v>
      </c>
      <c r="H904" s="13" t="s">
        <v>4855</v>
      </c>
      <c r="I904" s="12">
        <v>45481</v>
      </c>
    </row>
    <row r="905" spans="1:9" x14ac:dyDescent="0.15">
      <c r="A905" s="10">
        <v>904</v>
      </c>
      <c r="B905" s="9" t="s">
        <v>9</v>
      </c>
      <c r="C905" s="11" t="s">
        <v>10</v>
      </c>
      <c r="D905" s="12">
        <v>45562</v>
      </c>
      <c r="E905" s="14" t="str">
        <f>+HYPERLINK("http://trademark.i-assist.jp/data/china/image_1905th/79660072.pdf","79660072")</f>
        <v>79660072</v>
      </c>
      <c r="F905" s="13" t="s">
        <v>1676</v>
      </c>
      <c r="G905" s="13" t="s">
        <v>1675</v>
      </c>
      <c r="H905" s="13" t="s">
        <v>4856</v>
      </c>
      <c r="I905" s="12">
        <v>45481</v>
      </c>
    </row>
    <row r="906" spans="1:9" x14ac:dyDescent="0.15">
      <c r="A906" s="10">
        <v>905</v>
      </c>
      <c r="B906" s="9" t="s">
        <v>9</v>
      </c>
      <c r="C906" s="11" t="s">
        <v>10</v>
      </c>
      <c r="D906" s="12">
        <v>45562</v>
      </c>
      <c r="E906" s="14" t="str">
        <f>+HYPERLINK("http://trademark.i-assist.jp/data/china/image_1905th/79660526.pdf","79660526")</f>
        <v>79660526</v>
      </c>
      <c r="F906" s="13" t="s">
        <v>1678</v>
      </c>
      <c r="G906" s="13" t="s">
        <v>1677</v>
      </c>
      <c r="H906" s="13" t="s">
        <v>4857</v>
      </c>
      <c r="I906" s="12">
        <v>45481</v>
      </c>
    </row>
    <row r="907" spans="1:9" x14ac:dyDescent="0.15">
      <c r="A907" s="10">
        <v>906</v>
      </c>
      <c r="B907" s="9" t="s">
        <v>9</v>
      </c>
      <c r="C907" s="11" t="s">
        <v>10</v>
      </c>
      <c r="D907" s="12">
        <v>45562</v>
      </c>
      <c r="E907" s="14" t="str">
        <f>+HYPERLINK("http://trademark.i-assist.jp/data/china/image_1905th/74553169.pdf","74553169")</f>
        <v>74553169</v>
      </c>
      <c r="F907" s="13" t="s">
        <v>1680</v>
      </c>
      <c r="G907" s="13" t="s">
        <v>1679</v>
      </c>
      <c r="H907" s="13" t="s">
        <v>4288</v>
      </c>
      <c r="I907" s="12">
        <v>45212</v>
      </c>
    </row>
    <row r="908" spans="1:9" x14ac:dyDescent="0.15">
      <c r="A908" s="10">
        <v>907</v>
      </c>
      <c r="B908" s="9" t="s">
        <v>9</v>
      </c>
      <c r="C908" s="11" t="s">
        <v>10</v>
      </c>
      <c r="D908" s="12">
        <v>45562</v>
      </c>
      <c r="E908" s="14" t="str">
        <f>+HYPERLINK("http://trademark.i-assist.jp/data/china/image_1905th/74634531.pdf","74634531")</f>
        <v>74634531</v>
      </c>
      <c r="F908" s="13" t="s">
        <v>1682</v>
      </c>
      <c r="G908" s="13" t="s">
        <v>1681</v>
      </c>
      <c r="H908" s="13" t="s">
        <v>4858</v>
      </c>
      <c r="I908" s="12">
        <v>45217</v>
      </c>
    </row>
    <row r="909" spans="1:9" x14ac:dyDescent="0.15">
      <c r="A909" s="10">
        <v>908</v>
      </c>
      <c r="B909" s="9" t="s">
        <v>9</v>
      </c>
      <c r="C909" s="11" t="s">
        <v>10</v>
      </c>
      <c r="D909" s="12">
        <v>45562</v>
      </c>
      <c r="E909" s="14" t="str">
        <f>+HYPERLINK("http://trademark.i-assist.jp/data/china/image_1905th/78933394.pdf","78933394")</f>
        <v>78933394</v>
      </c>
      <c r="F909" s="13" t="s">
        <v>1684</v>
      </c>
      <c r="G909" s="13" t="s">
        <v>1683</v>
      </c>
      <c r="H909" s="13" t="s">
        <v>4859</v>
      </c>
      <c r="I909" s="12">
        <v>45442</v>
      </c>
    </row>
    <row r="910" spans="1:9" x14ac:dyDescent="0.15">
      <c r="A910" s="10">
        <v>909</v>
      </c>
      <c r="B910" s="9" t="s">
        <v>9</v>
      </c>
      <c r="C910" s="11" t="s">
        <v>10</v>
      </c>
      <c r="D910" s="12">
        <v>45562</v>
      </c>
      <c r="E910" s="14" t="str">
        <f>+HYPERLINK("http://trademark.i-assist.jp/data/china/image_1905th/78995749.pdf","78995749")</f>
        <v>78995749</v>
      </c>
      <c r="F910" s="13" t="s">
        <v>1686</v>
      </c>
      <c r="G910" s="13" t="s">
        <v>1685</v>
      </c>
      <c r="H910" s="13" t="s">
        <v>4860</v>
      </c>
      <c r="I910" s="12">
        <v>45446</v>
      </c>
    </row>
    <row r="911" spans="1:9" x14ac:dyDescent="0.15">
      <c r="A911" s="10">
        <v>910</v>
      </c>
      <c r="B911" s="9" t="s">
        <v>9</v>
      </c>
      <c r="C911" s="11" t="s">
        <v>10</v>
      </c>
      <c r="D911" s="12">
        <v>45562</v>
      </c>
      <c r="E911" s="14" t="str">
        <f>+HYPERLINK("http://trademark.i-assist.jp/data/china/image_1905th/79043970.pdf","79043970")</f>
        <v>79043970</v>
      </c>
      <c r="F911" s="13" t="s">
        <v>1688</v>
      </c>
      <c r="G911" s="13" t="s">
        <v>1687</v>
      </c>
      <c r="H911" s="13" t="s">
        <v>4861</v>
      </c>
      <c r="I911" s="12">
        <v>45448</v>
      </c>
    </row>
    <row r="912" spans="1:9" x14ac:dyDescent="0.15">
      <c r="A912" s="10">
        <v>911</v>
      </c>
      <c r="B912" s="9" t="s">
        <v>9</v>
      </c>
      <c r="C912" s="11" t="s">
        <v>10</v>
      </c>
      <c r="D912" s="12">
        <v>45562</v>
      </c>
      <c r="E912" s="14" t="str">
        <f>+HYPERLINK("http://trademark.i-assist.jp/data/china/image_1905th/79062877.pdf","79062877")</f>
        <v>79062877</v>
      </c>
      <c r="F912" s="13" t="s">
        <v>73</v>
      </c>
      <c r="G912" s="13" t="s">
        <v>1689</v>
      </c>
      <c r="H912" s="13" t="s">
        <v>4862</v>
      </c>
      <c r="I912" s="12">
        <v>45448</v>
      </c>
    </row>
    <row r="913" spans="1:9" x14ac:dyDescent="0.15">
      <c r="A913" s="10">
        <v>912</v>
      </c>
      <c r="B913" s="9" t="s">
        <v>9</v>
      </c>
      <c r="C913" s="11" t="s">
        <v>10</v>
      </c>
      <c r="D913" s="12">
        <v>45562</v>
      </c>
      <c r="E913" s="14" t="str">
        <f>+HYPERLINK("http://trademark.i-assist.jp/data/china/image_1905th/79068875.pdf","79068875")</f>
        <v>79068875</v>
      </c>
      <c r="F913" s="13" t="s">
        <v>1691</v>
      </c>
      <c r="G913" s="13" t="s">
        <v>1690</v>
      </c>
      <c r="H913" s="13" t="s">
        <v>4863</v>
      </c>
      <c r="I913" s="12">
        <v>45449</v>
      </c>
    </row>
    <row r="914" spans="1:9" x14ac:dyDescent="0.15">
      <c r="A914" s="10">
        <v>913</v>
      </c>
      <c r="B914" s="9" t="s">
        <v>9</v>
      </c>
      <c r="C914" s="11" t="s">
        <v>10</v>
      </c>
      <c r="D914" s="12">
        <v>45562</v>
      </c>
      <c r="E914" s="14" t="str">
        <f>+HYPERLINK("http://trademark.i-assist.jp/data/china/image_1905th/79079570.pdf","79079570")</f>
        <v>79079570</v>
      </c>
      <c r="F914" s="13" t="s">
        <v>1693</v>
      </c>
      <c r="G914" s="13" t="s">
        <v>1692</v>
      </c>
      <c r="H914" s="13" t="s">
        <v>4864</v>
      </c>
      <c r="I914" s="12">
        <v>45449</v>
      </c>
    </row>
    <row r="915" spans="1:9" x14ac:dyDescent="0.15">
      <c r="A915" s="10">
        <v>914</v>
      </c>
      <c r="B915" s="9" t="s">
        <v>9</v>
      </c>
      <c r="C915" s="11" t="s">
        <v>10</v>
      </c>
      <c r="D915" s="12">
        <v>45562</v>
      </c>
      <c r="E915" s="14" t="str">
        <f>+HYPERLINK("http://trademark.i-assist.jp/data/china/image_1905th/79090622.pdf","79090622")</f>
        <v>79090622</v>
      </c>
      <c r="F915" s="13" t="s">
        <v>1695</v>
      </c>
      <c r="G915" s="13" t="s">
        <v>1694</v>
      </c>
      <c r="H915" s="13" t="s">
        <v>4865</v>
      </c>
      <c r="I915" s="12">
        <v>45450</v>
      </c>
    </row>
    <row r="916" spans="1:9" x14ac:dyDescent="0.15">
      <c r="A916" s="10">
        <v>915</v>
      </c>
      <c r="B916" s="9" t="s">
        <v>9</v>
      </c>
      <c r="C916" s="11" t="s">
        <v>10</v>
      </c>
      <c r="D916" s="12">
        <v>45562</v>
      </c>
      <c r="E916" s="14" t="str">
        <f>+HYPERLINK("http://trademark.i-assist.jp/data/china/image_1905th/79185257.pdf","79185257")</f>
        <v>79185257</v>
      </c>
      <c r="F916" s="13" t="s">
        <v>1697</v>
      </c>
      <c r="G916" s="13" t="s">
        <v>1696</v>
      </c>
      <c r="H916" s="13" t="s">
        <v>4866</v>
      </c>
      <c r="I916" s="12">
        <v>45456</v>
      </c>
    </row>
    <row r="917" spans="1:9" x14ac:dyDescent="0.15">
      <c r="A917" s="10">
        <v>916</v>
      </c>
      <c r="B917" s="9" t="s">
        <v>9</v>
      </c>
      <c r="C917" s="11" t="s">
        <v>10</v>
      </c>
      <c r="D917" s="12">
        <v>45562</v>
      </c>
      <c r="E917" s="14" t="str">
        <f>+HYPERLINK("http://trademark.i-assist.jp/data/china/image_1905th/79187701.pdf","79187701")</f>
        <v>79187701</v>
      </c>
      <c r="F917" s="13" t="s">
        <v>1699</v>
      </c>
      <c r="G917" s="13" t="s">
        <v>1698</v>
      </c>
      <c r="H917" s="13" t="s">
        <v>4867</v>
      </c>
      <c r="I917" s="12">
        <v>45456</v>
      </c>
    </row>
    <row r="918" spans="1:9" x14ac:dyDescent="0.15">
      <c r="A918" s="10">
        <v>917</v>
      </c>
      <c r="B918" s="9" t="s">
        <v>9</v>
      </c>
      <c r="C918" s="11" t="s">
        <v>10</v>
      </c>
      <c r="D918" s="12">
        <v>45562</v>
      </c>
      <c r="E918" s="14" t="str">
        <f>+HYPERLINK("http://trademark.i-assist.jp/data/china/image_1905th/79206757.pdf","79206757")</f>
        <v>79206757</v>
      </c>
      <c r="F918" s="13" t="s">
        <v>1701</v>
      </c>
      <c r="G918" s="13" t="s">
        <v>1700</v>
      </c>
      <c r="H918" s="13" t="s">
        <v>4868</v>
      </c>
      <c r="I918" s="12">
        <v>45457</v>
      </c>
    </row>
    <row r="919" spans="1:9" x14ac:dyDescent="0.15">
      <c r="A919" s="10">
        <v>918</v>
      </c>
      <c r="B919" s="9" t="s">
        <v>9</v>
      </c>
      <c r="C919" s="11" t="s">
        <v>10</v>
      </c>
      <c r="D919" s="12">
        <v>45562</v>
      </c>
      <c r="E919" s="14" t="str">
        <f>+HYPERLINK("http://trademark.i-assist.jp/data/china/image_1905th/79218275.pdf","79218275")</f>
        <v>79218275</v>
      </c>
      <c r="F919" s="13" t="s">
        <v>1702</v>
      </c>
      <c r="G919" s="13" t="s">
        <v>838</v>
      </c>
      <c r="H919" s="13" t="s">
        <v>4522</v>
      </c>
      <c r="I919" s="12">
        <v>45457</v>
      </c>
    </row>
    <row r="920" spans="1:9" x14ac:dyDescent="0.15">
      <c r="A920" s="10">
        <v>919</v>
      </c>
      <c r="B920" s="9" t="s">
        <v>9</v>
      </c>
      <c r="C920" s="11" t="s">
        <v>10</v>
      </c>
      <c r="D920" s="12">
        <v>45562</v>
      </c>
      <c r="E920" s="14" t="str">
        <f>+HYPERLINK("http://trademark.i-assist.jp/data/china/image_1905th/79224536.pdf","79224536")</f>
        <v>79224536</v>
      </c>
      <c r="F920" s="13" t="s">
        <v>1703</v>
      </c>
      <c r="G920" s="13" t="s">
        <v>1238</v>
      </c>
      <c r="H920" s="13" t="s">
        <v>4154</v>
      </c>
      <c r="I920" s="12">
        <v>45457</v>
      </c>
    </row>
    <row r="921" spans="1:9" x14ac:dyDescent="0.15">
      <c r="A921" s="10">
        <v>920</v>
      </c>
      <c r="B921" s="9" t="s">
        <v>9</v>
      </c>
      <c r="C921" s="11" t="s">
        <v>10</v>
      </c>
      <c r="D921" s="12">
        <v>45562</v>
      </c>
      <c r="E921" s="14" t="str">
        <f>+HYPERLINK("http://trademark.i-assist.jp/data/china/image_1905th/79224976.pdf","79224976")</f>
        <v>79224976</v>
      </c>
      <c r="F921" s="13" t="s">
        <v>1705</v>
      </c>
      <c r="G921" s="13" t="s">
        <v>1704</v>
      </c>
      <c r="H921" s="13" t="s">
        <v>4869</v>
      </c>
      <c r="I921" s="12">
        <v>45457</v>
      </c>
    </row>
    <row r="922" spans="1:9" x14ac:dyDescent="0.15">
      <c r="A922" s="10">
        <v>921</v>
      </c>
      <c r="B922" s="9" t="s">
        <v>9</v>
      </c>
      <c r="C922" s="11" t="s">
        <v>10</v>
      </c>
      <c r="D922" s="12">
        <v>45562</v>
      </c>
      <c r="E922" s="14" t="str">
        <f>+HYPERLINK("http://trademark.i-assist.jp/data/china/image_1905th/79258752.pdf","79258752")</f>
        <v>79258752</v>
      </c>
      <c r="F922" s="13" t="s">
        <v>73</v>
      </c>
      <c r="G922" s="13" t="s">
        <v>1706</v>
      </c>
      <c r="H922" s="13" t="s">
        <v>4870</v>
      </c>
      <c r="I922" s="12">
        <v>45460</v>
      </c>
    </row>
    <row r="923" spans="1:9" x14ac:dyDescent="0.15">
      <c r="A923" s="10">
        <v>922</v>
      </c>
      <c r="B923" s="9" t="s">
        <v>9</v>
      </c>
      <c r="C923" s="11" t="s">
        <v>10</v>
      </c>
      <c r="D923" s="12">
        <v>45562</v>
      </c>
      <c r="E923" s="14" t="str">
        <f>+HYPERLINK("http://trademark.i-assist.jp/data/china/image_1905th/79271803.pdf","79271803")</f>
        <v>79271803</v>
      </c>
      <c r="F923" s="13" t="s">
        <v>1708</v>
      </c>
      <c r="G923" s="13" t="s">
        <v>1707</v>
      </c>
      <c r="H923" s="13" t="s">
        <v>4871</v>
      </c>
      <c r="I923" s="12">
        <v>45461</v>
      </c>
    </row>
    <row r="924" spans="1:9" x14ac:dyDescent="0.15">
      <c r="A924" s="10">
        <v>923</v>
      </c>
      <c r="B924" s="9" t="s">
        <v>9</v>
      </c>
      <c r="C924" s="11" t="s">
        <v>10</v>
      </c>
      <c r="D924" s="12">
        <v>45562</v>
      </c>
      <c r="E924" s="14" t="str">
        <f>+HYPERLINK("http://trademark.i-assist.jp/data/china/image_1905th/79296933.pdf","79296933")</f>
        <v>79296933</v>
      </c>
      <c r="F924" s="13" t="s">
        <v>1710</v>
      </c>
      <c r="G924" s="13" t="s">
        <v>1709</v>
      </c>
      <c r="H924" s="13" t="s">
        <v>4872</v>
      </c>
      <c r="I924" s="12">
        <v>45461</v>
      </c>
    </row>
    <row r="925" spans="1:9" x14ac:dyDescent="0.15">
      <c r="A925" s="10">
        <v>924</v>
      </c>
      <c r="B925" s="9" t="s">
        <v>9</v>
      </c>
      <c r="C925" s="11" t="s">
        <v>10</v>
      </c>
      <c r="D925" s="12">
        <v>45562</v>
      </c>
      <c r="E925" s="14" t="str">
        <f>+HYPERLINK("http://trademark.i-assist.jp/data/china/image_1905th/79662025.pdf","79662025")</f>
        <v>79662025</v>
      </c>
      <c r="F925" s="13" t="s">
        <v>1711</v>
      </c>
      <c r="G925" s="13" t="s">
        <v>981</v>
      </c>
      <c r="H925" s="13" t="s">
        <v>4873</v>
      </c>
      <c r="I925" s="12">
        <v>45481</v>
      </c>
    </row>
    <row r="926" spans="1:9" x14ac:dyDescent="0.15">
      <c r="A926" s="10">
        <v>925</v>
      </c>
      <c r="B926" s="9" t="s">
        <v>9</v>
      </c>
      <c r="C926" s="11" t="s">
        <v>10</v>
      </c>
      <c r="D926" s="12">
        <v>45562</v>
      </c>
      <c r="E926" s="14" t="str">
        <f>+HYPERLINK("http://trademark.i-assist.jp/data/china/image_1905th/79668522.pdf","79668522")</f>
        <v>79668522</v>
      </c>
      <c r="F926" s="13" t="s">
        <v>1713</v>
      </c>
      <c r="G926" s="13" t="s">
        <v>1712</v>
      </c>
      <c r="H926" s="13" t="s">
        <v>4874</v>
      </c>
      <c r="I926" s="12">
        <v>45481</v>
      </c>
    </row>
    <row r="927" spans="1:9" x14ac:dyDescent="0.15">
      <c r="A927" s="10">
        <v>926</v>
      </c>
      <c r="B927" s="9" t="s">
        <v>9</v>
      </c>
      <c r="C927" s="11" t="s">
        <v>10</v>
      </c>
      <c r="D927" s="12">
        <v>45562</v>
      </c>
      <c r="E927" s="14" t="str">
        <f>+HYPERLINK("http://trademark.i-assist.jp/data/china/image_1905th/79672335.pdf","79672335")</f>
        <v>79672335</v>
      </c>
      <c r="F927" s="13" t="s">
        <v>1715</v>
      </c>
      <c r="G927" s="13" t="s">
        <v>1714</v>
      </c>
      <c r="H927" s="13" t="s">
        <v>4875</v>
      </c>
      <c r="I927" s="12">
        <v>45481</v>
      </c>
    </row>
    <row r="928" spans="1:9" x14ac:dyDescent="0.15">
      <c r="A928" s="10">
        <v>927</v>
      </c>
      <c r="B928" s="9" t="s">
        <v>9</v>
      </c>
      <c r="C928" s="11" t="s">
        <v>10</v>
      </c>
      <c r="D928" s="12">
        <v>45562</v>
      </c>
      <c r="E928" s="14" t="str">
        <f>+HYPERLINK("http://trademark.i-assist.jp/data/china/image_1905th/79672409.pdf","79672409")</f>
        <v>79672409</v>
      </c>
      <c r="F928" s="13" t="s">
        <v>1717</v>
      </c>
      <c r="G928" s="13" t="s">
        <v>1716</v>
      </c>
      <c r="H928" s="13" t="s">
        <v>4876</v>
      </c>
      <c r="I928" s="12">
        <v>45481</v>
      </c>
    </row>
    <row r="929" spans="1:9" x14ac:dyDescent="0.15">
      <c r="A929" s="10">
        <v>928</v>
      </c>
      <c r="B929" s="9" t="s">
        <v>9</v>
      </c>
      <c r="C929" s="11" t="s">
        <v>10</v>
      </c>
      <c r="D929" s="12">
        <v>45562</v>
      </c>
      <c r="E929" s="14" t="str">
        <f>+HYPERLINK("http://trademark.i-assist.jp/data/china/image_1905th/79672996.pdf","79672996")</f>
        <v>79672996</v>
      </c>
      <c r="F929" s="13" t="s">
        <v>1718</v>
      </c>
      <c r="G929" s="13" t="s">
        <v>764</v>
      </c>
      <c r="H929" s="13" t="s">
        <v>4491</v>
      </c>
      <c r="I929" s="12">
        <v>45481</v>
      </c>
    </row>
    <row r="930" spans="1:9" x14ac:dyDescent="0.15">
      <c r="A930" s="10">
        <v>929</v>
      </c>
      <c r="B930" s="9" t="s">
        <v>9</v>
      </c>
      <c r="C930" s="11" t="s">
        <v>10</v>
      </c>
      <c r="D930" s="12">
        <v>45562</v>
      </c>
      <c r="E930" s="14" t="str">
        <f>+HYPERLINK("http://trademark.i-assist.jp/data/china/image_1905th/79682162.pdf","79682162")</f>
        <v>79682162</v>
      </c>
      <c r="F930" s="13" t="s">
        <v>1720</v>
      </c>
      <c r="G930" s="13" t="s">
        <v>1719</v>
      </c>
      <c r="H930" s="13" t="s">
        <v>4877</v>
      </c>
      <c r="I930" s="12">
        <v>45482</v>
      </c>
    </row>
    <row r="931" spans="1:9" x14ac:dyDescent="0.15">
      <c r="A931" s="10">
        <v>930</v>
      </c>
      <c r="B931" s="9" t="s">
        <v>9</v>
      </c>
      <c r="C931" s="11" t="s">
        <v>10</v>
      </c>
      <c r="D931" s="12">
        <v>45562</v>
      </c>
      <c r="E931" s="14" t="str">
        <f>+HYPERLINK("http://trademark.i-assist.jp/data/china/image_1905th/79683887.pdf","79683887")</f>
        <v>79683887</v>
      </c>
      <c r="F931" s="13" t="s">
        <v>73</v>
      </c>
      <c r="G931" s="13" t="s">
        <v>1721</v>
      </c>
      <c r="H931" s="13" t="s">
        <v>4878</v>
      </c>
      <c r="I931" s="12">
        <v>45482</v>
      </c>
    </row>
    <row r="932" spans="1:9" x14ac:dyDescent="0.15">
      <c r="A932" s="10">
        <v>931</v>
      </c>
      <c r="B932" s="9" t="s">
        <v>9</v>
      </c>
      <c r="C932" s="11" t="s">
        <v>10</v>
      </c>
      <c r="D932" s="12">
        <v>45562</v>
      </c>
      <c r="E932" s="14" t="str">
        <f>+HYPERLINK("http://trademark.i-assist.jp/data/china/image_1905th/79470657.pdf","79470657")</f>
        <v>79470657</v>
      </c>
      <c r="F932" s="13" t="s">
        <v>1722</v>
      </c>
      <c r="G932" s="13" t="s">
        <v>1147</v>
      </c>
      <c r="H932" s="13" t="s">
        <v>4641</v>
      </c>
      <c r="I932" s="12">
        <v>45470</v>
      </c>
    </row>
    <row r="933" spans="1:9" x14ac:dyDescent="0.15">
      <c r="A933" s="10">
        <v>932</v>
      </c>
      <c r="B933" s="9" t="s">
        <v>9</v>
      </c>
      <c r="C933" s="11" t="s">
        <v>10</v>
      </c>
      <c r="D933" s="12">
        <v>45562</v>
      </c>
      <c r="E933" s="14" t="str">
        <f>+HYPERLINK("http://trademark.i-assist.jp/data/china/image_1905th/79482888.pdf","79482888")</f>
        <v>79482888</v>
      </c>
      <c r="F933" s="13" t="s">
        <v>1724</v>
      </c>
      <c r="G933" s="13" t="s">
        <v>1723</v>
      </c>
      <c r="H933" s="13" t="s">
        <v>4358</v>
      </c>
      <c r="I933" s="12">
        <v>45470</v>
      </c>
    </row>
    <row r="934" spans="1:9" x14ac:dyDescent="0.15">
      <c r="A934" s="10">
        <v>933</v>
      </c>
      <c r="B934" s="9" t="s">
        <v>9</v>
      </c>
      <c r="C934" s="11" t="s">
        <v>10</v>
      </c>
      <c r="D934" s="12">
        <v>45562</v>
      </c>
      <c r="E934" s="14" t="str">
        <f>+HYPERLINK("http://trademark.i-assist.jp/data/china/image_1905th/79488314.pdf","79488314")</f>
        <v>79488314</v>
      </c>
      <c r="F934" s="13" t="s">
        <v>1726</v>
      </c>
      <c r="G934" s="13" t="s">
        <v>1725</v>
      </c>
      <c r="H934" s="13" t="s">
        <v>4879</v>
      </c>
      <c r="I934" s="12">
        <v>45471</v>
      </c>
    </row>
    <row r="935" spans="1:9" x14ac:dyDescent="0.15">
      <c r="A935" s="10">
        <v>934</v>
      </c>
      <c r="B935" s="9" t="s">
        <v>9</v>
      </c>
      <c r="C935" s="11" t="s">
        <v>10</v>
      </c>
      <c r="D935" s="12">
        <v>45562</v>
      </c>
      <c r="E935" s="14" t="str">
        <f>+HYPERLINK("http://trademark.i-assist.jp/data/china/image_1905th/79492384.pdf","79492384")</f>
        <v>79492384</v>
      </c>
      <c r="F935" s="13" t="s">
        <v>1728</v>
      </c>
      <c r="G935" s="13" t="s">
        <v>1727</v>
      </c>
      <c r="H935" s="13" t="s">
        <v>4880</v>
      </c>
      <c r="I935" s="12">
        <v>45471</v>
      </c>
    </row>
    <row r="936" spans="1:9" x14ac:dyDescent="0.15">
      <c r="A936" s="10">
        <v>935</v>
      </c>
      <c r="B936" s="9" t="s">
        <v>9</v>
      </c>
      <c r="C936" s="11" t="s">
        <v>10</v>
      </c>
      <c r="D936" s="12">
        <v>45562</v>
      </c>
      <c r="E936" s="14" t="str">
        <f>+HYPERLINK("http://trademark.i-assist.jp/data/china/image_1905th/79494109.pdf","79494109")</f>
        <v>79494109</v>
      </c>
      <c r="F936" s="13" t="s">
        <v>1730</v>
      </c>
      <c r="G936" s="13" t="s">
        <v>1729</v>
      </c>
      <c r="H936" s="13" t="s">
        <v>4881</v>
      </c>
      <c r="I936" s="12">
        <v>45471</v>
      </c>
    </row>
    <row r="937" spans="1:9" x14ac:dyDescent="0.15">
      <c r="A937" s="10">
        <v>936</v>
      </c>
      <c r="B937" s="9" t="s">
        <v>9</v>
      </c>
      <c r="C937" s="11" t="s">
        <v>10</v>
      </c>
      <c r="D937" s="12">
        <v>45562</v>
      </c>
      <c r="E937" s="14" t="str">
        <f>+HYPERLINK("http://trademark.i-assist.jp/data/china/image_1905th/79499485.pdf","79499485")</f>
        <v>79499485</v>
      </c>
      <c r="F937" s="13" t="s">
        <v>1732</v>
      </c>
      <c r="G937" s="13" t="s">
        <v>1731</v>
      </c>
      <c r="H937" s="13" t="s">
        <v>4882</v>
      </c>
      <c r="I937" s="12">
        <v>45471</v>
      </c>
    </row>
    <row r="938" spans="1:9" x14ac:dyDescent="0.15">
      <c r="A938" s="10">
        <v>937</v>
      </c>
      <c r="B938" s="9" t="s">
        <v>9</v>
      </c>
      <c r="C938" s="11" t="s">
        <v>10</v>
      </c>
      <c r="D938" s="12">
        <v>45562</v>
      </c>
      <c r="E938" s="14" t="str">
        <f>+HYPERLINK("http://trademark.i-assist.jp/data/china/image_1905th/79608873.pdf","79608873")</f>
        <v>79608873</v>
      </c>
      <c r="F938" s="13" t="s">
        <v>1734</v>
      </c>
      <c r="G938" s="13" t="s">
        <v>1733</v>
      </c>
      <c r="H938" s="13" t="s">
        <v>4258</v>
      </c>
      <c r="I938" s="12">
        <v>45477</v>
      </c>
    </row>
    <row r="939" spans="1:9" x14ac:dyDescent="0.15">
      <c r="A939" s="10">
        <v>938</v>
      </c>
      <c r="B939" s="9" t="s">
        <v>9</v>
      </c>
      <c r="C939" s="11" t="s">
        <v>10</v>
      </c>
      <c r="D939" s="12">
        <v>45562</v>
      </c>
      <c r="E939" s="14" t="str">
        <f>+HYPERLINK("http://trademark.i-assist.jp/data/china/image_1905th/79615168.pdf","79615168")</f>
        <v>79615168</v>
      </c>
      <c r="F939" s="13" t="s">
        <v>73</v>
      </c>
      <c r="G939" s="13" t="s">
        <v>1735</v>
      </c>
      <c r="H939" s="13" t="s">
        <v>4883</v>
      </c>
      <c r="I939" s="12">
        <v>45477</v>
      </c>
    </row>
    <row r="940" spans="1:9" x14ac:dyDescent="0.15">
      <c r="A940" s="10">
        <v>939</v>
      </c>
      <c r="B940" s="9" t="s">
        <v>9</v>
      </c>
      <c r="C940" s="11" t="s">
        <v>10</v>
      </c>
      <c r="D940" s="12">
        <v>45562</v>
      </c>
      <c r="E940" s="14" t="str">
        <f>+HYPERLINK("http://trademark.i-assist.jp/data/china/image_1905th/79615618.pdf","79615618")</f>
        <v>79615618</v>
      </c>
      <c r="F940" s="13" t="s">
        <v>1737</v>
      </c>
      <c r="G940" s="13" t="s">
        <v>1736</v>
      </c>
      <c r="H940" s="13" t="s">
        <v>4212</v>
      </c>
      <c r="I940" s="12">
        <v>45477</v>
      </c>
    </row>
    <row r="941" spans="1:9" x14ac:dyDescent="0.15">
      <c r="A941" s="10">
        <v>940</v>
      </c>
      <c r="B941" s="9" t="s">
        <v>9</v>
      </c>
      <c r="C941" s="11" t="s">
        <v>10</v>
      </c>
      <c r="D941" s="12">
        <v>45562</v>
      </c>
      <c r="E941" s="14" t="str">
        <f>+HYPERLINK("http://trademark.i-assist.jp/data/china/image_1905th/79619991.pdf","79619991")</f>
        <v>79619991</v>
      </c>
      <c r="F941" s="13" t="s">
        <v>1738</v>
      </c>
      <c r="G941" s="13" t="s">
        <v>38</v>
      </c>
      <c r="H941" s="13" t="s">
        <v>4160</v>
      </c>
      <c r="I941" s="12">
        <v>45477</v>
      </c>
    </row>
    <row r="942" spans="1:9" x14ac:dyDescent="0.15">
      <c r="A942" s="10">
        <v>941</v>
      </c>
      <c r="B942" s="9" t="s">
        <v>9</v>
      </c>
      <c r="C942" s="11" t="s">
        <v>10</v>
      </c>
      <c r="D942" s="12">
        <v>45562</v>
      </c>
      <c r="E942" s="14" t="str">
        <f>+HYPERLINK("http://trademark.i-assist.jp/data/china/image_1905th/79620142.pdf","79620142")</f>
        <v>79620142</v>
      </c>
      <c r="F942" s="13" t="s">
        <v>1740</v>
      </c>
      <c r="G942" s="13" t="s">
        <v>1739</v>
      </c>
      <c r="H942" s="13" t="s">
        <v>4525</v>
      </c>
      <c r="I942" s="12">
        <v>45477</v>
      </c>
    </row>
    <row r="943" spans="1:9" x14ac:dyDescent="0.15">
      <c r="A943" s="10">
        <v>942</v>
      </c>
      <c r="B943" s="9" t="s">
        <v>9</v>
      </c>
      <c r="C943" s="11" t="s">
        <v>10</v>
      </c>
      <c r="D943" s="12">
        <v>45562</v>
      </c>
      <c r="E943" s="14" t="str">
        <f>+HYPERLINK("http://trademark.i-assist.jp/data/china/image_1905th/79622049.pdf","79622049")</f>
        <v>79622049</v>
      </c>
      <c r="F943" s="13" t="s">
        <v>1742</v>
      </c>
      <c r="G943" s="13" t="s">
        <v>1741</v>
      </c>
      <c r="H943" s="13" t="s">
        <v>4884</v>
      </c>
      <c r="I943" s="12">
        <v>45477</v>
      </c>
    </row>
    <row r="944" spans="1:9" x14ac:dyDescent="0.15">
      <c r="A944" s="10">
        <v>943</v>
      </c>
      <c r="B944" s="9" t="s">
        <v>9</v>
      </c>
      <c r="C944" s="11" t="s">
        <v>10</v>
      </c>
      <c r="D944" s="12">
        <v>45562</v>
      </c>
      <c r="E944" s="14" t="str">
        <f>+HYPERLINK("http://trademark.i-assist.jp/data/china/image_1905th/79630845.pdf","79630845")</f>
        <v>79630845</v>
      </c>
      <c r="F944" s="13" t="s">
        <v>1744</v>
      </c>
      <c r="G944" s="13" t="s">
        <v>1743</v>
      </c>
      <c r="H944" s="13" t="s">
        <v>4885</v>
      </c>
      <c r="I944" s="12">
        <v>45478</v>
      </c>
    </row>
    <row r="945" spans="1:9" x14ac:dyDescent="0.15">
      <c r="A945" s="10">
        <v>944</v>
      </c>
      <c r="B945" s="9" t="s">
        <v>9</v>
      </c>
      <c r="C945" s="11" t="s">
        <v>10</v>
      </c>
      <c r="D945" s="12">
        <v>45562</v>
      </c>
      <c r="E945" s="14" t="str">
        <f>+HYPERLINK("http://trademark.i-assist.jp/data/china/image_1905th/79538579.pdf","79538579")</f>
        <v>79538579</v>
      </c>
      <c r="F945" s="13" t="s">
        <v>1745</v>
      </c>
      <c r="G945" s="13" t="s">
        <v>436</v>
      </c>
      <c r="H945" s="13" t="s">
        <v>4344</v>
      </c>
      <c r="I945" s="12">
        <v>45474</v>
      </c>
    </row>
    <row r="946" spans="1:9" x14ac:dyDescent="0.15">
      <c r="A946" s="10">
        <v>945</v>
      </c>
      <c r="B946" s="9" t="s">
        <v>9</v>
      </c>
      <c r="C946" s="11" t="s">
        <v>10</v>
      </c>
      <c r="D946" s="12">
        <v>45562</v>
      </c>
      <c r="E946" s="14" t="str">
        <f>+HYPERLINK("http://trademark.i-assist.jp/data/china/image_1905th/79545062.pdf","79545062")</f>
        <v>79545062</v>
      </c>
      <c r="F946" s="13" t="s">
        <v>1747</v>
      </c>
      <c r="G946" s="13" t="s">
        <v>1746</v>
      </c>
      <c r="H946" s="13" t="s">
        <v>4886</v>
      </c>
      <c r="I946" s="12">
        <v>45474</v>
      </c>
    </row>
    <row r="947" spans="1:9" x14ac:dyDescent="0.15">
      <c r="A947" s="10">
        <v>946</v>
      </c>
      <c r="B947" s="9" t="s">
        <v>9</v>
      </c>
      <c r="C947" s="11" t="s">
        <v>10</v>
      </c>
      <c r="D947" s="12">
        <v>45562</v>
      </c>
      <c r="E947" s="14" t="str">
        <f>+HYPERLINK("http://trademark.i-assist.jp/data/china/image_1905th/79545328.pdf","79545328")</f>
        <v>79545328</v>
      </c>
      <c r="F947" s="13" t="s">
        <v>1749</v>
      </c>
      <c r="G947" s="13" t="s">
        <v>1748</v>
      </c>
      <c r="H947" s="13" t="s">
        <v>4887</v>
      </c>
      <c r="I947" s="12">
        <v>45474</v>
      </c>
    </row>
    <row r="948" spans="1:9" x14ac:dyDescent="0.15">
      <c r="A948" s="10">
        <v>947</v>
      </c>
      <c r="B948" s="9" t="s">
        <v>9</v>
      </c>
      <c r="C948" s="11" t="s">
        <v>10</v>
      </c>
      <c r="D948" s="12">
        <v>45562</v>
      </c>
      <c r="E948" s="14" t="str">
        <f>+HYPERLINK("http://trademark.i-assist.jp/data/china/image_1905th/79546420.pdf","79546420")</f>
        <v>79546420</v>
      </c>
      <c r="F948" s="13" t="s">
        <v>1750</v>
      </c>
      <c r="G948" s="13" t="s">
        <v>110</v>
      </c>
      <c r="H948" s="13" t="s">
        <v>112</v>
      </c>
      <c r="I948" s="12">
        <v>45474</v>
      </c>
    </row>
    <row r="949" spans="1:9" x14ac:dyDescent="0.15">
      <c r="A949" s="10">
        <v>948</v>
      </c>
      <c r="B949" s="9" t="s">
        <v>9</v>
      </c>
      <c r="C949" s="11" t="s">
        <v>10</v>
      </c>
      <c r="D949" s="12">
        <v>45562</v>
      </c>
      <c r="E949" s="14" t="str">
        <f>+HYPERLINK("http://trademark.i-assist.jp/data/china/image_1905th/79547544.pdf","79547544")</f>
        <v>79547544</v>
      </c>
      <c r="F949" s="13" t="s">
        <v>1752</v>
      </c>
      <c r="G949" s="13" t="s">
        <v>1751</v>
      </c>
      <c r="H949" s="13" t="s">
        <v>4888</v>
      </c>
      <c r="I949" s="12">
        <v>45474</v>
      </c>
    </row>
    <row r="950" spans="1:9" x14ac:dyDescent="0.15">
      <c r="A950" s="10">
        <v>949</v>
      </c>
      <c r="B950" s="9" t="s">
        <v>9</v>
      </c>
      <c r="C950" s="11" t="s">
        <v>10</v>
      </c>
      <c r="D950" s="12">
        <v>45562</v>
      </c>
      <c r="E950" s="14" t="str">
        <f>+HYPERLINK("http://trademark.i-assist.jp/data/china/image_1905th/79558897.pdf","79558897")</f>
        <v>79558897</v>
      </c>
      <c r="F950" s="13" t="s">
        <v>73</v>
      </c>
      <c r="G950" s="13" t="s">
        <v>1753</v>
      </c>
      <c r="H950" s="13" t="s">
        <v>4889</v>
      </c>
      <c r="I950" s="12">
        <v>45475</v>
      </c>
    </row>
    <row r="951" spans="1:9" x14ac:dyDescent="0.15">
      <c r="A951" s="10">
        <v>950</v>
      </c>
      <c r="B951" s="9" t="s">
        <v>9</v>
      </c>
      <c r="C951" s="11" t="s">
        <v>10</v>
      </c>
      <c r="D951" s="12">
        <v>45562</v>
      </c>
      <c r="E951" s="14" t="str">
        <f>+HYPERLINK("http://trademark.i-assist.jp/data/china/image_1905th/79561791.pdf","79561791")</f>
        <v>79561791</v>
      </c>
      <c r="F951" s="13" t="s">
        <v>1502</v>
      </c>
      <c r="G951" s="13" t="s">
        <v>1501</v>
      </c>
      <c r="H951" s="13" t="s">
        <v>4328</v>
      </c>
      <c r="I951" s="12">
        <v>45475</v>
      </c>
    </row>
    <row r="952" spans="1:9" x14ac:dyDescent="0.15">
      <c r="A952" s="10">
        <v>951</v>
      </c>
      <c r="B952" s="9" t="s">
        <v>9</v>
      </c>
      <c r="C952" s="11" t="s">
        <v>10</v>
      </c>
      <c r="D952" s="12">
        <v>45562</v>
      </c>
      <c r="E952" s="14" t="str">
        <f>+HYPERLINK("http://trademark.i-assist.jp/data/china/image_1905th/62770186.pdf","62770186")</f>
        <v>62770186</v>
      </c>
      <c r="F952" s="13" t="s">
        <v>1755</v>
      </c>
      <c r="G952" s="13" t="s">
        <v>1754</v>
      </c>
      <c r="H952" s="13" t="s">
        <v>4890</v>
      </c>
      <c r="I952" s="12">
        <v>44614</v>
      </c>
    </row>
    <row r="953" spans="1:9" x14ac:dyDescent="0.15">
      <c r="A953" s="10">
        <v>952</v>
      </c>
      <c r="B953" s="9" t="s">
        <v>9</v>
      </c>
      <c r="C953" s="11" t="s">
        <v>10</v>
      </c>
      <c r="D953" s="12">
        <v>45562</v>
      </c>
      <c r="E953" s="14" t="str">
        <f>+HYPERLINK("http://trademark.i-assist.jp/data/china/image_1905th/67587383.pdf","67587383")</f>
        <v>67587383</v>
      </c>
      <c r="F953" s="13" t="s">
        <v>1757</v>
      </c>
      <c r="G953" s="13" t="s">
        <v>1756</v>
      </c>
      <c r="H953" s="13" t="s">
        <v>4233</v>
      </c>
      <c r="I953" s="12">
        <v>44842</v>
      </c>
    </row>
    <row r="954" spans="1:9" x14ac:dyDescent="0.15">
      <c r="A954" s="10">
        <v>953</v>
      </c>
      <c r="B954" s="9" t="s">
        <v>9</v>
      </c>
      <c r="C954" s="11" t="s">
        <v>10</v>
      </c>
      <c r="D954" s="12">
        <v>45562</v>
      </c>
      <c r="E954" s="14" t="str">
        <f>+HYPERLINK("http://trademark.i-assist.jp/data/china/image_1905th/68007550.pdf","68007550")</f>
        <v>68007550</v>
      </c>
      <c r="F954" s="13" t="s">
        <v>1759</v>
      </c>
      <c r="G954" s="13" t="s">
        <v>1758</v>
      </c>
      <c r="H954" s="13" t="s">
        <v>4891</v>
      </c>
      <c r="I954" s="12">
        <v>44862</v>
      </c>
    </row>
    <row r="955" spans="1:9" x14ac:dyDescent="0.15">
      <c r="A955" s="10">
        <v>954</v>
      </c>
      <c r="B955" s="9" t="s">
        <v>9</v>
      </c>
      <c r="C955" s="11" t="s">
        <v>10</v>
      </c>
      <c r="D955" s="12">
        <v>45562</v>
      </c>
      <c r="E955" s="14" t="str">
        <f>+HYPERLINK("http://trademark.i-assist.jp/data/china/image_1905th/68246728.pdf","68246728")</f>
        <v>68246728</v>
      </c>
      <c r="F955" s="13" t="s">
        <v>1761</v>
      </c>
      <c r="G955" s="13" t="s">
        <v>1760</v>
      </c>
      <c r="H955" s="13" t="s">
        <v>4892</v>
      </c>
      <c r="I955" s="12">
        <v>44874</v>
      </c>
    </row>
    <row r="956" spans="1:9" x14ac:dyDescent="0.15">
      <c r="A956" s="10">
        <v>955</v>
      </c>
      <c r="B956" s="9" t="s">
        <v>9</v>
      </c>
      <c r="C956" s="11" t="s">
        <v>10</v>
      </c>
      <c r="D956" s="12">
        <v>45562</v>
      </c>
      <c r="E956" s="14" t="str">
        <f>+HYPERLINK("http://trademark.i-assist.jp/data/china/image_1905th/71489863.pdf","71489863")</f>
        <v>71489863</v>
      </c>
      <c r="F956" s="13" t="s">
        <v>1763</v>
      </c>
      <c r="G956" s="13" t="s">
        <v>1762</v>
      </c>
      <c r="H956" s="13" t="s">
        <v>4154</v>
      </c>
      <c r="I956" s="12">
        <v>45057</v>
      </c>
    </row>
    <row r="957" spans="1:9" x14ac:dyDescent="0.15">
      <c r="A957" s="10">
        <v>956</v>
      </c>
      <c r="B957" s="9" t="s">
        <v>9</v>
      </c>
      <c r="C957" s="11" t="s">
        <v>10</v>
      </c>
      <c r="D957" s="12">
        <v>45562</v>
      </c>
      <c r="E957" s="14" t="str">
        <f>+HYPERLINK("http://trademark.i-assist.jp/data/china/image_1905th/71623302.pdf","71623302")</f>
        <v>71623302</v>
      </c>
      <c r="F957" s="13" t="s">
        <v>1765</v>
      </c>
      <c r="G957" s="13" t="s">
        <v>1764</v>
      </c>
      <c r="H957" s="13" t="s">
        <v>4893</v>
      </c>
      <c r="I957" s="12">
        <v>45063</v>
      </c>
    </row>
    <row r="958" spans="1:9" x14ac:dyDescent="0.15">
      <c r="A958" s="10">
        <v>957</v>
      </c>
      <c r="B958" s="9" t="s">
        <v>9</v>
      </c>
      <c r="C958" s="11" t="s">
        <v>10</v>
      </c>
      <c r="D958" s="12">
        <v>45562</v>
      </c>
      <c r="E958" s="14" t="str">
        <f>+HYPERLINK("http://trademark.i-assist.jp/data/china/image_1905th/72599111.pdf","72599111")</f>
        <v>72599111</v>
      </c>
      <c r="F958" s="13" t="s">
        <v>1767</v>
      </c>
      <c r="G958" s="13" t="s">
        <v>1766</v>
      </c>
      <c r="H958" s="13" t="s">
        <v>4894</v>
      </c>
      <c r="I958" s="12">
        <v>45110</v>
      </c>
    </row>
    <row r="959" spans="1:9" x14ac:dyDescent="0.15">
      <c r="A959" s="10">
        <v>958</v>
      </c>
      <c r="B959" s="9" t="s">
        <v>9</v>
      </c>
      <c r="C959" s="11" t="s">
        <v>10</v>
      </c>
      <c r="D959" s="12">
        <v>45562</v>
      </c>
      <c r="E959" s="14" t="str">
        <f>+HYPERLINK("http://trademark.i-assist.jp/data/china/image_1905th/73390810.pdf","73390810")</f>
        <v>73390810</v>
      </c>
      <c r="F959" s="13" t="s">
        <v>1769</v>
      </c>
      <c r="G959" s="13" t="s">
        <v>1768</v>
      </c>
      <c r="H959" s="13" t="s">
        <v>4895</v>
      </c>
      <c r="I959" s="12">
        <v>45148</v>
      </c>
    </row>
    <row r="960" spans="1:9" x14ac:dyDescent="0.15">
      <c r="A960" s="10">
        <v>959</v>
      </c>
      <c r="B960" s="9" t="s">
        <v>9</v>
      </c>
      <c r="C960" s="11" t="s">
        <v>10</v>
      </c>
      <c r="D960" s="12">
        <v>45562</v>
      </c>
      <c r="E960" s="14" t="str">
        <f>+HYPERLINK("http://trademark.i-assist.jp/data/china/image_1905th/74061453.pdf","74061453")</f>
        <v>74061453</v>
      </c>
      <c r="F960" s="13" t="s">
        <v>1771</v>
      </c>
      <c r="G960" s="13" t="s">
        <v>1770</v>
      </c>
      <c r="H960" s="13" t="s">
        <v>4896</v>
      </c>
      <c r="I960" s="12">
        <v>45182</v>
      </c>
    </row>
    <row r="961" spans="1:9" x14ac:dyDescent="0.15">
      <c r="A961" s="10">
        <v>960</v>
      </c>
      <c r="B961" s="9" t="s">
        <v>9</v>
      </c>
      <c r="C961" s="11" t="s">
        <v>10</v>
      </c>
      <c r="D961" s="12">
        <v>45562</v>
      </c>
      <c r="E961" s="14" t="str">
        <f>+HYPERLINK("http://trademark.i-assist.jp/data/china/image_1905th/78397145.pdf","78397145")</f>
        <v>78397145</v>
      </c>
      <c r="F961" s="13" t="s">
        <v>1773</v>
      </c>
      <c r="G961" s="13" t="s">
        <v>1772</v>
      </c>
      <c r="H961" s="13" t="s">
        <v>4855</v>
      </c>
      <c r="I961" s="12">
        <v>45419</v>
      </c>
    </row>
    <row r="962" spans="1:9" x14ac:dyDescent="0.15">
      <c r="A962" s="10">
        <v>961</v>
      </c>
      <c r="B962" s="9" t="s">
        <v>9</v>
      </c>
      <c r="C962" s="11" t="s">
        <v>10</v>
      </c>
      <c r="D962" s="12">
        <v>45562</v>
      </c>
      <c r="E962" s="14" t="str">
        <f>+HYPERLINK("http://trademark.i-assist.jp/data/china/image_1905th/69549699.pdf","69549699")</f>
        <v>69549699</v>
      </c>
      <c r="F962" s="13" t="s">
        <v>1775</v>
      </c>
      <c r="G962" s="13" t="s">
        <v>1774</v>
      </c>
      <c r="H962" s="13" t="s">
        <v>4897</v>
      </c>
      <c r="I962" s="12">
        <v>44970</v>
      </c>
    </row>
    <row r="963" spans="1:9" x14ac:dyDescent="0.15">
      <c r="A963" s="10">
        <v>962</v>
      </c>
      <c r="B963" s="9" t="s">
        <v>9</v>
      </c>
      <c r="C963" s="11" t="s">
        <v>10</v>
      </c>
      <c r="D963" s="12">
        <v>45562</v>
      </c>
      <c r="E963" s="14" t="str">
        <f>+HYPERLINK("http://trademark.i-assist.jp/data/china/image_1905th/71686341.pdf","71686341")</f>
        <v>71686341</v>
      </c>
      <c r="F963" s="13" t="s">
        <v>1777</v>
      </c>
      <c r="G963" s="13" t="s">
        <v>1776</v>
      </c>
      <c r="H963" s="13" t="s">
        <v>4898</v>
      </c>
      <c r="I963" s="12">
        <v>45065</v>
      </c>
    </row>
    <row r="964" spans="1:9" x14ac:dyDescent="0.15">
      <c r="A964" s="10">
        <v>963</v>
      </c>
      <c r="B964" s="9" t="s">
        <v>9</v>
      </c>
      <c r="C964" s="11" t="s">
        <v>10</v>
      </c>
      <c r="D964" s="12">
        <v>45562</v>
      </c>
      <c r="E964" s="14" t="str">
        <f>+HYPERLINK("http://trademark.i-assist.jp/data/china/image_1905th/73909336.pdf","73909336")</f>
        <v>73909336</v>
      </c>
      <c r="F964" s="13" t="s">
        <v>1779</v>
      </c>
      <c r="G964" s="13" t="s">
        <v>1778</v>
      </c>
      <c r="H964" s="13" t="s">
        <v>4899</v>
      </c>
      <c r="I964" s="12">
        <v>45175</v>
      </c>
    </row>
    <row r="965" spans="1:9" x14ac:dyDescent="0.15">
      <c r="A965" s="10">
        <v>964</v>
      </c>
      <c r="B965" s="9" t="s">
        <v>9</v>
      </c>
      <c r="C965" s="11" t="s">
        <v>10</v>
      </c>
      <c r="D965" s="12">
        <v>45562</v>
      </c>
      <c r="E965" s="14" t="str">
        <f>+HYPERLINK("http://trademark.i-assist.jp/data/china/image_1905th/78309290.pdf","78309290")</f>
        <v>78309290</v>
      </c>
      <c r="F965" s="13" t="s">
        <v>1781</v>
      </c>
      <c r="G965" s="13" t="s">
        <v>1780</v>
      </c>
      <c r="H965" s="13" t="s">
        <v>4900</v>
      </c>
      <c r="I965" s="12">
        <v>45410</v>
      </c>
    </row>
    <row r="966" spans="1:9" x14ac:dyDescent="0.15">
      <c r="A966" s="10">
        <v>965</v>
      </c>
      <c r="B966" s="9" t="s">
        <v>9</v>
      </c>
      <c r="C966" s="11" t="s">
        <v>10</v>
      </c>
      <c r="D966" s="12">
        <v>45562</v>
      </c>
      <c r="E966" s="14" t="str">
        <f>+HYPERLINK("http://trademark.i-assist.jp/data/china/image_1905th/78382643.pdf","78382643")</f>
        <v>78382643</v>
      </c>
      <c r="F966" s="13" t="s">
        <v>1783</v>
      </c>
      <c r="G966" s="13" t="s">
        <v>1782</v>
      </c>
      <c r="H966" s="13" t="s">
        <v>4901</v>
      </c>
      <c r="I966" s="12">
        <v>45419</v>
      </c>
    </row>
    <row r="967" spans="1:9" x14ac:dyDescent="0.15">
      <c r="A967" s="10">
        <v>966</v>
      </c>
      <c r="B967" s="9" t="s">
        <v>9</v>
      </c>
      <c r="C967" s="11" t="s">
        <v>10</v>
      </c>
      <c r="D967" s="12">
        <v>45562</v>
      </c>
      <c r="E967" s="14" t="str">
        <f>+HYPERLINK("http://trademark.i-assist.jp/data/china/image_1905th/79212956.pdf","79212956")</f>
        <v>79212956</v>
      </c>
      <c r="F967" s="13" t="s">
        <v>1785</v>
      </c>
      <c r="G967" s="13" t="s">
        <v>1784</v>
      </c>
      <c r="H967" s="13" t="s">
        <v>4456</v>
      </c>
      <c r="I967" s="12">
        <v>45457</v>
      </c>
    </row>
    <row r="968" spans="1:9" x14ac:dyDescent="0.15">
      <c r="A968" s="10">
        <v>967</v>
      </c>
      <c r="B968" s="9" t="s">
        <v>9</v>
      </c>
      <c r="C968" s="11" t="s">
        <v>10</v>
      </c>
      <c r="D968" s="12">
        <v>45562</v>
      </c>
      <c r="E968" s="14" t="str">
        <f>+HYPERLINK("http://trademark.i-assist.jp/data/china/image_1905th/79213162.pdf","79213162")</f>
        <v>79213162</v>
      </c>
      <c r="F968" s="13" t="s">
        <v>839</v>
      </c>
      <c r="G968" s="13" t="s">
        <v>838</v>
      </c>
      <c r="H968" s="13" t="s">
        <v>4522</v>
      </c>
      <c r="I968" s="12">
        <v>45457</v>
      </c>
    </row>
    <row r="969" spans="1:9" x14ac:dyDescent="0.15">
      <c r="A969" s="10">
        <v>968</v>
      </c>
      <c r="B969" s="9" t="s">
        <v>9</v>
      </c>
      <c r="C969" s="11" t="s">
        <v>10</v>
      </c>
      <c r="D969" s="12">
        <v>45562</v>
      </c>
      <c r="E969" s="14" t="str">
        <f>+HYPERLINK("http://trademark.i-assist.jp/data/china/image_1905th/79242498.pdf","79242498")</f>
        <v>79242498</v>
      </c>
      <c r="F969" s="13" t="s">
        <v>1787</v>
      </c>
      <c r="G969" s="13" t="s">
        <v>1786</v>
      </c>
      <c r="H969" s="13" t="s">
        <v>4902</v>
      </c>
      <c r="I969" s="12">
        <v>45459</v>
      </c>
    </row>
    <row r="970" spans="1:9" x14ac:dyDescent="0.15">
      <c r="A970" s="10">
        <v>969</v>
      </c>
      <c r="B970" s="9" t="s">
        <v>9</v>
      </c>
      <c r="C970" s="11" t="s">
        <v>10</v>
      </c>
      <c r="D970" s="12">
        <v>45562</v>
      </c>
      <c r="E970" s="14" t="str">
        <f>+HYPERLINK("http://trademark.i-assist.jp/data/china/image_1905th/79249944.pdf","79249944")</f>
        <v>79249944</v>
      </c>
      <c r="F970" s="13" t="s">
        <v>1789</v>
      </c>
      <c r="G970" s="13" t="s">
        <v>1788</v>
      </c>
      <c r="H970" s="13" t="s">
        <v>4903</v>
      </c>
      <c r="I970" s="12">
        <v>45460</v>
      </c>
    </row>
    <row r="971" spans="1:9" x14ac:dyDescent="0.15">
      <c r="A971" s="10">
        <v>970</v>
      </c>
      <c r="B971" s="9" t="s">
        <v>9</v>
      </c>
      <c r="C971" s="11" t="s">
        <v>10</v>
      </c>
      <c r="D971" s="12">
        <v>45562</v>
      </c>
      <c r="E971" s="14" t="str">
        <f>+HYPERLINK("http://trademark.i-assist.jp/data/china/image_1905th/79299854.pdf","79299854")</f>
        <v>79299854</v>
      </c>
      <c r="F971" s="13" t="s">
        <v>1791</v>
      </c>
      <c r="G971" s="13" t="s">
        <v>1790</v>
      </c>
      <c r="H971" s="13" t="s">
        <v>4904</v>
      </c>
      <c r="I971" s="12">
        <v>45462</v>
      </c>
    </row>
    <row r="972" spans="1:9" x14ac:dyDescent="0.15">
      <c r="A972" s="10">
        <v>971</v>
      </c>
      <c r="B972" s="9" t="s">
        <v>9</v>
      </c>
      <c r="C972" s="11" t="s">
        <v>10</v>
      </c>
      <c r="D972" s="12">
        <v>45562</v>
      </c>
      <c r="E972" s="14" t="str">
        <f>+HYPERLINK("http://trademark.i-assist.jp/data/china/image_1905th/79303792.pdf","79303792")</f>
        <v>79303792</v>
      </c>
      <c r="F972" s="13" t="s">
        <v>1793</v>
      </c>
      <c r="G972" s="13" t="s">
        <v>1792</v>
      </c>
      <c r="H972" s="13" t="s">
        <v>4905</v>
      </c>
      <c r="I972" s="12">
        <v>45462</v>
      </c>
    </row>
    <row r="973" spans="1:9" x14ac:dyDescent="0.15">
      <c r="A973" s="10">
        <v>972</v>
      </c>
      <c r="B973" s="9" t="s">
        <v>9</v>
      </c>
      <c r="C973" s="11" t="s">
        <v>10</v>
      </c>
      <c r="D973" s="12">
        <v>45562</v>
      </c>
      <c r="E973" s="14" t="str">
        <f>+HYPERLINK("http://trademark.i-assist.jp/data/china/image_1905th/78909913.pdf","78909913")</f>
        <v>78909913</v>
      </c>
      <c r="F973" s="13" t="s">
        <v>1795</v>
      </c>
      <c r="G973" s="13" t="s">
        <v>1794</v>
      </c>
      <c r="H973" s="13" t="s">
        <v>4906</v>
      </c>
      <c r="I973" s="12">
        <v>45441</v>
      </c>
    </row>
    <row r="974" spans="1:9" x14ac:dyDescent="0.15">
      <c r="A974" s="10">
        <v>973</v>
      </c>
      <c r="B974" s="9" t="s">
        <v>9</v>
      </c>
      <c r="C974" s="11" t="s">
        <v>10</v>
      </c>
      <c r="D974" s="12">
        <v>45562</v>
      </c>
      <c r="E974" s="14" t="str">
        <f>+HYPERLINK("http://trademark.i-assist.jp/data/china/image_1905th/78943332.pdf","78943332")</f>
        <v>78943332</v>
      </c>
      <c r="F974" s="13" t="s">
        <v>1797</v>
      </c>
      <c r="G974" s="13" t="s">
        <v>1796</v>
      </c>
      <c r="H974" s="13" t="s">
        <v>4907</v>
      </c>
      <c r="I974" s="12">
        <v>45442</v>
      </c>
    </row>
    <row r="975" spans="1:9" x14ac:dyDescent="0.15">
      <c r="A975" s="10">
        <v>974</v>
      </c>
      <c r="B975" s="9" t="s">
        <v>9</v>
      </c>
      <c r="C975" s="11" t="s">
        <v>10</v>
      </c>
      <c r="D975" s="12">
        <v>45562</v>
      </c>
      <c r="E975" s="14" t="str">
        <f>+HYPERLINK("http://trademark.i-assist.jp/data/china/image_1905th/79009246.pdf","79009246")</f>
        <v>79009246</v>
      </c>
      <c r="F975" s="13" t="s">
        <v>1799</v>
      </c>
      <c r="G975" s="13" t="s">
        <v>1798</v>
      </c>
      <c r="H975" s="13" t="s">
        <v>4908</v>
      </c>
      <c r="I975" s="12">
        <v>45446</v>
      </c>
    </row>
    <row r="976" spans="1:9" x14ac:dyDescent="0.15">
      <c r="A976" s="10">
        <v>975</v>
      </c>
      <c r="B976" s="9" t="s">
        <v>9</v>
      </c>
      <c r="C976" s="11" t="s">
        <v>10</v>
      </c>
      <c r="D976" s="12">
        <v>45562</v>
      </c>
      <c r="E976" s="14" t="str">
        <f>+HYPERLINK("http://trademark.i-assist.jp/data/china/image_1905th/79108632.pdf","79108632")</f>
        <v>79108632</v>
      </c>
      <c r="F976" s="13" t="s">
        <v>73</v>
      </c>
      <c r="G976" s="13" t="s">
        <v>1800</v>
      </c>
      <c r="H976" s="13" t="s">
        <v>4909</v>
      </c>
      <c r="I976" s="12">
        <v>45450</v>
      </c>
    </row>
    <row r="977" spans="1:9" x14ac:dyDescent="0.15">
      <c r="A977" s="10">
        <v>976</v>
      </c>
      <c r="B977" s="9" t="s">
        <v>9</v>
      </c>
      <c r="C977" s="11" t="s">
        <v>10</v>
      </c>
      <c r="D977" s="12">
        <v>45562</v>
      </c>
      <c r="E977" s="14" t="str">
        <f>+HYPERLINK("http://trademark.i-assist.jp/data/china/image_1905th/79115856.pdf","79115856")</f>
        <v>79115856</v>
      </c>
      <c r="F977" s="13" t="s">
        <v>1801</v>
      </c>
      <c r="G977" s="13" t="s">
        <v>490</v>
      </c>
      <c r="H977" s="13" t="s">
        <v>4372</v>
      </c>
      <c r="I977" s="12">
        <v>45450</v>
      </c>
    </row>
    <row r="978" spans="1:9" x14ac:dyDescent="0.15">
      <c r="A978" s="10">
        <v>977</v>
      </c>
      <c r="B978" s="9" t="s">
        <v>9</v>
      </c>
      <c r="C978" s="11" t="s">
        <v>10</v>
      </c>
      <c r="D978" s="12">
        <v>45562</v>
      </c>
      <c r="E978" s="14" t="str">
        <f>+HYPERLINK("http://trademark.i-assist.jp/data/china/image_1905th/79123425.pdf","79123425")</f>
        <v>79123425</v>
      </c>
      <c r="F978" s="13" t="s">
        <v>1803</v>
      </c>
      <c r="G978" s="13" t="s">
        <v>1802</v>
      </c>
      <c r="H978" s="13" t="s">
        <v>4910</v>
      </c>
      <c r="I978" s="12">
        <v>45452</v>
      </c>
    </row>
    <row r="979" spans="1:9" x14ac:dyDescent="0.15">
      <c r="A979" s="10">
        <v>978</v>
      </c>
      <c r="B979" s="9" t="s">
        <v>9</v>
      </c>
      <c r="C979" s="11" t="s">
        <v>10</v>
      </c>
      <c r="D979" s="12">
        <v>45562</v>
      </c>
      <c r="E979" s="14" t="str">
        <f>+HYPERLINK("http://trademark.i-assist.jp/data/china/image_1905th/79176820.pdf","79176820")</f>
        <v>79176820</v>
      </c>
      <c r="F979" s="13" t="s">
        <v>1805</v>
      </c>
      <c r="G979" s="13" t="s">
        <v>1804</v>
      </c>
      <c r="H979" s="13" t="s">
        <v>4720</v>
      </c>
      <c r="I979" s="12">
        <v>45455</v>
      </c>
    </row>
    <row r="980" spans="1:9" x14ac:dyDescent="0.15">
      <c r="A980" s="10">
        <v>979</v>
      </c>
      <c r="B980" s="9" t="s">
        <v>9</v>
      </c>
      <c r="C980" s="11" t="s">
        <v>10</v>
      </c>
      <c r="D980" s="12">
        <v>45562</v>
      </c>
      <c r="E980" s="14" t="str">
        <f>+HYPERLINK("http://trademark.i-assist.jp/data/china/image_1905th/79687467.pdf","79687467")</f>
        <v>79687467</v>
      </c>
      <c r="F980" s="13" t="s">
        <v>1806</v>
      </c>
      <c r="G980" s="13" t="s">
        <v>1129</v>
      </c>
      <c r="H980" s="13" t="s">
        <v>4533</v>
      </c>
      <c r="I980" s="12">
        <v>45482</v>
      </c>
    </row>
    <row r="981" spans="1:9" x14ac:dyDescent="0.15">
      <c r="A981" s="10">
        <v>980</v>
      </c>
      <c r="B981" s="9" t="s">
        <v>9</v>
      </c>
      <c r="C981" s="11" t="s">
        <v>10</v>
      </c>
      <c r="D981" s="12">
        <v>45562</v>
      </c>
      <c r="E981" s="14" t="str">
        <f>+HYPERLINK("http://trademark.i-assist.jp/data/china/image_1905th/79697971.pdf","79697971")</f>
        <v>79697971</v>
      </c>
      <c r="F981" s="13" t="s">
        <v>1808</v>
      </c>
      <c r="G981" s="13" t="s">
        <v>1807</v>
      </c>
      <c r="H981" s="13" t="s">
        <v>4911</v>
      </c>
      <c r="I981" s="12">
        <v>45482</v>
      </c>
    </row>
    <row r="982" spans="1:9" x14ac:dyDescent="0.15">
      <c r="A982" s="10">
        <v>981</v>
      </c>
      <c r="B982" s="9" t="s">
        <v>9</v>
      </c>
      <c r="C982" s="11" t="s">
        <v>10</v>
      </c>
      <c r="D982" s="12">
        <v>45562</v>
      </c>
      <c r="E982" s="14" t="str">
        <f>+HYPERLINK("http://trademark.i-assist.jp/data/china/image_1905th/79707509.pdf","79707509")</f>
        <v>79707509</v>
      </c>
      <c r="F982" s="13" t="s">
        <v>1810</v>
      </c>
      <c r="G982" s="13" t="s">
        <v>1809</v>
      </c>
      <c r="H982" s="13" t="s">
        <v>4912</v>
      </c>
      <c r="I982" s="12">
        <v>45483</v>
      </c>
    </row>
    <row r="983" spans="1:9" x14ac:dyDescent="0.15">
      <c r="A983" s="10">
        <v>982</v>
      </c>
      <c r="B983" s="9" t="s">
        <v>9</v>
      </c>
      <c r="C983" s="11" t="s">
        <v>10</v>
      </c>
      <c r="D983" s="12">
        <v>45562</v>
      </c>
      <c r="E983" s="14" t="str">
        <f>+HYPERLINK("http://trademark.i-assist.jp/data/china/image_1905th/79708275.pdf","79708275")</f>
        <v>79708275</v>
      </c>
      <c r="F983" s="13" t="s">
        <v>1812</v>
      </c>
      <c r="G983" s="13" t="s">
        <v>1811</v>
      </c>
      <c r="H983" s="13" t="s">
        <v>4913</v>
      </c>
      <c r="I983" s="12">
        <v>45483</v>
      </c>
    </row>
    <row r="984" spans="1:9" x14ac:dyDescent="0.15">
      <c r="A984" s="10">
        <v>983</v>
      </c>
      <c r="B984" s="9" t="s">
        <v>9</v>
      </c>
      <c r="C984" s="11" t="s">
        <v>10</v>
      </c>
      <c r="D984" s="12">
        <v>45562</v>
      </c>
      <c r="E984" s="14" t="str">
        <f>+HYPERLINK("http://trademark.i-assist.jp/data/china/image_1905th/79708613.pdf","79708613")</f>
        <v>79708613</v>
      </c>
      <c r="F984" s="13" t="s">
        <v>1814</v>
      </c>
      <c r="G984" s="13" t="s">
        <v>1813</v>
      </c>
      <c r="H984" s="13" t="s">
        <v>4914</v>
      </c>
      <c r="I984" s="12">
        <v>45483</v>
      </c>
    </row>
    <row r="985" spans="1:9" x14ac:dyDescent="0.15">
      <c r="A985" s="10">
        <v>984</v>
      </c>
      <c r="B985" s="9" t="s">
        <v>9</v>
      </c>
      <c r="C985" s="11" t="s">
        <v>10</v>
      </c>
      <c r="D985" s="12">
        <v>45562</v>
      </c>
      <c r="E985" s="14" t="str">
        <f>+HYPERLINK("http://trademark.i-assist.jp/data/china/image_1905th/79709184.pdf","79709184")</f>
        <v>79709184</v>
      </c>
      <c r="F985" s="13" t="s">
        <v>1816</v>
      </c>
      <c r="G985" s="13" t="s">
        <v>1815</v>
      </c>
      <c r="H985" s="13" t="s">
        <v>4915</v>
      </c>
      <c r="I985" s="12">
        <v>45483</v>
      </c>
    </row>
    <row r="986" spans="1:9" x14ac:dyDescent="0.15">
      <c r="A986" s="10">
        <v>985</v>
      </c>
      <c r="B986" s="9" t="s">
        <v>9</v>
      </c>
      <c r="C986" s="11" t="s">
        <v>10</v>
      </c>
      <c r="D986" s="12">
        <v>45562</v>
      </c>
      <c r="E986" s="14" t="str">
        <f>+HYPERLINK("http://trademark.i-assist.jp/data/china/image_1905th/79709403.pdf","79709403")</f>
        <v>79709403</v>
      </c>
      <c r="F986" s="13" t="s">
        <v>1818</v>
      </c>
      <c r="G986" s="13" t="s">
        <v>1817</v>
      </c>
      <c r="H986" s="13" t="s">
        <v>4916</v>
      </c>
      <c r="I986" s="12">
        <v>45483</v>
      </c>
    </row>
    <row r="987" spans="1:9" x14ac:dyDescent="0.15">
      <c r="A987" s="10">
        <v>986</v>
      </c>
      <c r="B987" s="9" t="s">
        <v>9</v>
      </c>
      <c r="C987" s="11" t="s">
        <v>10</v>
      </c>
      <c r="D987" s="12">
        <v>45562</v>
      </c>
      <c r="E987" s="14" t="str">
        <f>+HYPERLINK("http://trademark.i-assist.jp/data/china/image_1905th/79709900.pdf","79709900")</f>
        <v>79709900</v>
      </c>
      <c r="F987" s="13" t="s">
        <v>1820</v>
      </c>
      <c r="G987" s="13" t="s">
        <v>1819</v>
      </c>
      <c r="H987" s="13" t="s">
        <v>4917</v>
      </c>
      <c r="I987" s="12">
        <v>45483</v>
      </c>
    </row>
    <row r="988" spans="1:9" x14ac:dyDescent="0.15">
      <c r="A988" s="10">
        <v>987</v>
      </c>
      <c r="B988" s="9" t="s">
        <v>9</v>
      </c>
      <c r="C988" s="11" t="s">
        <v>10</v>
      </c>
      <c r="D988" s="12">
        <v>45562</v>
      </c>
      <c r="E988" s="14" t="str">
        <f>+HYPERLINK("http://trademark.i-assist.jp/data/china/image_1905th/79608102.pdf","79608102")</f>
        <v>79608102</v>
      </c>
      <c r="F988" s="13" t="s">
        <v>1822</v>
      </c>
      <c r="G988" s="13" t="s">
        <v>1821</v>
      </c>
      <c r="H988" s="13" t="s">
        <v>4918</v>
      </c>
      <c r="I988" s="12">
        <v>45477</v>
      </c>
    </row>
    <row r="989" spans="1:9" x14ac:dyDescent="0.15">
      <c r="A989" s="10">
        <v>988</v>
      </c>
      <c r="B989" s="9" t="s">
        <v>9</v>
      </c>
      <c r="C989" s="11" t="s">
        <v>10</v>
      </c>
      <c r="D989" s="12">
        <v>45562</v>
      </c>
      <c r="E989" s="14" t="str">
        <f>+HYPERLINK("http://trademark.i-assist.jp/data/china/image_1905th/79612526.pdf","79612526")</f>
        <v>79612526</v>
      </c>
      <c r="F989" s="13" t="s">
        <v>1824</v>
      </c>
      <c r="G989" s="13" t="s">
        <v>1823</v>
      </c>
      <c r="H989" s="13" t="s">
        <v>4438</v>
      </c>
      <c r="I989" s="12">
        <v>45477</v>
      </c>
    </row>
    <row r="990" spans="1:9" x14ac:dyDescent="0.15">
      <c r="A990" s="10">
        <v>989</v>
      </c>
      <c r="B990" s="9" t="s">
        <v>9</v>
      </c>
      <c r="C990" s="11" t="s">
        <v>10</v>
      </c>
      <c r="D990" s="12">
        <v>45562</v>
      </c>
      <c r="E990" s="14" t="str">
        <f>+HYPERLINK("http://trademark.i-assist.jp/data/china/image_1905th/79620729.pdf","79620729")</f>
        <v>79620729</v>
      </c>
      <c r="F990" s="13" t="s">
        <v>1826</v>
      </c>
      <c r="G990" s="13" t="s">
        <v>1825</v>
      </c>
      <c r="H990" s="13" t="s">
        <v>4919</v>
      </c>
      <c r="I990" s="12">
        <v>45477</v>
      </c>
    </row>
    <row r="991" spans="1:9" x14ac:dyDescent="0.15">
      <c r="A991" s="10">
        <v>990</v>
      </c>
      <c r="B991" s="9" t="s">
        <v>9</v>
      </c>
      <c r="C991" s="11" t="s">
        <v>10</v>
      </c>
      <c r="D991" s="12">
        <v>45562</v>
      </c>
      <c r="E991" s="14" t="str">
        <f>+HYPERLINK("http://trademark.i-assist.jp/data/china/image_1905th/79623581.pdf","79623581")</f>
        <v>79623581</v>
      </c>
      <c r="F991" s="13" t="s">
        <v>1828</v>
      </c>
      <c r="G991" s="13" t="s">
        <v>1827</v>
      </c>
      <c r="H991" s="13" t="s">
        <v>4201</v>
      </c>
      <c r="I991" s="12">
        <v>45478</v>
      </c>
    </row>
    <row r="992" spans="1:9" x14ac:dyDescent="0.15">
      <c r="A992" s="10">
        <v>991</v>
      </c>
      <c r="B992" s="9" t="s">
        <v>9</v>
      </c>
      <c r="C992" s="11" t="s">
        <v>10</v>
      </c>
      <c r="D992" s="12">
        <v>45562</v>
      </c>
      <c r="E992" s="14" t="str">
        <f>+HYPERLINK("http://trademark.i-assist.jp/data/china/image_1905th/79626919.pdf","79626919")</f>
        <v>79626919</v>
      </c>
      <c r="F992" s="13" t="s">
        <v>1830</v>
      </c>
      <c r="G992" s="13" t="s">
        <v>1829</v>
      </c>
      <c r="H992" s="13" t="s">
        <v>4920</v>
      </c>
      <c r="I992" s="12">
        <v>45478</v>
      </c>
    </row>
    <row r="993" spans="1:9" x14ac:dyDescent="0.15">
      <c r="A993" s="10">
        <v>992</v>
      </c>
      <c r="B993" s="9" t="s">
        <v>9</v>
      </c>
      <c r="C993" s="11" t="s">
        <v>10</v>
      </c>
      <c r="D993" s="12">
        <v>45562</v>
      </c>
      <c r="E993" s="14" t="str">
        <f>+HYPERLINK("http://trademark.i-assist.jp/data/china/image_1905th/79629280.pdf","79629280")</f>
        <v>79629280</v>
      </c>
      <c r="F993" s="13" t="s">
        <v>1832</v>
      </c>
      <c r="G993" s="13" t="s">
        <v>1831</v>
      </c>
      <c r="H993" s="13" t="s">
        <v>4149</v>
      </c>
      <c r="I993" s="12">
        <v>45478</v>
      </c>
    </row>
    <row r="994" spans="1:9" x14ac:dyDescent="0.15">
      <c r="A994" s="10">
        <v>993</v>
      </c>
      <c r="B994" s="9" t="s">
        <v>9</v>
      </c>
      <c r="C994" s="11" t="s">
        <v>10</v>
      </c>
      <c r="D994" s="12">
        <v>45562</v>
      </c>
      <c r="E994" s="14" t="str">
        <f>+HYPERLINK("http://trademark.i-assist.jp/data/china/image_1905th/79633721.pdf","79633721")</f>
        <v>79633721</v>
      </c>
      <c r="F994" s="13" t="s">
        <v>1834</v>
      </c>
      <c r="G994" s="13" t="s">
        <v>1833</v>
      </c>
      <c r="H994" s="13" t="s">
        <v>4921</v>
      </c>
      <c r="I994" s="12">
        <v>45478</v>
      </c>
    </row>
    <row r="995" spans="1:9" x14ac:dyDescent="0.15">
      <c r="A995" s="10">
        <v>994</v>
      </c>
      <c r="B995" s="9" t="s">
        <v>9</v>
      </c>
      <c r="C995" s="11" t="s">
        <v>10</v>
      </c>
      <c r="D995" s="12">
        <v>45562</v>
      </c>
      <c r="E995" s="14" t="str">
        <f>+HYPERLINK("http://trademark.i-assist.jp/data/china/image_1905th/79634708.pdf","79634708")</f>
        <v>79634708</v>
      </c>
      <c r="F995" s="13" t="s">
        <v>1836</v>
      </c>
      <c r="G995" s="13" t="s">
        <v>1835</v>
      </c>
      <c r="H995" s="13" t="s">
        <v>4922</v>
      </c>
      <c r="I995" s="12">
        <v>45478</v>
      </c>
    </row>
    <row r="996" spans="1:9" x14ac:dyDescent="0.15">
      <c r="A996" s="10">
        <v>995</v>
      </c>
      <c r="B996" s="9" t="s">
        <v>9</v>
      </c>
      <c r="C996" s="11" t="s">
        <v>10</v>
      </c>
      <c r="D996" s="12">
        <v>45562</v>
      </c>
      <c r="E996" s="14" t="str">
        <f>+HYPERLINK("http://trademark.i-assist.jp/data/china/image_1905th/79634972.pdf","79634972")</f>
        <v>79634972</v>
      </c>
      <c r="F996" s="13" t="s">
        <v>1838</v>
      </c>
      <c r="G996" s="13" t="s">
        <v>1837</v>
      </c>
      <c r="H996" s="13" t="s">
        <v>4923</v>
      </c>
      <c r="I996" s="12">
        <v>45478</v>
      </c>
    </row>
    <row r="997" spans="1:9" x14ac:dyDescent="0.15">
      <c r="A997" s="10">
        <v>996</v>
      </c>
      <c r="B997" s="9" t="s">
        <v>9</v>
      </c>
      <c r="C997" s="11" t="s">
        <v>10</v>
      </c>
      <c r="D997" s="12">
        <v>45562</v>
      </c>
      <c r="E997" s="14" t="str">
        <f>+HYPERLINK("http://trademark.i-assist.jp/data/china/image_1905th/74617610.pdf","74617610")</f>
        <v>74617610</v>
      </c>
      <c r="F997" s="13" t="s">
        <v>1840</v>
      </c>
      <c r="G997" s="13" t="s">
        <v>1839</v>
      </c>
      <c r="H997" s="13" t="s">
        <v>4247</v>
      </c>
      <c r="I997" s="12">
        <v>45216</v>
      </c>
    </row>
    <row r="998" spans="1:9" x14ac:dyDescent="0.15">
      <c r="A998" s="10">
        <v>997</v>
      </c>
      <c r="B998" s="9" t="s">
        <v>9</v>
      </c>
      <c r="C998" s="11" t="s">
        <v>10</v>
      </c>
      <c r="D998" s="12">
        <v>45562</v>
      </c>
      <c r="E998" s="14" t="str">
        <f>+HYPERLINK("http://trademark.i-assist.jp/data/china/image_1905th/75218377.pdf","75218377")</f>
        <v>75218377</v>
      </c>
      <c r="F998" s="13" t="s">
        <v>1842</v>
      </c>
      <c r="G998" s="13" t="s">
        <v>1841</v>
      </c>
      <c r="H998" s="13" t="s">
        <v>4924</v>
      </c>
      <c r="I998" s="12">
        <v>45246</v>
      </c>
    </row>
    <row r="999" spans="1:9" x14ac:dyDescent="0.15">
      <c r="A999" s="10">
        <v>998</v>
      </c>
      <c r="B999" s="9" t="s">
        <v>9</v>
      </c>
      <c r="C999" s="11" t="s">
        <v>10</v>
      </c>
      <c r="D999" s="12">
        <v>45562</v>
      </c>
      <c r="E999" s="14" t="str">
        <f>+HYPERLINK("http://trademark.i-assist.jp/data/china/image_1905th/75760254.pdf","75760254")</f>
        <v>75760254</v>
      </c>
      <c r="F999" s="13" t="s">
        <v>1844</v>
      </c>
      <c r="G999" s="13" t="s">
        <v>1843</v>
      </c>
      <c r="H999" s="13" t="s">
        <v>4693</v>
      </c>
      <c r="I999" s="12">
        <v>45273</v>
      </c>
    </row>
    <row r="1000" spans="1:9" x14ac:dyDescent="0.15">
      <c r="A1000" s="10">
        <v>999</v>
      </c>
      <c r="B1000" s="9" t="s">
        <v>9</v>
      </c>
      <c r="C1000" s="11" t="s">
        <v>10</v>
      </c>
      <c r="D1000" s="12">
        <v>45562</v>
      </c>
      <c r="E1000" s="14" t="str">
        <f>+HYPERLINK("http://trademark.i-assist.jp/data/china/image_1905th/79667261.pdf","79667261")</f>
        <v>79667261</v>
      </c>
      <c r="F1000" s="13" t="s">
        <v>1845</v>
      </c>
      <c r="G1000" s="13" t="s">
        <v>1845</v>
      </c>
      <c r="H1000" s="13" t="s">
        <v>4925</v>
      </c>
      <c r="I1000" s="12">
        <v>45481</v>
      </c>
    </row>
    <row r="1001" spans="1:9" x14ac:dyDescent="0.15">
      <c r="A1001" s="10">
        <v>1000</v>
      </c>
      <c r="B1001" s="9" t="s">
        <v>9</v>
      </c>
      <c r="C1001" s="11" t="s">
        <v>10</v>
      </c>
      <c r="D1001" s="12">
        <v>45562</v>
      </c>
      <c r="E1001" s="14" t="str">
        <f>+HYPERLINK("http://trademark.i-assist.jp/data/china/image_1905th/79669693.pdf","79669693")</f>
        <v>79669693</v>
      </c>
      <c r="F1001" s="13" t="s">
        <v>1847</v>
      </c>
      <c r="G1001" s="13" t="s">
        <v>1846</v>
      </c>
      <c r="H1001" s="13" t="s">
        <v>4926</v>
      </c>
      <c r="I1001" s="12">
        <v>45481</v>
      </c>
    </row>
    <row r="1002" spans="1:9" x14ac:dyDescent="0.15">
      <c r="A1002" s="10">
        <v>1001</v>
      </c>
      <c r="B1002" s="9" t="s">
        <v>9</v>
      </c>
      <c r="C1002" s="11" t="s">
        <v>10</v>
      </c>
      <c r="D1002" s="12">
        <v>45562</v>
      </c>
      <c r="E1002" s="14" t="str">
        <f>+HYPERLINK("http://trademark.i-assist.jp/data/china/image_1905th/79670999.pdf","79670999")</f>
        <v>79670999</v>
      </c>
      <c r="F1002" s="13" t="s">
        <v>73</v>
      </c>
      <c r="G1002" s="13" t="s">
        <v>1848</v>
      </c>
      <c r="H1002" s="13" t="s">
        <v>4927</v>
      </c>
      <c r="I1002" s="12">
        <v>45481</v>
      </c>
    </row>
    <row r="1003" spans="1:9" x14ac:dyDescent="0.15">
      <c r="A1003" s="10">
        <v>1002</v>
      </c>
      <c r="B1003" s="9" t="s">
        <v>9</v>
      </c>
      <c r="C1003" s="11" t="s">
        <v>10</v>
      </c>
      <c r="D1003" s="12">
        <v>45562</v>
      </c>
      <c r="E1003" s="14" t="str">
        <f>+HYPERLINK("http://trademark.i-assist.jp/data/china/image_1905th/79671124.pdf","79671124")</f>
        <v>79671124</v>
      </c>
      <c r="F1003" s="13" t="s">
        <v>1850</v>
      </c>
      <c r="G1003" s="13" t="s">
        <v>1849</v>
      </c>
      <c r="H1003" s="13" t="s">
        <v>4928</v>
      </c>
      <c r="I1003" s="12">
        <v>45481</v>
      </c>
    </row>
    <row r="1004" spans="1:9" x14ac:dyDescent="0.15">
      <c r="A1004" s="10">
        <v>1003</v>
      </c>
      <c r="B1004" s="9" t="s">
        <v>9</v>
      </c>
      <c r="C1004" s="11" t="s">
        <v>10</v>
      </c>
      <c r="D1004" s="12">
        <v>45562</v>
      </c>
      <c r="E1004" s="14" t="str">
        <f>+HYPERLINK("http://trademark.i-assist.jp/data/china/image_1905th/79673426.pdf","79673426")</f>
        <v>79673426</v>
      </c>
      <c r="F1004" s="13" t="s">
        <v>1852</v>
      </c>
      <c r="G1004" s="13" t="s">
        <v>1851</v>
      </c>
      <c r="H1004" s="13" t="s">
        <v>4929</v>
      </c>
      <c r="I1004" s="12">
        <v>45481</v>
      </c>
    </row>
    <row r="1005" spans="1:9" x14ac:dyDescent="0.15">
      <c r="A1005" s="10">
        <v>1004</v>
      </c>
      <c r="B1005" s="9" t="s">
        <v>9</v>
      </c>
      <c r="C1005" s="11" t="s">
        <v>10</v>
      </c>
      <c r="D1005" s="12">
        <v>45562</v>
      </c>
      <c r="E1005" s="14" t="str">
        <f>+HYPERLINK("http://trademark.i-assist.jp/data/china/image_1905th/79682854.pdf","79682854")</f>
        <v>79682854</v>
      </c>
      <c r="F1005" s="13" t="s">
        <v>1853</v>
      </c>
      <c r="G1005" s="13" t="s">
        <v>1176</v>
      </c>
      <c r="H1005" s="13" t="s">
        <v>4651</v>
      </c>
      <c r="I1005" s="12">
        <v>45482</v>
      </c>
    </row>
    <row r="1006" spans="1:9" x14ac:dyDescent="0.15">
      <c r="A1006" s="10">
        <v>1005</v>
      </c>
      <c r="B1006" s="9" t="s">
        <v>9</v>
      </c>
      <c r="C1006" s="11" t="s">
        <v>10</v>
      </c>
      <c r="D1006" s="12">
        <v>45562</v>
      </c>
      <c r="E1006" s="14" t="str">
        <f>+HYPERLINK("http://trademark.i-assist.jp/data/china/image_1905th/79682962.pdf","79682962")</f>
        <v>79682962</v>
      </c>
      <c r="F1006" s="13" t="s">
        <v>1855</v>
      </c>
      <c r="G1006" s="13" t="s">
        <v>1854</v>
      </c>
      <c r="H1006" s="13" t="s">
        <v>4930</v>
      </c>
      <c r="I1006" s="12">
        <v>45482</v>
      </c>
    </row>
    <row r="1007" spans="1:9" x14ac:dyDescent="0.15">
      <c r="A1007" s="10">
        <v>1006</v>
      </c>
      <c r="B1007" s="9" t="s">
        <v>9</v>
      </c>
      <c r="C1007" s="11" t="s">
        <v>10</v>
      </c>
      <c r="D1007" s="12">
        <v>45562</v>
      </c>
      <c r="E1007" s="14" t="str">
        <f>+HYPERLINK("http://trademark.i-assist.jp/data/china/image_1905th/79686631.pdf","79686631")</f>
        <v>79686631</v>
      </c>
      <c r="F1007" s="13" t="s">
        <v>73</v>
      </c>
      <c r="G1007" s="13" t="s">
        <v>1856</v>
      </c>
      <c r="H1007" s="13" t="s">
        <v>4931</v>
      </c>
      <c r="I1007" s="12">
        <v>45482</v>
      </c>
    </row>
    <row r="1008" spans="1:9" x14ac:dyDescent="0.15">
      <c r="A1008" s="10">
        <v>1007</v>
      </c>
      <c r="B1008" s="9" t="s">
        <v>9</v>
      </c>
      <c r="C1008" s="11" t="s">
        <v>10</v>
      </c>
      <c r="D1008" s="12">
        <v>45562</v>
      </c>
      <c r="E1008" s="14" t="str">
        <f>+HYPERLINK("http://trademark.i-assist.jp/data/china/image_1905th/79517969.pdf","79517969")</f>
        <v>79517969</v>
      </c>
      <c r="F1008" s="13" t="s">
        <v>1858</v>
      </c>
      <c r="G1008" s="13" t="s">
        <v>1857</v>
      </c>
      <c r="H1008" s="13" t="s">
        <v>4456</v>
      </c>
      <c r="I1008" s="12">
        <v>45472</v>
      </c>
    </row>
    <row r="1009" spans="1:9" x14ac:dyDescent="0.15">
      <c r="A1009" s="10">
        <v>1008</v>
      </c>
      <c r="B1009" s="9" t="s">
        <v>9</v>
      </c>
      <c r="C1009" s="11" t="s">
        <v>10</v>
      </c>
      <c r="D1009" s="12">
        <v>45562</v>
      </c>
      <c r="E1009" s="14" t="str">
        <f>+HYPERLINK("http://trademark.i-assist.jp/data/china/image_1905th/79523045.pdf","79523045")</f>
        <v>79523045</v>
      </c>
      <c r="F1009" s="13" t="s">
        <v>1860</v>
      </c>
      <c r="G1009" s="13" t="s">
        <v>1859</v>
      </c>
      <c r="H1009" s="13" t="s">
        <v>4932</v>
      </c>
      <c r="I1009" s="12">
        <v>45473</v>
      </c>
    </row>
    <row r="1010" spans="1:9" x14ac:dyDescent="0.15">
      <c r="A1010" s="10">
        <v>1009</v>
      </c>
      <c r="B1010" s="9" t="s">
        <v>9</v>
      </c>
      <c r="C1010" s="11" t="s">
        <v>10</v>
      </c>
      <c r="D1010" s="12">
        <v>45562</v>
      </c>
      <c r="E1010" s="14" t="str">
        <f>+HYPERLINK("http://trademark.i-assist.jp/data/china/image_1905th/79531841.pdf","79531841")</f>
        <v>79531841</v>
      </c>
      <c r="F1010" s="13" t="s">
        <v>1862</v>
      </c>
      <c r="G1010" s="13" t="s">
        <v>1861</v>
      </c>
      <c r="H1010" s="13" t="s">
        <v>4933</v>
      </c>
      <c r="I1010" s="12">
        <v>45474</v>
      </c>
    </row>
    <row r="1011" spans="1:9" x14ac:dyDescent="0.15">
      <c r="A1011" s="10">
        <v>1010</v>
      </c>
      <c r="B1011" s="9" t="s">
        <v>9</v>
      </c>
      <c r="C1011" s="11" t="s">
        <v>10</v>
      </c>
      <c r="D1011" s="12">
        <v>45562</v>
      </c>
      <c r="E1011" s="14" t="str">
        <f>+HYPERLINK("http://trademark.i-assist.jp/data/china/image_1905th/79532239.pdf","79532239")</f>
        <v>79532239</v>
      </c>
      <c r="F1011" s="13" t="s">
        <v>1863</v>
      </c>
      <c r="G1011" s="13" t="s">
        <v>436</v>
      </c>
      <c r="H1011" s="13" t="s">
        <v>4344</v>
      </c>
      <c r="I1011" s="12">
        <v>45474</v>
      </c>
    </row>
    <row r="1012" spans="1:9" x14ac:dyDescent="0.15">
      <c r="A1012" s="10">
        <v>1011</v>
      </c>
      <c r="B1012" s="9" t="s">
        <v>9</v>
      </c>
      <c r="C1012" s="11" t="s">
        <v>10</v>
      </c>
      <c r="D1012" s="12">
        <v>45562</v>
      </c>
      <c r="E1012" s="14" t="str">
        <f>+HYPERLINK("http://trademark.i-assist.jp/data/china/image_1905th/79532660.pdf","79532660")</f>
        <v>79532660</v>
      </c>
      <c r="F1012" s="13" t="s">
        <v>1864</v>
      </c>
      <c r="G1012" s="13" t="s">
        <v>436</v>
      </c>
      <c r="H1012" s="13" t="s">
        <v>4344</v>
      </c>
      <c r="I1012" s="12">
        <v>45474</v>
      </c>
    </row>
    <row r="1013" spans="1:9" x14ac:dyDescent="0.15">
      <c r="A1013" s="10">
        <v>1012</v>
      </c>
      <c r="B1013" s="9" t="s">
        <v>9</v>
      </c>
      <c r="C1013" s="11" t="s">
        <v>10</v>
      </c>
      <c r="D1013" s="12">
        <v>45562</v>
      </c>
      <c r="E1013" s="14" t="str">
        <f>+HYPERLINK("http://trademark.i-assist.jp/data/china/image_1905th/79532859.pdf","79532859")</f>
        <v>79532859</v>
      </c>
      <c r="F1013" s="13" t="s">
        <v>1865</v>
      </c>
      <c r="G1013" s="13" t="s">
        <v>110</v>
      </c>
      <c r="H1013" s="13" t="s">
        <v>112</v>
      </c>
      <c r="I1013" s="12">
        <v>45474</v>
      </c>
    </row>
    <row r="1014" spans="1:9" x14ac:dyDescent="0.15">
      <c r="A1014" s="10">
        <v>1013</v>
      </c>
      <c r="B1014" s="9" t="s">
        <v>9</v>
      </c>
      <c r="C1014" s="11" t="s">
        <v>10</v>
      </c>
      <c r="D1014" s="12">
        <v>45562</v>
      </c>
      <c r="E1014" s="14" t="str">
        <f>+HYPERLINK("http://trademark.i-assist.jp/data/china/image_1905th/79538604.pdf","79538604")</f>
        <v>79538604</v>
      </c>
      <c r="F1014" s="13" t="s">
        <v>1867</v>
      </c>
      <c r="G1014" s="13" t="s">
        <v>1866</v>
      </c>
      <c r="H1014" s="13" t="s">
        <v>4934</v>
      </c>
      <c r="I1014" s="12">
        <v>45474</v>
      </c>
    </row>
    <row r="1015" spans="1:9" x14ac:dyDescent="0.15">
      <c r="A1015" s="10">
        <v>1014</v>
      </c>
      <c r="B1015" s="9" t="s">
        <v>9</v>
      </c>
      <c r="C1015" s="11" t="s">
        <v>10</v>
      </c>
      <c r="D1015" s="12">
        <v>45562</v>
      </c>
      <c r="E1015" s="14" t="str">
        <f>+HYPERLINK("http://trademark.i-assist.jp/data/china/image_1905th/79539343.pdf","79539343")</f>
        <v>79539343</v>
      </c>
      <c r="F1015" s="13" t="s">
        <v>1868</v>
      </c>
      <c r="G1015" s="13" t="s">
        <v>801</v>
      </c>
      <c r="H1015" s="13" t="s">
        <v>4328</v>
      </c>
      <c r="I1015" s="12">
        <v>45474</v>
      </c>
    </row>
    <row r="1016" spans="1:9" x14ac:dyDescent="0.15">
      <c r="A1016" s="10">
        <v>1015</v>
      </c>
      <c r="B1016" s="9" t="s">
        <v>9</v>
      </c>
      <c r="C1016" s="11" t="s">
        <v>10</v>
      </c>
      <c r="D1016" s="12">
        <v>45562</v>
      </c>
      <c r="E1016" s="14" t="str">
        <f>+HYPERLINK("http://trademark.i-assist.jp/data/china/image_1905th/79539630.pdf","79539630")</f>
        <v>79539630</v>
      </c>
      <c r="F1016" s="13" t="s">
        <v>1870</v>
      </c>
      <c r="G1016" s="13" t="s">
        <v>1869</v>
      </c>
      <c r="H1016" s="13" t="s">
        <v>4935</v>
      </c>
      <c r="I1016" s="12">
        <v>45474</v>
      </c>
    </row>
    <row r="1017" spans="1:9" x14ac:dyDescent="0.15">
      <c r="A1017" s="10">
        <v>1016</v>
      </c>
      <c r="B1017" s="9" t="s">
        <v>9</v>
      </c>
      <c r="C1017" s="11" t="s">
        <v>10</v>
      </c>
      <c r="D1017" s="12">
        <v>45562</v>
      </c>
      <c r="E1017" s="14" t="str">
        <f>+HYPERLINK("http://trademark.i-assist.jp/data/china/image_1905th/79541258.pdf","79541258")</f>
        <v>79541258</v>
      </c>
      <c r="F1017" s="13" t="s">
        <v>1872</v>
      </c>
      <c r="G1017" s="13" t="s">
        <v>1871</v>
      </c>
      <c r="H1017" s="13" t="s">
        <v>4936</v>
      </c>
      <c r="I1017" s="12">
        <v>45474</v>
      </c>
    </row>
    <row r="1018" spans="1:9" x14ac:dyDescent="0.15">
      <c r="A1018" s="10">
        <v>1017</v>
      </c>
      <c r="B1018" s="9" t="s">
        <v>9</v>
      </c>
      <c r="C1018" s="11" t="s">
        <v>10</v>
      </c>
      <c r="D1018" s="12">
        <v>45562</v>
      </c>
      <c r="E1018" s="14" t="str">
        <f>+HYPERLINK("http://trademark.i-assist.jp/data/china/image_1905th/79549081.pdf","79549081")</f>
        <v>79549081</v>
      </c>
      <c r="F1018" s="13" t="s">
        <v>1873</v>
      </c>
      <c r="G1018" s="13" t="s">
        <v>1869</v>
      </c>
      <c r="H1018" s="13" t="s">
        <v>4935</v>
      </c>
      <c r="I1018" s="12">
        <v>45474</v>
      </c>
    </row>
    <row r="1019" spans="1:9" x14ac:dyDescent="0.15">
      <c r="A1019" s="10">
        <v>1018</v>
      </c>
      <c r="B1019" s="9" t="s">
        <v>9</v>
      </c>
      <c r="C1019" s="11" t="s">
        <v>10</v>
      </c>
      <c r="D1019" s="12">
        <v>45562</v>
      </c>
      <c r="E1019" s="14" t="str">
        <f>+HYPERLINK("http://trademark.i-assist.jp/data/china/image_1905th/79308082.pdf","79308082")</f>
        <v>79308082</v>
      </c>
      <c r="F1019" s="13" t="s">
        <v>1875</v>
      </c>
      <c r="G1019" s="13" t="s">
        <v>1874</v>
      </c>
      <c r="H1019" s="13" t="s">
        <v>4937</v>
      </c>
      <c r="I1019" s="12">
        <v>45462</v>
      </c>
    </row>
    <row r="1020" spans="1:9" x14ac:dyDescent="0.15">
      <c r="A1020" s="10">
        <v>1019</v>
      </c>
      <c r="B1020" s="9" t="s">
        <v>9</v>
      </c>
      <c r="C1020" s="11" t="s">
        <v>10</v>
      </c>
      <c r="D1020" s="12">
        <v>45562</v>
      </c>
      <c r="E1020" s="14" t="str">
        <f>+HYPERLINK("http://trademark.i-assist.jp/data/china/image_1905th/79321570.pdf","79321570")</f>
        <v>79321570</v>
      </c>
      <c r="F1020" s="13" t="s">
        <v>1877</v>
      </c>
      <c r="G1020" s="13" t="s">
        <v>1876</v>
      </c>
      <c r="H1020" s="13" t="s">
        <v>4227</v>
      </c>
      <c r="I1020" s="12">
        <v>45462</v>
      </c>
    </row>
    <row r="1021" spans="1:9" x14ac:dyDescent="0.15">
      <c r="A1021" s="10">
        <v>1020</v>
      </c>
      <c r="B1021" s="9" t="s">
        <v>9</v>
      </c>
      <c r="C1021" s="11" t="s">
        <v>10</v>
      </c>
      <c r="D1021" s="12">
        <v>45562</v>
      </c>
      <c r="E1021" s="14" t="str">
        <f>+HYPERLINK("http://trademark.i-assist.jp/data/china/image_1905th/79322687.pdf","79322687")</f>
        <v>79322687</v>
      </c>
      <c r="F1021" s="13" t="s">
        <v>1879</v>
      </c>
      <c r="G1021" s="13" t="s">
        <v>1878</v>
      </c>
      <c r="H1021" s="13" t="s">
        <v>4938</v>
      </c>
      <c r="I1021" s="12">
        <v>45462</v>
      </c>
    </row>
    <row r="1022" spans="1:9" x14ac:dyDescent="0.15">
      <c r="A1022" s="10">
        <v>1021</v>
      </c>
      <c r="B1022" s="9" t="s">
        <v>9</v>
      </c>
      <c r="C1022" s="11" t="s">
        <v>10</v>
      </c>
      <c r="D1022" s="12">
        <v>45562</v>
      </c>
      <c r="E1022" s="14" t="str">
        <f>+HYPERLINK("http://trademark.i-assist.jp/data/china/image_1905th/79353522.pdf","79353522")</f>
        <v>79353522</v>
      </c>
      <c r="F1022" s="13" t="s">
        <v>1881</v>
      </c>
      <c r="G1022" s="13" t="s">
        <v>1880</v>
      </c>
      <c r="H1022" s="13" t="s">
        <v>4939</v>
      </c>
      <c r="I1022" s="12">
        <v>45464</v>
      </c>
    </row>
    <row r="1023" spans="1:9" x14ac:dyDescent="0.15">
      <c r="A1023" s="10">
        <v>1022</v>
      </c>
      <c r="B1023" s="9" t="s">
        <v>9</v>
      </c>
      <c r="C1023" s="11" t="s">
        <v>10</v>
      </c>
      <c r="D1023" s="12">
        <v>45562</v>
      </c>
      <c r="E1023" s="14" t="str">
        <f>+HYPERLINK("http://trademark.i-assist.jp/data/china/image_1905th/79358246.pdf","79358246")</f>
        <v>79358246</v>
      </c>
      <c r="F1023" s="13" t="s">
        <v>1883</v>
      </c>
      <c r="G1023" s="13" t="s">
        <v>1882</v>
      </c>
      <c r="H1023" s="13" t="s">
        <v>4940</v>
      </c>
      <c r="I1023" s="12">
        <v>45464</v>
      </c>
    </row>
    <row r="1024" spans="1:9" x14ac:dyDescent="0.15">
      <c r="A1024" s="10">
        <v>1023</v>
      </c>
      <c r="B1024" s="9" t="s">
        <v>9</v>
      </c>
      <c r="C1024" s="11" t="s">
        <v>10</v>
      </c>
      <c r="D1024" s="12">
        <v>45562</v>
      </c>
      <c r="E1024" s="14" t="str">
        <f>+HYPERLINK("http://trademark.i-assist.jp/data/china/image_1905th/79359291.pdf","79359291")</f>
        <v>79359291</v>
      </c>
      <c r="F1024" s="13" t="s">
        <v>1885</v>
      </c>
      <c r="G1024" s="13" t="s">
        <v>1884</v>
      </c>
      <c r="H1024" s="13" t="s">
        <v>4941</v>
      </c>
      <c r="I1024" s="12">
        <v>45464</v>
      </c>
    </row>
    <row r="1025" spans="1:9" x14ac:dyDescent="0.15">
      <c r="A1025" s="10">
        <v>1024</v>
      </c>
      <c r="B1025" s="9" t="s">
        <v>9</v>
      </c>
      <c r="C1025" s="11" t="s">
        <v>10</v>
      </c>
      <c r="D1025" s="12">
        <v>45562</v>
      </c>
      <c r="E1025" s="14" t="str">
        <f>+HYPERLINK("http://trademark.i-assist.jp/data/china/image_1905th/79361262.pdf","79361262")</f>
        <v>79361262</v>
      </c>
      <c r="F1025" s="13" t="s">
        <v>1887</v>
      </c>
      <c r="G1025" s="13" t="s">
        <v>1886</v>
      </c>
      <c r="H1025" s="13" t="s">
        <v>4942</v>
      </c>
      <c r="I1025" s="12">
        <v>45464</v>
      </c>
    </row>
    <row r="1026" spans="1:9" x14ac:dyDescent="0.15">
      <c r="A1026" s="10">
        <v>1025</v>
      </c>
      <c r="B1026" s="9" t="s">
        <v>9</v>
      </c>
      <c r="C1026" s="11" t="s">
        <v>10</v>
      </c>
      <c r="D1026" s="12">
        <v>45562</v>
      </c>
      <c r="E1026" s="14" t="str">
        <f>+HYPERLINK("http://trademark.i-assist.jp/data/china/image_1905th/79377646.pdf","79377646")</f>
        <v>79377646</v>
      </c>
      <c r="F1026" s="13" t="s">
        <v>1889</v>
      </c>
      <c r="G1026" s="13" t="s">
        <v>1888</v>
      </c>
      <c r="H1026" s="13" t="s">
        <v>4943</v>
      </c>
      <c r="I1026" s="12">
        <v>45465</v>
      </c>
    </row>
    <row r="1027" spans="1:9" x14ac:dyDescent="0.15">
      <c r="A1027" s="10">
        <v>1026</v>
      </c>
      <c r="B1027" s="9" t="s">
        <v>9</v>
      </c>
      <c r="C1027" s="11" t="s">
        <v>10</v>
      </c>
      <c r="D1027" s="12">
        <v>45562</v>
      </c>
      <c r="E1027" s="14" t="str">
        <f>+HYPERLINK("http://trademark.i-assist.jp/data/china/image_1905th/78614749.pdf","78614749")</f>
        <v>78614749</v>
      </c>
      <c r="F1027" s="13" t="s">
        <v>1891</v>
      </c>
      <c r="G1027" s="13" t="s">
        <v>1890</v>
      </c>
      <c r="H1027" s="13" t="s">
        <v>4944</v>
      </c>
      <c r="I1027" s="12">
        <v>45427</v>
      </c>
    </row>
    <row r="1028" spans="1:9" x14ac:dyDescent="0.15">
      <c r="A1028" s="10">
        <v>1027</v>
      </c>
      <c r="B1028" s="9" t="s">
        <v>9</v>
      </c>
      <c r="C1028" s="11" t="s">
        <v>10</v>
      </c>
      <c r="D1028" s="12">
        <v>45562</v>
      </c>
      <c r="E1028" s="14" t="str">
        <f>+HYPERLINK("http://trademark.i-assist.jp/data/china/image_1905th/79470209.pdf","79470209")</f>
        <v>79470209</v>
      </c>
      <c r="F1028" s="13" t="s">
        <v>1893</v>
      </c>
      <c r="G1028" s="13" t="s">
        <v>1892</v>
      </c>
      <c r="H1028" s="13" t="s">
        <v>4945</v>
      </c>
      <c r="I1028" s="12">
        <v>45470</v>
      </c>
    </row>
    <row r="1029" spans="1:9" x14ac:dyDescent="0.15">
      <c r="A1029" s="10">
        <v>1028</v>
      </c>
      <c r="B1029" s="9" t="s">
        <v>9</v>
      </c>
      <c r="C1029" s="11" t="s">
        <v>10</v>
      </c>
      <c r="D1029" s="12">
        <v>45562</v>
      </c>
      <c r="E1029" s="14" t="str">
        <f>+HYPERLINK("http://trademark.i-assist.jp/data/china/image_1905th/79472397.pdf","79472397")</f>
        <v>79472397</v>
      </c>
      <c r="F1029" s="13" t="s">
        <v>1895</v>
      </c>
      <c r="G1029" s="13" t="s">
        <v>1894</v>
      </c>
      <c r="H1029" s="13" t="s">
        <v>4946</v>
      </c>
      <c r="I1029" s="12">
        <v>45470</v>
      </c>
    </row>
    <row r="1030" spans="1:9" x14ac:dyDescent="0.15">
      <c r="A1030" s="10">
        <v>1029</v>
      </c>
      <c r="B1030" s="9" t="s">
        <v>9</v>
      </c>
      <c r="C1030" s="11" t="s">
        <v>10</v>
      </c>
      <c r="D1030" s="12">
        <v>45562</v>
      </c>
      <c r="E1030" s="14" t="str">
        <f>+HYPERLINK("http://trademark.i-assist.jp/data/china/image_1905th/79475632.pdf","79475632")</f>
        <v>79475632</v>
      </c>
      <c r="F1030" s="13" t="s">
        <v>1897</v>
      </c>
      <c r="G1030" s="13" t="s">
        <v>1896</v>
      </c>
      <c r="H1030" s="13" t="s">
        <v>4947</v>
      </c>
      <c r="I1030" s="12">
        <v>45470</v>
      </c>
    </row>
    <row r="1031" spans="1:9" x14ac:dyDescent="0.15">
      <c r="A1031" s="10">
        <v>1030</v>
      </c>
      <c r="B1031" s="9" t="s">
        <v>9</v>
      </c>
      <c r="C1031" s="11" t="s">
        <v>10</v>
      </c>
      <c r="D1031" s="12">
        <v>45562</v>
      </c>
      <c r="E1031" s="14" t="str">
        <f>+HYPERLINK("http://trademark.i-assist.jp/data/china/image_1905th/79478936.pdf","79478936")</f>
        <v>79478936</v>
      </c>
      <c r="F1031" s="13" t="s">
        <v>1898</v>
      </c>
      <c r="G1031" s="13" t="s">
        <v>1150</v>
      </c>
      <c r="H1031" s="13" t="s">
        <v>4642</v>
      </c>
      <c r="I1031" s="12">
        <v>45470</v>
      </c>
    </row>
    <row r="1032" spans="1:9" x14ac:dyDescent="0.15">
      <c r="A1032" s="10">
        <v>1031</v>
      </c>
      <c r="B1032" s="9" t="s">
        <v>9</v>
      </c>
      <c r="C1032" s="11" t="s">
        <v>10</v>
      </c>
      <c r="D1032" s="12">
        <v>45562</v>
      </c>
      <c r="E1032" s="14" t="str">
        <f>+HYPERLINK("http://trademark.i-assist.jp/data/china/image_1905th/79503463.pdf","79503463")</f>
        <v>79503463</v>
      </c>
      <c r="F1032" s="13" t="s">
        <v>1900</v>
      </c>
      <c r="G1032" s="13" t="s">
        <v>1899</v>
      </c>
      <c r="H1032" s="13" t="s">
        <v>4948</v>
      </c>
      <c r="I1032" s="12">
        <v>45471</v>
      </c>
    </row>
    <row r="1033" spans="1:9" x14ac:dyDescent="0.15">
      <c r="A1033" s="10">
        <v>1032</v>
      </c>
      <c r="B1033" s="9" t="s">
        <v>9</v>
      </c>
      <c r="C1033" s="11" t="s">
        <v>10</v>
      </c>
      <c r="D1033" s="12">
        <v>45562</v>
      </c>
      <c r="E1033" s="14" t="str">
        <f>+HYPERLINK("http://trademark.i-assist.jp/data/china/image_1905th/79506190.pdf","79506190")</f>
        <v>79506190</v>
      </c>
      <c r="F1033" s="13" t="s">
        <v>1902</v>
      </c>
      <c r="G1033" s="13" t="s">
        <v>1901</v>
      </c>
      <c r="H1033" s="13" t="s">
        <v>4949</v>
      </c>
      <c r="I1033" s="12">
        <v>45471</v>
      </c>
    </row>
    <row r="1034" spans="1:9" x14ac:dyDescent="0.15">
      <c r="A1034" s="10">
        <v>1033</v>
      </c>
      <c r="B1034" s="9" t="s">
        <v>9</v>
      </c>
      <c r="C1034" s="11" t="s">
        <v>10</v>
      </c>
      <c r="D1034" s="12">
        <v>45562</v>
      </c>
      <c r="E1034" s="14" t="str">
        <f>+HYPERLINK("http://trademark.i-assist.jp/data/china/image_1905th/79594504.pdf","79594504")</f>
        <v>79594504</v>
      </c>
      <c r="F1034" s="13" t="s">
        <v>1904</v>
      </c>
      <c r="G1034" s="13" t="s">
        <v>1903</v>
      </c>
      <c r="H1034" s="13" t="s">
        <v>4950</v>
      </c>
      <c r="I1034" s="12">
        <v>45476</v>
      </c>
    </row>
    <row r="1035" spans="1:9" x14ac:dyDescent="0.15">
      <c r="A1035" s="10">
        <v>1034</v>
      </c>
      <c r="B1035" s="9" t="s">
        <v>9</v>
      </c>
      <c r="C1035" s="11" t="s">
        <v>10</v>
      </c>
      <c r="D1035" s="12">
        <v>45562</v>
      </c>
      <c r="E1035" s="14" t="str">
        <f>+HYPERLINK("http://trademark.i-assist.jp/data/china/image_1905th/79605545.pdf","79605545")</f>
        <v>79605545</v>
      </c>
      <c r="F1035" s="13" t="s">
        <v>1905</v>
      </c>
      <c r="G1035" s="13" t="s">
        <v>1515</v>
      </c>
      <c r="H1035" s="13" t="s">
        <v>4786</v>
      </c>
      <c r="I1035" s="12">
        <v>45477</v>
      </c>
    </row>
    <row r="1036" spans="1:9" x14ac:dyDescent="0.15">
      <c r="A1036" s="10">
        <v>1035</v>
      </c>
      <c r="B1036" s="9" t="s">
        <v>9</v>
      </c>
      <c r="C1036" s="11" t="s">
        <v>10</v>
      </c>
      <c r="D1036" s="12">
        <v>45562</v>
      </c>
      <c r="E1036" s="14" t="str">
        <f>+HYPERLINK("http://trademark.i-assist.jp/data/china/image_1905th/79606034.pdf","79606034")</f>
        <v>79606034</v>
      </c>
      <c r="F1036" s="13" t="s">
        <v>1907</v>
      </c>
      <c r="G1036" s="13" t="s">
        <v>1906</v>
      </c>
      <c r="H1036" s="13" t="s">
        <v>4951</v>
      </c>
      <c r="I1036" s="12">
        <v>45477</v>
      </c>
    </row>
    <row r="1037" spans="1:9" x14ac:dyDescent="0.15">
      <c r="A1037" s="10">
        <v>1036</v>
      </c>
      <c r="B1037" s="9" t="s">
        <v>9</v>
      </c>
      <c r="C1037" s="11" t="s">
        <v>10</v>
      </c>
      <c r="D1037" s="12">
        <v>45562</v>
      </c>
      <c r="E1037" s="14" t="str">
        <f>+HYPERLINK("http://trademark.i-assist.jp/data/china/image_1905th/79643089.pdf","79643089")</f>
        <v>79643089</v>
      </c>
      <c r="F1037" s="13" t="s">
        <v>1908</v>
      </c>
      <c r="G1037" s="13" t="s">
        <v>981</v>
      </c>
      <c r="H1037" s="13" t="s">
        <v>4446</v>
      </c>
      <c r="I1037" s="12">
        <v>45478</v>
      </c>
    </row>
    <row r="1038" spans="1:9" x14ac:dyDescent="0.15">
      <c r="A1038" s="10">
        <v>1037</v>
      </c>
      <c r="B1038" s="9" t="s">
        <v>9</v>
      </c>
      <c r="C1038" s="11" t="s">
        <v>10</v>
      </c>
      <c r="D1038" s="12">
        <v>45562</v>
      </c>
      <c r="E1038" s="14" t="str">
        <f>+HYPERLINK("http://trademark.i-assist.jp/data/china/image_1905th/79644429.pdf","79644429")</f>
        <v>79644429</v>
      </c>
      <c r="F1038" s="13" t="s">
        <v>1909</v>
      </c>
      <c r="G1038" s="13" t="s">
        <v>1833</v>
      </c>
      <c r="H1038" s="13" t="s">
        <v>4952</v>
      </c>
      <c r="I1038" s="12">
        <v>45478</v>
      </c>
    </row>
    <row r="1039" spans="1:9" x14ac:dyDescent="0.15">
      <c r="A1039" s="10">
        <v>1038</v>
      </c>
      <c r="B1039" s="9" t="s">
        <v>9</v>
      </c>
      <c r="C1039" s="11" t="s">
        <v>10</v>
      </c>
      <c r="D1039" s="12">
        <v>45562</v>
      </c>
      <c r="E1039" s="14" t="str">
        <f>+HYPERLINK("http://trademark.i-assist.jp/data/china/image_1905th/79650475.pdf","79650475")</f>
        <v>79650475</v>
      </c>
      <c r="F1039" s="13" t="s">
        <v>1911</v>
      </c>
      <c r="G1039" s="13" t="s">
        <v>1910</v>
      </c>
      <c r="H1039" s="13" t="s">
        <v>4953</v>
      </c>
      <c r="I1039" s="12">
        <v>45479</v>
      </c>
    </row>
    <row r="1040" spans="1:9" x14ac:dyDescent="0.15">
      <c r="A1040" s="10">
        <v>1039</v>
      </c>
      <c r="B1040" s="9" t="s">
        <v>9</v>
      </c>
      <c r="C1040" s="11" t="s">
        <v>10</v>
      </c>
      <c r="D1040" s="12">
        <v>45562</v>
      </c>
      <c r="E1040" s="14" t="str">
        <f>+HYPERLINK("http://trademark.i-assist.jp/data/china/image_1905th/79652206.pdf","79652206")</f>
        <v>79652206</v>
      </c>
      <c r="F1040" s="13" t="s">
        <v>1913</v>
      </c>
      <c r="G1040" s="13" t="s">
        <v>1912</v>
      </c>
      <c r="H1040" s="13" t="s">
        <v>4954</v>
      </c>
      <c r="I1040" s="12">
        <v>45479</v>
      </c>
    </row>
    <row r="1041" spans="1:9" x14ac:dyDescent="0.15">
      <c r="A1041" s="10">
        <v>1040</v>
      </c>
      <c r="B1041" s="9" t="s">
        <v>9</v>
      </c>
      <c r="C1041" s="11" t="s">
        <v>10</v>
      </c>
      <c r="D1041" s="12">
        <v>45562</v>
      </c>
      <c r="E1041" s="14" t="str">
        <f>+HYPERLINK("http://trademark.i-assist.jp/data/china/image_1905th/79656671.pdf","79656671")</f>
        <v>79656671</v>
      </c>
      <c r="F1041" s="13" t="s">
        <v>1914</v>
      </c>
      <c r="G1041" s="13" t="s">
        <v>1673</v>
      </c>
      <c r="H1041" s="13" t="s">
        <v>4855</v>
      </c>
      <c r="I1041" s="12">
        <v>45481</v>
      </c>
    </row>
    <row r="1042" spans="1:9" x14ac:dyDescent="0.15">
      <c r="A1042" s="10">
        <v>1041</v>
      </c>
      <c r="B1042" s="9" t="s">
        <v>9</v>
      </c>
      <c r="C1042" s="11" t="s">
        <v>10</v>
      </c>
      <c r="D1042" s="12">
        <v>45562</v>
      </c>
      <c r="E1042" s="14" t="str">
        <f>+HYPERLINK("http://trademark.i-assist.jp/data/china/image_1905th/79661165.pdf","79661165")</f>
        <v>79661165</v>
      </c>
      <c r="F1042" s="13" t="s">
        <v>1916</v>
      </c>
      <c r="G1042" s="13" t="s">
        <v>1915</v>
      </c>
      <c r="H1042" s="13" t="s">
        <v>4955</v>
      </c>
      <c r="I1042" s="12">
        <v>45481</v>
      </c>
    </row>
    <row r="1043" spans="1:9" x14ac:dyDescent="0.15">
      <c r="A1043" s="10">
        <v>1042</v>
      </c>
      <c r="B1043" s="9" t="s">
        <v>9</v>
      </c>
      <c r="C1043" s="11" t="s">
        <v>10</v>
      </c>
      <c r="D1043" s="12">
        <v>45562</v>
      </c>
      <c r="E1043" s="14" t="str">
        <f>+HYPERLINK("http://trademark.i-assist.jp/data/china/image_1905th/79393868.pdf","79393868")</f>
        <v>79393868</v>
      </c>
      <c r="F1043" s="13" t="s">
        <v>1918</v>
      </c>
      <c r="G1043" s="13" t="s">
        <v>1917</v>
      </c>
      <c r="H1043" s="13" t="s">
        <v>4956</v>
      </c>
      <c r="I1043" s="12">
        <v>45467</v>
      </c>
    </row>
    <row r="1044" spans="1:9" x14ac:dyDescent="0.15">
      <c r="A1044" s="10">
        <v>1043</v>
      </c>
      <c r="B1044" s="9" t="s">
        <v>9</v>
      </c>
      <c r="C1044" s="11" t="s">
        <v>10</v>
      </c>
      <c r="D1044" s="12">
        <v>45562</v>
      </c>
      <c r="E1044" s="14" t="str">
        <f>+HYPERLINK("http://trademark.i-assist.jp/data/china/image_1905th/79410468.pdf","79410468")</f>
        <v>79410468</v>
      </c>
      <c r="F1044" s="13" t="s">
        <v>1919</v>
      </c>
      <c r="G1044" s="13" t="s">
        <v>486</v>
      </c>
      <c r="H1044" s="13" t="s">
        <v>4957</v>
      </c>
      <c r="I1044" s="12">
        <v>45467</v>
      </c>
    </row>
    <row r="1045" spans="1:9" x14ac:dyDescent="0.15">
      <c r="A1045" s="10">
        <v>1044</v>
      </c>
      <c r="B1045" s="9" t="s">
        <v>9</v>
      </c>
      <c r="C1045" s="11" t="s">
        <v>10</v>
      </c>
      <c r="D1045" s="12">
        <v>45562</v>
      </c>
      <c r="E1045" s="14" t="str">
        <f>+HYPERLINK("http://trademark.i-assist.jp/data/china/image_1905th/79431939.pdf","79431939")</f>
        <v>79431939</v>
      </c>
      <c r="F1045" s="13" t="s">
        <v>1921</v>
      </c>
      <c r="G1045" s="13" t="s">
        <v>1920</v>
      </c>
      <c r="H1045" s="13" t="s">
        <v>4958</v>
      </c>
      <c r="I1045" s="12">
        <v>45468</v>
      </c>
    </row>
    <row r="1046" spans="1:9" x14ac:dyDescent="0.15">
      <c r="A1046" s="10">
        <v>1045</v>
      </c>
      <c r="B1046" s="9" t="s">
        <v>9</v>
      </c>
      <c r="C1046" s="11" t="s">
        <v>10</v>
      </c>
      <c r="D1046" s="12">
        <v>45562</v>
      </c>
      <c r="E1046" s="14" t="str">
        <f>+HYPERLINK("http://trademark.i-assist.jp/data/china/image_1905th/79432704.pdf","79432704")</f>
        <v>79432704</v>
      </c>
      <c r="F1046" s="13" t="s">
        <v>1923</v>
      </c>
      <c r="G1046" s="13" t="s">
        <v>1922</v>
      </c>
      <c r="H1046" s="13" t="s">
        <v>4959</v>
      </c>
      <c r="I1046" s="12">
        <v>45468</v>
      </c>
    </row>
    <row r="1047" spans="1:9" x14ac:dyDescent="0.15">
      <c r="A1047" s="10">
        <v>1046</v>
      </c>
      <c r="B1047" s="9" t="s">
        <v>9</v>
      </c>
      <c r="C1047" s="11" t="s">
        <v>10</v>
      </c>
      <c r="D1047" s="12">
        <v>45562</v>
      </c>
      <c r="E1047" s="14" t="str">
        <f>+HYPERLINK("http://trademark.i-assist.jp/data/china/image_1905th/79439289.pdf","79439289")</f>
        <v>79439289</v>
      </c>
      <c r="F1047" s="13" t="s">
        <v>1925</v>
      </c>
      <c r="G1047" s="13" t="s">
        <v>1924</v>
      </c>
      <c r="H1047" s="13" t="s">
        <v>4960</v>
      </c>
      <c r="I1047" s="12">
        <v>45469</v>
      </c>
    </row>
    <row r="1048" spans="1:9" x14ac:dyDescent="0.15">
      <c r="A1048" s="10">
        <v>1047</v>
      </c>
      <c r="B1048" s="9" t="s">
        <v>9</v>
      </c>
      <c r="C1048" s="11" t="s">
        <v>10</v>
      </c>
      <c r="D1048" s="12">
        <v>45562</v>
      </c>
      <c r="E1048" s="14" t="str">
        <f>+HYPERLINK("http://trademark.i-assist.jp/data/china/image_1905th/79443159.pdf","79443159")</f>
        <v>79443159</v>
      </c>
      <c r="F1048" s="13" t="s">
        <v>73</v>
      </c>
      <c r="G1048" s="13" t="s">
        <v>360</v>
      </c>
      <c r="H1048" s="13" t="s">
        <v>4310</v>
      </c>
      <c r="I1048" s="12">
        <v>45469</v>
      </c>
    </row>
    <row r="1049" spans="1:9" x14ac:dyDescent="0.15">
      <c r="A1049" s="10">
        <v>1048</v>
      </c>
      <c r="B1049" s="9" t="s">
        <v>9</v>
      </c>
      <c r="C1049" s="11" t="s">
        <v>10</v>
      </c>
      <c r="D1049" s="12">
        <v>45562</v>
      </c>
      <c r="E1049" s="14" t="str">
        <f>+HYPERLINK("http://trademark.i-assist.jp/data/china/image_1905th/79451992.pdf","79451992")</f>
        <v>79451992</v>
      </c>
      <c r="F1049" s="13" t="s">
        <v>1927</v>
      </c>
      <c r="G1049" s="13" t="s">
        <v>1926</v>
      </c>
      <c r="H1049" s="13" t="s">
        <v>4961</v>
      </c>
      <c r="I1049" s="12">
        <v>45469</v>
      </c>
    </row>
    <row r="1050" spans="1:9" x14ac:dyDescent="0.15">
      <c r="A1050" s="10">
        <v>1049</v>
      </c>
      <c r="B1050" s="9" t="s">
        <v>9</v>
      </c>
      <c r="C1050" s="11" t="s">
        <v>10</v>
      </c>
      <c r="D1050" s="12">
        <v>45562</v>
      </c>
      <c r="E1050" s="14" t="str">
        <f>+HYPERLINK("http://trademark.i-assist.jp/data/china/image_1905th/79461048.pdf","79461048")</f>
        <v>79461048</v>
      </c>
      <c r="F1050" s="13" t="s">
        <v>1929</v>
      </c>
      <c r="G1050" s="13" t="s">
        <v>1928</v>
      </c>
      <c r="H1050" s="13" t="s">
        <v>4962</v>
      </c>
      <c r="I1050" s="12">
        <v>45469</v>
      </c>
    </row>
    <row r="1051" spans="1:9" x14ac:dyDescent="0.15">
      <c r="A1051" s="10">
        <v>1050</v>
      </c>
      <c r="B1051" s="9" t="s">
        <v>9</v>
      </c>
      <c r="C1051" s="11" t="s">
        <v>10</v>
      </c>
      <c r="D1051" s="12">
        <v>45562</v>
      </c>
      <c r="E1051" s="14" t="str">
        <f>+HYPERLINK("http://trademark.i-assist.jp/data/china/image_1905th/79464978.pdf","79464978")</f>
        <v>79464978</v>
      </c>
      <c r="F1051" s="13" t="s">
        <v>1931</v>
      </c>
      <c r="G1051" s="13" t="s">
        <v>1930</v>
      </c>
      <c r="H1051" s="13" t="s">
        <v>4963</v>
      </c>
      <c r="I1051" s="12">
        <v>45470</v>
      </c>
    </row>
    <row r="1052" spans="1:9" x14ac:dyDescent="0.15">
      <c r="A1052" s="10">
        <v>1051</v>
      </c>
      <c r="B1052" s="9" t="s">
        <v>9</v>
      </c>
      <c r="C1052" s="11" t="s">
        <v>10</v>
      </c>
      <c r="D1052" s="12">
        <v>45562</v>
      </c>
      <c r="E1052" s="14" t="str">
        <f>+HYPERLINK("http://trademark.i-assist.jp/data/china/image_1905th/79713548.pdf","79713548")</f>
        <v>79713548</v>
      </c>
      <c r="F1052" s="13" t="s">
        <v>1933</v>
      </c>
      <c r="G1052" s="13" t="s">
        <v>1932</v>
      </c>
      <c r="H1052" s="13" t="s">
        <v>4964</v>
      </c>
      <c r="I1052" s="12">
        <v>45483</v>
      </c>
    </row>
    <row r="1053" spans="1:9" x14ac:dyDescent="0.15">
      <c r="A1053" s="10">
        <v>1052</v>
      </c>
      <c r="B1053" s="9" t="s">
        <v>9</v>
      </c>
      <c r="C1053" s="11" t="s">
        <v>10</v>
      </c>
      <c r="D1053" s="12">
        <v>45562</v>
      </c>
      <c r="E1053" s="14" t="str">
        <f>+HYPERLINK("http://trademark.i-assist.jp/data/china/image_1905th/79721814.pdf","79721814")</f>
        <v>79721814</v>
      </c>
      <c r="F1053" s="13" t="s">
        <v>73</v>
      </c>
      <c r="G1053" s="13" t="s">
        <v>1934</v>
      </c>
      <c r="H1053" s="13" t="s">
        <v>4965</v>
      </c>
      <c r="I1053" s="12">
        <v>45483</v>
      </c>
    </row>
    <row r="1054" spans="1:9" x14ac:dyDescent="0.15">
      <c r="A1054" s="10">
        <v>1053</v>
      </c>
      <c r="B1054" s="9" t="s">
        <v>9</v>
      </c>
      <c r="C1054" s="11" t="s">
        <v>10</v>
      </c>
      <c r="D1054" s="12">
        <v>45562</v>
      </c>
      <c r="E1054" s="14" t="str">
        <f>+HYPERLINK("http://trademark.i-assist.jp/data/china/image_1905th/79722056.pdf","79722056")</f>
        <v>79722056</v>
      </c>
      <c r="F1054" s="13" t="s">
        <v>1935</v>
      </c>
      <c r="G1054" s="13" t="s">
        <v>1470</v>
      </c>
      <c r="H1054" s="13" t="s">
        <v>4767</v>
      </c>
      <c r="I1054" s="12">
        <v>45483</v>
      </c>
    </row>
    <row r="1055" spans="1:9" x14ac:dyDescent="0.15">
      <c r="A1055" s="10">
        <v>1054</v>
      </c>
      <c r="B1055" s="9" t="s">
        <v>9</v>
      </c>
      <c r="C1055" s="11" t="s">
        <v>10</v>
      </c>
      <c r="D1055" s="12">
        <v>45562</v>
      </c>
      <c r="E1055" s="14" t="str">
        <f>+HYPERLINK("http://trademark.i-assist.jp/data/china/image_1905th/79723704.pdf","79723704")</f>
        <v>79723704</v>
      </c>
      <c r="F1055" s="13" t="s">
        <v>73</v>
      </c>
      <c r="G1055" s="13" t="s">
        <v>1936</v>
      </c>
      <c r="H1055" s="13" t="s">
        <v>4966</v>
      </c>
      <c r="I1055" s="12">
        <v>45483</v>
      </c>
    </row>
    <row r="1056" spans="1:9" x14ac:dyDescent="0.15">
      <c r="A1056" s="10">
        <v>1055</v>
      </c>
      <c r="B1056" s="9" t="s">
        <v>9</v>
      </c>
      <c r="C1056" s="11" t="s">
        <v>10</v>
      </c>
      <c r="D1056" s="12">
        <v>45562</v>
      </c>
      <c r="E1056" s="14" t="str">
        <f>+HYPERLINK("http://trademark.i-assist.jp/data/china/image_1905th/79726356.pdf","79726356")</f>
        <v>79726356</v>
      </c>
      <c r="F1056" s="13" t="s">
        <v>1938</v>
      </c>
      <c r="G1056" s="13" t="s">
        <v>1937</v>
      </c>
      <c r="H1056" s="13" t="s">
        <v>4967</v>
      </c>
      <c r="I1056" s="12">
        <v>45483</v>
      </c>
    </row>
    <row r="1057" spans="1:9" x14ac:dyDescent="0.15">
      <c r="A1057" s="10">
        <v>1056</v>
      </c>
      <c r="B1057" s="9" t="s">
        <v>9</v>
      </c>
      <c r="C1057" s="11" t="s">
        <v>10</v>
      </c>
      <c r="D1057" s="12">
        <v>45562</v>
      </c>
      <c r="E1057" s="14" t="str">
        <f>+HYPERLINK("http://trademark.i-assist.jp/data/china/image_1905th/79730023.pdf","79730023")</f>
        <v>79730023</v>
      </c>
      <c r="F1057" s="13" t="s">
        <v>1940</v>
      </c>
      <c r="G1057" s="13" t="s">
        <v>1939</v>
      </c>
      <c r="H1057" s="13" t="s">
        <v>4968</v>
      </c>
      <c r="I1057" s="12">
        <v>45484</v>
      </c>
    </row>
    <row r="1058" spans="1:9" x14ac:dyDescent="0.15">
      <c r="A1058" s="10">
        <v>1057</v>
      </c>
      <c r="B1058" s="9" t="s">
        <v>9</v>
      </c>
      <c r="C1058" s="11" t="s">
        <v>10</v>
      </c>
      <c r="D1058" s="12">
        <v>45562</v>
      </c>
      <c r="E1058" s="14" t="str">
        <f>+HYPERLINK("http://trademark.i-assist.jp/data/china/image_1905th/79734432.pdf","79734432")</f>
        <v>79734432</v>
      </c>
      <c r="F1058" s="13" t="s">
        <v>1942</v>
      </c>
      <c r="G1058" s="13" t="s">
        <v>1941</v>
      </c>
      <c r="H1058" s="13" t="s">
        <v>4969</v>
      </c>
      <c r="I1058" s="12">
        <v>45484</v>
      </c>
    </row>
    <row r="1059" spans="1:9" x14ac:dyDescent="0.15">
      <c r="A1059" s="10">
        <v>1058</v>
      </c>
      <c r="B1059" s="9" t="s">
        <v>9</v>
      </c>
      <c r="C1059" s="11" t="s">
        <v>10</v>
      </c>
      <c r="D1059" s="12">
        <v>45562</v>
      </c>
      <c r="E1059" s="14" t="str">
        <f>+HYPERLINK("http://trademark.i-assist.jp/data/china/image_1905th/79734771.pdf","79734771")</f>
        <v>79734771</v>
      </c>
      <c r="F1059" s="13" t="s">
        <v>1944</v>
      </c>
      <c r="G1059" s="13" t="s">
        <v>1943</v>
      </c>
      <c r="H1059" s="13" t="s">
        <v>4970</v>
      </c>
      <c r="I1059" s="12">
        <v>45484</v>
      </c>
    </row>
    <row r="1060" spans="1:9" x14ac:dyDescent="0.15">
      <c r="A1060" s="10">
        <v>1059</v>
      </c>
      <c r="B1060" s="9" t="s">
        <v>9</v>
      </c>
      <c r="C1060" s="11" t="s">
        <v>10</v>
      </c>
      <c r="D1060" s="12">
        <v>45562</v>
      </c>
      <c r="E1060" s="14" t="str">
        <f>+HYPERLINK("http://trademark.i-assist.jp/data/china/image_1905th/79735317.pdf","79735317")</f>
        <v>79735317</v>
      </c>
      <c r="F1060" s="13" t="s">
        <v>1946</v>
      </c>
      <c r="G1060" s="13" t="s">
        <v>1945</v>
      </c>
      <c r="H1060" s="13" t="s">
        <v>4971</v>
      </c>
      <c r="I1060" s="12">
        <v>45484</v>
      </c>
    </row>
    <row r="1061" spans="1:9" x14ac:dyDescent="0.15">
      <c r="A1061" s="10">
        <v>1060</v>
      </c>
      <c r="B1061" s="9" t="s">
        <v>9</v>
      </c>
      <c r="C1061" s="11" t="s">
        <v>10</v>
      </c>
      <c r="D1061" s="12">
        <v>45562</v>
      </c>
      <c r="E1061" s="14" t="str">
        <f>+HYPERLINK("http://trademark.i-assist.jp/data/china/image_1905th/79738101.pdf","79738101")</f>
        <v>79738101</v>
      </c>
      <c r="F1061" s="13" t="s">
        <v>1948</v>
      </c>
      <c r="G1061" s="13" t="s">
        <v>1947</v>
      </c>
      <c r="H1061" s="13" t="s">
        <v>4972</v>
      </c>
      <c r="I1061" s="12">
        <v>45484</v>
      </c>
    </row>
    <row r="1062" spans="1:9" x14ac:dyDescent="0.15">
      <c r="A1062" s="10">
        <v>1061</v>
      </c>
      <c r="B1062" s="9" t="s">
        <v>9</v>
      </c>
      <c r="C1062" s="11" t="s">
        <v>10</v>
      </c>
      <c r="D1062" s="12">
        <v>45562</v>
      </c>
      <c r="E1062" s="14" t="str">
        <f>+HYPERLINK("http://trademark.i-assist.jp/data/china/image_1905th/79738445.pdf","79738445")</f>
        <v>79738445</v>
      </c>
      <c r="F1062" s="13" t="s">
        <v>1950</v>
      </c>
      <c r="G1062" s="13" t="s">
        <v>1949</v>
      </c>
      <c r="H1062" s="13" t="s">
        <v>4379</v>
      </c>
      <c r="I1062" s="12">
        <v>45484</v>
      </c>
    </row>
    <row r="1063" spans="1:9" x14ac:dyDescent="0.15">
      <c r="A1063" s="10">
        <v>1062</v>
      </c>
      <c r="B1063" s="9" t="s">
        <v>9</v>
      </c>
      <c r="C1063" s="11" t="s">
        <v>10</v>
      </c>
      <c r="D1063" s="12">
        <v>45562</v>
      </c>
      <c r="E1063" s="14" t="str">
        <f>+HYPERLINK("http://trademark.i-assist.jp/data/china/image_1905th/79748092.pdf","79748092")</f>
        <v>79748092</v>
      </c>
      <c r="F1063" s="13" t="s">
        <v>1952</v>
      </c>
      <c r="G1063" s="13" t="s">
        <v>1951</v>
      </c>
      <c r="H1063" s="13" t="s">
        <v>4973</v>
      </c>
      <c r="I1063" s="12">
        <v>45484</v>
      </c>
    </row>
    <row r="1064" spans="1:9" x14ac:dyDescent="0.15">
      <c r="A1064" s="10">
        <v>1063</v>
      </c>
      <c r="B1064" s="9" t="s">
        <v>9</v>
      </c>
      <c r="C1064" s="11" t="s">
        <v>10</v>
      </c>
      <c r="D1064" s="12">
        <v>45562</v>
      </c>
      <c r="E1064" s="14" t="str">
        <f>+HYPERLINK("http://trademark.i-assist.jp/data/china/image_1905th/79748117.pdf","79748117")</f>
        <v>79748117</v>
      </c>
      <c r="F1064" s="13" t="s">
        <v>1954</v>
      </c>
      <c r="G1064" s="13" t="s">
        <v>1953</v>
      </c>
      <c r="H1064" s="13" t="s">
        <v>4974</v>
      </c>
      <c r="I1064" s="12">
        <v>45484</v>
      </c>
    </row>
    <row r="1065" spans="1:9" x14ac:dyDescent="0.15">
      <c r="A1065" s="10">
        <v>1064</v>
      </c>
      <c r="B1065" s="9" t="s">
        <v>9</v>
      </c>
      <c r="C1065" s="11" t="s">
        <v>10</v>
      </c>
      <c r="D1065" s="12">
        <v>45562</v>
      </c>
      <c r="E1065" s="14" t="str">
        <f>+HYPERLINK("http://trademark.i-assist.jp/data/china/image_1905th/79753587.pdf","79753587")</f>
        <v>79753587</v>
      </c>
      <c r="F1065" s="13" t="s">
        <v>1955</v>
      </c>
      <c r="G1065" s="13" t="s">
        <v>213</v>
      </c>
      <c r="H1065" s="13" t="s">
        <v>4975</v>
      </c>
      <c r="I1065" s="12">
        <v>45485</v>
      </c>
    </row>
    <row r="1066" spans="1:9" x14ac:dyDescent="0.15">
      <c r="A1066" s="10">
        <v>1065</v>
      </c>
      <c r="B1066" s="9" t="s">
        <v>9</v>
      </c>
      <c r="C1066" s="11" t="s">
        <v>10</v>
      </c>
      <c r="D1066" s="12">
        <v>45562</v>
      </c>
      <c r="E1066" s="14" t="str">
        <f>+HYPERLINK("http://trademark.i-assist.jp/data/china/image_1905th/79753945.pdf","79753945")</f>
        <v>79753945</v>
      </c>
      <c r="F1066" s="13" t="s">
        <v>1957</v>
      </c>
      <c r="G1066" s="13" t="s">
        <v>1956</v>
      </c>
      <c r="H1066" s="13" t="s">
        <v>4976</v>
      </c>
      <c r="I1066" s="12">
        <v>45485</v>
      </c>
    </row>
    <row r="1067" spans="1:9" x14ac:dyDescent="0.15">
      <c r="A1067" s="10">
        <v>1066</v>
      </c>
      <c r="B1067" s="9" t="s">
        <v>9</v>
      </c>
      <c r="C1067" s="11" t="s">
        <v>10</v>
      </c>
      <c r="D1067" s="12">
        <v>45562</v>
      </c>
      <c r="E1067" s="14" t="str">
        <f>+HYPERLINK("http://trademark.i-assist.jp/data/china/image_1905th/79756605.pdf","79756605")</f>
        <v>79756605</v>
      </c>
      <c r="F1067" s="13" t="s">
        <v>1959</v>
      </c>
      <c r="G1067" s="13" t="s">
        <v>1958</v>
      </c>
      <c r="H1067" s="13" t="s">
        <v>4977</v>
      </c>
      <c r="I1067" s="12">
        <v>45485</v>
      </c>
    </row>
    <row r="1068" spans="1:9" x14ac:dyDescent="0.15">
      <c r="A1068" s="10">
        <v>1067</v>
      </c>
      <c r="B1068" s="9" t="s">
        <v>9</v>
      </c>
      <c r="C1068" s="11" t="s">
        <v>10</v>
      </c>
      <c r="D1068" s="12">
        <v>45562</v>
      </c>
      <c r="E1068" s="14" t="str">
        <f>+HYPERLINK("http://trademark.i-assist.jp/data/china/image_1905th/79757959.pdf","79757959")</f>
        <v>79757959</v>
      </c>
      <c r="F1068" s="13" t="s">
        <v>1961</v>
      </c>
      <c r="G1068" s="13" t="s">
        <v>1960</v>
      </c>
      <c r="H1068" s="13" t="s">
        <v>4978</v>
      </c>
      <c r="I1068" s="12">
        <v>45485</v>
      </c>
    </row>
    <row r="1069" spans="1:9" x14ac:dyDescent="0.15">
      <c r="A1069" s="10">
        <v>1068</v>
      </c>
      <c r="B1069" s="9" t="s">
        <v>9</v>
      </c>
      <c r="C1069" s="11" t="s">
        <v>10</v>
      </c>
      <c r="D1069" s="12">
        <v>45562</v>
      </c>
      <c r="E1069" s="14" t="str">
        <f>+HYPERLINK("http://trademark.i-assist.jp/data/china/image_1905th/79759410.pdf","79759410")</f>
        <v>79759410</v>
      </c>
      <c r="F1069" s="13" t="s">
        <v>1963</v>
      </c>
      <c r="G1069" s="13" t="s">
        <v>1962</v>
      </c>
      <c r="H1069" s="13" t="s">
        <v>4979</v>
      </c>
      <c r="I1069" s="12">
        <v>45485</v>
      </c>
    </row>
    <row r="1070" spans="1:9" x14ac:dyDescent="0.15">
      <c r="A1070" s="10">
        <v>1069</v>
      </c>
      <c r="B1070" s="9" t="s">
        <v>9</v>
      </c>
      <c r="C1070" s="11" t="s">
        <v>10</v>
      </c>
      <c r="D1070" s="12">
        <v>45562</v>
      </c>
      <c r="E1070" s="14" t="str">
        <f>+HYPERLINK("http://trademark.i-assist.jp/data/china/image_1905th/79762870.pdf","79762870")</f>
        <v>79762870</v>
      </c>
      <c r="F1070" s="13" t="s">
        <v>1965</v>
      </c>
      <c r="G1070" s="13" t="s">
        <v>1964</v>
      </c>
      <c r="H1070" s="13" t="s">
        <v>4980</v>
      </c>
      <c r="I1070" s="12">
        <v>45485</v>
      </c>
    </row>
    <row r="1071" spans="1:9" x14ac:dyDescent="0.15">
      <c r="A1071" s="10">
        <v>1070</v>
      </c>
      <c r="B1071" s="9" t="s">
        <v>9</v>
      </c>
      <c r="C1071" s="11" t="s">
        <v>10</v>
      </c>
      <c r="D1071" s="12">
        <v>45562</v>
      </c>
      <c r="E1071" s="14" t="str">
        <f>+HYPERLINK("http://trademark.i-assist.jp/data/china/image_1905th/79764557.pdf","79764557")</f>
        <v>79764557</v>
      </c>
      <c r="F1071" s="13" t="s">
        <v>1966</v>
      </c>
      <c r="G1071" s="13" t="s">
        <v>1447</v>
      </c>
      <c r="H1071" s="13" t="s">
        <v>4981</v>
      </c>
      <c r="I1071" s="12">
        <v>45485</v>
      </c>
    </row>
    <row r="1072" spans="1:9" x14ac:dyDescent="0.15">
      <c r="A1072" s="10">
        <v>1071</v>
      </c>
      <c r="B1072" s="9" t="s">
        <v>9</v>
      </c>
      <c r="C1072" s="11" t="s">
        <v>10</v>
      </c>
      <c r="D1072" s="12">
        <v>45562</v>
      </c>
      <c r="E1072" s="14" t="str">
        <f>+HYPERLINK("http://trademark.i-assist.jp/data/china/image_1905th/79772238.pdf","79772238")</f>
        <v>79772238</v>
      </c>
      <c r="F1072" s="13" t="s">
        <v>1968</v>
      </c>
      <c r="G1072" s="13" t="s">
        <v>1967</v>
      </c>
      <c r="H1072" s="13" t="s">
        <v>4982</v>
      </c>
      <c r="I1072" s="12">
        <v>45485</v>
      </c>
    </row>
    <row r="1073" spans="1:9" x14ac:dyDescent="0.15">
      <c r="A1073" s="10">
        <v>1072</v>
      </c>
      <c r="B1073" s="9" t="s">
        <v>9</v>
      </c>
      <c r="C1073" s="11" t="s">
        <v>10</v>
      </c>
      <c r="D1073" s="12">
        <v>45562</v>
      </c>
      <c r="E1073" s="14" t="str">
        <f>+HYPERLINK("http://trademark.i-assist.jp/data/china/image_1905th/79834552.pdf","79834552")</f>
        <v>79834552</v>
      </c>
      <c r="F1073" s="13" t="s">
        <v>1970</v>
      </c>
      <c r="G1073" s="13" t="s">
        <v>1969</v>
      </c>
      <c r="H1073" s="13" t="s">
        <v>4983</v>
      </c>
      <c r="I1073" s="12">
        <v>45490</v>
      </c>
    </row>
    <row r="1074" spans="1:9" x14ac:dyDescent="0.15">
      <c r="A1074" s="10">
        <v>1073</v>
      </c>
      <c r="B1074" s="9" t="s">
        <v>9</v>
      </c>
      <c r="C1074" s="11" t="s">
        <v>10</v>
      </c>
      <c r="D1074" s="12">
        <v>45562</v>
      </c>
      <c r="E1074" s="14" t="str">
        <f>+HYPERLINK("http://trademark.i-assist.jp/data/china/image_1905th/79839848.pdf","79839848")</f>
        <v>79839848</v>
      </c>
      <c r="F1074" s="13" t="s">
        <v>1972</v>
      </c>
      <c r="G1074" s="13" t="s">
        <v>1971</v>
      </c>
      <c r="H1074" s="13" t="s">
        <v>4984</v>
      </c>
      <c r="I1074" s="12">
        <v>45490</v>
      </c>
    </row>
    <row r="1075" spans="1:9" x14ac:dyDescent="0.15">
      <c r="A1075" s="10">
        <v>1074</v>
      </c>
      <c r="B1075" s="9" t="s">
        <v>9</v>
      </c>
      <c r="C1075" s="11" t="s">
        <v>10</v>
      </c>
      <c r="D1075" s="12">
        <v>45562</v>
      </c>
      <c r="E1075" s="14" t="str">
        <f>+HYPERLINK("http://trademark.i-assist.jp/data/china/image_1905th/79845106.pdf","79845106")</f>
        <v>79845106</v>
      </c>
      <c r="F1075" s="13" t="s">
        <v>1973</v>
      </c>
      <c r="G1075" s="13" t="s">
        <v>266</v>
      </c>
      <c r="H1075" s="13" t="s">
        <v>4267</v>
      </c>
      <c r="I1075" s="12">
        <v>45490</v>
      </c>
    </row>
    <row r="1076" spans="1:9" x14ac:dyDescent="0.15">
      <c r="A1076" s="10">
        <v>1075</v>
      </c>
      <c r="B1076" s="9" t="s">
        <v>9</v>
      </c>
      <c r="C1076" s="11" t="s">
        <v>10</v>
      </c>
      <c r="D1076" s="12">
        <v>45562</v>
      </c>
      <c r="E1076" s="14" t="str">
        <f>+HYPERLINK("http://trademark.i-assist.jp/data/china/image_1905th/79854424.pdf","79854424")</f>
        <v>79854424</v>
      </c>
      <c r="F1076" s="13" t="s">
        <v>1975</v>
      </c>
      <c r="G1076" s="13" t="s">
        <v>1974</v>
      </c>
      <c r="H1076" s="13" t="s">
        <v>4985</v>
      </c>
      <c r="I1076" s="12">
        <v>45490</v>
      </c>
    </row>
    <row r="1077" spans="1:9" x14ac:dyDescent="0.15">
      <c r="A1077" s="10">
        <v>1076</v>
      </c>
      <c r="B1077" s="9" t="s">
        <v>9</v>
      </c>
      <c r="C1077" s="11" t="s">
        <v>10</v>
      </c>
      <c r="D1077" s="12">
        <v>45562</v>
      </c>
      <c r="E1077" s="14" t="str">
        <f>+HYPERLINK("http://trademark.i-assist.jp/data/china/image_1905th/79857140.pdf","79857140")</f>
        <v>79857140</v>
      </c>
      <c r="F1077" s="13" t="s">
        <v>1977</v>
      </c>
      <c r="G1077" s="13" t="s">
        <v>1976</v>
      </c>
      <c r="H1077" s="13" t="s">
        <v>4986</v>
      </c>
      <c r="I1077" s="12">
        <v>45491</v>
      </c>
    </row>
    <row r="1078" spans="1:9" x14ac:dyDescent="0.15">
      <c r="A1078" s="10">
        <v>1077</v>
      </c>
      <c r="B1078" s="9" t="s">
        <v>9</v>
      </c>
      <c r="C1078" s="11" t="s">
        <v>10</v>
      </c>
      <c r="D1078" s="12">
        <v>45562</v>
      </c>
      <c r="E1078" s="14" t="str">
        <f>+HYPERLINK("http://trademark.i-assist.jp/data/china/image_1905th/79860729.pdf","79860729")</f>
        <v>79860729</v>
      </c>
      <c r="F1078" s="13" t="s">
        <v>73</v>
      </c>
      <c r="G1078" s="13" t="s">
        <v>1978</v>
      </c>
      <c r="H1078" s="13" t="s">
        <v>4987</v>
      </c>
      <c r="I1078" s="12">
        <v>45491</v>
      </c>
    </row>
    <row r="1079" spans="1:9" x14ac:dyDescent="0.15">
      <c r="A1079" s="10">
        <v>1078</v>
      </c>
      <c r="B1079" s="9" t="s">
        <v>9</v>
      </c>
      <c r="C1079" s="11" t="s">
        <v>10</v>
      </c>
      <c r="D1079" s="12">
        <v>45562</v>
      </c>
      <c r="E1079" s="14" t="str">
        <f>+HYPERLINK("http://trademark.i-assist.jp/data/china/image_1905th/79862950.pdf","79862950")</f>
        <v>79862950</v>
      </c>
      <c r="F1079" s="13" t="s">
        <v>1979</v>
      </c>
      <c r="G1079" s="13" t="s">
        <v>1220</v>
      </c>
      <c r="H1079" s="13" t="s">
        <v>4150</v>
      </c>
      <c r="I1079" s="12">
        <v>45491</v>
      </c>
    </row>
    <row r="1080" spans="1:9" x14ac:dyDescent="0.15">
      <c r="A1080" s="10">
        <v>1079</v>
      </c>
      <c r="B1080" s="9" t="s">
        <v>9</v>
      </c>
      <c r="C1080" s="11" t="s">
        <v>10</v>
      </c>
      <c r="D1080" s="12">
        <v>45562</v>
      </c>
      <c r="E1080" s="14" t="str">
        <f>+HYPERLINK("http://trademark.i-assist.jp/data/china/image_1905th/79776635.pdf","79776635")</f>
        <v>79776635</v>
      </c>
      <c r="F1080" s="13" t="s">
        <v>1981</v>
      </c>
      <c r="G1080" s="13" t="s">
        <v>1980</v>
      </c>
      <c r="H1080" s="13" t="s">
        <v>4988</v>
      </c>
      <c r="I1080" s="12">
        <v>45486</v>
      </c>
    </row>
    <row r="1081" spans="1:9" x14ac:dyDescent="0.15">
      <c r="A1081" s="10">
        <v>1080</v>
      </c>
      <c r="B1081" s="9" t="s">
        <v>9</v>
      </c>
      <c r="C1081" s="11" t="s">
        <v>10</v>
      </c>
      <c r="D1081" s="12">
        <v>45562</v>
      </c>
      <c r="E1081" s="14" t="str">
        <f>+HYPERLINK("http://trademark.i-assist.jp/data/china/image_1905th/79778165.pdf","79778165")</f>
        <v>79778165</v>
      </c>
      <c r="F1081" s="13" t="s">
        <v>1983</v>
      </c>
      <c r="G1081" s="13" t="s">
        <v>1982</v>
      </c>
      <c r="H1081" s="13" t="s">
        <v>4989</v>
      </c>
      <c r="I1081" s="12">
        <v>45486</v>
      </c>
    </row>
    <row r="1082" spans="1:9" x14ac:dyDescent="0.15">
      <c r="A1082" s="10">
        <v>1081</v>
      </c>
      <c r="B1082" s="9" t="s">
        <v>9</v>
      </c>
      <c r="C1082" s="11" t="s">
        <v>10</v>
      </c>
      <c r="D1082" s="12">
        <v>45562</v>
      </c>
      <c r="E1082" s="14" t="str">
        <f>+HYPERLINK("http://trademark.i-assist.jp/data/china/image_1905th/79781073.pdf","79781073")</f>
        <v>79781073</v>
      </c>
      <c r="F1082" s="13" t="s">
        <v>1984</v>
      </c>
      <c r="G1082" s="13" t="s">
        <v>723</v>
      </c>
      <c r="H1082" s="13" t="s">
        <v>4472</v>
      </c>
      <c r="I1082" s="12">
        <v>45486</v>
      </c>
    </row>
    <row r="1083" spans="1:9" x14ac:dyDescent="0.15">
      <c r="A1083" s="10">
        <v>1082</v>
      </c>
      <c r="B1083" s="9" t="s">
        <v>9</v>
      </c>
      <c r="C1083" s="11" t="s">
        <v>10</v>
      </c>
      <c r="D1083" s="12">
        <v>45562</v>
      </c>
      <c r="E1083" s="14" t="str">
        <f>+HYPERLINK("http://trademark.i-assist.jp/data/china/image_1905th/79784689.pdf","79784689")</f>
        <v>79784689</v>
      </c>
      <c r="F1083" s="13" t="s">
        <v>1986</v>
      </c>
      <c r="G1083" s="13" t="s">
        <v>1985</v>
      </c>
      <c r="H1083" s="13" t="s">
        <v>4990</v>
      </c>
      <c r="I1083" s="12">
        <v>45487</v>
      </c>
    </row>
    <row r="1084" spans="1:9" x14ac:dyDescent="0.15">
      <c r="A1084" s="10">
        <v>1083</v>
      </c>
      <c r="B1084" s="9" t="s">
        <v>9</v>
      </c>
      <c r="C1084" s="11" t="s">
        <v>10</v>
      </c>
      <c r="D1084" s="12">
        <v>45562</v>
      </c>
      <c r="E1084" s="14" t="str">
        <f>+HYPERLINK("http://trademark.i-assist.jp/data/china/image_1905th/79788367.pdf","79788367")</f>
        <v>79788367</v>
      </c>
      <c r="F1084" s="13" t="s">
        <v>1987</v>
      </c>
      <c r="G1084" s="13" t="s">
        <v>701</v>
      </c>
      <c r="H1084" s="13" t="s">
        <v>4462</v>
      </c>
      <c r="I1084" s="12">
        <v>45488</v>
      </c>
    </row>
    <row r="1085" spans="1:9" x14ac:dyDescent="0.15">
      <c r="A1085" s="10">
        <v>1084</v>
      </c>
      <c r="B1085" s="9" t="s">
        <v>9</v>
      </c>
      <c r="C1085" s="11" t="s">
        <v>10</v>
      </c>
      <c r="D1085" s="12">
        <v>45562</v>
      </c>
      <c r="E1085" s="14" t="str">
        <f>+HYPERLINK("http://trademark.i-assist.jp/data/china/image_1905th/79799971.pdf","79799971")</f>
        <v>79799971</v>
      </c>
      <c r="F1085" s="13" t="s">
        <v>1988</v>
      </c>
      <c r="G1085" s="13" t="s">
        <v>1556</v>
      </c>
      <c r="H1085" s="13" t="s">
        <v>4440</v>
      </c>
      <c r="I1085" s="12">
        <v>45488</v>
      </c>
    </row>
    <row r="1086" spans="1:9" x14ac:dyDescent="0.15">
      <c r="A1086" s="10">
        <v>1085</v>
      </c>
      <c r="B1086" s="9" t="s">
        <v>9</v>
      </c>
      <c r="C1086" s="11" t="s">
        <v>10</v>
      </c>
      <c r="D1086" s="12">
        <v>45562</v>
      </c>
      <c r="E1086" s="14" t="str">
        <f>+HYPERLINK("http://trademark.i-assist.jp/data/china/image_1905th/79808885.pdf","79808885")</f>
        <v>79808885</v>
      </c>
      <c r="F1086" s="13" t="s">
        <v>1990</v>
      </c>
      <c r="G1086" s="13" t="s">
        <v>1989</v>
      </c>
      <c r="H1086" s="13" t="s">
        <v>4991</v>
      </c>
      <c r="I1086" s="12">
        <v>45489</v>
      </c>
    </row>
    <row r="1087" spans="1:9" x14ac:dyDescent="0.15">
      <c r="A1087" s="10">
        <v>1086</v>
      </c>
      <c r="B1087" s="9" t="s">
        <v>9</v>
      </c>
      <c r="C1087" s="11" t="s">
        <v>10</v>
      </c>
      <c r="D1087" s="12">
        <v>45562</v>
      </c>
      <c r="E1087" s="14" t="str">
        <f>+HYPERLINK("http://trademark.i-assist.jp/data/china/image_1905th/79817257.pdf","79817257")</f>
        <v>79817257</v>
      </c>
      <c r="F1087" s="13" t="s">
        <v>73</v>
      </c>
      <c r="G1087" s="13" t="s">
        <v>1991</v>
      </c>
      <c r="H1087" s="13" t="s">
        <v>4992</v>
      </c>
      <c r="I1087" s="12">
        <v>45489</v>
      </c>
    </row>
    <row r="1088" spans="1:9" x14ac:dyDescent="0.15">
      <c r="A1088" s="10">
        <v>1087</v>
      </c>
      <c r="B1088" s="9" t="s">
        <v>9</v>
      </c>
      <c r="C1088" s="11" t="s">
        <v>10</v>
      </c>
      <c r="D1088" s="12">
        <v>45562</v>
      </c>
      <c r="E1088" s="14" t="str">
        <f>+HYPERLINK("http://trademark.i-assist.jp/data/china/image_1905th/79820465.pdf","79820465")</f>
        <v>79820465</v>
      </c>
      <c r="F1088" s="13" t="s">
        <v>1993</v>
      </c>
      <c r="G1088" s="13" t="s">
        <v>1992</v>
      </c>
      <c r="H1088" s="13" t="s">
        <v>4993</v>
      </c>
      <c r="I1088" s="12">
        <v>45489</v>
      </c>
    </row>
    <row r="1089" spans="1:9" x14ac:dyDescent="0.15">
      <c r="A1089" s="10">
        <v>1088</v>
      </c>
      <c r="B1089" s="9" t="s">
        <v>9</v>
      </c>
      <c r="C1089" s="11" t="s">
        <v>10</v>
      </c>
      <c r="D1089" s="12">
        <v>45562</v>
      </c>
      <c r="E1089" s="14" t="str">
        <f>+HYPERLINK("http://trademark.i-assist.jp/data/china/image_1905th/79689026.pdf","79689026")</f>
        <v>79689026</v>
      </c>
      <c r="F1089" s="13" t="s">
        <v>1995</v>
      </c>
      <c r="G1089" s="13" t="s">
        <v>1994</v>
      </c>
      <c r="H1089" s="13" t="s">
        <v>4994</v>
      </c>
      <c r="I1089" s="12">
        <v>45482</v>
      </c>
    </row>
    <row r="1090" spans="1:9" x14ac:dyDescent="0.15">
      <c r="A1090" s="10">
        <v>1089</v>
      </c>
      <c r="B1090" s="9" t="s">
        <v>9</v>
      </c>
      <c r="C1090" s="11" t="s">
        <v>10</v>
      </c>
      <c r="D1090" s="12">
        <v>45562</v>
      </c>
      <c r="E1090" s="14" t="str">
        <f>+HYPERLINK("http://trademark.i-assist.jp/data/china/image_1905th/79689631.pdf","79689631")</f>
        <v>79689631</v>
      </c>
      <c r="F1090" s="13" t="s">
        <v>1997</v>
      </c>
      <c r="G1090" s="13" t="s">
        <v>1996</v>
      </c>
      <c r="H1090" s="13" t="s">
        <v>4995</v>
      </c>
      <c r="I1090" s="12">
        <v>45482</v>
      </c>
    </row>
    <row r="1091" spans="1:9" x14ac:dyDescent="0.15">
      <c r="A1091" s="10">
        <v>1090</v>
      </c>
      <c r="B1091" s="9" t="s">
        <v>9</v>
      </c>
      <c r="C1091" s="11" t="s">
        <v>10</v>
      </c>
      <c r="D1091" s="12">
        <v>45562</v>
      </c>
      <c r="E1091" s="14" t="str">
        <f>+HYPERLINK("http://trademark.i-assist.jp/data/china/image_1905th/79693098.pdf","79693098")</f>
        <v>79693098</v>
      </c>
      <c r="F1091" s="13" t="s">
        <v>1999</v>
      </c>
      <c r="G1091" s="13" t="s">
        <v>1998</v>
      </c>
      <c r="H1091" s="13" t="s">
        <v>4996</v>
      </c>
      <c r="I1091" s="12">
        <v>45482</v>
      </c>
    </row>
    <row r="1092" spans="1:9" x14ac:dyDescent="0.15">
      <c r="A1092" s="10">
        <v>1091</v>
      </c>
      <c r="B1092" s="9" t="s">
        <v>9</v>
      </c>
      <c r="C1092" s="11" t="s">
        <v>10</v>
      </c>
      <c r="D1092" s="12">
        <v>45562</v>
      </c>
      <c r="E1092" s="14" t="str">
        <f>+HYPERLINK("http://trademark.i-assist.jp/data/china/image_1905th/79693703.pdf","79693703")</f>
        <v>79693703</v>
      </c>
      <c r="F1092" s="13" t="s">
        <v>2001</v>
      </c>
      <c r="G1092" s="13" t="s">
        <v>2000</v>
      </c>
      <c r="H1092" s="13" t="s">
        <v>4328</v>
      </c>
      <c r="I1092" s="12">
        <v>45482</v>
      </c>
    </row>
    <row r="1093" spans="1:9" x14ac:dyDescent="0.15">
      <c r="A1093" s="10">
        <v>1092</v>
      </c>
      <c r="B1093" s="9" t="s">
        <v>9</v>
      </c>
      <c r="C1093" s="11" t="s">
        <v>10</v>
      </c>
      <c r="D1093" s="12">
        <v>45562</v>
      </c>
      <c r="E1093" s="14" t="str">
        <f>+HYPERLINK("http://trademark.i-assist.jp/data/china/image_1905th/79702724.pdf","79702724")</f>
        <v>79702724</v>
      </c>
      <c r="F1093" s="13" t="s">
        <v>73</v>
      </c>
      <c r="G1093" s="13" t="s">
        <v>2002</v>
      </c>
      <c r="H1093" s="13" t="s">
        <v>4997</v>
      </c>
      <c r="I1093" s="12">
        <v>45482</v>
      </c>
    </row>
    <row r="1094" spans="1:9" x14ac:dyDescent="0.15">
      <c r="A1094" s="10">
        <v>1093</v>
      </c>
      <c r="B1094" s="9" t="s">
        <v>9</v>
      </c>
      <c r="C1094" s="11" t="s">
        <v>10</v>
      </c>
      <c r="D1094" s="12">
        <v>45562</v>
      </c>
      <c r="E1094" s="14" t="str">
        <f>+HYPERLINK("http://trademark.i-assist.jp/data/china/image_1905th/79705699.pdf","79705699")</f>
        <v>79705699</v>
      </c>
      <c r="F1094" s="13" t="s">
        <v>2004</v>
      </c>
      <c r="G1094" s="13" t="s">
        <v>2003</v>
      </c>
      <c r="H1094" s="13" t="s">
        <v>4998</v>
      </c>
      <c r="I1094" s="12">
        <v>45483</v>
      </c>
    </row>
    <row r="1095" spans="1:9" x14ac:dyDescent="0.15">
      <c r="A1095" s="10">
        <v>1094</v>
      </c>
      <c r="B1095" s="9" t="s">
        <v>9</v>
      </c>
      <c r="C1095" s="11" t="s">
        <v>10</v>
      </c>
      <c r="D1095" s="12">
        <v>45562</v>
      </c>
      <c r="E1095" s="14" t="str">
        <f>+HYPERLINK("http://trademark.i-assist.jp/data/china/image_1905th/79709725.pdf","79709725")</f>
        <v>79709725</v>
      </c>
      <c r="F1095" s="13" t="s">
        <v>2005</v>
      </c>
      <c r="G1095" s="13" t="s">
        <v>774</v>
      </c>
      <c r="H1095" s="13" t="s">
        <v>4257</v>
      </c>
      <c r="I1095" s="12">
        <v>45483</v>
      </c>
    </row>
    <row r="1096" spans="1:9" x14ac:dyDescent="0.15">
      <c r="A1096" s="10">
        <v>1095</v>
      </c>
      <c r="B1096" s="9" t="s">
        <v>9</v>
      </c>
      <c r="C1096" s="11" t="s">
        <v>10</v>
      </c>
      <c r="D1096" s="12">
        <v>45562</v>
      </c>
      <c r="E1096" s="14" t="str">
        <f>+HYPERLINK("http://trademark.i-assist.jp/data/china/image_1905th/79467464.pdf","79467464")</f>
        <v>79467464</v>
      </c>
      <c r="F1096" s="13" t="s">
        <v>2007</v>
      </c>
      <c r="G1096" s="13" t="s">
        <v>2006</v>
      </c>
      <c r="H1096" s="13" t="s">
        <v>4999</v>
      </c>
      <c r="I1096" s="12">
        <v>45470</v>
      </c>
    </row>
    <row r="1097" spans="1:9" x14ac:dyDescent="0.15">
      <c r="A1097" s="10">
        <v>1096</v>
      </c>
      <c r="B1097" s="9" t="s">
        <v>9</v>
      </c>
      <c r="C1097" s="11" t="s">
        <v>10</v>
      </c>
      <c r="D1097" s="12">
        <v>45562</v>
      </c>
      <c r="E1097" s="14" t="str">
        <f>+HYPERLINK("http://trademark.i-assist.jp/data/china/image_1905th/79472193.pdf","79472193")</f>
        <v>79472193</v>
      </c>
      <c r="F1097" s="13" t="s">
        <v>2009</v>
      </c>
      <c r="G1097" s="13" t="s">
        <v>2008</v>
      </c>
      <c r="H1097" s="13" t="s">
        <v>5000</v>
      </c>
      <c r="I1097" s="12">
        <v>45470</v>
      </c>
    </row>
    <row r="1098" spans="1:9" x14ac:dyDescent="0.15">
      <c r="A1098" s="10">
        <v>1097</v>
      </c>
      <c r="B1098" s="9" t="s">
        <v>9</v>
      </c>
      <c r="C1098" s="11" t="s">
        <v>10</v>
      </c>
      <c r="D1098" s="12">
        <v>45562</v>
      </c>
      <c r="E1098" s="14" t="str">
        <f>+HYPERLINK("http://trademark.i-assist.jp/data/china/image_1905th/79472930.pdf","79472930")</f>
        <v>79472930</v>
      </c>
      <c r="F1098" s="13" t="s">
        <v>2011</v>
      </c>
      <c r="G1098" s="13" t="s">
        <v>2010</v>
      </c>
      <c r="H1098" s="13" t="s">
        <v>5001</v>
      </c>
      <c r="I1098" s="12">
        <v>45470</v>
      </c>
    </row>
    <row r="1099" spans="1:9" x14ac:dyDescent="0.15">
      <c r="A1099" s="10">
        <v>1098</v>
      </c>
      <c r="B1099" s="9" t="s">
        <v>9</v>
      </c>
      <c r="C1099" s="11" t="s">
        <v>10</v>
      </c>
      <c r="D1099" s="12">
        <v>45562</v>
      </c>
      <c r="E1099" s="14" t="str">
        <f>+HYPERLINK("http://trademark.i-assist.jp/data/china/image_1905th/79474459.pdf","79474459")</f>
        <v>79474459</v>
      </c>
      <c r="F1099" s="13" t="s">
        <v>2013</v>
      </c>
      <c r="G1099" s="13" t="s">
        <v>2012</v>
      </c>
      <c r="H1099" s="13" t="s">
        <v>4245</v>
      </c>
      <c r="I1099" s="12">
        <v>45470</v>
      </c>
    </row>
    <row r="1100" spans="1:9" x14ac:dyDescent="0.15">
      <c r="A1100" s="10">
        <v>1099</v>
      </c>
      <c r="B1100" s="9" t="s">
        <v>9</v>
      </c>
      <c r="C1100" s="11" t="s">
        <v>10</v>
      </c>
      <c r="D1100" s="12">
        <v>45562</v>
      </c>
      <c r="E1100" s="14" t="str">
        <f>+HYPERLINK("http://trademark.i-assist.jp/data/china/image_1905th/79476315.pdf","79476315")</f>
        <v>79476315</v>
      </c>
      <c r="F1100" s="13" t="s">
        <v>2015</v>
      </c>
      <c r="G1100" s="13" t="s">
        <v>2014</v>
      </c>
      <c r="H1100" s="13" t="s">
        <v>5002</v>
      </c>
      <c r="I1100" s="12">
        <v>45470</v>
      </c>
    </row>
    <row r="1101" spans="1:9" x14ac:dyDescent="0.15">
      <c r="A1101" s="10">
        <v>1100</v>
      </c>
      <c r="B1101" s="9" t="s">
        <v>9</v>
      </c>
      <c r="C1101" s="11" t="s">
        <v>10</v>
      </c>
      <c r="D1101" s="12">
        <v>45562</v>
      </c>
      <c r="E1101" s="14" t="str">
        <f>+HYPERLINK("http://trademark.i-assist.jp/data/china/image_1905th/79483268.pdf","79483268")</f>
        <v>79483268</v>
      </c>
      <c r="F1101" s="13" t="s">
        <v>2017</v>
      </c>
      <c r="G1101" s="13" t="s">
        <v>2016</v>
      </c>
      <c r="H1101" s="13" t="s">
        <v>4449</v>
      </c>
      <c r="I1101" s="12">
        <v>45470</v>
      </c>
    </row>
    <row r="1102" spans="1:9" x14ac:dyDescent="0.15">
      <c r="A1102" s="10">
        <v>1101</v>
      </c>
      <c r="B1102" s="9" t="s">
        <v>9</v>
      </c>
      <c r="C1102" s="11" t="s">
        <v>10</v>
      </c>
      <c r="D1102" s="12">
        <v>45562</v>
      </c>
      <c r="E1102" s="14" t="str">
        <f>+HYPERLINK("http://trademark.i-assist.jp/data/china/image_1905th/79484555.pdf","79484555")</f>
        <v>79484555</v>
      </c>
      <c r="F1102" s="13" t="s">
        <v>2019</v>
      </c>
      <c r="G1102" s="13" t="s">
        <v>2018</v>
      </c>
      <c r="H1102" s="13" t="s">
        <v>4162</v>
      </c>
      <c r="I1102" s="12">
        <v>45470</v>
      </c>
    </row>
    <row r="1103" spans="1:9" x14ac:dyDescent="0.15">
      <c r="A1103" s="10">
        <v>1102</v>
      </c>
      <c r="B1103" s="9" t="s">
        <v>9</v>
      </c>
      <c r="C1103" s="11" t="s">
        <v>10</v>
      </c>
      <c r="D1103" s="12">
        <v>45562</v>
      </c>
      <c r="E1103" s="14" t="str">
        <f>+HYPERLINK("http://trademark.i-assist.jp/data/china/image_1905th/79485980.pdf","79485980")</f>
        <v>79485980</v>
      </c>
      <c r="F1103" s="13" t="s">
        <v>2021</v>
      </c>
      <c r="G1103" s="13" t="s">
        <v>2020</v>
      </c>
      <c r="H1103" s="13" t="s">
        <v>5003</v>
      </c>
      <c r="I1103" s="12">
        <v>45470</v>
      </c>
    </row>
    <row r="1104" spans="1:9" x14ac:dyDescent="0.15">
      <c r="A1104" s="10">
        <v>1103</v>
      </c>
      <c r="B1104" s="9" t="s">
        <v>9</v>
      </c>
      <c r="C1104" s="11" t="s">
        <v>10</v>
      </c>
      <c r="D1104" s="12">
        <v>45562</v>
      </c>
      <c r="E1104" s="14" t="str">
        <f>+HYPERLINK("http://trademark.i-assist.jp/data/china/image_1905th/79490011.pdf","79490011")</f>
        <v>79490011</v>
      </c>
      <c r="F1104" s="13" t="s">
        <v>2023</v>
      </c>
      <c r="G1104" s="13" t="s">
        <v>2022</v>
      </c>
      <c r="H1104" s="13" t="s">
        <v>5004</v>
      </c>
      <c r="I1104" s="12">
        <v>45471</v>
      </c>
    </row>
    <row r="1105" spans="1:9" x14ac:dyDescent="0.15">
      <c r="A1105" s="10">
        <v>1104</v>
      </c>
      <c r="B1105" s="9" t="s">
        <v>9</v>
      </c>
      <c r="C1105" s="11" t="s">
        <v>10</v>
      </c>
      <c r="D1105" s="12">
        <v>45562</v>
      </c>
      <c r="E1105" s="14" t="str">
        <f>+HYPERLINK("http://trademark.i-assist.jp/data/china/image_1905th/79492386.pdf","79492386")</f>
        <v>79492386</v>
      </c>
      <c r="F1105" s="13" t="s">
        <v>2025</v>
      </c>
      <c r="G1105" s="13" t="s">
        <v>2024</v>
      </c>
      <c r="H1105" s="13" t="s">
        <v>4549</v>
      </c>
      <c r="I1105" s="12">
        <v>45471</v>
      </c>
    </row>
    <row r="1106" spans="1:9" x14ac:dyDescent="0.15">
      <c r="A1106" s="10">
        <v>1105</v>
      </c>
      <c r="B1106" s="9" t="s">
        <v>9</v>
      </c>
      <c r="C1106" s="11" t="s">
        <v>10</v>
      </c>
      <c r="D1106" s="12">
        <v>45562</v>
      </c>
      <c r="E1106" s="14" t="str">
        <f>+HYPERLINK("http://trademark.i-assist.jp/data/china/image_1905th/79493591.pdf","79493591")</f>
        <v>79493591</v>
      </c>
      <c r="F1106" s="13" t="s">
        <v>2027</v>
      </c>
      <c r="G1106" s="13" t="s">
        <v>2026</v>
      </c>
      <c r="H1106" s="13" t="s">
        <v>5005</v>
      </c>
      <c r="I1106" s="12">
        <v>45471</v>
      </c>
    </row>
    <row r="1107" spans="1:9" x14ac:dyDescent="0.15">
      <c r="A1107" s="10">
        <v>1106</v>
      </c>
      <c r="B1107" s="9" t="s">
        <v>9</v>
      </c>
      <c r="C1107" s="11" t="s">
        <v>10</v>
      </c>
      <c r="D1107" s="12">
        <v>45562</v>
      </c>
      <c r="E1107" s="14" t="str">
        <f>+HYPERLINK("http://trademark.i-assist.jp/data/china/image_1905th/79500851.pdf","79500851")</f>
        <v>79500851</v>
      </c>
      <c r="F1107" s="13" t="s">
        <v>2029</v>
      </c>
      <c r="G1107" s="13" t="s">
        <v>2028</v>
      </c>
      <c r="H1107" s="13" t="s">
        <v>5006</v>
      </c>
      <c r="I1107" s="12">
        <v>45471</v>
      </c>
    </row>
    <row r="1108" spans="1:9" x14ac:dyDescent="0.15">
      <c r="A1108" s="10">
        <v>1107</v>
      </c>
      <c r="B1108" s="9" t="s">
        <v>9</v>
      </c>
      <c r="C1108" s="11" t="s">
        <v>10</v>
      </c>
      <c r="D1108" s="12">
        <v>45562</v>
      </c>
      <c r="E1108" s="14" t="str">
        <f>+HYPERLINK("http://trademark.i-assist.jp/data/china/image_1905th/79500919.pdf","79500919")</f>
        <v>79500919</v>
      </c>
      <c r="F1108" s="13" t="s">
        <v>2031</v>
      </c>
      <c r="G1108" s="13" t="s">
        <v>2030</v>
      </c>
      <c r="H1108" s="13" t="s">
        <v>5007</v>
      </c>
      <c r="I1108" s="12">
        <v>45471</v>
      </c>
    </row>
    <row r="1109" spans="1:9" x14ac:dyDescent="0.15">
      <c r="A1109" s="10">
        <v>1108</v>
      </c>
      <c r="B1109" s="9" t="s">
        <v>9</v>
      </c>
      <c r="C1109" s="11" t="s">
        <v>10</v>
      </c>
      <c r="D1109" s="12">
        <v>45562</v>
      </c>
      <c r="E1109" s="14" t="str">
        <f>+HYPERLINK("http://trademark.i-assist.jp/data/china/image_1905th/79502142.pdf","79502142")</f>
        <v>79502142</v>
      </c>
      <c r="F1109" s="13" t="s">
        <v>2033</v>
      </c>
      <c r="G1109" s="13" t="s">
        <v>2032</v>
      </c>
      <c r="H1109" s="13" t="s">
        <v>5008</v>
      </c>
      <c r="I1109" s="12">
        <v>45471</v>
      </c>
    </row>
    <row r="1110" spans="1:9" x14ac:dyDescent="0.15">
      <c r="A1110" s="10">
        <v>1109</v>
      </c>
      <c r="B1110" s="9" t="s">
        <v>9</v>
      </c>
      <c r="C1110" s="11" t="s">
        <v>10</v>
      </c>
      <c r="D1110" s="12">
        <v>45562</v>
      </c>
      <c r="E1110" s="14" t="str">
        <f>+HYPERLINK("http://trademark.i-assist.jp/data/china/image_1905th/79502610.pdf","79502610")</f>
        <v>79502610</v>
      </c>
      <c r="F1110" s="13" t="s">
        <v>2035</v>
      </c>
      <c r="G1110" s="13" t="s">
        <v>2034</v>
      </c>
      <c r="H1110" s="13" t="s">
        <v>4162</v>
      </c>
      <c r="I1110" s="12">
        <v>45471</v>
      </c>
    </row>
    <row r="1111" spans="1:9" x14ac:dyDescent="0.15">
      <c r="A1111" s="10">
        <v>1110</v>
      </c>
      <c r="B1111" s="9" t="s">
        <v>9</v>
      </c>
      <c r="C1111" s="11" t="s">
        <v>10</v>
      </c>
      <c r="D1111" s="12">
        <v>45562</v>
      </c>
      <c r="E1111" s="14" t="str">
        <f>+HYPERLINK("http://trademark.i-assist.jp/data/china/image_1905th/79507584.pdf","79507584")</f>
        <v>79507584</v>
      </c>
      <c r="F1111" s="13" t="s">
        <v>2037</v>
      </c>
      <c r="G1111" s="13" t="s">
        <v>2036</v>
      </c>
      <c r="H1111" s="13" t="s">
        <v>4162</v>
      </c>
      <c r="I1111" s="12">
        <v>45471</v>
      </c>
    </row>
    <row r="1112" spans="1:9" x14ac:dyDescent="0.15">
      <c r="A1112" s="10">
        <v>1111</v>
      </c>
      <c r="B1112" s="9" t="s">
        <v>9</v>
      </c>
      <c r="C1112" s="11" t="s">
        <v>10</v>
      </c>
      <c r="D1112" s="12">
        <v>45562</v>
      </c>
      <c r="E1112" s="14" t="str">
        <f>+HYPERLINK("http://trademark.i-assist.jp/data/china/image_1905th/79514324.pdf","79514324")</f>
        <v>79514324</v>
      </c>
      <c r="F1112" s="13" t="s">
        <v>73</v>
      </c>
      <c r="G1112" s="13" t="s">
        <v>2038</v>
      </c>
      <c r="H1112" s="13" t="s">
        <v>5009</v>
      </c>
      <c r="I1112" s="12">
        <v>45471</v>
      </c>
    </row>
    <row r="1113" spans="1:9" x14ac:dyDescent="0.15">
      <c r="A1113" s="10">
        <v>1112</v>
      </c>
      <c r="B1113" s="9" t="s">
        <v>9</v>
      </c>
      <c r="C1113" s="11" t="s">
        <v>10</v>
      </c>
      <c r="D1113" s="12">
        <v>45562</v>
      </c>
      <c r="E1113" s="14" t="str">
        <f>+HYPERLINK("http://trademark.i-assist.jp/data/china/image_1905th/79610204.pdf","79610204")</f>
        <v>79610204</v>
      </c>
      <c r="F1113" s="13" t="s">
        <v>2040</v>
      </c>
      <c r="G1113" s="13" t="s">
        <v>2039</v>
      </c>
      <c r="H1113" s="13" t="s">
        <v>4775</v>
      </c>
      <c r="I1113" s="12">
        <v>45477</v>
      </c>
    </row>
    <row r="1114" spans="1:9" x14ac:dyDescent="0.15">
      <c r="A1114" s="10">
        <v>1113</v>
      </c>
      <c r="B1114" s="9" t="s">
        <v>9</v>
      </c>
      <c r="C1114" s="11" t="s">
        <v>10</v>
      </c>
      <c r="D1114" s="12">
        <v>45562</v>
      </c>
      <c r="E1114" s="14" t="str">
        <f>+HYPERLINK("http://trademark.i-assist.jp/data/china/image_1905th/79617783.pdf","79617783")</f>
        <v>79617783</v>
      </c>
      <c r="F1114" s="13" t="s">
        <v>2042</v>
      </c>
      <c r="G1114" s="13" t="s">
        <v>2041</v>
      </c>
      <c r="H1114" s="13" t="s">
        <v>5010</v>
      </c>
      <c r="I1114" s="12">
        <v>45477</v>
      </c>
    </row>
    <row r="1115" spans="1:9" x14ac:dyDescent="0.15">
      <c r="A1115" s="10">
        <v>1114</v>
      </c>
      <c r="B1115" s="9" t="s">
        <v>9</v>
      </c>
      <c r="C1115" s="11" t="s">
        <v>10</v>
      </c>
      <c r="D1115" s="12">
        <v>45562</v>
      </c>
      <c r="E1115" s="14" t="str">
        <f>+HYPERLINK("http://trademark.i-assist.jp/data/china/image_1905th/79621231.pdf","79621231")</f>
        <v>79621231</v>
      </c>
      <c r="F1115" s="13" t="s">
        <v>2044</v>
      </c>
      <c r="G1115" s="13" t="s">
        <v>2043</v>
      </c>
      <c r="H1115" s="13" t="s">
        <v>5011</v>
      </c>
      <c r="I1115" s="12">
        <v>45477</v>
      </c>
    </row>
    <row r="1116" spans="1:9" x14ac:dyDescent="0.15">
      <c r="A1116" s="10">
        <v>1115</v>
      </c>
      <c r="B1116" s="9" t="s">
        <v>9</v>
      </c>
      <c r="C1116" s="11" t="s">
        <v>10</v>
      </c>
      <c r="D1116" s="12">
        <v>45562</v>
      </c>
      <c r="E1116" s="14" t="str">
        <f>+HYPERLINK("http://trademark.i-assist.jp/data/china/image_1905th/79632044.pdf","79632044")</f>
        <v>79632044</v>
      </c>
      <c r="F1116" s="13" t="s">
        <v>2046</v>
      </c>
      <c r="G1116" s="13" t="s">
        <v>2045</v>
      </c>
      <c r="H1116" s="13" t="s">
        <v>4923</v>
      </c>
      <c r="I1116" s="12">
        <v>45478</v>
      </c>
    </row>
    <row r="1117" spans="1:9" x14ac:dyDescent="0.15">
      <c r="A1117" s="10">
        <v>1116</v>
      </c>
      <c r="B1117" s="9" t="s">
        <v>9</v>
      </c>
      <c r="C1117" s="11" t="s">
        <v>10</v>
      </c>
      <c r="D1117" s="12">
        <v>45562</v>
      </c>
      <c r="E1117" s="14" t="str">
        <f>+HYPERLINK("http://trademark.i-assist.jp/data/china/image_1905th/79669943.pdf","79669943")</f>
        <v>79669943</v>
      </c>
      <c r="F1117" s="13" t="s">
        <v>2048</v>
      </c>
      <c r="G1117" s="13" t="s">
        <v>2047</v>
      </c>
      <c r="H1117" s="13" t="s">
        <v>5012</v>
      </c>
      <c r="I1117" s="12">
        <v>45481</v>
      </c>
    </row>
    <row r="1118" spans="1:9" x14ac:dyDescent="0.15">
      <c r="A1118" s="10">
        <v>1117</v>
      </c>
      <c r="B1118" s="9" t="s">
        <v>9</v>
      </c>
      <c r="C1118" s="11" t="s">
        <v>10</v>
      </c>
      <c r="D1118" s="12">
        <v>45562</v>
      </c>
      <c r="E1118" s="14" t="str">
        <f>+HYPERLINK("http://trademark.i-assist.jp/data/china/image_1905th/79670019.pdf","79670019")</f>
        <v>79670019</v>
      </c>
      <c r="F1118" s="13" t="s">
        <v>2050</v>
      </c>
      <c r="G1118" s="13" t="s">
        <v>2049</v>
      </c>
      <c r="H1118" s="13" t="s">
        <v>5013</v>
      </c>
      <c r="I1118" s="12">
        <v>45481</v>
      </c>
    </row>
    <row r="1119" spans="1:9" x14ac:dyDescent="0.15">
      <c r="A1119" s="10">
        <v>1118</v>
      </c>
      <c r="B1119" s="9" t="s">
        <v>9</v>
      </c>
      <c r="C1119" s="11" t="s">
        <v>10</v>
      </c>
      <c r="D1119" s="12">
        <v>45562</v>
      </c>
      <c r="E1119" s="14" t="str">
        <f>+HYPERLINK("http://trademark.i-assist.jp/data/china/image_1905th/79671607.pdf","79671607")</f>
        <v>79671607</v>
      </c>
      <c r="F1119" s="13" t="s">
        <v>2051</v>
      </c>
      <c r="G1119" s="13" t="s">
        <v>1712</v>
      </c>
      <c r="H1119" s="13" t="s">
        <v>4874</v>
      </c>
      <c r="I1119" s="12">
        <v>45481</v>
      </c>
    </row>
    <row r="1120" spans="1:9" x14ac:dyDescent="0.15">
      <c r="A1120" s="10">
        <v>1119</v>
      </c>
      <c r="B1120" s="9" t="s">
        <v>9</v>
      </c>
      <c r="C1120" s="11" t="s">
        <v>10</v>
      </c>
      <c r="D1120" s="12">
        <v>45562</v>
      </c>
      <c r="E1120" s="14" t="str">
        <f>+HYPERLINK("http://trademark.i-assist.jp/data/china/image_1905th/79685208.pdf","79685208")</f>
        <v>79685208</v>
      </c>
      <c r="F1120" s="13" t="s">
        <v>2053</v>
      </c>
      <c r="G1120" s="13" t="s">
        <v>2052</v>
      </c>
      <c r="H1120" s="13" t="s">
        <v>5014</v>
      </c>
      <c r="I1120" s="12">
        <v>45482</v>
      </c>
    </row>
    <row r="1121" spans="1:9" x14ac:dyDescent="0.15">
      <c r="A1121" s="10">
        <v>1120</v>
      </c>
      <c r="B1121" s="9" t="s">
        <v>9</v>
      </c>
      <c r="C1121" s="11" t="s">
        <v>10</v>
      </c>
      <c r="D1121" s="12">
        <v>45562</v>
      </c>
      <c r="E1121" s="14" t="str">
        <f>+HYPERLINK("http://trademark.i-assist.jp/data/china/image_1905th/79392330.pdf","79392330")</f>
        <v>79392330</v>
      </c>
      <c r="F1121" s="13" t="s">
        <v>2055</v>
      </c>
      <c r="G1121" s="13" t="s">
        <v>2054</v>
      </c>
      <c r="H1121" s="13" t="s">
        <v>5015</v>
      </c>
      <c r="I1121" s="12">
        <v>45467</v>
      </c>
    </row>
    <row r="1122" spans="1:9" x14ac:dyDescent="0.15">
      <c r="A1122" s="10">
        <v>1121</v>
      </c>
      <c r="B1122" s="9" t="s">
        <v>9</v>
      </c>
      <c r="C1122" s="11" t="s">
        <v>10</v>
      </c>
      <c r="D1122" s="12">
        <v>45562</v>
      </c>
      <c r="E1122" s="14" t="str">
        <f>+HYPERLINK("http://trademark.i-assist.jp/data/china/image_1905th/79393528.pdf","79393528")</f>
        <v>79393528</v>
      </c>
      <c r="F1122" s="13" t="s">
        <v>2056</v>
      </c>
      <c r="G1122" s="13" t="s">
        <v>862</v>
      </c>
      <c r="H1122" s="13" t="s">
        <v>4533</v>
      </c>
      <c r="I1122" s="12">
        <v>45467</v>
      </c>
    </row>
    <row r="1123" spans="1:9" x14ac:dyDescent="0.15">
      <c r="A1123" s="10">
        <v>1122</v>
      </c>
      <c r="B1123" s="9" t="s">
        <v>9</v>
      </c>
      <c r="C1123" s="11" t="s">
        <v>10</v>
      </c>
      <c r="D1123" s="12">
        <v>45562</v>
      </c>
      <c r="E1123" s="14" t="str">
        <f>+HYPERLINK("http://trademark.i-assist.jp/data/china/image_1905th/79398443.pdf","79398443")</f>
        <v>79398443</v>
      </c>
      <c r="F1123" s="13" t="s">
        <v>2058</v>
      </c>
      <c r="G1123" s="13" t="s">
        <v>2057</v>
      </c>
      <c r="H1123" s="13" t="s">
        <v>5016</v>
      </c>
      <c r="I1123" s="12">
        <v>45467</v>
      </c>
    </row>
    <row r="1124" spans="1:9" x14ac:dyDescent="0.15">
      <c r="A1124" s="10">
        <v>1123</v>
      </c>
      <c r="B1124" s="9" t="s">
        <v>9</v>
      </c>
      <c r="C1124" s="11" t="s">
        <v>10</v>
      </c>
      <c r="D1124" s="12">
        <v>45562</v>
      </c>
      <c r="E1124" s="14" t="str">
        <f>+HYPERLINK("http://trademark.i-assist.jp/data/china/image_1905th/79423088.pdf","79423088")</f>
        <v>79423088</v>
      </c>
      <c r="F1124" s="13" t="s">
        <v>2059</v>
      </c>
      <c r="G1124" s="13" t="s">
        <v>1655</v>
      </c>
      <c r="H1124" s="13" t="s">
        <v>4847</v>
      </c>
      <c r="I1124" s="12">
        <v>45468</v>
      </c>
    </row>
    <row r="1125" spans="1:9" x14ac:dyDescent="0.15">
      <c r="A1125" s="10">
        <v>1124</v>
      </c>
      <c r="B1125" s="9" t="s">
        <v>9</v>
      </c>
      <c r="C1125" s="11" t="s">
        <v>10</v>
      </c>
      <c r="D1125" s="12">
        <v>45562</v>
      </c>
      <c r="E1125" s="14" t="str">
        <f>+HYPERLINK("http://trademark.i-assist.jp/data/china/image_1905th/79425550.pdf","79425550")</f>
        <v>79425550</v>
      </c>
      <c r="F1125" s="13" t="s">
        <v>2061</v>
      </c>
      <c r="G1125" s="13" t="s">
        <v>2060</v>
      </c>
      <c r="H1125" s="13" t="s">
        <v>5017</v>
      </c>
      <c r="I1125" s="12">
        <v>45468</v>
      </c>
    </row>
    <row r="1126" spans="1:9" x14ac:dyDescent="0.15">
      <c r="A1126" s="10">
        <v>1125</v>
      </c>
      <c r="B1126" s="9" t="s">
        <v>9</v>
      </c>
      <c r="C1126" s="11" t="s">
        <v>10</v>
      </c>
      <c r="D1126" s="12">
        <v>45562</v>
      </c>
      <c r="E1126" s="14" t="str">
        <f>+HYPERLINK("http://trademark.i-assist.jp/data/china/image_1905th/79425785.pdf","79425785")</f>
        <v>79425785</v>
      </c>
      <c r="F1126" s="13" t="s">
        <v>2063</v>
      </c>
      <c r="G1126" s="13" t="s">
        <v>2062</v>
      </c>
      <c r="H1126" s="13" t="s">
        <v>5018</v>
      </c>
      <c r="I1126" s="12">
        <v>45468</v>
      </c>
    </row>
    <row r="1127" spans="1:9" x14ac:dyDescent="0.15">
      <c r="A1127" s="10">
        <v>1126</v>
      </c>
      <c r="B1127" s="9" t="s">
        <v>9</v>
      </c>
      <c r="C1127" s="11" t="s">
        <v>10</v>
      </c>
      <c r="D1127" s="12">
        <v>45562</v>
      </c>
      <c r="E1127" s="14" t="str">
        <f>+HYPERLINK("http://trademark.i-assist.jp/data/china/image_1905th/79429901.pdf","79429901")</f>
        <v>79429901</v>
      </c>
      <c r="F1127" s="13" t="s">
        <v>73</v>
      </c>
      <c r="G1127" s="13" t="s">
        <v>2064</v>
      </c>
      <c r="H1127" s="13" t="s">
        <v>5019</v>
      </c>
      <c r="I1127" s="12">
        <v>45468</v>
      </c>
    </row>
    <row r="1128" spans="1:9" x14ac:dyDescent="0.15">
      <c r="A1128" s="10">
        <v>1127</v>
      </c>
      <c r="B1128" s="9" t="s">
        <v>9</v>
      </c>
      <c r="C1128" s="11" t="s">
        <v>10</v>
      </c>
      <c r="D1128" s="12">
        <v>45562</v>
      </c>
      <c r="E1128" s="14" t="str">
        <f>+HYPERLINK("http://trademark.i-assist.jp/data/china/image_1905th/79453425.pdf","79453425")</f>
        <v>79453425</v>
      </c>
      <c r="F1128" s="13" t="s">
        <v>2066</v>
      </c>
      <c r="G1128" s="13" t="s">
        <v>2065</v>
      </c>
      <c r="H1128" s="13" t="s">
        <v>5020</v>
      </c>
      <c r="I1128" s="12">
        <v>45469</v>
      </c>
    </row>
    <row r="1129" spans="1:9" x14ac:dyDescent="0.15">
      <c r="A1129" s="10">
        <v>1128</v>
      </c>
      <c r="B1129" s="9" t="s">
        <v>9</v>
      </c>
      <c r="C1129" s="11" t="s">
        <v>10</v>
      </c>
      <c r="D1129" s="12">
        <v>45562</v>
      </c>
      <c r="E1129" s="14" t="str">
        <f>+HYPERLINK("http://trademark.i-assist.jp/data/china/image_1905th/79635891.pdf","79635891")</f>
        <v>79635891</v>
      </c>
      <c r="F1129" s="13" t="s">
        <v>2068</v>
      </c>
      <c r="G1129" s="13" t="s">
        <v>2067</v>
      </c>
      <c r="H1129" s="13" t="s">
        <v>5021</v>
      </c>
      <c r="I1129" s="12">
        <v>45478</v>
      </c>
    </row>
    <row r="1130" spans="1:9" x14ac:dyDescent="0.15">
      <c r="A1130" s="10">
        <v>1129</v>
      </c>
      <c r="B1130" s="9" t="s">
        <v>9</v>
      </c>
      <c r="C1130" s="11" t="s">
        <v>10</v>
      </c>
      <c r="D1130" s="12">
        <v>45562</v>
      </c>
      <c r="E1130" s="14" t="str">
        <f>+HYPERLINK("http://trademark.i-assist.jp/data/china/image_1905th/79646484.pdf","79646484")</f>
        <v>79646484</v>
      </c>
      <c r="F1130" s="13" t="s">
        <v>2070</v>
      </c>
      <c r="G1130" s="13" t="s">
        <v>2069</v>
      </c>
      <c r="H1130" s="13" t="s">
        <v>4425</v>
      </c>
      <c r="I1130" s="12">
        <v>45478</v>
      </c>
    </row>
    <row r="1131" spans="1:9" x14ac:dyDescent="0.15">
      <c r="A1131" s="10">
        <v>1130</v>
      </c>
      <c r="B1131" s="9" t="s">
        <v>9</v>
      </c>
      <c r="C1131" s="11" t="s">
        <v>10</v>
      </c>
      <c r="D1131" s="12">
        <v>45562</v>
      </c>
      <c r="E1131" s="14" t="str">
        <f>+HYPERLINK("http://trademark.i-assist.jp/data/china/image_1905th/79647096.pdf","79647096")</f>
        <v>79647096</v>
      </c>
      <c r="F1131" s="13" t="s">
        <v>2072</v>
      </c>
      <c r="G1131" s="13" t="s">
        <v>2071</v>
      </c>
      <c r="H1131" s="13" t="s">
        <v>5022</v>
      </c>
      <c r="I1131" s="12">
        <v>45478</v>
      </c>
    </row>
    <row r="1132" spans="1:9" x14ac:dyDescent="0.15">
      <c r="A1132" s="10">
        <v>1131</v>
      </c>
      <c r="B1132" s="9" t="s">
        <v>9</v>
      </c>
      <c r="C1132" s="11" t="s">
        <v>10</v>
      </c>
      <c r="D1132" s="12">
        <v>45562</v>
      </c>
      <c r="E1132" s="14" t="str">
        <f>+HYPERLINK("http://trademark.i-assist.jp/data/china/image_1905th/79651137.pdf","79651137")</f>
        <v>79651137</v>
      </c>
      <c r="F1132" s="13" t="s">
        <v>73</v>
      </c>
      <c r="G1132" s="13" t="s">
        <v>2073</v>
      </c>
      <c r="H1132" s="13" t="s">
        <v>5023</v>
      </c>
      <c r="I1132" s="12">
        <v>45479</v>
      </c>
    </row>
    <row r="1133" spans="1:9" x14ac:dyDescent="0.15">
      <c r="A1133" s="10">
        <v>1132</v>
      </c>
      <c r="B1133" s="9" t="s">
        <v>9</v>
      </c>
      <c r="C1133" s="11" t="s">
        <v>10</v>
      </c>
      <c r="D1133" s="12">
        <v>45562</v>
      </c>
      <c r="E1133" s="14" t="str">
        <f>+HYPERLINK("http://trademark.i-assist.jp/data/china/image_1905th/79654974.pdf","79654974")</f>
        <v>79654974</v>
      </c>
      <c r="F1133" s="13" t="s">
        <v>2075</v>
      </c>
      <c r="G1133" s="13" t="s">
        <v>2074</v>
      </c>
      <c r="H1133" s="13" t="s">
        <v>5024</v>
      </c>
      <c r="I1133" s="12">
        <v>45480</v>
      </c>
    </row>
    <row r="1134" spans="1:9" x14ac:dyDescent="0.15">
      <c r="A1134" s="10">
        <v>1133</v>
      </c>
      <c r="B1134" s="9" t="s">
        <v>9</v>
      </c>
      <c r="C1134" s="11" t="s">
        <v>10</v>
      </c>
      <c r="D1134" s="12">
        <v>45562</v>
      </c>
      <c r="E1134" s="14" t="str">
        <f>+HYPERLINK("http://trademark.i-assist.jp/data/china/image_1905th/72195018.pdf","72195018")</f>
        <v>72195018</v>
      </c>
      <c r="F1134" s="13" t="s">
        <v>2077</v>
      </c>
      <c r="G1134" s="13" t="s">
        <v>2076</v>
      </c>
      <c r="H1134" s="13" t="s">
        <v>5025</v>
      </c>
      <c r="I1134" s="12">
        <v>45090</v>
      </c>
    </row>
    <row r="1135" spans="1:9" x14ac:dyDescent="0.15">
      <c r="A1135" s="10">
        <v>1134</v>
      </c>
      <c r="B1135" s="9" t="s">
        <v>9</v>
      </c>
      <c r="C1135" s="11" t="s">
        <v>10</v>
      </c>
      <c r="D1135" s="12">
        <v>45562</v>
      </c>
      <c r="E1135" s="14" t="str">
        <f>+HYPERLINK("http://trademark.i-assist.jp/data/china/image_1905th/72913046.pdf","72913046")</f>
        <v>72913046</v>
      </c>
      <c r="F1135" s="13" t="s">
        <v>2079</v>
      </c>
      <c r="G1135" s="13" t="s">
        <v>2078</v>
      </c>
      <c r="H1135" s="13" t="s">
        <v>5026</v>
      </c>
      <c r="I1135" s="12">
        <v>45125</v>
      </c>
    </row>
    <row r="1136" spans="1:9" x14ac:dyDescent="0.15">
      <c r="A1136" s="10">
        <v>1135</v>
      </c>
      <c r="B1136" s="9" t="s">
        <v>9</v>
      </c>
      <c r="C1136" s="11" t="s">
        <v>10</v>
      </c>
      <c r="D1136" s="12">
        <v>45562</v>
      </c>
      <c r="E1136" s="14" t="str">
        <f>+HYPERLINK("http://trademark.i-assist.jp/data/china/image_1905th/79569740.pdf","79569740")</f>
        <v>79569740</v>
      </c>
      <c r="F1136" s="13" t="s">
        <v>2081</v>
      </c>
      <c r="G1136" s="13" t="s">
        <v>2080</v>
      </c>
      <c r="H1136" s="13" t="s">
        <v>5027</v>
      </c>
      <c r="I1136" s="12">
        <v>45475</v>
      </c>
    </row>
    <row r="1137" spans="1:9" x14ac:dyDescent="0.15">
      <c r="A1137" s="10">
        <v>1136</v>
      </c>
      <c r="B1137" s="9" t="s">
        <v>9</v>
      </c>
      <c r="C1137" s="11" t="s">
        <v>10</v>
      </c>
      <c r="D1137" s="12">
        <v>45562</v>
      </c>
      <c r="E1137" s="14" t="str">
        <f>+HYPERLINK("http://trademark.i-assist.jp/data/china/image_1905th/79586264.pdf","79586264")</f>
        <v>79586264</v>
      </c>
      <c r="F1137" s="13" t="s">
        <v>2083</v>
      </c>
      <c r="G1137" s="13" t="s">
        <v>2082</v>
      </c>
      <c r="H1137" s="13" t="s">
        <v>5028</v>
      </c>
      <c r="I1137" s="12">
        <v>45476</v>
      </c>
    </row>
    <row r="1138" spans="1:9" x14ac:dyDescent="0.15">
      <c r="A1138" s="10">
        <v>1137</v>
      </c>
      <c r="B1138" s="9" t="s">
        <v>9</v>
      </c>
      <c r="C1138" s="11" t="s">
        <v>10</v>
      </c>
      <c r="D1138" s="12">
        <v>45562</v>
      </c>
      <c r="E1138" s="14" t="str">
        <f>+HYPERLINK("http://trademark.i-assist.jp/data/china/image_1905th/79600296.pdf","79600296")</f>
        <v>79600296</v>
      </c>
      <c r="F1138" s="13" t="s">
        <v>2085</v>
      </c>
      <c r="G1138" s="13" t="s">
        <v>2084</v>
      </c>
      <c r="H1138" s="13" t="s">
        <v>4449</v>
      </c>
      <c r="I1138" s="12">
        <v>45477</v>
      </c>
    </row>
    <row r="1139" spans="1:9" x14ac:dyDescent="0.15">
      <c r="A1139" s="10">
        <v>1138</v>
      </c>
      <c r="B1139" s="9" t="s">
        <v>9</v>
      </c>
      <c r="C1139" s="11" t="s">
        <v>10</v>
      </c>
      <c r="D1139" s="12">
        <v>45562</v>
      </c>
      <c r="E1139" s="14" t="str">
        <f>+HYPERLINK("http://trademark.i-assist.jp/data/china/image_1905th/79601987.pdf","79601987")</f>
        <v>79601987</v>
      </c>
      <c r="F1139" s="13" t="s">
        <v>2087</v>
      </c>
      <c r="G1139" s="13" t="s">
        <v>2086</v>
      </c>
      <c r="H1139" s="13" t="s">
        <v>5029</v>
      </c>
      <c r="I1139" s="12">
        <v>45477</v>
      </c>
    </row>
    <row r="1140" spans="1:9" x14ac:dyDescent="0.15">
      <c r="A1140" s="10">
        <v>1139</v>
      </c>
      <c r="B1140" s="9" t="s">
        <v>9</v>
      </c>
      <c r="C1140" s="11" t="s">
        <v>10</v>
      </c>
      <c r="D1140" s="12">
        <v>45562</v>
      </c>
      <c r="E1140" s="14" t="str">
        <f>+HYPERLINK("http://trademark.i-assist.jp/data/china/image_1905th/79747309.pdf","79747309")</f>
        <v>79747309</v>
      </c>
      <c r="F1140" s="13" t="s">
        <v>2089</v>
      </c>
      <c r="G1140" s="13" t="s">
        <v>2088</v>
      </c>
      <c r="H1140" s="13" t="s">
        <v>5030</v>
      </c>
      <c r="I1140" s="12">
        <v>45484</v>
      </c>
    </row>
    <row r="1141" spans="1:9" x14ac:dyDescent="0.15">
      <c r="A1141" s="10">
        <v>1140</v>
      </c>
      <c r="B1141" s="9" t="s">
        <v>9</v>
      </c>
      <c r="C1141" s="11" t="s">
        <v>10</v>
      </c>
      <c r="D1141" s="12">
        <v>45562</v>
      </c>
      <c r="E1141" s="14" t="str">
        <f>+HYPERLINK("http://trademark.i-assist.jp/data/china/image_1905th/79753458.pdf","79753458")</f>
        <v>79753458</v>
      </c>
      <c r="F1141" s="13" t="s">
        <v>2091</v>
      </c>
      <c r="G1141" s="13" t="s">
        <v>2090</v>
      </c>
      <c r="H1141" s="13" t="s">
        <v>5031</v>
      </c>
      <c r="I1141" s="12">
        <v>45485</v>
      </c>
    </row>
    <row r="1142" spans="1:9" x14ac:dyDescent="0.15">
      <c r="A1142" s="10">
        <v>1141</v>
      </c>
      <c r="B1142" s="9" t="s">
        <v>9</v>
      </c>
      <c r="C1142" s="11" t="s">
        <v>10</v>
      </c>
      <c r="D1142" s="12">
        <v>45562</v>
      </c>
      <c r="E1142" s="14" t="str">
        <f>+HYPERLINK("http://trademark.i-assist.jp/data/china/image_1905th/79756228.pdf","79756228")</f>
        <v>79756228</v>
      </c>
      <c r="F1142" s="13" t="s">
        <v>2093</v>
      </c>
      <c r="G1142" s="13" t="s">
        <v>2092</v>
      </c>
      <c r="H1142" s="13" t="s">
        <v>5032</v>
      </c>
      <c r="I1142" s="12">
        <v>45485</v>
      </c>
    </row>
    <row r="1143" spans="1:9" x14ac:dyDescent="0.15">
      <c r="A1143" s="10">
        <v>1142</v>
      </c>
      <c r="B1143" s="9" t="s">
        <v>9</v>
      </c>
      <c r="C1143" s="11" t="s">
        <v>10</v>
      </c>
      <c r="D1143" s="12">
        <v>45562</v>
      </c>
      <c r="E1143" s="14" t="str">
        <f>+HYPERLINK("http://trademark.i-assist.jp/data/china/image_1905th/79767930.pdf","79767930")</f>
        <v>79767930</v>
      </c>
      <c r="F1143" s="13" t="s">
        <v>2095</v>
      </c>
      <c r="G1143" s="13" t="s">
        <v>2094</v>
      </c>
      <c r="H1143" s="13" t="s">
        <v>5033</v>
      </c>
      <c r="I1143" s="12">
        <v>45485</v>
      </c>
    </row>
    <row r="1144" spans="1:9" x14ac:dyDescent="0.15">
      <c r="A1144" s="10">
        <v>1143</v>
      </c>
      <c r="B1144" s="9" t="s">
        <v>9</v>
      </c>
      <c r="C1144" s="11" t="s">
        <v>10</v>
      </c>
      <c r="D1144" s="12">
        <v>45562</v>
      </c>
      <c r="E1144" s="14" t="str">
        <f>+HYPERLINK("http://trademark.i-assist.jp/data/china/image_1905th/75435246.pdf","75435246")</f>
        <v>75435246</v>
      </c>
      <c r="F1144" s="13" t="s">
        <v>2097</v>
      </c>
      <c r="G1144" s="13" t="s">
        <v>2096</v>
      </c>
      <c r="H1144" s="13" t="s">
        <v>112</v>
      </c>
      <c r="I1144" s="12">
        <v>45257</v>
      </c>
    </row>
    <row r="1145" spans="1:9" x14ac:dyDescent="0.15">
      <c r="A1145" s="10">
        <v>1144</v>
      </c>
      <c r="B1145" s="9" t="s">
        <v>9</v>
      </c>
      <c r="C1145" s="11" t="s">
        <v>10</v>
      </c>
      <c r="D1145" s="12">
        <v>45562</v>
      </c>
      <c r="E1145" s="14" t="str">
        <f>+HYPERLINK("http://trademark.i-assist.jp/data/china/image_1905th/77234887.pdf","77234887")</f>
        <v>77234887</v>
      </c>
      <c r="F1145" s="13" t="s">
        <v>2099</v>
      </c>
      <c r="G1145" s="13" t="s">
        <v>2098</v>
      </c>
      <c r="H1145" s="13" t="s">
        <v>5034</v>
      </c>
      <c r="I1145" s="12">
        <v>45363</v>
      </c>
    </row>
    <row r="1146" spans="1:9" x14ac:dyDescent="0.15">
      <c r="A1146" s="10">
        <v>1145</v>
      </c>
      <c r="B1146" s="9" t="s">
        <v>9</v>
      </c>
      <c r="C1146" s="11" t="s">
        <v>10</v>
      </c>
      <c r="D1146" s="12">
        <v>45562</v>
      </c>
      <c r="E1146" s="14" t="str">
        <f>+HYPERLINK("http://trademark.i-assist.jp/data/china/image_1905th/77759223.pdf","77759223")</f>
        <v>77759223</v>
      </c>
      <c r="F1146" s="13" t="s">
        <v>1323</v>
      </c>
      <c r="G1146" s="13" t="s">
        <v>1322</v>
      </c>
      <c r="H1146" s="13" t="s">
        <v>4704</v>
      </c>
      <c r="I1146" s="12">
        <v>45385</v>
      </c>
    </row>
    <row r="1147" spans="1:9" x14ac:dyDescent="0.15">
      <c r="A1147" s="10">
        <v>1146</v>
      </c>
      <c r="B1147" s="9" t="s">
        <v>9</v>
      </c>
      <c r="C1147" s="11" t="s">
        <v>10</v>
      </c>
      <c r="D1147" s="12">
        <v>45562</v>
      </c>
      <c r="E1147" s="14" t="str">
        <f>+HYPERLINK("http://trademark.i-assist.jp/data/china/image_1905th/79518621.pdf","79518621")</f>
        <v>79518621</v>
      </c>
      <c r="F1147" s="13" t="s">
        <v>2101</v>
      </c>
      <c r="G1147" s="13" t="s">
        <v>2100</v>
      </c>
      <c r="H1147" s="13" t="s">
        <v>5035</v>
      </c>
      <c r="I1147" s="12">
        <v>45472</v>
      </c>
    </row>
    <row r="1148" spans="1:9" x14ac:dyDescent="0.15">
      <c r="A1148" s="10">
        <v>1147</v>
      </c>
      <c r="B1148" s="9" t="s">
        <v>9</v>
      </c>
      <c r="C1148" s="11" t="s">
        <v>10</v>
      </c>
      <c r="D1148" s="12">
        <v>45562</v>
      </c>
      <c r="E1148" s="14" t="str">
        <f>+HYPERLINK("http://trademark.i-assist.jp/data/china/image_1905th/79528455.pdf","79528455")</f>
        <v>79528455</v>
      </c>
      <c r="F1148" s="13" t="s">
        <v>2102</v>
      </c>
      <c r="G1148" s="13" t="s">
        <v>1751</v>
      </c>
      <c r="H1148" s="13" t="s">
        <v>4888</v>
      </c>
      <c r="I1148" s="12">
        <v>45474</v>
      </c>
    </row>
    <row r="1149" spans="1:9" x14ac:dyDescent="0.15">
      <c r="A1149" s="10">
        <v>1148</v>
      </c>
      <c r="B1149" s="9" t="s">
        <v>9</v>
      </c>
      <c r="C1149" s="11" t="s">
        <v>10</v>
      </c>
      <c r="D1149" s="12">
        <v>45562</v>
      </c>
      <c r="E1149" s="14" t="str">
        <f>+HYPERLINK("http://trademark.i-assist.jp/data/china/image_1905th/79532579.pdf","79532579")</f>
        <v>79532579</v>
      </c>
      <c r="F1149" s="13" t="s">
        <v>2103</v>
      </c>
      <c r="G1149" s="13" t="s">
        <v>1871</v>
      </c>
      <c r="H1149" s="13" t="s">
        <v>4936</v>
      </c>
      <c r="I1149" s="12">
        <v>45474</v>
      </c>
    </row>
    <row r="1150" spans="1:9" x14ac:dyDescent="0.15">
      <c r="A1150" s="10">
        <v>1149</v>
      </c>
      <c r="B1150" s="9" t="s">
        <v>9</v>
      </c>
      <c r="C1150" s="11" t="s">
        <v>10</v>
      </c>
      <c r="D1150" s="12">
        <v>45562</v>
      </c>
      <c r="E1150" s="14" t="str">
        <f>+HYPERLINK("http://trademark.i-assist.jp/data/china/image_1905th/79535219.pdf","79535219")</f>
        <v>79535219</v>
      </c>
      <c r="F1150" s="13" t="s">
        <v>2105</v>
      </c>
      <c r="G1150" s="13" t="s">
        <v>2104</v>
      </c>
      <c r="H1150" s="13" t="s">
        <v>5036</v>
      </c>
      <c r="I1150" s="12">
        <v>45474</v>
      </c>
    </row>
    <row r="1151" spans="1:9" x14ac:dyDescent="0.15">
      <c r="A1151" s="10">
        <v>1150</v>
      </c>
      <c r="B1151" s="9" t="s">
        <v>9</v>
      </c>
      <c r="C1151" s="11" t="s">
        <v>10</v>
      </c>
      <c r="D1151" s="12">
        <v>45562</v>
      </c>
      <c r="E1151" s="14" t="str">
        <f>+HYPERLINK("http://trademark.i-assist.jp/data/china/image_1905th/79543783.pdf","79543783")</f>
        <v>79543783</v>
      </c>
      <c r="F1151" s="13" t="s">
        <v>2107</v>
      </c>
      <c r="G1151" s="13" t="s">
        <v>2106</v>
      </c>
      <c r="H1151" s="13" t="s">
        <v>4489</v>
      </c>
      <c r="I1151" s="12">
        <v>45474</v>
      </c>
    </row>
    <row r="1152" spans="1:9" x14ac:dyDescent="0.15">
      <c r="A1152" s="10">
        <v>1151</v>
      </c>
      <c r="B1152" s="9" t="s">
        <v>9</v>
      </c>
      <c r="C1152" s="11" t="s">
        <v>10</v>
      </c>
      <c r="D1152" s="12">
        <v>45562</v>
      </c>
      <c r="E1152" s="14" t="str">
        <f>+HYPERLINK("http://trademark.i-assist.jp/data/china/image_1905th/79544227.pdf","79544227")</f>
        <v>79544227</v>
      </c>
      <c r="F1152" s="13" t="s">
        <v>2109</v>
      </c>
      <c r="G1152" s="13" t="s">
        <v>2108</v>
      </c>
      <c r="H1152" s="13" t="s">
        <v>5037</v>
      </c>
      <c r="I1152" s="12">
        <v>45474</v>
      </c>
    </row>
    <row r="1153" spans="1:9" x14ac:dyDescent="0.15">
      <c r="A1153" s="10">
        <v>1152</v>
      </c>
      <c r="B1153" s="9" t="s">
        <v>9</v>
      </c>
      <c r="C1153" s="11" t="s">
        <v>10</v>
      </c>
      <c r="D1153" s="12">
        <v>45562</v>
      </c>
      <c r="E1153" s="14" t="str">
        <f>+HYPERLINK("http://trademark.i-assist.jp/data/china/image_1905th/79544650.pdf","79544650")</f>
        <v>79544650</v>
      </c>
      <c r="F1153" s="13" t="s">
        <v>2110</v>
      </c>
      <c r="G1153" s="13" t="s">
        <v>436</v>
      </c>
      <c r="H1153" s="13" t="s">
        <v>4344</v>
      </c>
      <c r="I1153" s="12">
        <v>45474</v>
      </c>
    </row>
    <row r="1154" spans="1:9" x14ac:dyDescent="0.15">
      <c r="A1154" s="10">
        <v>1153</v>
      </c>
      <c r="B1154" s="9" t="s">
        <v>9</v>
      </c>
      <c r="C1154" s="11" t="s">
        <v>10</v>
      </c>
      <c r="D1154" s="12">
        <v>45562</v>
      </c>
      <c r="E1154" s="14" t="str">
        <f>+HYPERLINK("http://trademark.i-assist.jp/data/china/image_1905th/79559645.pdf","79559645")</f>
        <v>79559645</v>
      </c>
      <c r="F1154" s="13" t="s">
        <v>73</v>
      </c>
      <c r="G1154" s="13" t="s">
        <v>2111</v>
      </c>
      <c r="H1154" s="13" t="s">
        <v>5038</v>
      </c>
      <c r="I1154" s="12">
        <v>45475</v>
      </c>
    </row>
    <row r="1155" spans="1:9" x14ac:dyDescent="0.15">
      <c r="A1155" s="10">
        <v>1154</v>
      </c>
      <c r="B1155" s="9" t="s">
        <v>9</v>
      </c>
      <c r="C1155" s="11" t="s">
        <v>10</v>
      </c>
      <c r="D1155" s="12">
        <v>45562</v>
      </c>
      <c r="E1155" s="14" t="str">
        <f>+HYPERLINK("http://trademark.i-assist.jp/data/china/image_1905th/78894577.pdf","78894577")</f>
        <v>78894577</v>
      </c>
      <c r="F1155" s="13" t="s">
        <v>2113</v>
      </c>
      <c r="G1155" s="13" t="s">
        <v>2112</v>
      </c>
      <c r="H1155" s="13" t="s">
        <v>5039</v>
      </c>
      <c r="I1155" s="12">
        <v>45441</v>
      </c>
    </row>
    <row r="1156" spans="1:9" x14ac:dyDescent="0.15">
      <c r="A1156" s="10">
        <v>1155</v>
      </c>
      <c r="B1156" s="9" t="s">
        <v>9</v>
      </c>
      <c r="C1156" s="11" t="s">
        <v>10</v>
      </c>
      <c r="D1156" s="12">
        <v>45562</v>
      </c>
      <c r="E1156" s="14" t="str">
        <f>+HYPERLINK("http://trademark.i-assist.jp/data/china/image_1905th/78906195.pdf","78906195")</f>
        <v>78906195</v>
      </c>
      <c r="F1156" s="13" t="s">
        <v>2115</v>
      </c>
      <c r="G1156" s="13" t="s">
        <v>2114</v>
      </c>
      <c r="H1156" s="13" t="s">
        <v>5040</v>
      </c>
      <c r="I1156" s="12">
        <v>45441</v>
      </c>
    </row>
    <row r="1157" spans="1:9" x14ac:dyDescent="0.15">
      <c r="A1157" s="10">
        <v>1156</v>
      </c>
      <c r="B1157" s="9" t="s">
        <v>9</v>
      </c>
      <c r="C1157" s="11" t="s">
        <v>10</v>
      </c>
      <c r="D1157" s="12">
        <v>45562</v>
      </c>
      <c r="E1157" s="14" t="str">
        <f>+HYPERLINK("http://trademark.i-assist.jp/data/china/image_1905th/78928937.pdf","78928937")</f>
        <v>78928937</v>
      </c>
      <c r="F1157" s="13" t="s">
        <v>2117</v>
      </c>
      <c r="G1157" s="13" t="s">
        <v>2116</v>
      </c>
      <c r="H1157" s="13" t="s">
        <v>5041</v>
      </c>
      <c r="I1157" s="12">
        <v>45442</v>
      </c>
    </row>
    <row r="1158" spans="1:9" x14ac:dyDescent="0.15">
      <c r="A1158" s="10">
        <v>1157</v>
      </c>
      <c r="B1158" s="9" t="s">
        <v>9</v>
      </c>
      <c r="C1158" s="11" t="s">
        <v>10</v>
      </c>
      <c r="D1158" s="12">
        <v>45562</v>
      </c>
      <c r="E1158" s="14" t="str">
        <f>+HYPERLINK("http://trademark.i-assist.jp/data/china/image_1905th/79002049.pdf","79002049")</f>
        <v>79002049</v>
      </c>
      <c r="F1158" s="13" t="s">
        <v>2119</v>
      </c>
      <c r="G1158" s="13" t="s">
        <v>2118</v>
      </c>
      <c r="H1158" s="13" t="s">
        <v>5042</v>
      </c>
      <c r="I1158" s="12">
        <v>45446</v>
      </c>
    </row>
    <row r="1159" spans="1:9" x14ac:dyDescent="0.15">
      <c r="A1159" s="10">
        <v>1158</v>
      </c>
      <c r="B1159" s="9" t="s">
        <v>9</v>
      </c>
      <c r="C1159" s="11" t="s">
        <v>10</v>
      </c>
      <c r="D1159" s="12">
        <v>45562</v>
      </c>
      <c r="E1159" s="14" t="str">
        <f>+HYPERLINK("http://trademark.i-assist.jp/data/china/image_1905th/79005464.pdf","79005464")</f>
        <v>79005464</v>
      </c>
      <c r="F1159" s="13" t="s">
        <v>1686</v>
      </c>
      <c r="G1159" s="13" t="s">
        <v>1685</v>
      </c>
      <c r="H1159" s="13" t="s">
        <v>4860</v>
      </c>
      <c r="I1159" s="12">
        <v>45446</v>
      </c>
    </row>
    <row r="1160" spans="1:9" x14ac:dyDescent="0.15">
      <c r="A1160" s="10">
        <v>1159</v>
      </c>
      <c r="B1160" s="9" t="s">
        <v>9</v>
      </c>
      <c r="C1160" s="11" t="s">
        <v>10</v>
      </c>
      <c r="D1160" s="12">
        <v>45562</v>
      </c>
      <c r="E1160" s="14" t="str">
        <f>+HYPERLINK("http://trademark.i-assist.jp/data/china/image_1905th/79035284.pdf","79035284")</f>
        <v>79035284</v>
      </c>
      <c r="F1160" s="13" t="s">
        <v>2121</v>
      </c>
      <c r="G1160" s="13" t="s">
        <v>2120</v>
      </c>
      <c r="H1160" s="13" t="s">
        <v>4154</v>
      </c>
      <c r="I1160" s="12">
        <v>45447</v>
      </c>
    </row>
    <row r="1161" spans="1:9" x14ac:dyDescent="0.15">
      <c r="A1161" s="10">
        <v>1160</v>
      </c>
      <c r="B1161" s="9" t="s">
        <v>9</v>
      </c>
      <c r="C1161" s="11" t="s">
        <v>10</v>
      </c>
      <c r="D1161" s="12">
        <v>45562</v>
      </c>
      <c r="E1161" s="14" t="str">
        <f>+HYPERLINK("http://trademark.i-assist.jp/data/china/image_1905th/79072330.pdf","79072330")</f>
        <v>79072330</v>
      </c>
      <c r="F1161" s="13" t="s">
        <v>73</v>
      </c>
      <c r="G1161" s="13" t="s">
        <v>1690</v>
      </c>
      <c r="H1161" s="13" t="s">
        <v>4863</v>
      </c>
      <c r="I1161" s="12">
        <v>45449</v>
      </c>
    </row>
    <row r="1162" spans="1:9" x14ac:dyDescent="0.15">
      <c r="A1162" s="10">
        <v>1161</v>
      </c>
      <c r="B1162" s="9" t="s">
        <v>9</v>
      </c>
      <c r="C1162" s="11" t="s">
        <v>10</v>
      </c>
      <c r="D1162" s="12">
        <v>45562</v>
      </c>
      <c r="E1162" s="14" t="str">
        <f>+HYPERLINK("http://trademark.i-assist.jp/data/china/image_1905th/79100821.pdf","79100821")</f>
        <v>79100821</v>
      </c>
      <c r="F1162" s="13" t="s">
        <v>2123</v>
      </c>
      <c r="G1162" s="13" t="s">
        <v>2122</v>
      </c>
      <c r="H1162" s="13" t="s">
        <v>5043</v>
      </c>
      <c r="I1162" s="12">
        <v>45450</v>
      </c>
    </row>
    <row r="1163" spans="1:9" x14ac:dyDescent="0.15">
      <c r="A1163" s="10">
        <v>1162</v>
      </c>
      <c r="B1163" s="9" t="s">
        <v>9</v>
      </c>
      <c r="C1163" s="11" t="s">
        <v>10</v>
      </c>
      <c r="D1163" s="12">
        <v>45562</v>
      </c>
      <c r="E1163" s="14" t="str">
        <f>+HYPERLINK("http://trademark.i-assist.jp/data/china/image_1905th/79103959.pdf","79103959")</f>
        <v>79103959</v>
      </c>
      <c r="F1163" s="13" t="s">
        <v>2125</v>
      </c>
      <c r="G1163" s="13" t="s">
        <v>2124</v>
      </c>
      <c r="H1163" s="13" t="s">
        <v>5044</v>
      </c>
      <c r="I1163" s="12">
        <v>45450</v>
      </c>
    </row>
    <row r="1164" spans="1:9" x14ac:dyDescent="0.15">
      <c r="A1164" s="10">
        <v>1163</v>
      </c>
      <c r="B1164" s="9" t="s">
        <v>9</v>
      </c>
      <c r="C1164" s="11" t="s">
        <v>10</v>
      </c>
      <c r="D1164" s="12">
        <v>45562</v>
      </c>
      <c r="E1164" s="14" t="str">
        <f>+HYPERLINK("http://trademark.i-assist.jp/data/china/image_1905th/79112918.pdf","79112918")</f>
        <v>79112918</v>
      </c>
      <c r="F1164" s="13" t="s">
        <v>2127</v>
      </c>
      <c r="G1164" s="13" t="s">
        <v>2126</v>
      </c>
      <c r="H1164" s="13" t="s">
        <v>5045</v>
      </c>
      <c r="I1164" s="12">
        <v>45450</v>
      </c>
    </row>
    <row r="1165" spans="1:9" x14ac:dyDescent="0.15">
      <c r="A1165" s="10">
        <v>1164</v>
      </c>
      <c r="B1165" s="9" t="s">
        <v>9</v>
      </c>
      <c r="C1165" s="11" t="s">
        <v>10</v>
      </c>
      <c r="D1165" s="12">
        <v>45562</v>
      </c>
      <c r="E1165" s="14" t="str">
        <f>+HYPERLINK("http://trademark.i-assist.jp/data/china/image_1905th/79120536.pdf","79120536")</f>
        <v>79120536</v>
      </c>
      <c r="F1165" s="13" t="s">
        <v>73</v>
      </c>
      <c r="G1165" s="13" t="s">
        <v>2128</v>
      </c>
      <c r="H1165" s="13" t="s">
        <v>5046</v>
      </c>
      <c r="I1165" s="12">
        <v>45451</v>
      </c>
    </row>
    <row r="1166" spans="1:9" x14ac:dyDescent="0.15">
      <c r="A1166" s="10">
        <v>1165</v>
      </c>
      <c r="B1166" s="9" t="s">
        <v>9</v>
      </c>
      <c r="C1166" s="11" t="s">
        <v>10</v>
      </c>
      <c r="D1166" s="12">
        <v>45562</v>
      </c>
      <c r="E1166" s="14" t="str">
        <f>+HYPERLINK("http://trademark.i-assist.jp/data/china/image_1905th/79134233.pdf","79134233")</f>
        <v>79134233</v>
      </c>
      <c r="F1166" s="13" t="s">
        <v>2130</v>
      </c>
      <c r="G1166" s="13" t="s">
        <v>2129</v>
      </c>
      <c r="H1166" s="13" t="s">
        <v>4720</v>
      </c>
      <c r="I1166" s="12">
        <v>45454</v>
      </c>
    </row>
    <row r="1167" spans="1:9" x14ac:dyDescent="0.15">
      <c r="A1167" s="10">
        <v>1166</v>
      </c>
      <c r="B1167" s="9" t="s">
        <v>9</v>
      </c>
      <c r="C1167" s="11" t="s">
        <v>10</v>
      </c>
      <c r="D1167" s="12">
        <v>45562</v>
      </c>
      <c r="E1167" s="14" t="str">
        <f>+HYPERLINK("http://trademark.i-assist.jp/data/china/image_1905th/79176010.pdf","79176010")</f>
        <v>79176010</v>
      </c>
      <c r="F1167" s="13" t="s">
        <v>2132</v>
      </c>
      <c r="G1167" s="13" t="s">
        <v>2131</v>
      </c>
      <c r="H1167" s="13" t="s">
        <v>5047</v>
      </c>
      <c r="I1167" s="12">
        <v>45455</v>
      </c>
    </row>
    <row r="1168" spans="1:9" x14ac:dyDescent="0.15">
      <c r="A1168" s="10">
        <v>1167</v>
      </c>
      <c r="B1168" s="9" t="s">
        <v>9</v>
      </c>
      <c r="C1168" s="11" t="s">
        <v>10</v>
      </c>
      <c r="D1168" s="12">
        <v>45562</v>
      </c>
      <c r="E1168" s="14" t="str">
        <f>+HYPERLINK("http://trademark.i-assist.jp/data/china/image_1905th/79217528.pdf","79217528")</f>
        <v>79217528</v>
      </c>
      <c r="F1168" s="13" t="s">
        <v>2134</v>
      </c>
      <c r="G1168" s="13" t="s">
        <v>2133</v>
      </c>
      <c r="H1168" s="13" t="s">
        <v>5048</v>
      </c>
      <c r="I1168" s="12">
        <v>45457</v>
      </c>
    </row>
    <row r="1169" spans="1:9" x14ac:dyDescent="0.15">
      <c r="A1169" s="10">
        <v>1168</v>
      </c>
      <c r="B1169" s="9" t="s">
        <v>9</v>
      </c>
      <c r="C1169" s="11" t="s">
        <v>10</v>
      </c>
      <c r="D1169" s="12">
        <v>45562</v>
      </c>
      <c r="E1169" s="14" t="str">
        <f>+HYPERLINK("http://trademark.i-assist.jp/data/china/image_1905th/79244632.pdf","79244632")</f>
        <v>79244632</v>
      </c>
      <c r="F1169" s="13" t="s">
        <v>2136</v>
      </c>
      <c r="G1169" s="13" t="s">
        <v>2135</v>
      </c>
      <c r="H1169" s="13" t="s">
        <v>5049</v>
      </c>
      <c r="I1169" s="12">
        <v>45460</v>
      </c>
    </row>
    <row r="1170" spans="1:9" x14ac:dyDescent="0.15">
      <c r="A1170" s="10">
        <v>1169</v>
      </c>
      <c r="B1170" s="9" t="s">
        <v>9</v>
      </c>
      <c r="C1170" s="11" t="s">
        <v>10</v>
      </c>
      <c r="D1170" s="12">
        <v>45562</v>
      </c>
      <c r="E1170" s="14" t="str">
        <f>+HYPERLINK("http://trademark.i-assist.jp/data/china/image_1905th/79260810.pdf","79260810")</f>
        <v>79260810</v>
      </c>
      <c r="F1170" s="13" t="s">
        <v>2137</v>
      </c>
      <c r="G1170" s="13" t="s">
        <v>320</v>
      </c>
      <c r="H1170" s="13" t="s">
        <v>4290</v>
      </c>
      <c r="I1170" s="12">
        <v>45460</v>
      </c>
    </row>
    <row r="1171" spans="1:9" x14ac:dyDescent="0.15">
      <c r="A1171" s="10">
        <v>1170</v>
      </c>
      <c r="B1171" s="9" t="s">
        <v>9</v>
      </c>
      <c r="C1171" s="11" t="s">
        <v>10</v>
      </c>
      <c r="D1171" s="12">
        <v>45562</v>
      </c>
      <c r="E1171" s="14" t="str">
        <f>+HYPERLINK("http://trademark.i-assist.jp/data/china/image_1905th/79273311.pdf","79273311")</f>
        <v>79273311</v>
      </c>
      <c r="F1171" s="13" t="s">
        <v>2139</v>
      </c>
      <c r="G1171" s="13" t="s">
        <v>2138</v>
      </c>
      <c r="H1171" s="13" t="s">
        <v>5050</v>
      </c>
      <c r="I1171" s="12">
        <v>45461</v>
      </c>
    </row>
    <row r="1172" spans="1:9" x14ac:dyDescent="0.15">
      <c r="A1172" s="10">
        <v>1171</v>
      </c>
      <c r="B1172" s="9" t="s">
        <v>9</v>
      </c>
      <c r="C1172" s="11" t="s">
        <v>10</v>
      </c>
      <c r="D1172" s="12">
        <v>45562</v>
      </c>
      <c r="E1172" s="14" t="str">
        <f>+HYPERLINK("http://trademark.i-assist.jp/data/china/image_1905th/79279627.pdf","79279627")</f>
        <v>79279627</v>
      </c>
      <c r="F1172" s="13" t="s">
        <v>2141</v>
      </c>
      <c r="G1172" s="13" t="s">
        <v>2140</v>
      </c>
      <c r="H1172" s="13" t="s">
        <v>5051</v>
      </c>
      <c r="I1172" s="12">
        <v>45461</v>
      </c>
    </row>
    <row r="1173" spans="1:9" x14ac:dyDescent="0.15">
      <c r="A1173" s="10">
        <v>1172</v>
      </c>
      <c r="B1173" s="9" t="s">
        <v>9</v>
      </c>
      <c r="C1173" s="11" t="s">
        <v>10</v>
      </c>
      <c r="D1173" s="12">
        <v>45562</v>
      </c>
      <c r="E1173" s="14" t="str">
        <f>+HYPERLINK("http://trademark.i-assist.jp/data/china/image_1905th/79296856.pdf","79296856")</f>
        <v>79296856</v>
      </c>
      <c r="F1173" s="13" t="s">
        <v>2142</v>
      </c>
      <c r="G1173" s="13" t="s">
        <v>1282</v>
      </c>
      <c r="H1173" s="13" t="s">
        <v>4688</v>
      </c>
      <c r="I1173" s="12">
        <v>45461</v>
      </c>
    </row>
    <row r="1174" spans="1:9" x14ac:dyDescent="0.15">
      <c r="A1174" s="10">
        <v>1173</v>
      </c>
      <c r="B1174" s="9" t="s">
        <v>9</v>
      </c>
      <c r="C1174" s="11" t="s">
        <v>10</v>
      </c>
      <c r="D1174" s="12">
        <v>45562</v>
      </c>
      <c r="E1174" s="14" t="str">
        <f>+HYPERLINK("http://trademark.i-assist.jp/data/china/image_1905th/78261556.pdf","78261556")</f>
        <v>78261556</v>
      </c>
      <c r="F1174" s="13" t="s">
        <v>2144</v>
      </c>
      <c r="G1174" s="13" t="s">
        <v>2143</v>
      </c>
      <c r="H1174" s="13" t="s">
        <v>5052</v>
      </c>
      <c r="I1174" s="12">
        <v>45408</v>
      </c>
    </row>
    <row r="1175" spans="1:9" x14ac:dyDescent="0.15">
      <c r="A1175" s="10">
        <v>1174</v>
      </c>
      <c r="B1175" s="9" t="s">
        <v>9</v>
      </c>
      <c r="C1175" s="11" t="s">
        <v>10</v>
      </c>
      <c r="D1175" s="12">
        <v>45562</v>
      </c>
      <c r="E1175" s="14" t="str">
        <f>+HYPERLINK("http://trademark.i-assist.jp/data/china/image_1905th/79329738.pdf","79329738")</f>
        <v>79329738</v>
      </c>
      <c r="F1175" s="13" t="s">
        <v>2146</v>
      </c>
      <c r="G1175" s="13" t="s">
        <v>2145</v>
      </c>
      <c r="H1175" s="13" t="s">
        <v>4481</v>
      </c>
      <c r="I1175" s="12">
        <v>45463</v>
      </c>
    </row>
    <row r="1176" spans="1:9" x14ac:dyDescent="0.15">
      <c r="A1176" s="10">
        <v>1175</v>
      </c>
      <c r="B1176" s="9" t="s">
        <v>9</v>
      </c>
      <c r="C1176" s="11" t="s">
        <v>10</v>
      </c>
      <c r="D1176" s="12">
        <v>45562</v>
      </c>
      <c r="E1176" s="14" t="str">
        <f>+HYPERLINK("http://trademark.i-assist.jp/data/china/image_1905th/79333922.pdf","79333922")</f>
        <v>79333922</v>
      </c>
      <c r="F1176" s="13" t="s">
        <v>2148</v>
      </c>
      <c r="G1176" s="13" t="s">
        <v>2147</v>
      </c>
      <c r="H1176" s="13" t="s">
        <v>4972</v>
      </c>
      <c r="I1176" s="12">
        <v>45463</v>
      </c>
    </row>
    <row r="1177" spans="1:9" x14ac:dyDescent="0.15">
      <c r="A1177" s="10">
        <v>1176</v>
      </c>
      <c r="B1177" s="9" t="s">
        <v>9</v>
      </c>
      <c r="C1177" s="11" t="s">
        <v>10</v>
      </c>
      <c r="D1177" s="12">
        <v>45562</v>
      </c>
      <c r="E1177" s="14" t="str">
        <f>+HYPERLINK("http://trademark.i-assist.jp/data/china/image_1905th/79364489.pdf","79364489")</f>
        <v>79364489</v>
      </c>
      <c r="F1177" s="13" t="s">
        <v>2150</v>
      </c>
      <c r="G1177" s="13" t="s">
        <v>2149</v>
      </c>
      <c r="H1177" s="13" t="s">
        <v>5053</v>
      </c>
      <c r="I1177" s="12">
        <v>45464</v>
      </c>
    </row>
    <row r="1178" spans="1:9" x14ac:dyDescent="0.15">
      <c r="A1178" s="10">
        <v>1177</v>
      </c>
      <c r="B1178" s="9" t="s">
        <v>9</v>
      </c>
      <c r="C1178" s="11" t="s">
        <v>10</v>
      </c>
      <c r="D1178" s="12">
        <v>45562</v>
      </c>
      <c r="E1178" s="14" t="str">
        <f>+HYPERLINK("http://trademark.i-assist.jp/data/china/image_1905th/79365003.pdf","79365003")</f>
        <v>79365003</v>
      </c>
      <c r="F1178" s="13" t="s">
        <v>2151</v>
      </c>
      <c r="G1178" s="13" t="s">
        <v>891</v>
      </c>
      <c r="H1178" s="13" t="s">
        <v>4545</v>
      </c>
      <c r="I1178" s="12">
        <v>45464</v>
      </c>
    </row>
    <row r="1179" spans="1:9" x14ac:dyDescent="0.15">
      <c r="A1179" s="10">
        <v>1178</v>
      </c>
      <c r="B1179" s="9" t="s">
        <v>9</v>
      </c>
      <c r="C1179" s="11" t="s">
        <v>10</v>
      </c>
      <c r="D1179" s="12">
        <v>45562</v>
      </c>
      <c r="E1179" s="14" t="str">
        <f>+HYPERLINK("http://trademark.i-assist.jp/data/china/image_1905th/79370305.pdf","79370305")</f>
        <v>79370305</v>
      </c>
      <c r="F1179" s="13" t="s">
        <v>2153</v>
      </c>
      <c r="G1179" s="13" t="s">
        <v>2152</v>
      </c>
      <c r="H1179" s="13" t="s">
        <v>5054</v>
      </c>
      <c r="I1179" s="12">
        <v>45464</v>
      </c>
    </row>
    <row r="1180" spans="1:9" x14ac:dyDescent="0.15">
      <c r="A1180" s="10">
        <v>1179</v>
      </c>
      <c r="B1180" s="9" t="s">
        <v>9</v>
      </c>
      <c r="C1180" s="11" t="s">
        <v>10</v>
      </c>
      <c r="D1180" s="12">
        <v>45562</v>
      </c>
      <c r="E1180" s="14" t="str">
        <f>+HYPERLINK("http://trademark.i-assist.jp/data/china/image_1905th/79373268.pdf","79373268")</f>
        <v>79373268</v>
      </c>
      <c r="F1180" s="13" t="s">
        <v>2155</v>
      </c>
      <c r="G1180" s="13" t="s">
        <v>2154</v>
      </c>
      <c r="H1180" s="13" t="s">
        <v>5055</v>
      </c>
      <c r="I1180" s="12">
        <v>45464</v>
      </c>
    </row>
    <row r="1181" spans="1:9" x14ac:dyDescent="0.15">
      <c r="A1181" s="10">
        <v>1180</v>
      </c>
      <c r="B1181" s="9" t="s">
        <v>9</v>
      </c>
      <c r="C1181" s="11" t="s">
        <v>10</v>
      </c>
      <c r="D1181" s="12">
        <v>45562</v>
      </c>
      <c r="E1181" s="14" t="str">
        <f>+HYPERLINK("http://trademark.i-assist.jp/data/china/image_1905th/79380544.pdf","79380544")</f>
        <v>79380544</v>
      </c>
      <c r="F1181" s="13" t="s">
        <v>2157</v>
      </c>
      <c r="G1181" s="13" t="s">
        <v>2156</v>
      </c>
      <c r="H1181" s="13" t="s">
        <v>5056</v>
      </c>
      <c r="I1181" s="12">
        <v>45465</v>
      </c>
    </row>
    <row r="1182" spans="1:9" x14ac:dyDescent="0.15">
      <c r="A1182" s="10">
        <v>1181</v>
      </c>
      <c r="B1182" s="9" t="s">
        <v>9</v>
      </c>
      <c r="C1182" s="11" t="s">
        <v>10</v>
      </c>
      <c r="D1182" s="12">
        <v>45562</v>
      </c>
      <c r="E1182" s="14" t="str">
        <f>+HYPERLINK("http://trademark.i-assist.jp/data/china/image_1905th/77960125.pdf","77960125")</f>
        <v>77960125</v>
      </c>
      <c r="F1182" s="13" t="s">
        <v>2159</v>
      </c>
      <c r="G1182" s="13" t="s">
        <v>2158</v>
      </c>
      <c r="H1182" s="13" t="s">
        <v>2160</v>
      </c>
      <c r="I1182" s="12">
        <v>45397</v>
      </c>
    </row>
    <row r="1183" spans="1:9" x14ac:dyDescent="0.15">
      <c r="A1183" s="10">
        <v>1182</v>
      </c>
      <c r="B1183" s="9" t="s">
        <v>9</v>
      </c>
      <c r="C1183" s="11" t="s">
        <v>10</v>
      </c>
      <c r="D1183" s="12">
        <v>45562</v>
      </c>
      <c r="E1183" s="14" t="str">
        <f>+HYPERLINK("http://trademark.i-assist.jp/data/china/image_1905th/79732761.pdf","79732761")</f>
        <v>79732761</v>
      </c>
      <c r="F1183" s="13" t="s">
        <v>2162</v>
      </c>
      <c r="G1183" s="13" t="s">
        <v>2161</v>
      </c>
      <c r="H1183" s="13" t="s">
        <v>5057</v>
      </c>
      <c r="I1183" s="12">
        <v>45484</v>
      </c>
    </row>
    <row r="1184" spans="1:9" x14ac:dyDescent="0.15">
      <c r="A1184" s="10">
        <v>1183</v>
      </c>
      <c r="B1184" s="9" t="s">
        <v>9</v>
      </c>
      <c r="C1184" s="11" t="s">
        <v>10</v>
      </c>
      <c r="D1184" s="12">
        <v>45562</v>
      </c>
      <c r="E1184" s="14" t="str">
        <f>+HYPERLINK("http://trademark.i-assist.jp/data/china/image_1905th/79715158.pdf","79715158")</f>
        <v>79715158</v>
      </c>
      <c r="F1184" s="13" t="s">
        <v>2164</v>
      </c>
      <c r="G1184" s="13" t="s">
        <v>2163</v>
      </c>
      <c r="H1184" s="13" t="s">
        <v>5058</v>
      </c>
      <c r="I1184" s="12">
        <v>45483</v>
      </c>
    </row>
    <row r="1185" spans="1:9" x14ac:dyDescent="0.15">
      <c r="A1185" s="10">
        <v>1184</v>
      </c>
      <c r="B1185" s="9" t="s">
        <v>9</v>
      </c>
      <c r="C1185" s="11" t="s">
        <v>10</v>
      </c>
      <c r="D1185" s="12">
        <v>45562</v>
      </c>
      <c r="E1185" s="14" t="str">
        <f>+HYPERLINK("http://trademark.i-assist.jp/data/china/image_1905th/79719683.pdf","79719683")</f>
        <v>79719683</v>
      </c>
      <c r="F1185" s="13" t="s">
        <v>2166</v>
      </c>
      <c r="G1185" s="13" t="s">
        <v>2165</v>
      </c>
      <c r="H1185" s="13" t="s">
        <v>4227</v>
      </c>
      <c r="I1185" s="12">
        <v>45483</v>
      </c>
    </row>
    <row r="1186" spans="1:9" x14ac:dyDescent="0.15">
      <c r="A1186" s="10">
        <v>1185</v>
      </c>
      <c r="B1186" s="9" t="s">
        <v>9</v>
      </c>
      <c r="C1186" s="11" t="s">
        <v>10</v>
      </c>
      <c r="D1186" s="12">
        <v>45562</v>
      </c>
      <c r="E1186" s="14" t="str">
        <f>+HYPERLINK("http://trademark.i-assist.jp/data/china/image_1905th/79722568.pdf","79722568")</f>
        <v>79722568</v>
      </c>
      <c r="F1186" s="13" t="s">
        <v>2168</v>
      </c>
      <c r="G1186" s="13" t="s">
        <v>2167</v>
      </c>
      <c r="H1186" s="13" t="s">
        <v>5059</v>
      </c>
      <c r="I1186" s="12">
        <v>45483</v>
      </c>
    </row>
    <row r="1187" spans="1:9" x14ac:dyDescent="0.15">
      <c r="A1187" s="10">
        <v>1186</v>
      </c>
      <c r="B1187" s="9" t="s">
        <v>9</v>
      </c>
      <c r="C1187" s="11" t="s">
        <v>10</v>
      </c>
      <c r="D1187" s="12">
        <v>45562</v>
      </c>
      <c r="E1187" s="14" t="str">
        <f>+HYPERLINK("http://trademark.i-assist.jp/data/china/image_1905th/79773786.pdf","79773786")</f>
        <v>79773786</v>
      </c>
      <c r="F1187" s="13" t="s">
        <v>2170</v>
      </c>
      <c r="G1187" s="13" t="s">
        <v>2169</v>
      </c>
      <c r="H1187" s="13" t="s">
        <v>5060</v>
      </c>
      <c r="I1187" s="12">
        <v>45485</v>
      </c>
    </row>
    <row r="1188" spans="1:9" x14ac:dyDescent="0.15">
      <c r="A1188" s="10">
        <v>1187</v>
      </c>
      <c r="B1188" s="9" t="s">
        <v>9</v>
      </c>
      <c r="C1188" s="11" t="s">
        <v>10</v>
      </c>
      <c r="D1188" s="12">
        <v>45562</v>
      </c>
      <c r="E1188" s="14" t="str">
        <f>+HYPERLINK("http://trademark.i-assist.jp/data/china/image_1905th/79782322.pdf","79782322")</f>
        <v>79782322</v>
      </c>
      <c r="F1188" s="13" t="s">
        <v>2172</v>
      </c>
      <c r="G1188" s="13" t="s">
        <v>2171</v>
      </c>
      <c r="H1188" s="13" t="s">
        <v>5061</v>
      </c>
      <c r="I1188" s="12">
        <v>45487</v>
      </c>
    </row>
    <row r="1189" spans="1:9" x14ac:dyDescent="0.15">
      <c r="A1189" s="10">
        <v>1188</v>
      </c>
      <c r="B1189" s="9" t="s">
        <v>9</v>
      </c>
      <c r="C1189" s="11" t="s">
        <v>10</v>
      </c>
      <c r="D1189" s="12">
        <v>45562</v>
      </c>
      <c r="E1189" s="14" t="str">
        <f>+HYPERLINK("http://trademark.i-assist.jp/data/china/image_1905th/79793887.pdf","79793887")</f>
        <v>79793887</v>
      </c>
      <c r="F1189" s="13" t="s">
        <v>2174</v>
      </c>
      <c r="G1189" s="13" t="s">
        <v>2173</v>
      </c>
      <c r="H1189" s="13" t="s">
        <v>4449</v>
      </c>
      <c r="I1189" s="12">
        <v>45488</v>
      </c>
    </row>
    <row r="1190" spans="1:9" x14ac:dyDescent="0.15">
      <c r="A1190" s="10">
        <v>1189</v>
      </c>
      <c r="B1190" s="9" t="s">
        <v>9</v>
      </c>
      <c r="C1190" s="11" t="s">
        <v>10</v>
      </c>
      <c r="D1190" s="12">
        <v>45562</v>
      </c>
      <c r="E1190" s="14" t="str">
        <f>+HYPERLINK("http://trademark.i-assist.jp/data/china/image_1905th/79799567.pdf","79799567")</f>
        <v>79799567</v>
      </c>
      <c r="F1190" s="13" t="s">
        <v>2176</v>
      </c>
      <c r="G1190" s="13" t="s">
        <v>2175</v>
      </c>
      <c r="H1190" s="13" t="s">
        <v>4628</v>
      </c>
      <c r="I1190" s="12">
        <v>45488</v>
      </c>
    </row>
    <row r="1191" spans="1:9" x14ac:dyDescent="0.15">
      <c r="A1191" s="10">
        <v>1190</v>
      </c>
      <c r="B1191" s="9" t="s">
        <v>9</v>
      </c>
      <c r="C1191" s="11" t="s">
        <v>10</v>
      </c>
      <c r="D1191" s="12">
        <v>45562</v>
      </c>
      <c r="E1191" s="14" t="str">
        <f>+HYPERLINK("http://trademark.i-assist.jp/data/china/image_1905th/79809778.pdf","79809778")</f>
        <v>79809778</v>
      </c>
      <c r="F1191" s="13" t="s">
        <v>2178</v>
      </c>
      <c r="G1191" s="13" t="s">
        <v>2177</v>
      </c>
      <c r="H1191" s="13" t="s">
        <v>5062</v>
      </c>
      <c r="I1191" s="12">
        <v>45489</v>
      </c>
    </row>
    <row r="1192" spans="1:9" x14ac:dyDescent="0.15">
      <c r="A1192" s="10">
        <v>1191</v>
      </c>
      <c r="B1192" s="9" t="s">
        <v>9</v>
      </c>
      <c r="C1192" s="11" t="s">
        <v>10</v>
      </c>
      <c r="D1192" s="12">
        <v>45562</v>
      </c>
      <c r="E1192" s="14" t="str">
        <f>+HYPERLINK("http://trademark.i-assist.jp/data/china/image_1905th/79819225.pdf","79819225")</f>
        <v>79819225</v>
      </c>
      <c r="F1192" s="13" t="s">
        <v>2179</v>
      </c>
      <c r="G1192" s="13" t="s">
        <v>586</v>
      </c>
      <c r="H1192" s="13" t="s">
        <v>4416</v>
      </c>
      <c r="I1192" s="12">
        <v>45489</v>
      </c>
    </row>
    <row r="1193" spans="1:9" x14ac:dyDescent="0.15">
      <c r="A1193" s="10">
        <v>1192</v>
      </c>
      <c r="B1193" s="9" t="s">
        <v>9</v>
      </c>
      <c r="C1193" s="11" t="s">
        <v>10</v>
      </c>
      <c r="D1193" s="12">
        <v>45562</v>
      </c>
      <c r="E1193" s="14" t="str">
        <f>+HYPERLINK("http://trademark.i-assist.jp/data/china/image_1905th/79822428.pdf","79822428")</f>
        <v>79822428</v>
      </c>
      <c r="F1193" s="13" t="s">
        <v>2181</v>
      </c>
      <c r="G1193" s="13" t="s">
        <v>2180</v>
      </c>
      <c r="H1193" s="13" t="s">
        <v>5063</v>
      </c>
      <c r="I1193" s="12">
        <v>45489</v>
      </c>
    </row>
    <row r="1194" spans="1:9" x14ac:dyDescent="0.15">
      <c r="A1194" s="10">
        <v>1193</v>
      </c>
      <c r="B1194" s="9" t="s">
        <v>9</v>
      </c>
      <c r="C1194" s="11" t="s">
        <v>10</v>
      </c>
      <c r="D1194" s="12">
        <v>45562</v>
      </c>
      <c r="E1194" s="14" t="str">
        <f>+HYPERLINK("http://trademark.i-assist.jp/data/china/image_1905th/79825014.pdf","79825014")</f>
        <v>79825014</v>
      </c>
      <c r="F1194" s="13" t="s">
        <v>2182</v>
      </c>
      <c r="G1194" s="13" t="s">
        <v>1989</v>
      </c>
      <c r="H1194" s="13" t="s">
        <v>4991</v>
      </c>
      <c r="I1194" s="12">
        <v>45489</v>
      </c>
    </row>
    <row r="1195" spans="1:9" x14ac:dyDescent="0.15">
      <c r="A1195" s="10">
        <v>1194</v>
      </c>
      <c r="B1195" s="9" t="s">
        <v>9</v>
      </c>
      <c r="C1195" s="11" t="s">
        <v>10</v>
      </c>
      <c r="D1195" s="12">
        <v>45562</v>
      </c>
      <c r="E1195" s="14" t="str">
        <f>+HYPERLINK("http://trademark.i-assist.jp/data/china/image_1905th/79826202.pdf","79826202")</f>
        <v>79826202</v>
      </c>
      <c r="F1195" s="13" t="s">
        <v>2183</v>
      </c>
      <c r="G1195" s="13" t="s">
        <v>586</v>
      </c>
      <c r="H1195" s="13" t="s">
        <v>4416</v>
      </c>
      <c r="I1195" s="12">
        <v>45489</v>
      </c>
    </row>
    <row r="1196" spans="1:9" x14ac:dyDescent="0.15">
      <c r="A1196" s="10">
        <v>1195</v>
      </c>
      <c r="B1196" s="9" t="s">
        <v>9</v>
      </c>
      <c r="C1196" s="11" t="s">
        <v>10</v>
      </c>
      <c r="D1196" s="12">
        <v>45562</v>
      </c>
      <c r="E1196" s="14" t="str">
        <f>+HYPERLINK("http://trademark.i-assist.jp/data/china/image_1905th/79836248.pdf","79836248")</f>
        <v>79836248</v>
      </c>
      <c r="F1196" s="13" t="s">
        <v>2185</v>
      </c>
      <c r="G1196" s="13" t="s">
        <v>2184</v>
      </c>
      <c r="H1196" s="13" t="s">
        <v>5064</v>
      </c>
      <c r="I1196" s="12">
        <v>45490</v>
      </c>
    </row>
    <row r="1197" spans="1:9" x14ac:dyDescent="0.15">
      <c r="A1197" s="10">
        <v>1196</v>
      </c>
      <c r="B1197" s="9" t="s">
        <v>9</v>
      </c>
      <c r="C1197" s="11" t="s">
        <v>10</v>
      </c>
      <c r="D1197" s="12">
        <v>45562</v>
      </c>
      <c r="E1197" s="14" t="str">
        <f>+HYPERLINK("http://trademark.i-assist.jp/data/china/image_1905th/79838205.pdf","79838205")</f>
        <v>79838205</v>
      </c>
      <c r="F1197" s="13" t="s">
        <v>2187</v>
      </c>
      <c r="G1197" s="13" t="s">
        <v>2186</v>
      </c>
      <c r="H1197" s="13" t="s">
        <v>5065</v>
      </c>
      <c r="I1197" s="12">
        <v>45490</v>
      </c>
    </row>
    <row r="1198" spans="1:9" x14ac:dyDescent="0.15">
      <c r="A1198" s="10">
        <v>1197</v>
      </c>
      <c r="B1198" s="9" t="s">
        <v>9</v>
      </c>
      <c r="C1198" s="11" t="s">
        <v>10</v>
      </c>
      <c r="D1198" s="12">
        <v>45562</v>
      </c>
      <c r="E1198" s="14" t="str">
        <f>+HYPERLINK("http://trademark.i-assist.jp/data/china/image_1905th/79849141.pdf","79849141")</f>
        <v>79849141</v>
      </c>
      <c r="F1198" s="13" t="s">
        <v>2189</v>
      </c>
      <c r="G1198" s="13" t="s">
        <v>2188</v>
      </c>
      <c r="H1198" s="13" t="s">
        <v>5066</v>
      </c>
      <c r="I1198" s="12">
        <v>45490</v>
      </c>
    </row>
    <row r="1199" spans="1:9" x14ac:dyDescent="0.15">
      <c r="A1199" s="10">
        <v>1198</v>
      </c>
      <c r="B1199" s="9" t="s">
        <v>9</v>
      </c>
      <c r="C1199" s="11" t="s">
        <v>10</v>
      </c>
      <c r="D1199" s="12">
        <v>45562</v>
      </c>
      <c r="E1199" s="14" t="str">
        <f>+HYPERLINK("http://trademark.i-assist.jp/data/china/image_1905th/79857522.pdf","79857522")</f>
        <v>79857522</v>
      </c>
      <c r="F1199" s="13" t="s">
        <v>2191</v>
      </c>
      <c r="G1199" s="13" t="s">
        <v>2190</v>
      </c>
      <c r="H1199" s="13" t="s">
        <v>5067</v>
      </c>
      <c r="I1199" s="12">
        <v>45491</v>
      </c>
    </row>
    <row r="1200" spans="1:9" x14ac:dyDescent="0.15">
      <c r="A1200" s="10">
        <v>1199</v>
      </c>
      <c r="B1200" s="9" t="s">
        <v>9</v>
      </c>
      <c r="C1200" s="11" t="s">
        <v>10</v>
      </c>
      <c r="D1200" s="12">
        <v>45562</v>
      </c>
      <c r="E1200" s="14" t="str">
        <f>+HYPERLINK("http://trademark.i-assist.jp/data/china/image_1905th/79869436.pdf","79869436")</f>
        <v>79869436</v>
      </c>
      <c r="F1200" s="13" t="s">
        <v>2193</v>
      </c>
      <c r="G1200" s="13" t="s">
        <v>2192</v>
      </c>
      <c r="H1200" s="13" t="s">
        <v>5068</v>
      </c>
      <c r="I1200" s="12">
        <v>45491</v>
      </c>
    </row>
    <row r="1201" spans="1:9" x14ac:dyDescent="0.15">
      <c r="A1201" s="10">
        <v>1200</v>
      </c>
      <c r="B1201" s="9" t="s">
        <v>9</v>
      </c>
      <c r="C1201" s="11" t="s">
        <v>10</v>
      </c>
      <c r="D1201" s="12">
        <v>45562</v>
      </c>
      <c r="E1201" s="14" t="str">
        <f>+HYPERLINK("http://trademark.i-assist.jp/data/china/image_1905th/74594908.pdf","74594908")</f>
        <v>74594908</v>
      </c>
      <c r="F1201" s="13" t="s">
        <v>2195</v>
      </c>
      <c r="G1201" s="13" t="s">
        <v>2194</v>
      </c>
      <c r="H1201" s="13" t="s">
        <v>5069</v>
      </c>
      <c r="I1201" s="12">
        <v>45215</v>
      </c>
    </row>
    <row r="1202" spans="1:9" x14ac:dyDescent="0.15">
      <c r="A1202" s="10">
        <v>1201</v>
      </c>
      <c r="B1202" s="9" t="s">
        <v>9</v>
      </c>
      <c r="C1202" s="11" t="s">
        <v>10</v>
      </c>
      <c r="D1202" s="12">
        <v>45562</v>
      </c>
      <c r="E1202" s="14" t="str">
        <f>+HYPERLINK("http://trademark.i-assist.jp/data/china/image_1905th/77003058.pdf","77003058")</f>
        <v>77003058</v>
      </c>
      <c r="F1202" s="13" t="s">
        <v>2197</v>
      </c>
      <c r="G1202" s="13" t="s">
        <v>2196</v>
      </c>
      <c r="H1202" s="13" t="s">
        <v>5070</v>
      </c>
      <c r="I1202" s="12">
        <v>45350</v>
      </c>
    </row>
    <row r="1203" spans="1:9" x14ac:dyDescent="0.15">
      <c r="A1203" s="10">
        <v>1202</v>
      </c>
      <c r="B1203" s="9" t="s">
        <v>9</v>
      </c>
      <c r="C1203" s="11" t="s">
        <v>10</v>
      </c>
      <c r="D1203" s="12">
        <v>45562</v>
      </c>
      <c r="E1203" s="14" t="str">
        <f>+HYPERLINK("http://trademark.i-assist.jp/data/china/image_1905th/78654754.pdf","78654754")</f>
        <v>78654754</v>
      </c>
      <c r="F1203" s="13" t="s">
        <v>2199</v>
      </c>
      <c r="G1203" s="13" t="s">
        <v>2198</v>
      </c>
      <c r="H1203" s="13" t="s">
        <v>5071</v>
      </c>
      <c r="I1203" s="12">
        <v>45429</v>
      </c>
    </row>
    <row r="1204" spans="1:9" x14ac:dyDescent="0.15">
      <c r="A1204" s="10">
        <v>1203</v>
      </c>
      <c r="B1204" s="9" t="s">
        <v>9</v>
      </c>
      <c r="C1204" s="11" t="s">
        <v>10</v>
      </c>
      <c r="D1204" s="12">
        <v>45562</v>
      </c>
      <c r="E1204" s="14" t="str">
        <f>+HYPERLINK("http://trademark.i-assist.jp/data/china/image_1905th/78986086.pdf","78986086")</f>
        <v>78986086</v>
      </c>
      <c r="F1204" s="13" t="s">
        <v>73</v>
      </c>
      <c r="G1204" s="13" t="s">
        <v>2200</v>
      </c>
      <c r="H1204" s="13" t="s">
        <v>5072</v>
      </c>
      <c r="I1204" s="12">
        <v>45446</v>
      </c>
    </row>
    <row r="1205" spans="1:9" x14ac:dyDescent="0.15">
      <c r="A1205" s="10">
        <v>1204</v>
      </c>
      <c r="B1205" s="9" t="s">
        <v>9</v>
      </c>
      <c r="C1205" s="11" t="s">
        <v>10</v>
      </c>
      <c r="D1205" s="12">
        <v>45562</v>
      </c>
      <c r="E1205" s="14" t="str">
        <f>+HYPERLINK("http://trademark.i-assist.jp/data/china/image_1905th/78995903.pdf","78995903")</f>
        <v>78995903</v>
      </c>
      <c r="F1205" s="13" t="s">
        <v>2201</v>
      </c>
      <c r="G1205" s="13" t="s">
        <v>818</v>
      </c>
      <c r="H1205" s="13" t="s">
        <v>4245</v>
      </c>
      <c r="I1205" s="12">
        <v>45446</v>
      </c>
    </row>
    <row r="1206" spans="1:9" x14ac:dyDescent="0.15">
      <c r="A1206" s="10">
        <v>1205</v>
      </c>
      <c r="B1206" s="9" t="s">
        <v>9</v>
      </c>
      <c r="C1206" s="11" t="s">
        <v>10</v>
      </c>
      <c r="D1206" s="12">
        <v>45562</v>
      </c>
      <c r="E1206" s="14" t="str">
        <f>+HYPERLINK("http://trademark.i-assist.jp/data/china/image_1905th/79123106.pdf","79123106")</f>
        <v>79123106</v>
      </c>
      <c r="F1206" s="13" t="s">
        <v>2203</v>
      </c>
      <c r="G1206" s="13" t="s">
        <v>2202</v>
      </c>
      <c r="H1206" s="13" t="s">
        <v>5073</v>
      </c>
      <c r="I1206" s="12">
        <v>45452</v>
      </c>
    </row>
    <row r="1207" spans="1:9" x14ac:dyDescent="0.15">
      <c r="A1207" s="10">
        <v>1206</v>
      </c>
      <c r="B1207" s="9" t="s">
        <v>9</v>
      </c>
      <c r="C1207" s="11" t="s">
        <v>10</v>
      </c>
      <c r="D1207" s="12">
        <v>45562</v>
      </c>
      <c r="E1207" s="14" t="str">
        <f>+HYPERLINK("http://trademark.i-assist.jp/data/china/image_1905th/79134856.pdf","79134856")</f>
        <v>79134856</v>
      </c>
      <c r="F1207" s="13" t="s">
        <v>2205</v>
      </c>
      <c r="G1207" s="13" t="s">
        <v>2204</v>
      </c>
      <c r="H1207" s="13" t="s">
        <v>5074</v>
      </c>
      <c r="I1207" s="12">
        <v>45454</v>
      </c>
    </row>
    <row r="1208" spans="1:9" x14ac:dyDescent="0.15">
      <c r="A1208" s="10">
        <v>1207</v>
      </c>
      <c r="B1208" s="9" t="s">
        <v>9</v>
      </c>
      <c r="C1208" s="11" t="s">
        <v>10</v>
      </c>
      <c r="D1208" s="12">
        <v>45562</v>
      </c>
      <c r="E1208" s="14" t="str">
        <f>+HYPERLINK("http://trademark.i-assist.jp/data/china/image_1905th/79137728.pdf","79137728")</f>
        <v>79137728</v>
      </c>
      <c r="F1208" s="13" t="s">
        <v>2207</v>
      </c>
      <c r="G1208" s="13" t="s">
        <v>2206</v>
      </c>
      <c r="H1208" s="13" t="s">
        <v>5075</v>
      </c>
      <c r="I1208" s="12">
        <v>45454</v>
      </c>
    </row>
    <row r="1209" spans="1:9" x14ac:dyDescent="0.15">
      <c r="A1209" s="10">
        <v>1208</v>
      </c>
      <c r="B1209" s="9" t="s">
        <v>9</v>
      </c>
      <c r="C1209" s="11" t="s">
        <v>10</v>
      </c>
      <c r="D1209" s="12">
        <v>45562</v>
      </c>
      <c r="E1209" s="14" t="str">
        <f>+HYPERLINK("http://trademark.i-assist.jp/data/china/image_1905th/79173410.pdf","79173410")</f>
        <v>79173410</v>
      </c>
      <c r="F1209" s="13" t="s">
        <v>2209</v>
      </c>
      <c r="G1209" s="13" t="s">
        <v>2208</v>
      </c>
      <c r="H1209" s="13" t="s">
        <v>5076</v>
      </c>
      <c r="I1209" s="12">
        <v>45455</v>
      </c>
    </row>
    <row r="1210" spans="1:9" x14ac:dyDescent="0.15">
      <c r="A1210" s="10">
        <v>1209</v>
      </c>
      <c r="B1210" s="9" t="s">
        <v>9</v>
      </c>
      <c r="C1210" s="11" t="s">
        <v>10</v>
      </c>
      <c r="D1210" s="12">
        <v>45562</v>
      </c>
      <c r="E1210" s="14" t="str">
        <f>+HYPERLINK("http://trademark.i-assist.jp/data/china/image_1905th/77951601.pdf","77951601")</f>
        <v>77951601</v>
      </c>
      <c r="F1210" s="13" t="s">
        <v>2210</v>
      </c>
      <c r="G1210" s="13" t="s">
        <v>2071</v>
      </c>
      <c r="H1210" s="13" t="s">
        <v>5022</v>
      </c>
      <c r="I1210" s="12">
        <v>45395</v>
      </c>
    </row>
    <row r="1211" spans="1:9" x14ac:dyDescent="0.15">
      <c r="A1211" s="10">
        <v>1210</v>
      </c>
      <c r="B1211" s="9" t="s">
        <v>9</v>
      </c>
      <c r="C1211" s="11" t="s">
        <v>10</v>
      </c>
      <c r="D1211" s="12">
        <v>45562</v>
      </c>
      <c r="E1211" s="14" t="str">
        <f>+HYPERLINK("http://trademark.i-assist.jp/data/china/image_1905th/78049656.pdf","78049656")</f>
        <v>78049656</v>
      </c>
      <c r="F1211" s="13" t="s">
        <v>2212</v>
      </c>
      <c r="G1211" s="13" t="s">
        <v>2211</v>
      </c>
      <c r="H1211" s="13" t="s">
        <v>5077</v>
      </c>
      <c r="I1211" s="12">
        <v>45400</v>
      </c>
    </row>
    <row r="1212" spans="1:9" x14ac:dyDescent="0.15">
      <c r="A1212" s="10">
        <v>1211</v>
      </c>
      <c r="B1212" s="9" t="s">
        <v>9</v>
      </c>
      <c r="C1212" s="11" t="s">
        <v>10</v>
      </c>
      <c r="D1212" s="12">
        <v>45562</v>
      </c>
      <c r="E1212" s="14" t="str">
        <f>+HYPERLINK("http://trademark.i-assist.jp/data/china/image_1905th/78091172.pdf","78091172")</f>
        <v>78091172</v>
      </c>
      <c r="F1212" s="13" t="s">
        <v>2214</v>
      </c>
      <c r="G1212" s="13" t="s">
        <v>2213</v>
      </c>
      <c r="H1212" s="13" t="s">
        <v>4549</v>
      </c>
      <c r="I1212" s="12">
        <v>45401</v>
      </c>
    </row>
    <row r="1213" spans="1:9" x14ac:dyDescent="0.15">
      <c r="A1213" s="10">
        <v>1212</v>
      </c>
      <c r="B1213" s="9" t="s">
        <v>9</v>
      </c>
      <c r="C1213" s="11" t="s">
        <v>10</v>
      </c>
      <c r="D1213" s="12">
        <v>45562</v>
      </c>
      <c r="E1213" s="14" t="str">
        <f>+HYPERLINK("http://trademark.i-assist.jp/data/china/image_1905th/78157505.pdf","78157505")</f>
        <v>78157505</v>
      </c>
      <c r="F1213" s="13" t="s">
        <v>2216</v>
      </c>
      <c r="G1213" s="13" t="s">
        <v>2215</v>
      </c>
      <c r="H1213" s="13" t="s">
        <v>5078</v>
      </c>
      <c r="I1213" s="12">
        <v>45405</v>
      </c>
    </row>
    <row r="1214" spans="1:9" x14ac:dyDescent="0.15">
      <c r="A1214" s="10">
        <v>1213</v>
      </c>
      <c r="B1214" s="9" t="s">
        <v>9</v>
      </c>
      <c r="C1214" s="11" t="s">
        <v>10</v>
      </c>
      <c r="D1214" s="12">
        <v>45562</v>
      </c>
      <c r="E1214" s="14" t="str">
        <f>+HYPERLINK("http://trademark.i-assist.jp/data/china/image_1905th/79254154.pdf","79254154")</f>
        <v>79254154</v>
      </c>
      <c r="F1214" s="13" t="s">
        <v>2217</v>
      </c>
      <c r="G1214" s="13" t="s">
        <v>320</v>
      </c>
      <c r="H1214" s="13" t="s">
        <v>4290</v>
      </c>
      <c r="I1214" s="12">
        <v>45460</v>
      </c>
    </row>
    <row r="1215" spans="1:9" x14ac:dyDescent="0.15">
      <c r="A1215" s="10">
        <v>1214</v>
      </c>
      <c r="B1215" s="9" t="s">
        <v>9</v>
      </c>
      <c r="C1215" s="11" t="s">
        <v>10</v>
      </c>
      <c r="D1215" s="12">
        <v>45562</v>
      </c>
      <c r="E1215" s="14" t="str">
        <f>+HYPERLINK("http://trademark.i-assist.jp/data/china/image_1905th/79295850.pdf","79295850")</f>
        <v>79295850</v>
      </c>
      <c r="F1215" s="13" t="s">
        <v>2219</v>
      </c>
      <c r="G1215" s="13" t="s">
        <v>2218</v>
      </c>
      <c r="H1215" s="13" t="s">
        <v>5079</v>
      </c>
      <c r="I1215" s="12">
        <v>45461</v>
      </c>
    </row>
    <row r="1216" spans="1:9" x14ac:dyDescent="0.15">
      <c r="A1216" s="10">
        <v>1215</v>
      </c>
      <c r="B1216" s="9" t="s">
        <v>9</v>
      </c>
      <c r="C1216" s="11" t="s">
        <v>10</v>
      </c>
      <c r="D1216" s="12">
        <v>45562</v>
      </c>
      <c r="E1216" s="14" t="str">
        <f>+HYPERLINK("http://trademark.i-assist.jp/data/china/image_1905th/79306050.pdf","79306050")</f>
        <v>79306050</v>
      </c>
      <c r="F1216" s="13" t="s">
        <v>2221</v>
      </c>
      <c r="G1216" s="13" t="s">
        <v>2220</v>
      </c>
      <c r="H1216" s="13" t="s">
        <v>5080</v>
      </c>
      <c r="I1216" s="12">
        <v>45462</v>
      </c>
    </row>
    <row r="1217" spans="1:9" x14ac:dyDescent="0.15">
      <c r="A1217" s="10">
        <v>1216</v>
      </c>
      <c r="B1217" s="9" t="s">
        <v>9</v>
      </c>
      <c r="C1217" s="11" t="s">
        <v>10</v>
      </c>
      <c r="D1217" s="12">
        <v>45562</v>
      </c>
      <c r="E1217" s="14" t="str">
        <f>+HYPERLINK("http://trademark.i-assist.jp/data/china/image_1905th/79314242.pdf","79314242")</f>
        <v>79314242</v>
      </c>
      <c r="F1217" s="13" t="s">
        <v>2222</v>
      </c>
      <c r="G1217" s="13" t="s">
        <v>332</v>
      </c>
      <c r="H1217" s="13" t="s">
        <v>4296</v>
      </c>
      <c r="I1217" s="12">
        <v>45462</v>
      </c>
    </row>
    <row r="1218" spans="1:9" x14ac:dyDescent="0.15">
      <c r="A1218" s="10">
        <v>1217</v>
      </c>
      <c r="B1218" s="9" t="s">
        <v>9</v>
      </c>
      <c r="C1218" s="11" t="s">
        <v>10</v>
      </c>
      <c r="D1218" s="12">
        <v>45562</v>
      </c>
      <c r="E1218" s="14" t="str">
        <f>+HYPERLINK("http://trademark.i-assist.jp/data/china/image_1905th/79316068.pdf","79316068")</f>
        <v>79316068</v>
      </c>
      <c r="F1218" s="13" t="s">
        <v>73</v>
      </c>
      <c r="G1218" s="13" t="s">
        <v>2223</v>
      </c>
      <c r="H1218" s="13" t="s">
        <v>5081</v>
      </c>
      <c r="I1218" s="12">
        <v>45462</v>
      </c>
    </row>
    <row r="1219" spans="1:9" x14ac:dyDescent="0.15">
      <c r="A1219" s="10">
        <v>1218</v>
      </c>
      <c r="B1219" s="9" t="s">
        <v>9</v>
      </c>
      <c r="C1219" s="11" t="s">
        <v>10</v>
      </c>
      <c r="D1219" s="12">
        <v>45562</v>
      </c>
      <c r="E1219" s="14" t="str">
        <f>+HYPERLINK("http://trademark.i-assist.jp/data/china/image_1905th/79317772.pdf","79317772")</f>
        <v>79317772</v>
      </c>
      <c r="F1219" s="13" t="s">
        <v>2225</v>
      </c>
      <c r="G1219" s="13" t="s">
        <v>2224</v>
      </c>
      <c r="H1219" s="13" t="s">
        <v>5082</v>
      </c>
      <c r="I1219" s="12">
        <v>45462</v>
      </c>
    </row>
    <row r="1220" spans="1:9" x14ac:dyDescent="0.15">
      <c r="A1220" s="10">
        <v>1219</v>
      </c>
      <c r="B1220" s="9" t="s">
        <v>9</v>
      </c>
      <c r="C1220" s="11" t="s">
        <v>10</v>
      </c>
      <c r="D1220" s="12">
        <v>45562</v>
      </c>
      <c r="E1220" s="14" t="str">
        <f>+HYPERLINK("http://trademark.i-assist.jp/data/china/image_1905th/79320881.pdf","79320881")</f>
        <v>79320881</v>
      </c>
      <c r="F1220" s="13" t="s">
        <v>2226</v>
      </c>
      <c r="G1220" s="13" t="s">
        <v>1878</v>
      </c>
      <c r="H1220" s="13" t="s">
        <v>4938</v>
      </c>
      <c r="I1220" s="12">
        <v>45462</v>
      </c>
    </row>
    <row r="1221" spans="1:9" x14ac:dyDescent="0.15">
      <c r="A1221" s="10">
        <v>1220</v>
      </c>
      <c r="B1221" s="9" t="s">
        <v>9</v>
      </c>
      <c r="C1221" s="11" t="s">
        <v>10</v>
      </c>
      <c r="D1221" s="12">
        <v>45562</v>
      </c>
      <c r="E1221" s="14" t="str">
        <f>+HYPERLINK("http://trademark.i-assist.jp/data/china/image_1905th/79324887.pdf","79324887")</f>
        <v>79324887</v>
      </c>
      <c r="F1221" s="13" t="s">
        <v>2228</v>
      </c>
      <c r="G1221" s="13" t="s">
        <v>2227</v>
      </c>
      <c r="H1221" s="13" t="s">
        <v>5083</v>
      </c>
      <c r="I1221" s="12">
        <v>45463</v>
      </c>
    </row>
    <row r="1222" spans="1:9" x14ac:dyDescent="0.15">
      <c r="A1222" s="10">
        <v>1221</v>
      </c>
      <c r="B1222" s="9" t="s">
        <v>9</v>
      </c>
      <c r="C1222" s="11" t="s">
        <v>10</v>
      </c>
      <c r="D1222" s="12">
        <v>45562</v>
      </c>
      <c r="E1222" s="14" t="str">
        <f>+HYPERLINK("http://trademark.i-assist.jp/data/china/image_1905th/79327778.pdf","79327778")</f>
        <v>79327778</v>
      </c>
      <c r="F1222" s="13" t="s">
        <v>2230</v>
      </c>
      <c r="G1222" s="13" t="s">
        <v>2229</v>
      </c>
      <c r="H1222" s="13" t="s">
        <v>5084</v>
      </c>
      <c r="I1222" s="12">
        <v>45463</v>
      </c>
    </row>
    <row r="1223" spans="1:9" x14ac:dyDescent="0.15">
      <c r="A1223" s="10">
        <v>1222</v>
      </c>
      <c r="B1223" s="9" t="s">
        <v>9</v>
      </c>
      <c r="C1223" s="11" t="s">
        <v>10</v>
      </c>
      <c r="D1223" s="12">
        <v>45562</v>
      </c>
      <c r="E1223" s="14" t="str">
        <f>+HYPERLINK("http://trademark.i-assist.jp/data/china/image_1905th/79344188.pdf","79344188")</f>
        <v>79344188</v>
      </c>
      <c r="F1223" s="13" t="s">
        <v>2232</v>
      </c>
      <c r="G1223" s="13" t="s">
        <v>2231</v>
      </c>
      <c r="H1223" s="13" t="s">
        <v>5085</v>
      </c>
      <c r="I1223" s="12">
        <v>45463</v>
      </c>
    </row>
    <row r="1224" spans="1:9" x14ac:dyDescent="0.15">
      <c r="A1224" s="10">
        <v>1223</v>
      </c>
      <c r="B1224" s="9" t="s">
        <v>9</v>
      </c>
      <c r="C1224" s="11" t="s">
        <v>10</v>
      </c>
      <c r="D1224" s="12">
        <v>45562</v>
      </c>
      <c r="E1224" s="14" t="str">
        <f>+HYPERLINK("http://trademark.i-assist.jp/data/china/image_1905th/79349360.pdf","79349360")</f>
        <v>79349360</v>
      </c>
      <c r="F1224" s="13" t="s">
        <v>2234</v>
      </c>
      <c r="G1224" s="13" t="s">
        <v>2233</v>
      </c>
      <c r="H1224" s="13" t="s">
        <v>5086</v>
      </c>
      <c r="I1224" s="12">
        <v>45464</v>
      </c>
    </row>
    <row r="1225" spans="1:9" x14ac:dyDescent="0.15">
      <c r="A1225" s="10">
        <v>1224</v>
      </c>
      <c r="B1225" s="9" t="s">
        <v>9</v>
      </c>
      <c r="C1225" s="11" t="s">
        <v>10</v>
      </c>
      <c r="D1225" s="12">
        <v>45562</v>
      </c>
      <c r="E1225" s="14" t="str">
        <f>+HYPERLINK("http://trademark.i-assist.jp/data/china/image_1905th/79355839.pdf","79355839")</f>
        <v>79355839</v>
      </c>
      <c r="F1225" s="13" t="s">
        <v>2236</v>
      </c>
      <c r="G1225" s="13" t="s">
        <v>2235</v>
      </c>
      <c r="H1225" s="13" t="s">
        <v>5087</v>
      </c>
      <c r="I1225" s="12">
        <v>45464</v>
      </c>
    </row>
    <row r="1226" spans="1:9" x14ac:dyDescent="0.15">
      <c r="A1226" s="10">
        <v>1225</v>
      </c>
      <c r="B1226" s="9" t="s">
        <v>9</v>
      </c>
      <c r="C1226" s="11" t="s">
        <v>10</v>
      </c>
      <c r="D1226" s="12">
        <v>45562</v>
      </c>
      <c r="E1226" s="14" t="str">
        <f>+HYPERLINK("http://trademark.i-assist.jp/data/china/image_1905th/79356730.pdf","79356730")</f>
        <v>79356730</v>
      </c>
      <c r="F1226" s="13" t="s">
        <v>2238</v>
      </c>
      <c r="G1226" s="13" t="s">
        <v>2237</v>
      </c>
      <c r="H1226" s="13" t="s">
        <v>5088</v>
      </c>
      <c r="I1226" s="12">
        <v>45464</v>
      </c>
    </row>
    <row r="1227" spans="1:9" x14ac:dyDescent="0.15">
      <c r="A1227" s="10">
        <v>1226</v>
      </c>
      <c r="B1227" s="9" t="s">
        <v>9</v>
      </c>
      <c r="C1227" s="11" t="s">
        <v>10</v>
      </c>
      <c r="D1227" s="12">
        <v>45562</v>
      </c>
      <c r="E1227" s="14" t="str">
        <f>+HYPERLINK("http://trademark.i-assist.jp/data/china/image_1905th/79367883.pdf","79367883")</f>
        <v>79367883</v>
      </c>
      <c r="F1227" s="13" t="s">
        <v>2239</v>
      </c>
      <c r="G1227" s="13" t="s">
        <v>1569</v>
      </c>
      <c r="H1227" s="13" t="s">
        <v>4810</v>
      </c>
      <c r="I1227" s="12">
        <v>45464</v>
      </c>
    </row>
    <row r="1228" spans="1:9" x14ac:dyDescent="0.15">
      <c r="A1228" s="10">
        <v>1227</v>
      </c>
      <c r="B1228" s="9" t="s">
        <v>9</v>
      </c>
      <c r="C1228" s="11" t="s">
        <v>10</v>
      </c>
      <c r="D1228" s="12">
        <v>45562</v>
      </c>
      <c r="E1228" s="14" t="str">
        <f>+HYPERLINK("http://trademark.i-assist.jp/data/china/image_1905th/79379990.pdf","79379990")</f>
        <v>79379990</v>
      </c>
      <c r="F1228" s="13" t="s">
        <v>2240</v>
      </c>
      <c r="G1228" s="13" t="s">
        <v>236</v>
      </c>
      <c r="H1228" s="13" t="s">
        <v>4253</v>
      </c>
      <c r="I1228" s="12">
        <v>45465</v>
      </c>
    </row>
    <row r="1229" spans="1:9" x14ac:dyDescent="0.15">
      <c r="A1229" s="10">
        <v>1228</v>
      </c>
      <c r="B1229" s="9" t="s">
        <v>9</v>
      </c>
      <c r="C1229" s="11" t="s">
        <v>10</v>
      </c>
      <c r="D1229" s="12">
        <v>45562</v>
      </c>
      <c r="E1229" s="14" t="str">
        <f>+HYPERLINK("http://trademark.i-assist.jp/data/china/image_1905th/79565250.pdf","79565250")</f>
        <v>79565250</v>
      </c>
      <c r="F1229" s="13" t="s">
        <v>2242</v>
      </c>
      <c r="G1229" s="13" t="s">
        <v>2241</v>
      </c>
      <c r="H1229" s="13" t="s">
        <v>5089</v>
      </c>
      <c r="I1229" s="12">
        <v>45475</v>
      </c>
    </row>
    <row r="1230" spans="1:9" x14ac:dyDescent="0.15">
      <c r="A1230" s="10">
        <v>1229</v>
      </c>
      <c r="B1230" s="9" t="s">
        <v>9</v>
      </c>
      <c r="C1230" s="11" t="s">
        <v>10</v>
      </c>
      <c r="D1230" s="12">
        <v>45562</v>
      </c>
      <c r="E1230" s="14" t="str">
        <f>+HYPERLINK("http://trademark.i-assist.jp/data/china/image_1905th/79583589.pdf","79583589")</f>
        <v>79583589</v>
      </c>
      <c r="F1230" s="13" t="s">
        <v>2243</v>
      </c>
      <c r="G1230" s="13" t="s">
        <v>1637</v>
      </c>
      <c r="H1230" s="13" t="s">
        <v>4839</v>
      </c>
      <c r="I1230" s="12">
        <v>45476</v>
      </c>
    </row>
    <row r="1231" spans="1:9" x14ac:dyDescent="0.15">
      <c r="A1231" s="10">
        <v>1230</v>
      </c>
      <c r="B1231" s="9" t="s">
        <v>9</v>
      </c>
      <c r="C1231" s="11" t="s">
        <v>10</v>
      </c>
      <c r="D1231" s="12">
        <v>45562</v>
      </c>
      <c r="E1231" s="14" t="str">
        <f>+HYPERLINK("http://trademark.i-assist.jp/data/china/image_1905th/79587554.pdf","79587554")</f>
        <v>79587554</v>
      </c>
      <c r="F1231" s="13" t="s">
        <v>2245</v>
      </c>
      <c r="G1231" s="13" t="s">
        <v>2244</v>
      </c>
      <c r="H1231" s="13" t="s">
        <v>5090</v>
      </c>
      <c r="I1231" s="12">
        <v>45476</v>
      </c>
    </row>
    <row r="1232" spans="1:9" x14ac:dyDescent="0.15">
      <c r="A1232" s="10">
        <v>1231</v>
      </c>
      <c r="B1232" s="9" t="s">
        <v>9</v>
      </c>
      <c r="C1232" s="11" t="s">
        <v>10</v>
      </c>
      <c r="D1232" s="12">
        <v>45562</v>
      </c>
      <c r="E1232" s="14" t="str">
        <f>+HYPERLINK("http://trademark.i-assist.jp/data/china/image_1905th/79589672.pdf","79589672")</f>
        <v>79589672</v>
      </c>
      <c r="F1232" s="13" t="s">
        <v>2246</v>
      </c>
      <c r="G1232" s="13" t="s">
        <v>2246</v>
      </c>
      <c r="H1232" s="13" t="s">
        <v>5091</v>
      </c>
      <c r="I1232" s="12">
        <v>45476</v>
      </c>
    </row>
    <row r="1233" spans="1:9" x14ac:dyDescent="0.15">
      <c r="A1233" s="10">
        <v>1232</v>
      </c>
      <c r="B1233" s="9" t="s">
        <v>9</v>
      </c>
      <c r="C1233" s="11" t="s">
        <v>10</v>
      </c>
      <c r="D1233" s="12">
        <v>45562</v>
      </c>
      <c r="E1233" s="14" t="str">
        <f>+HYPERLINK("http://trademark.i-assist.jp/data/china/image_1905th/79595524.pdf","79595524")</f>
        <v>79595524</v>
      </c>
      <c r="F1233" s="13" t="s">
        <v>2248</v>
      </c>
      <c r="G1233" s="13" t="s">
        <v>2247</v>
      </c>
      <c r="H1233" s="13" t="s">
        <v>5092</v>
      </c>
      <c r="I1233" s="12">
        <v>45476</v>
      </c>
    </row>
    <row r="1234" spans="1:9" x14ac:dyDescent="0.15">
      <c r="A1234" s="10">
        <v>1233</v>
      </c>
      <c r="B1234" s="9" t="s">
        <v>9</v>
      </c>
      <c r="C1234" s="11" t="s">
        <v>10</v>
      </c>
      <c r="D1234" s="12">
        <v>45562</v>
      </c>
      <c r="E1234" s="14" t="str">
        <f>+HYPERLINK("http://trademark.i-assist.jp/data/china/image_1905th/79602602.pdf","79602602")</f>
        <v>79602602</v>
      </c>
      <c r="F1234" s="13" t="s">
        <v>2250</v>
      </c>
      <c r="G1234" s="13" t="s">
        <v>2249</v>
      </c>
      <c r="H1234" s="13" t="s">
        <v>5093</v>
      </c>
      <c r="I1234" s="12">
        <v>45477</v>
      </c>
    </row>
    <row r="1235" spans="1:9" x14ac:dyDescent="0.15">
      <c r="A1235" s="10">
        <v>1234</v>
      </c>
      <c r="B1235" s="9" t="s">
        <v>9</v>
      </c>
      <c r="C1235" s="11" t="s">
        <v>10</v>
      </c>
      <c r="D1235" s="12">
        <v>45562</v>
      </c>
      <c r="E1235" s="14" t="str">
        <f>+HYPERLINK("http://trademark.i-assist.jp/data/china/image_1905th/79521152.pdf","79521152")</f>
        <v>79521152</v>
      </c>
      <c r="F1235" s="13" t="s">
        <v>2252</v>
      </c>
      <c r="G1235" s="13" t="s">
        <v>2251</v>
      </c>
      <c r="H1235" s="13" t="s">
        <v>5094</v>
      </c>
      <c r="I1235" s="12">
        <v>45472</v>
      </c>
    </row>
    <row r="1236" spans="1:9" x14ac:dyDescent="0.15">
      <c r="A1236" s="10">
        <v>1235</v>
      </c>
      <c r="B1236" s="9" t="s">
        <v>9</v>
      </c>
      <c r="C1236" s="11" t="s">
        <v>10</v>
      </c>
      <c r="D1236" s="12">
        <v>45562</v>
      </c>
      <c r="E1236" s="14" t="str">
        <f>+HYPERLINK("http://trademark.i-assist.jp/data/china/image_1905th/79522421.pdf","79522421")</f>
        <v>79522421</v>
      </c>
      <c r="F1236" s="13" t="s">
        <v>2254</v>
      </c>
      <c r="G1236" s="13" t="s">
        <v>2253</v>
      </c>
      <c r="H1236" s="13" t="s">
        <v>5095</v>
      </c>
      <c r="I1236" s="12">
        <v>45473</v>
      </c>
    </row>
    <row r="1237" spans="1:9" x14ac:dyDescent="0.15">
      <c r="A1237" s="10">
        <v>1236</v>
      </c>
      <c r="B1237" s="9" t="s">
        <v>9</v>
      </c>
      <c r="C1237" s="11" t="s">
        <v>10</v>
      </c>
      <c r="D1237" s="12">
        <v>45562</v>
      </c>
      <c r="E1237" s="14" t="str">
        <f>+HYPERLINK("http://trademark.i-assist.jp/data/china/image_1905th/79531211.pdf","79531211")</f>
        <v>79531211</v>
      </c>
      <c r="F1237" s="13" t="s">
        <v>2256</v>
      </c>
      <c r="G1237" s="13" t="s">
        <v>2255</v>
      </c>
      <c r="H1237" s="13" t="s">
        <v>5096</v>
      </c>
      <c r="I1237" s="12">
        <v>45474</v>
      </c>
    </row>
    <row r="1238" spans="1:9" x14ac:dyDescent="0.15">
      <c r="A1238" s="10">
        <v>1237</v>
      </c>
      <c r="B1238" s="9" t="s">
        <v>9</v>
      </c>
      <c r="C1238" s="11" t="s">
        <v>10</v>
      </c>
      <c r="D1238" s="12">
        <v>45562</v>
      </c>
      <c r="E1238" s="14" t="str">
        <f>+HYPERLINK("http://trademark.i-assist.jp/data/china/image_1905th/79534090.pdf","79534090")</f>
        <v>79534090</v>
      </c>
      <c r="F1238" s="13" t="s">
        <v>2258</v>
      </c>
      <c r="G1238" s="13" t="s">
        <v>2257</v>
      </c>
      <c r="H1238" s="13" t="s">
        <v>5034</v>
      </c>
      <c r="I1238" s="12">
        <v>45474</v>
      </c>
    </row>
    <row r="1239" spans="1:9" x14ac:dyDescent="0.15">
      <c r="A1239" s="10">
        <v>1238</v>
      </c>
      <c r="B1239" s="9" t="s">
        <v>9</v>
      </c>
      <c r="C1239" s="11" t="s">
        <v>10</v>
      </c>
      <c r="D1239" s="12">
        <v>45562</v>
      </c>
      <c r="E1239" s="14" t="str">
        <f>+HYPERLINK("http://trademark.i-assist.jp/data/china/image_1905th/79535451.pdf","79535451")</f>
        <v>79535451</v>
      </c>
      <c r="F1239" s="13" t="s">
        <v>2259</v>
      </c>
      <c r="G1239" s="13" t="s">
        <v>1496</v>
      </c>
      <c r="H1239" s="13" t="s">
        <v>4778</v>
      </c>
      <c r="I1239" s="12">
        <v>45474</v>
      </c>
    </row>
    <row r="1240" spans="1:9" x14ac:dyDescent="0.15">
      <c r="A1240" s="10">
        <v>1239</v>
      </c>
      <c r="B1240" s="9" t="s">
        <v>9</v>
      </c>
      <c r="C1240" s="11" t="s">
        <v>10</v>
      </c>
      <c r="D1240" s="12">
        <v>45562</v>
      </c>
      <c r="E1240" s="14" t="str">
        <f>+HYPERLINK("http://trademark.i-assist.jp/data/china/image_1905th/79535700.pdf","79535700")</f>
        <v>79535700</v>
      </c>
      <c r="F1240" s="13" t="s">
        <v>2261</v>
      </c>
      <c r="G1240" s="13" t="s">
        <v>2260</v>
      </c>
      <c r="H1240" s="13" t="s">
        <v>5097</v>
      </c>
      <c r="I1240" s="12">
        <v>45474</v>
      </c>
    </row>
    <row r="1241" spans="1:9" x14ac:dyDescent="0.15">
      <c r="A1241" s="10">
        <v>1240</v>
      </c>
      <c r="B1241" s="9" t="s">
        <v>9</v>
      </c>
      <c r="C1241" s="11" t="s">
        <v>10</v>
      </c>
      <c r="D1241" s="12">
        <v>45562</v>
      </c>
      <c r="E1241" s="14" t="str">
        <f>+HYPERLINK("http://trademark.i-assist.jp/data/china/image_1905th/79539393.pdf","79539393")</f>
        <v>79539393</v>
      </c>
      <c r="F1241" s="13" t="s">
        <v>2263</v>
      </c>
      <c r="G1241" s="13" t="s">
        <v>2262</v>
      </c>
      <c r="H1241" s="13" t="s">
        <v>5098</v>
      </c>
      <c r="I1241" s="12">
        <v>45474</v>
      </c>
    </row>
    <row r="1242" spans="1:9" x14ac:dyDescent="0.15">
      <c r="A1242" s="10">
        <v>1241</v>
      </c>
      <c r="B1242" s="9" t="s">
        <v>9</v>
      </c>
      <c r="C1242" s="11" t="s">
        <v>10</v>
      </c>
      <c r="D1242" s="12">
        <v>45562</v>
      </c>
      <c r="E1242" s="14" t="str">
        <f>+HYPERLINK("http://trademark.i-assist.jp/data/china/image_1905th/79540367.pdf","79540367")</f>
        <v>79540367</v>
      </c>
      <c r="F1242" s="13" t="s">
        <v>2264</v>
      </c>
      <c r="G1242" s="13" t="s">
        <v>801</v>
      </c>
      <c r="H1242" s="13" t="s">
        <v>4328</v>
      </c>
      <c r="I1242" s="12">
        <v>45474</v>
      </c>
    </row>
    <row r="1243" spans="1:9" x14ac:dyDescent="0.15">
      <c r="A1243" s="10">
        <v>1242</v>
      </c>
      <c r="B1243" s="9" t="s">
        <v>9</v>
      </c>
      <c r="C1243" s="11" t="s">
        <v>10</v>
      </c>
      <c r="D1243" s="12">
        <v>45562</v>
      </c>
      <c r="E1243" s="14" t="str">
        <f>+HYPERLINK("http://trademark.i-assist.jp/data/china/image_1905th/79542983.pdf","79542983")</f>
        <v>79542983</v>
      </c>
      <c r="F1243" s="13" t="s">
        <v>2266</v>
      </c>
      <c r="G1243" s="13" t="s">
        <v>2265</v>
      </c>
      <c r="H1243" s="13" t="s">
        <v>5099</v>
      </c>
      <c r="I1243" s="12">
        <v>45474</v>
      </c>
    </row>
    <row r="1244" spans="1:9" x14ac:dyDescent="0.15">
      <c r="A1244" s="10">
        <v>1243</v>
      </c>
      <c r="B1244" s="9" t="s">
        <v>9</v>
      </c>
      <c r="C1244" s="11" t="s">
        <v>10</v>
      </c>
      <c r="D1244" s="12">
        <v>45562</v>
      </c>
      <c r="E1244" s="14" t="str">
        <f>+HYPERLINK("http://trademark.i-assist.jp/data/china/image_1905th/79550306.pdf","79550306")</f>
        <v>79550306</v>
      </c>
      <c r="F1244" s="13" t="s">
        <v>2268</v>
      </c>
      <c r="G1244" s="13" t="s">
        <v>2267</v>
      </c>
      <c r="H1244" s="13" t="s">
        <v>5100</v>
      </c>
      <c r="I1244" s="12">
        <v>45474</v>
      </c>
    </row>
    <row r="1245" spans="1:9" x14ac:dyDescent="0.15">
      <c r="A1245" s="10">
        <v>1244</v>
      </c>
      <c r="B1245" s="9" t="s">
        <v>9</v>
      </c>
      <c r="C1245" s="11" t="s">
        <v>10</v>
      </c>
      <c r="D1245" s="12">
        <v>45562</v>
      </c>
      <c r="E1245" s="14" t="str">
        <f>+HYPERLINK("http://trademark.i-assist.jp/data/china/image_1905th/79561913.pdf","79561913")</f>
        <v>79561913</v>
      </c>
      <c r="F1245" s="13" t="s">
        <v>2270</v>
      </c>
      <c r="G1245" s="13" t="s">
        <v>2269</v>
      </c>
      <c r="H1245" s="13" t="s">
        <v>5101</v>
      </c>
      <c r="I1245" s="12">
        <v>45475</v>
      </c>
    </row>
    <row r="1246" spans="1:9" x14ac:dyDescent="0.15">
      <c r="A1246" s="10">
        <v>1245</v>
      </c>
      <c r="B1246" s="9" t="s">
        <v>9</v>
      </c>
      <c r="C1246" s="11" t="s">
        <v>10</v>
      </c>
      <c r="D1246" s="12">
        <v>45562</v>
      </c>
      <c r="E1246" s="14" t="str">
        <f>+HYPERLINK("http://trademark.i-assist.jp/data/china/image_1905th/79411161.pdf","79411161")</f>
        <v>79411161</v>
      </c>
      <c r="F1246" s="13" t="s">
        <v>2272</v>
      </c>
      <c r="G1246" s="13" t="s">
        <v>2271</v>
      </c>
      <c r="H1246" s="13" t="s">
        <v>5102</v>
      </c>
      <c r="I1246" s="12">
        <v>45467</v>
      </c>
    </row>
    <row r="1247" spans="1:9" x14ac:dyDescent="0.15">
      <c r="A1247" s="10">
        <v>1246</v>
      </c>
      <c r="B1247" s="9" t="s">
        <v>9</v>
      </c>
      <c r="C1247" s="11" t="s">
        <v>10</v>
      </c>
      <c r="D1247" s="12">
        <v>45562</v>
      </c>
      <c r="E1247" s="14" t="str">
        <f>+HYPERLINK("http://trademark.i-assist.jp/data/china/image_1905th/79453090.pdf","79453090")</f>
        <v>79453090</v>
      </c>
      <c r="F1247" s="13" t="s">
        <v>2274</v>
      </c>
      <c r="G1247" s="13" t="s">
        <v>2273</v>
      </c>
      <c r="H1247" s="13" t="s">
        <v>5103</v>
      </c>
      <c r="I1247" s="12">
        <v>45469</v>
      </c>
    </row>
    <row r="1248" spans="1:9" x14ac:dyDescent="0.15">
      <c r="A1248" s="10">
        <v>1247</v>
      </c>
      <c r="B1248" s="9" t="s">
        <v>9</v>
      </c>
      <c r="C1248" s="11" t="s">
        <v>10</v>
      </c>
      <c r="D1248" s="12">
        <v>45562</v>
      </c>
      <c r="E1248" s="14" t="str">
        <f>+HYPERLINK("http://trademark.i-assist.jp/data/china/image_1905th/79458852.pdf","79458852")</f>
        <v>79458852</v>
      </c>
      <c r="F1248" s="13" t="s">
        <v>2275</v>
      </c>
      <c r="G1248" s="13" t="s">
        <v>1379</v>
      </c>
      <c r="H1248" s="13" t="s">
        <v>4729</v>
      </c>
      <c r="I1248" s="12">
        <v>45469</v>
      </c>
    </row>
    <row r="1249" spans="1:9" x14ac:dyDescent="0.15">
      <c r="A1249" s="10">
        <v>1248</v>
      </c>
      <c r="B1249" s="9" t="s">
        <v>9</v>
      </c>
      <c r="C1249" s="11" t="s">
        <v>10</v>
      </c>
      <c r="D1249" s="12">
        <v>45562</v>
      </c>
      <c r="E1249" s="14" t="str">
        <f>+HYPERLINK("http://trademark.i-assist.jp/data/china/image_1905th/79630499.pdf","79630499")</f>
        <v>79630499</v>
      </c>
      <c r="F1249" s="13" t="s">
        <v>2276</v>
      </c>
      <c r="G1249" s="13" t="s">
        <v>1833</v>
      </c>
      <c r="H1249" s="13" t="s">
        <v>4921</v>
      </c>
      <c r="I1249" s="12">
        <v>45478</v>
      </c>
    </row>
    <row r="1250" spans="1:9" x14ac:dyDescent="0.15">
      <c r="A1250" s="10">
        <v>1249</v>
      </c>
      <c r="B1250" s="9" t="s">
        <v>9</v>
      </c>
      <c r="C1250" s="11" t="s">
        <v>10</v>
      </c>
      <c r="D1250" s="12">
        <v>45562</v>
      </c>
      <c r="E1250" s="14" t="str">
        <f>+HYPERLINK("http://trademark.i-assist.jp/data/china/image_1905th/79394068.pdf","79394068")</f>
        <v>79394068</v>
      </c>
      <c r="F1250" s="13" t="s">
        <v>2278</v>
      </c>
      <c r="G1250" s="13" t="s">
        <v>2277</v>
      </c>
      <c r="H1250" s="13" t="s">
        <v>5104</v>
      </c>
      <c r="I1250" s="12">
        <v>45467</v>
      </c>
    </row>
    <row r="1251" spans="1:9" x14ac:dyDescent="0.15">
      <c r="A1251" s="10">
        <v>1250</v>
      </c>
      <c r="B1251" s="9" t="s">
        <v>9</v>
      </c>
      <c r="C1251" s="11" t="s">
        <v>10</v>
      </c>
      <c r="D1251" s="12">
        <v>45562</v>
      </c>
      <c r="E1251" s="14" t="str">
        <f>+HYPERLINK("http://trademark.i-assist.jp/data/china/image_1905th/69999097.pdf","69999097")</f>
        <v>69999097</v>
      </c>
      <c r="F1251" s="13" t="s">
        <v>1346</v>
      </c>
      <c r="G1251" s="13" t="s">
        <v>878</v>
      </c>
      <c r="H1251" s="13" t="s">
        <v>4540</v>
      </c>
      <c r="I1251" s="12">
        <v>44991</v>
      </c>
    </row>
    <row r="1252" spans="1:9" x14ac:dyDescent="0.15">
      <c r="A1252" s="10">
        <v>1251</v>
      </c>
      <c r="B1252" s="9" t="s">
        <v>9</v>
      </c>
      <c r="C1252" s="11" t="s">
        <v>10</v>
      </c>
      <c r="D1252" s="12">
        <v>45562</v>
      </c>
      <c r="E1252" s="14" t="str">
        <f>+HYPERLINK("http://trademark.i-assist.jp/data/china/image_1905th/79477392.pdf","79477392")</f>
        <v>79477392</v>
      </c>
      <c r="F1252" s="13" t="s">
        <v>2280</v>
      </c>
      <c r="G1252" s="13" t="s">
        <v>2279</v>
      </c>
      <c r="H1252" s="13" t="s">
        <v>4352</v>
      </c>
      <c r="I1252" s="12">
        <v>45470</v>
      </c>
    </row>
    <row r="1253" spans="1:9" x14ac:dyDescent="0.15">
      <c r="A1253" s="10">
        <v>1252</v>
      </c>
      <c r="B1253" s="9" t="s">
        <v>9</v>
      </c>
      <c r="C1253" s="11" t="s">
        <v>10</v>
      </c>
      <c r="D1253" s="12">
        <v>45562</v>
      </c>
      <c r="E1253" s="14" t="str">
        <f>+HYPERLINK("http://trademark.i-assist.jp/data/china/image_1905th/79478749.pdf","79478749")</f>
        <v>79478749</v>
      </c>
      <c r="F1253" s="13" t="s">
        <v>2282</v>
      </c>
      <c r="G1253" s="13" t="s">
        <v>2281</v>
      </c>
      <c r="H1253" s="13" t="s">
        <v>5105</v>
      </c>
      <c r="I1253" s="12">
        <v>45470</v>
      </c>
    </row>
    <row r="1254" spans="1:9" x14ac:dyDescent="0.15">
      <c r="A1254" s="10">
        <v>1253</v>
      </c>
      <c r="B1254" s="9" t="s">
        <v>9</v>
      </c>
      <c r="C1254" s="11" t="s">
        <v>10</v>
      </c>
      <c r="D1254" s="12">
        <v>45562</v>
      </c>
      <c r="E1254" s="14" t="str">
        <f>+HYPERLINK("http://trademark.i-assist.jp/data/china/image_1905th/79493270.pdf","79493270")</f>
        <v>79493270</v>
      </c>
      <c r="F1254" s="13" t="s">
        <v>2284</v>
      </c>
      <c r="G1254" s="13" t="s">
        <v>2283</v>
      </c>
      <c r="H1254" s="13" t="s">
        <v>5106</v>
      </c>
      <c r="I1254" s="12">
        <v>45471</v>
      </c>
    </row>
    <row r="1255" spans="1:9" x14ac:dyDescent="0.15">
      <c r="A1255" s="10">
        <v>1254</v>
      </c>
      <c r="B1255" s="9" t="s">
        <v>9</v>
      </c>
      <c r="C1255" s="11" t="s">
        <v>10</v>
      </c>
      <c r="D1255" s="12">
        <v>45562</v>
      </c>
      <c r="E1255" s="14" t="str">
        <f>+HYPERLINK("http://trademark.i-assist.jp/data/china/image_1905th/79494619.pdf","79494619")</f>
        <v>79494619</v>
      </c>
      <c r="F1255" s="13" t="s">
        <v>2285</v>
      </c>
      <c r="G1255" s="13" t="s">
        <v>408</v>
      </c>
      <c r="H1255" s="13" t="s">
        <v>4333</v>
      </c>
      <c r="I1255" s="12">
        <v>45471</v>
      </c>
    </row>
    <row r="1256" spans="1:9" x14ac:dyDescent="0.15">
      <c r="A1256" s="10">
        <v>1255</v>
      </c>
      <c r="B1256" s="9" t="s">
        <v>9</v>
      </c>
      <c r="C1256" s="11" t="s">
        <v>10</v>
      </c>
      <c r="D1256" s="12">
        <v>45562</v>
      </c>
      <c r="E1256" s="14" t="str">
        <f>+HYPERLINK("http://trademark.i-assist.jp/data/china/image_1905th/79497035.pdf","79497035")</f>
        <v>79497035</v>
      </c>
      <c r="F1256" s="13" t="s">
        <v>2287</v>
      </c>
      <c r="G1256" s="13" t="s">
        <v>2286</v>
      </c>
      <c r="H1256" s="13" t="s">
        <v>5107</v>
      </c>
      <c r="I1256" s="12">
        <v>45471</v>
      </c>
    </row>
    <row r="1257" spans="1:9" x14ac:dyDescent="0.15">
      <c r="A1257" s="10">
        <v>1256</v>
      </c>
      <c r="B1257" s="9" t="s">
        <v>9</v>
      </c>
      <c r="C1257" s="11" t="s">
        <v>10</v>
      </c>
      <c r="D1257" s="12">
        <v>45562</v>
      </c>
      <c r="E1257" s="14" t="str">
        <f>+HYPERLINK("http://trademark.i-assist.jp/data/china/image_1905th/79497791.pdf","79497791")</f>
        <v>79497791</v>
      </c>
      <c r="F1257" s="13" t="s">
        <v>2289</v>
      </c>
      <c r="G1257" s="13" t="s">
        <v>2288</v>
      </c>
      <c r="H1257" s="13" t="s">
        <v>5108</v>
      </c>
      <c r="I1257" s="12">
        <v>45471</v>
      </c>
    </row>
    <row r="1258" spans="1:9" x14ac:dyDescent="0.15">
      <c r="A1258" s="10">
        <v>1257</v>
      </c>
      <c r="B1258" s="9" t="s">
        <v>9</v>
      </c>
      <c r="C1258" s="11" t="s">
        <v>10</v>
      </c>
      <c r="D1258" s="12">
        <v>45562</v>
      </c>
      <c r="E1258" s="14" t="str">
        <f>+HYPERLINK("http://trademark.i-assist.jp/data/china/image_1905th/79498142.pdf","79498142")</f>
        <v>79498142</v>
      </c>
      <c r="F1258" s="13" t="s">
        <v>2291</v>
      </c>
      <c r="G1258" s="13" t="s">
        <v>2290</v>
      </c>
      <c r="H1258" s="13" t="s">
        <v>5109</v>
      </c>
      <c r="I1258" s="12">
        <v>45471</v>
      </c>
    </row>
    <row r="1259" spans="1:9" x14ac:dyDescent="0.15">
      <c r="A1259" s="10">
        <v>1258</v>
      </c>
      <c r="B1259" s="9" t="s">
        <v>9</v>
      </c>
      <c r="C1259" s="11" t="s">
        <v>10</v>
      </c>
      <c r="D1259" s="12">
        <v>45562</v>
      </c>
      <c r="E1259" s="14" t="str">
        <f>+HYPERLINK("http://trademark.i-assist.jp/data/china/image_1905th/79500097.pdf","79500097")</f>
        <v>79500097</v>
      </c>
      <c r="F1259" s="13" t="s">
        <v>2293</v>
      </c>
      <c r="G1259" s="13" t="s">
        <v>2292</v>
      </c>
      <c r="H1259" s="13" t="s">
        <v>5110</v>
      </c>
      <c r="I1259" s="12">
        <v>45471</v>
      </c>
    </row>
    <row r="1260" spans="1:9" x14ac:dyDescent="0.15">
      <c r="A1260" s="10">
        <v>1259</v>
      </c>
      <c r="B1260" s="9" t="s">
        <v>9</v>
      </c>
      <c r="C1260" s="11" t="s">
        <v>10</v>
      </c>
      <c r="D1260" s="12">
        <v>45562</v>
      </c>
      <c r="E1260" s="14" t="str">
        <f>+HYPERLINK("http://trademark.i-assist.jp/data/china/image_1905th/79504358.pdf","79504358")</f>
        <v>79504358</v>
      </c>
      <c r="F1260" s="13" t="s">
        <v>2295</v>
      </c>
      <c r="G1260" s="13" t="s">
        <v>2294</v>
      </c>
      <c r="H1260" s="13" t="s">
        <v>5111</v>
      </c>
      <c r="I1260" s="12">
        <v>45471</v>
      </c>
    </row>
    <row r="1261" spans="1:9" x14ac:dyDescent="0.15">
      <c r="A1261" s="10">
        <v>1260</v>
      </c>
      <c r="B1261" s="9" t="s">
        <v>9</v>
      </c>
      <c r="C1261" s="11" t="s">
        <v>10</v>
      </c>
      <c r="D1261" s="12">
        <v>45562</v>
      </c>
      <c r="E1261" s="14" t="str">
        <f>+HYPERLINK("http://trademark.i-assist.jp/data/china/image_1905th/79505139.pdf","79505139")</f>
        <v>79505139</v>
      </c>
      <c r="F1261" s="13" t="s">
        <v>2297</v>
      </c>
      <c r="G1261" s="13" t="s">
        <v>2296</v>
      </c>
      <c r="H1261" s="13" t="s">
        <v>5112</v>
      </c>
      <c r="I1261" s="12">
        <v>45471</v>
      </c>
    </row>
    <row r="1262" spans="1:9" x14ac:dyDescent="0.15">
      <c r="A1262" s="10">
        <v>1261</v>
      </c>
      <c r="B1262" s="9" t="s">
        <v>9</v>
      </c>
      <c r="C1262" s="11" t="s">
        <v>10</v>
      </c>
      <c r="D1262" s="12">
        <v>45562</v>
      </c>
      <c r="E1262" s="14" t="str">
        <f>+HYPERLINK("http://trademark.i-assist.jp/data/china/image_1905th/79507165.pdf","79507165")</f>
        <v>79507165</v>
      </c>
      <c r="F1262" s="13" t="s">
        <v>73</v>
      </c>
      <c r="G1262" s="13" t="s">
        <v>2298</v>
      </c>
      <c r="H1262" s="13" t="s">
        <v>5113</v>
      </c>
      <c r="I1262" s="12">
        <v>45471</v>
      </c>
    </row>
    <row r="1263" spans="1:9" x14ac:dyDescent="0.15">
      <c r="A1263" s="10">
        <v>1262</v>
      </c>
      <c r="B1263" s="9" t="s">
        <v>9</v>
      </c>
      <c r="C1263" s="11" t="s">
        <v>10</v>
      </c>
      <c r="D1263" s="12">
        <v>45562</v>
      </c>
      <c r="E1263" s="14" t="str">
        <f>+HYPERLINK("http://trademark.i-assist.jp/data/china/image_1905th/79511612.pdf","79511612")</f>
        <v>79511612</v>
      </c>
      <c r="F1263" s="13" t="s">
        <v>2300</v>
      </c>
      <c r="G1263" s="13" t="s">
        <v>2299</v>
      </c>
      <c r="H1263" s="13" t="s">
        <v>5114</v>
      </c>
      <c r="I1263" s="12">
        <v>45471</v>
      </c>
    </row>
    <row r="1264" spans="1:9" x14ac:dyDescent="0.15">
      <c r="A1264" s="10">
        <v>1263</v>
      </c>
      <c r="B1264" s="9" t="s">
        <v>9</v>
      </c>
      <c r="C1264" s="11" t="s">
        <v>10</v>
      </c>
      <c r="D1264" s="12">
        <v>45562</v>
      </c>
      <c r="E1264" s="14" t="str">
        <f>+HYPERLINK("http://trademark.i-assist.jp/data/china/image_1905th/79686904.pdf","79686904")</f>
        <v>79686904</v>
      </c>
      <c r="F1264" s="13" t="s">
        <v>2302</v>
      </c>
      <c r="G1264" s="13" t="s">
        <v>2301</v>
      </c>
      <c r="H1264" s="13" t="s">
        <v>5115</v>
      </c>
      <c r="I1264" s="12">
        <v>45482</v>
      </c>
    </row>
    <row r="1265" spans="1:9" x14ac:dyDescent="0.15">
      <c r="A1265" s="10">
        <v>1264</v>
      </c>
      <c r="B1265" s="9" t="s">
        <v>9</v>
      </c>
      <c r="C1265" s="11" t="s">
        <v>10</v>
      </c>
      <c r="D1265" s="12">
        <v>45562</v>
      </c>
      <c r="E1265" s="14" t="str">
        <f>+HYPERLINK("http://trademark.i-assist.jp/data/china/image_1905th/79688430.pdf","79688430")</f>
        <v>79688430</v>
      </c>
      <c r="F1265" s="13" t="s">
        <v>2304</v>
      </c>
      <c r="G1265" s="13" t="s">
        <v>2303</v>
      </c>
      <c r="H1265" s="13" t="s">
        <v>5116</v>
      </c>
      <c r="I1265" s="12">
        <v>45482</v>
      </c>
    </row>
    <row r="1266" spans="1:9" x14ac:dyDescent="0.15">
      <c r="A1266" s="10">
        <v>1265</v>
      </c>
      <c r="B1266" s="9" t="s">
        <v>9</v>
      </c>
      <c r="C1266" s="11" t="s">
        <v>10</v>
      </c>
      <c r="D1266" s="12">
        <v>45562</v>
      </c>
      <c r="E1266" s="14" t="str">
        <f>+HYPERLINK("http://trademark.i-assist.jp/data/china/image_1905th/79696124.pdf","79696124")</f>
        <v>79696124</v>
      </c>
      <c r="F1266" s="13" t="s">
        <v>2305</v>
      </c>
      <c r="G1266" s="13" t="s">
        <v>132</v>
      </c>
      <c r="H1266" s="13" t="s">
        <v>4206</v>
      </c>
      <c r="I1266" s="12">
        <v>45482</v>
      </c>
    </row>
    <row r="1267" spans="1:9" x14ac:dyDescent="0.15">
      <c r="A1267" s="10">
        <v>1266</v>
      </c>
      <c r="B1267" s="9" t="s">
        <v>9</v>
      </c>
      <c r="C1267" s="11" t="s">
        <v>10</v>
      </c>
      <c r="D1267" s="12">
        <v>45562</v>
      </c>
      <c r="E1267" s="14" t="str">
        <f>+HYPERLINK("http://trademark.i-assist.jp/data/china/image_1905th/79698666.pdf","79698666")</f>
        <v>79698666</v>
      </c>
      <c r="F1267" s="13" t="s">
        <v>2306</v>
      </c>
      <c r="G1267" s="13" t="s">
        <v>1172</v>
      </c>
      <c r="H1267" s="13" t="s">
        <v>4649</v>
      </c>
      <c r="I1267" s="12">
        <v>45482</v>
      </c>
    </row>
    <row r="1268" spans="1:9" x14ac:dyDescent="0.15">
      <c r="A1268" s="10">
        <v>1267</v>
      </c>
      <c r="B1268" s="9" t="s">
        <v>9</v>
      </c>
      <c r="C1268" s="11" t="s">
        <v>10</v>
      </c>
      <c r="D1268" s="12">
        <v>45562</v>
      </c>
      <c r="E1268" s="14" t="str">
        <f>+HYPERLINK("http://trademark.i-assist.jp/data/china/image_1905th/79699164.pdf","79699164")</f>
        <v>79699164</v>
      </c>
      <c r="F1268" s="13" t="s">
        <v>2307</v>
      </c>
      <c r="G1268" s="13" t="s">
        <v>132</v>
      </c>
      <c r="H1268" s="13" t="s">
        <v>4206</v>
      </c>
      <c r="I1268" s="12">
        <v>45482</v>
      </c>
    </row>
    <row r="1269" spans="1:9" x14ac:dyDescent="0.15">
      <c r="A1269" s="10">
        <v>1268</v>
      </c>
      <c r="B1269" s="9" t="s">
        <v>9</v>
      </c>
      <c r="C1269" s="11" t="s">
        <v>10</v>
      </c>
      <c r="D1269" s="12">
        <v>45562</v>
      </c>
      <c r="E1269" s="14" t="str">
        <f>+HYPERLINK("http://trademark.i-assist.jp/data/china/image_1905th/79708610.pdf","79708610")</f>
        <v>79708610</v>
      </c>
      <c r="F1269" s="13" t="s">
        <v>2309</v>
      </c>
      <c r="G1269" s="13" t="s">
        <v>2308</v>
      </c>
      <c r="H1269" s="13" t="s">
        <v>5117</v>
      </c>
      <c r="I1269" s="12">
        <v>45483</v>
      </c>
    </row>
    <row r="1270" spans="1:9" x14ac:dyDescent="0.15">
      <c r="A1270" s="10">
        <v>1269</v>
      </c>
      <c r="B1270" s="9" t="s">
        <v>9</v>
      </c>
      <c r="C1270" s="11" t="s">
        <v>10</v>
      </c>
      <c r="D1270" s="12">
        <v>45562</v>
      </c>
      <c r="E1270" s="14" t="str">
        <f>+HYPERLINK("http://trademark.i-assist.jp/data/china/image_1905th/79711073.pdf","79711073")</f>
        <v>79711073</v>
      </c>
      <c r="F1270" s="13" t="s">
        <v>2311</v>
      </c>
      <c r="G1270" s="13" t="s">
        <v>2310</v>
      </c>
      <c r="H1270" s="13" t="s">
        <v>5118</v>
      </c>
      <c r="I1270" s="12">
        <v>45483</v>
      </c>
    </row>
    <row r="1271" spans="1:9" x14ac:dyDescent="0.15">
      <c r="A1271" s="10">
        <v>1270</v>
      </c>
      <c r="B1271" s="9" t="s">
        <v>9</v>
      </c>
      <c r="C1271" s="11" t="s">
        <v>10</v>
      </c>
      <c r="D1271" s="12">
        <v>45562</v>
      </c>
      <c r="E1271" s="14" t="str">
        <f>+HYPERLINK("http://trademark.i-assist.jp/data/china/image_1905th/79747888.pdf","79747888")</f>
        <v>79747888</v>
      </c>
      <c r="F1271" s="13" t="s">
        <v>2312</v>
      </c>
      <c r="G1271" s="13" t="s">
        <v>1603</v>
      </c>
      <c r="H1271" s="13" t="s">
        <v>4826</v>
      </c>
      <c r="I1271" s="12">
        <v>45484</v>
      </c>
    </row>
    <row r="1272" spans="1:9" x14ac:dyDescent="0.15">
      <c r="A1272" s="10">
        <v>1271</v>
      </c>
      <c r="B1272" s="9" t="s">
        <v>9</v>
      </c>
      <c r="C1272" s="11" t="s">
        <v>10</v>
      </c>
      <c r="D1272" s="12">
        <v>45562</v>
      </c>
      <c r="E1272" s="14" t="str">
        <f>+HYPERLINK("http://trademark.i-assist.jp/data/china/image_1905th/79757264.pdf","79757264")</f>
        <v>79757264</v>
      </c>
      <c r="F1272" s="13" t="s">
        <v>2314</v>
      </c>
      <c r="G1272" s="13" t="s">
        <v>2313</v>
      </c>
      <c r="H1272" s="13" t="s">
        <v>5119</v>
      </c>
      <c r="I1272" s="12">
        <v>45485</v>
      </c>
    </row>
    <row r="1273" spans="1:9" x14ac:dyDescent="0.15">
      <c r="A1273" s="10">
        <v>1272</v>
      </c>
      <c r="B1273" s="9" t="s">
        <v>9</v>
      </c>
      <c r="C1273" s="11" t="s">
        <v>10</v>
      </c>
      <c r="D1273" s="12">
        <v>45562</v>
      </c>
      <c r="E1273" s="14" t="str">
        <f>+HYPERLINK("http://trademark.i-assist.jp/data/china/image_1905th/79757346.pdf","79757346")</f>
        <v>79757346</v>
      </c>
      <c r="F1273" s="13" t="s">
        <v>2316</v>
      </c>
      <c r="G1273" s="13" t="s">
        <v>2315</v>
      </c>
      <c r="H1273" s="13" t="s">
        <v>5120</v>
      </c>
      <c r="I1273" s="12">
        <v>45485</v>
      </c>
    </row>
    <row r="1274" spans="1:9" x14ac:dyDescent="0.15">
      <c r="A1274" s="10">
        <v>1273</v>
      </c>
      <c r="B1274" s="9" t="s">
        <v>9</v>
      </c>
      <c r="C1274" s="11" t="s">
        <v>10</v>
      </c>
      <c r="D1274" s="12">
        <v>45562</v>
      </c>
      <c r="E1274" s="14" t="str">
        <f>+HYPERLINK("http://trademark.i-assist.jp/data/china/image_1905th/79760127.pdf","79760127")</f>
        <v>79760127</v>
      </c>
      <c r="F1274" s="13" t="s">
        <v>2318</v>
      </c>
      <c r="G1274" s="13" t="s">
        <v>2317</v>
      </c>
      <c r="H1274" s="13" t="s">
        <v>5121</v>
      </c>
      <c r="I1274" s="12">
        <v>45485</v>
      </c>
    </row>
    <row r="1275" spans="1:9" x14ac:dyDescent="0.15">
      <c r="A1275" s="10">
        <v>1274</v>
      </c>
      <c r="B1275" s="9" t="s">
        <v>9</v>
      </c>
      <c r="C1275" s="11" t="s">
        <v>10</v>
      </c>
      <c r="D1275" s="12">
        <v>45562</v>
      </c>
      <c r="E1275" s="14" t="str">
        <f>+HYPERLINK("http://trademark.i-assist.jp/data/china/image_1905th/79761011.pdf","79761011")</f>
        <v>79761011</v>
      </c>
      <c r="F1275" s="13" t="s">
        <v>2319</v>
      </c>
      <c r="G1275" s="13" t="s">
        <v>1967</v>
      </c>
      <c r="H1275" s="13" t="s">
        <v>4982</v>
      </c>
      <c r="I1275" s="12">
        <v>45485</v>
      </c>
    </row>
    <row r="1276" spans="1:9" x14ac:dyDescent="0.15">
      <c r="A1276" s="10">
        <v>1275</v>
      </c>
      <c r="B1276" s="9" t="s">
        <v>9</v>
      </c>
      <c r="C1276" s="11" t="s">
        <v>10</v>
      </c>
      <c r="D1276" s="12">
        <v>45562</v>
      </c>
      <c r="E1276" s="14" t="str">
        <f>+HYPERLINK("http://trademark.i-assist.jp/data/china/image_1905th/79762949.pdf","79762949")</f>
        <v>79762949</v>
      </c>
      <c r="F1276" s="13" t="s">
        <v>2321</v>
      </c>
      <c r="G1276" s="13" t="s">
        <v>2320</v>
      </c>
      <c r="H1276" s="13" t="s">
        <v>5122</v>
      </c>
      <c r="I1276" s="12">
        <v>45485</v>
      </c>
    </row>
    <row r="1277" spans="1:9" x14ac:dyDescent="0.15">
      <c r="A1277" s="10">
        <v>1276</v>
      </c>
      <c r="B1277" s="9" t="s">
        <v>9</v>
      </c>
      <c r="C1277" s="11" t="s">
        <v>10</v>
      </c>
      <c r="D1277" s="12">
        <v>45562</v>
      </c>
      <c r="E1277" s="14" t="str">
        <f>+HYPERLINK("http://trademark.i-assist.jp/data/china/image_1905th/79763985.pdf","79763985")</f>
        <v>79763985</v>
      </c>
      <c r="F1277" s="13" t="s">
        <v>2323</v>
      </c>
      <c r="G1277" s="13" t="s">
        <v>2322</v>
      </c>
      <c r="H1277" s="13" t="s">
        <v>5123</v>
      </c>
      <c r="I1277" s="12">
        <v>45485</v>
      </c>
    </row>
    <row r="1278" spans="1:9" x14ac:dyDescent="0.15">
      <c r="A1278" s="10">
        <v>1277</v>
      </c>
      <c r="B1278" s="9" t="s">
        <v>9</v>
      </c>
      <c r="C1278" s="11" t="s">
        <v>10</v>
      </c>
      <c r="D1278" s="12">
        <v>45562</v>
      </c>
      <c r="E1278" s="14" t="str">
        <f>+HYPERLINK("http://trademark.i-assist.jp/data/china/image_1905th/79765518.pdf","79765518")</f>
        <v>79765518</v>
      </c>
      <c r="F1278" s="13" t="s">
        <v>2325</v>
      </c>
      <c r="G1278" s="13" t="s">
        <v>2324</v>
      </c>
      <c r="H1278" s="13" t="s">
        <v>5124</v>
      </c>
      <c r="I1278" s="12">
        <v>45485</v>
      </c>
    </row>
    <row r="1279" spans="1:9" x14ac:dyDescent="0.15">
      <c r="A1279" s="10">
        <v>1278</v>
      </c>
      <c r="B1279" s="9" t="s">
        <v>9</v>
      </c>
      <c r="C1279" s="11" t="s">
        <v>10</v>
      </c>
      <c r="D1279" s="12">
        <v>45562</v>
      </c>
      <c r="E1279" s="14" t="str">
        <f>+HYPERLINK("http://trademark.i-assist.jp/data/china/image_1905th/79770971.pdf","79770971")</f>
        <v>79770971</v>
      </c>
      <c r="F1279" s="13" t="s">
        <v>2327</v>
      </c>
      <c r="G1279" s="13" t="s">
        <v>2326</v>
      </c>
      <c r="H1279" s="13" t="s">
        <v>5125</v>
      </c>
      <c r="I1279" s="12">
        <v>45485</v>
      </c>
    </row>
    <row r="1280" spans="1:9" x14ac:dyDescent="0.15">
      <c r="A1280" s="10">
        <v>1279</v>
      </c>
      <c r="B1280" s="9" t="s">
        <v>9</v>
      </c>
      <c r="C1280" s="11" t="s">
        <v>10</v>
      </c>
      <c r="D1280" s="12">
        <v>45562</v>
      </c>
      <c r="E1280" s="14" t="str">
        <f>+HYPERLINK("http://trademark.i-assist.jp/data/china/image_1905th/79639961.pdf","79639961")</f>
        <v>79639961</v>
      </c>
      <c r="F1280" s="13" t="s">
        <v>2329</v>
      </c>
      <c r="G1280" s="13" t="s">
        <v>2328</v>
      </c>
      <c r="H1280" s="13" t="s">
        <v>5126</v>
      </c>
      <c r="I1280" s="12">
        <v>45478</v>
      </c>
    </row>
    <row r="1281" spans="1:9" x14ac:dyDescent="0.15">
      <c r="A1281" s="10">
        <v>1280</v>
      </c>
      <c r="B1281" s="9" t="s">
        <v>9</v>
      </c>
      <c r="C1281" s="11" t="s">
        <v>10</v>
      </c>
      <c r="D1281" s="12">
        <v>45562</v>
      </c>
      <c r="E1281" s="14" t="str">
        <f>+HYPERLINK("http://trademark.i-assist.jp/data/china/image_1905th/79644401.pdf","79644401")</f>
        <v>79644401</v>
      </c>
      <c r="F1281" s="13" t="s">
        <v>2330</v>
      </c>
      <c r="G1281" s="13" t="s">
        <v>228</v>
      </c>
      <c r="H1281" s="13" t="s">
        <v>4250</v>
      </c>
      <c r="I1281" s="12">
        <v>45478</v>
      </c>
    </row>
    <row r="1282" spans="1:9" x14ac:dyDescent="0.15">
      <c r="A1282" s="10">
        <v>1281</v>
      </c>
      <c r="B1282" s="9" t="s">
        <v>9</v>
      </c>
      <c r="C1282" s="11" t="s">
        <v>10</v>
      </c>
      <c r="D1282" s="12">
        <v>45562</v>
      </c>
      <c r="E1282" s="14" t="str">
        <f>+HYPERLINK("http://trademark.i-assist.jp/data/china/image_1905th/79652491.pdf","79652491")</f>
        <v>79652491</v>
      </c>
      <c r="F1282" s="13" t="s">
        <v>2331</v>
      </c>
      <c r="G1282" s="13" t="s">
        <v>687</v>
      </c>
      <c r="H1282" s="13" t="s">
        <v>4456</v>
      </c>
      <c r="I1282" s="12">
        <v>45479</v>
      </c>
    </row>
    <row r="1283" spans="1:9" x14ac:dyDescent="0.15">
      <c r="A1283" s="10">
        <v>1282</v>
      </c>
      <c r="B1283" s="9" t="s">
        <v>9</v>
      </c>
      <c r="C1283" s="11" t="s">
        <v>10</v>
      </c>
      <c r="D1283" s="12">
        <v>45562</v>
      </c>
      <c r="E1283" s="14" t="str">
        <f>+HYPERLINK("http://trademark.i-assist.jp/data/china/image_1905th/79653853.pdf","79653853")</f>
        <v>79653853</v>
      </c>
      <c r="F1283" s="13" t="s">
        <v>2332</v>
      </c>
      <c r="G1283" s="13" t="s">
        <v>128</v>
      </c>
      <c r="H1283" s="13" t="s">
        <v>4204</v>
      </c>
      <c r="I1283" s="12">
        <v>45480</v>
      </c>
    </row>
    <row r="1284" spans="1:9" x14ac:dyDescent="0.15">
      <c r="A1284" s="10">
        <v>1283</v>
      </c>
      <c r="B1284" s="9" t="s">
        <v>9</v>
      </c>
      <c r="C1284" s="11" t="s">
        <v>10</v>
      </c>
      <c r="D1284" s="12">
        <v>45562</v>
      </c>
      <c r="E1284" s="14" t="str">
        <f>+HYPERLINK("http://trademark.i-assist.jp/data/china/image_1905th/79654330.pdf","79654330")</f>
        <v>79654330</v>
      </c>
      <c r="F1284" s="13" t="s">
        <v>2333</v>
      </c>
      <c r="G1284" s="13" t="s">
        <v>631</v>
      </c>
      <c r="H1284" s="13" t="s">
        <v>4202</v>
      </c>
      <c r="I1284" s="12">
        <v>45480</v>
      </c>
    </row>
    <row r="1285" spans="1:9" x14ac:dyDescent="0.15">
      <c r="A1285" s="10">
        <v>1284</v>
      </c>
      <c r="B1285" s="9" t="s">
        <v>9</v>
      </c>
      <c r="C1285" s="11" t="s">
        <v>10</v>
      </c>
      <c r="D1285" s="12">
        <v>45562</v>
      </c>
      <c r="E1285" s="14" t="str">
        <f>+HYPERLINK("http://trademark.i-assist.jp/data/china/image_1905th/79654457.pdf","79654457")</f>
        <v>79654457</v>
      </c>
      <c r="F1285" s="13" t="s">
        <v>2334</v>
      </c>
      <c r="G1285" s="13" t="s">
        <v>1012</v>
      </c>
      <c r="H1285" s="13" t="s">
        <v>4174</v>
      </c>
      <c r="I1285" s="12">
        <v>45480</v>
      </c>
    </row>
    <row r="1286" spans="1:9" x14ac:dyDescent="0.15">
      <c r="A1286" s="10">
        <v>1285</v>
      </c>
      <c r="B1286" s="9" t="s">
        <v>9</v>
      </c>
      <c r="C1286" s="11" t="s">
        <v>10</v>
      </c>
      <c r="D1286" s="12">
        <v>45562</v>
      </c>
      <c r="E1286" s="14" t="str">
        <f>+HYPERLINK("http://trademark.i-assist.jp/data/china/image_1905th/79658352.pdf","79658352")</f>
        <v>79658352</v>
      </c>
      <c r="F1286" s="13" t="s">
        <v>2336</v>
      </c>
      <c r="G1286" s="13" t="s">
        <v>2335</v>
      </c>
      <c r="H1286" s="13" t="s">
        <v>5127</v>
      </c>
      <c r="I1286" s="12">
        <v>45481</v>
      </c>
    </row>
    <row r="1287" spans="1:9" x14ac:dyDescent="0.15">
      <c r="A1287" s="10">
        <v>1286</v>
      </c>
      <c r="B1287" s="9" t="s">
        <v>9</v>
      </c>
      <c r="C1287" s="11" t="s">
        <v>10</v>
      </c>
      <c r="D1287" s="12">
        <v>45562</v>
      </c>
      <c r="E1287" s="14" t="str">
        <f>+HYPERLINK("http://trademark.i-assist.jp/data/china/image_1905th/79712101.pdf","79712101")</f>
        <v>79712101</v>
      </c>
      <c r="F1287" s="13" t="s">
        <v>73</v>
      </c>
      <c r="G1287" s="13" t="s">
        <v>2337</v>
      </c>
      <c r="H1287" s="13" t="s">
        <v>5128</v>
      </c>
      <c r="I1287" s="12">
        <v>45483</v>
      </c>
    </row>
    <row r="1288" spans="1:9" x14ac:dyDescent="0.15">
      <c r="A1288" s="10">
        <v>1287</v>
      </c>
      <c r="B1288" s="9" t="s">
        <v>9</v>
      </c>
      <c r="C1288" s="11" t="s">
        <v>10</v>
      </c>
      <c r="D1288" s="12">
        <v>45562</v>
      </c>
      <c r="E1288" s="14" t="str">
        <f>+HYPERLINK("http://trademark.i-assist.jp/data/china/image_1905th/79719675.pdf","79719675")</f>
        <v>79719675</v>
      </c>
      <c r="F1288" s="13" t="s">
        <v>2339</v>
      </c>
      <c r="G1288" s="13" t="s">
        <v>2338</v>
      </c>
      <c r="H1288" s="13" t="s">
        <v>5129</v>
      </c>
      <c r="I1288" s="12">
        <v>45483</v>
      </c>
    </row>
    <row r="1289" spans="1:9" x14ac:dyDescent="0.15">
      <c r="A1289" s="10">
        <v>1288</v>
      </c>
      <c r="B1289" s="9" t="s">
        <v>9</v>
      </c>
      <c r="C1289" s="11" t="s">
        <v>10</v>
      </c>
      <c r="D1289" s="12">
        <v>45562</v>
      </c>
      <c r="E1289" s="14" t="str">
        <f>+HYPERLINK("http://trademark.i-assist.jp/data/china/image_1905th/79736462.pdf","79736462")</f>
        <v>79736462</v>
      </c>
      <c r="F1289" s="13" t="s">
        <v>2341</v>
      </c>
      <c r="G1289" s="13" t="s">
        <v>2340</v>
      </c>
      <c r="H1289" s="13" t="s">
        <v>5130</v>
      </c>
      <c r="I1289" s="12">
        <v>45484</v>
      </c>
    </row>
    <row r="1290" spans="1:9" x14ac:dyDescent="0.15">
      <c r="A1290" s="10">
        <v>1289</v>
      </c>
      <c r="B1290" s="9" t="s">
        <v>9</v>
      </c>
      <c r="C1290" s="11" t="s">
        <v>10</v>
      </c>
      <c r="D1290" s="12">
        <v>45562</v>
      </c>
      <c r="E1290" s="14" t="str">
        <f>+HYPERLINK("http://trademark.i-assist.jp/data/china/image_1905th/79737073.pdf","79737073")</f>
        <v>79737073</v>
      </c>
      <c r="F1290" s="13" t="s">
        <v>2342</v>
      </c>
      <c r="G1290" s="13" t="s">
        <v>25</v>
      </c>
      <c r="H1290" s="13" t="s">
        <v>4154</v>
      </c>
      <c r="I1290" s="12">
        <v>45484</v>
      </c>
    </row>
    <row r="1291" spans="1:9" x14ac:dyDescent="0.15">
      <c r="A1291" s="10">
        <v>1290</v>
      </c>
      <c r="B1291" s="9" t="s">
        <v>9</v>
      </c>
      <c r="C1291" s="11" t="s">
        <v>10</v>
      </c>
      <c r="D1291" s="12">
        <v>45562</v>
      </c>
      <c r="E1291" s="14" t="str">
        <f>+HYPERLINK("http://trademark.i-assist.jp/data/china/image_1905th/79831345.pdf","79831345")</f>
        <v>79831345</v>
      </c>
      <c r="F1291" s="13" t="s">
        <v>2344</v>
      </c>
      <c r="G1291" s="13" t="s">
        <v>2343</v>
      </c>
      <c r="H1291" s="13" t="s">
        <v>5131</v>
      </c>
      <c r="I1291" s="12">
        <v>45489</v>
      </c>
    </row>
    <row r="1292" spans="1:9" x14ac:dyDescent="0.15">
      <c r="A1292" s="10">
        <v>1291</v>
      </c>
      <c r="B1292" s="9" t="s">
        <v>9</v>
      </c>
      <c r="C1292" s="11" t="s">
        <v>10</v>
      </c>
      <c r="D1292" s="12">
        <v>45562</v>
      </c>
      <c r="E1292" s="14" t="str">
        <f>+HYPERLINK("http://trademark.i-assist.jp/data/china/image_1905th/79831779.pdf","79831779")</f>
        <v>79831779</v>
      </c>
      <c r="F1292" s="13" t="s">
        <v>2345</v>
      </c>
      <c r="G1292" s="13" t="s">
        <v>586</v>
      </c>
      <c r="H1292" s="13" t="s">
        <v>4416</v>
      </c>
      <c r="I1292" s="12">
        <v>45489</v>
      </c>
    </row>
    <row r="1293" spans="1:9" x14ac:dyDescent="0.15">
      <c r="A1293" s="10">
        <v>1292</v>
      </c>
      <c r="B1293" s="9" t="s">
        <v>9</v>
      </c>
      <c r="C1293" s="11" t="s">
        <v>10</v>
      </c>
      <c r="D1293" s="12">
        <v>45562</v>
      </c>
      <c r="E1293" s="14" t="str">
        <f>+HYPERLINK("http://trademark.i-assist.jp/data/china/image_1905th/79834316.pdf","79834316")</f>
        <v>79834316</v>
      </c>
      <c r="F1293" s="13" t="s">
        <v>2346</v>
      </c>
      <c r="G1293" s="13" t="s">
        <v>715</v>
      </c>
      <c r="H1293" s="13" t="s">
        <v>4469</v>
      </c>
      <c r="I1293" s="12">
        <v>45490</v>
      </c>
    </row>
    <row r="1294" spans="1:9" x14ac:dyDescent="0.15">
      <c r="A1294" s="10">
        <v>1293</v>
      </c>
      <c r="B1294" s="9" t="s">
        <v>9</v>
      </c>
      <c r="C1294" s="11" t="s">
        <v>10</v>
      </c>
      <c r="D1294" s="12">
        <v>45562</v>
      </c>
      <c r="E1294" s="14" t="str">
        <f>+HYPERLINK("http://trademark.i-assist.jp/data/china/image_1905th/79845033.pdf","79845033")</f>
        <v>79845033</v>
      </c>
      <c r="F1294" s="13" t="s">
        <v>2348</v>
      </c>
      <c r="G1294" s="13" t="s">
        <v>2347</v>
      </c>
      <c r="H1294" s="13" t="s">
        <v>5132</v>
      </c>
      <c r="I1294" s="12">
        <v>45490</v>
      </c>
    </row>
    <row r="1295" spans="1:9" x14ac:dyDescent="0.15">
      <c r="A1295" s="10">
        <v>1294</v>
      </c>
      <c r="B1295" s="9" t="s">
        <v>9</v>
      </c>
      <c r="C1295" s="11" t="s">
        <v>10</v>
      </c>
      <c r="D1295" s="12">
        <v>45562</v>
      </c>
      <c r="E1295" s="14" t="str">
        <f>+HYPERLINK("http://trademark.i-assist.jp/data/china/image_1905th/79848359.pdf","79848359")</f>
        <v>79848359</v>
      </c>
      <c r="F1295" s="13" t="s">
        <v>2349</v>
      </c>
      <c r="G1295" s="13" t="s">
        <v>1419</v>
      </c>
      <c r="H1295" s="13" t="s">
        <v>4746</v>
      </c>
      <c r="I1295" s="12">
        <v>45490</v>
      </c>
    </row>
    <row r="1296" spans="1:9" x14ac:dyDescent="0.15">
      <c r="A1296" s="10">
        <v>1295</v>
      </c>
      <c r="B1296" s="9" t="s">
        <v>9</v>
      </c>
      <c r="C1296" s="11" t="s">
        <v>10</v>
      </c>
      <c r="D1296" s="12">
        <v>45562</v>
      </c>
      <c r="E1296" s="14" t="str">
        <f>+HYPERLINK("http://trademark.i-assist.jp/data/china/image_1905th/79776413.pdf","79776413")</f>
        <v>79776413</v>
      </c>
      <c r="F1296" s="13" t="s">
        <v>2351</v>
      </c>
      <c r="G1296" s="13" t="s">
        <v>2350</v>
      </c>
      <c r="H1296" s="13" t="s">
        <v>5133</v>
      </c>
      <c r="I1296" s="12">
        <v>45486</v>
      </c>
    </row>
    <row r="1297" spans="1:9" x14ac:dyDescent="0.15">
      <c r="A1297" s="10">
        <v>1296</v>
      </c>
      <c r="B1297" s="9" t="s">
        <v>9</v>
      </c>
      <c r="C1297" s="11" t="s">
        <v>10</v>
      </c>
      <c r="D1297" s="12">
        <v>45562</v>
      </c>
      <c r="E1297" s="14" t="str">
        <f>+HYPERLINK("http://trademark.i-assist.jp/data/china/image_1905th/79789589.pdf","79789589")</f>
        <v>79789589</v>
      </c>
      <c r="F1297" s="13" t="s">
        <v>2353</v>
      </c>
      <c r="G1297" s="13" t="s">
        <v>2352</v>
      </c>
      <c r="H1297" s="13" t="s">
        <v>5134</v>
      </c>
      <c r="I1297" s="12">
        <v>45488</v>
      </c>
    </row>
    <row r="1298" spans="1:9" x14ac:dyDescent="0.15">
      <c r="A1298" s="10">
        <v>1297</v>
      </c>
      <c r="B1298" s="9" t="s">
        <v>9</v>
      </c>
      <c r="C1298" s="11" t="s">
        <v>10</v>
      </c>
      <c r="D1298" s="12">
        <v>45562</v>
      </c>
      <c r="E1298" s="14" t="str">
        <f>+HYPERLINK("http://trademark.i-assist.jp/data/china/image_1905th/79794319.pdf","79794319")</f>
        <v>79794319</v>
      </c>
      <c r="F1298" s="13" t="s">
        <v>2355</v>
      </c>
      <c r="G1298" s="13" t="s">
        <v>2354</v>
      </c>
      <c r="H1298" s="13" t="s">
        <v>5135</v>
      </c>
      <c r="I1298" s="12">
        <v>45488</v>
      </c>
    </row>
    <row r="1299" spans="1:9" x14ac:dyDescent="0.15">
      <c r="A1299" s="10">
        <v>1298</v>
      </c>
      <c r="B1299" s="9" t="s">
        <v>9</v>
      </c>
      <c r="C1299" s="11" t="s">
        <v>10</v>
      </c>
      <c r="D1299" s="12">
        <v>45562</v>
      </c>
      <c r="E1299" s="14" t="str">
        <f>+HYPERLINK("http://trademark.i-assist.jp/data/china/image_1905th/79808133.pdf","79808133")</f>
        <v>79808133</v>
      </c>
      <c r="F1299" s="13" t="s">
        <v>2357</v>
      </c>
      <c r="G1299" s="13" t="s">
        <v>2356</v>
      </c>
      <c r="H1299" s="13" t="s">
        <v>5136</v>
      </c>
      <c r="I1299" s="12">
        <v>45488</v>
      </c>
    </row>
    <row r="1300" spans="1:9" x14ac:dyDescent="0.15">
      <c r="A1300" s="10">
        <v>1299</v>
      </c>
      <c r="B1300" s="9" t="s">
        <v>9</v>
      </c>
      <c r="C1300" s="11" t="s">
        <v>10</v>
      </c>
      <c r="D1300" s="12">
        <v>45562</v>
      </c>
      <c r="E1300" s="14" t="str">
        <f>+HYPERLINK("http://trademark.i-assist.jp/data/china/image_1905th/79812507.pdf","79812507")</f>
        <v>79812507</v>
      </c>
      <c r="F1300" s="13" t="s">
        <v>2358</v>
      </c>
      <c r="G1300" s="13" t="s">
        <v>586</v>
      </c>
      <c r="H1300" s="13" t="s">
        <v>4416</v>
      </c>
      <c r="I1300" s="12">
        <v>45489</v>
      </c>
    </row>
    <row r="1301" spans="1:9" x14ac:dyDescent="0.15">
      <c r="A1301" s="10">
        <v>1300</v>
      </c>
      <c r="B1301" s="9" t="s">
        <v>9</v>
      </c>
      <c r="C1301" s="11" t="s">
        <v>10</v>
      </c>
      <c r="D1301" s="12">
        <v>45562</v>
      </c>
      <c r="E1301" s="14" t="str">
        <f>+HYPERLINK("http://trademark.i-assist.jp/data/china/image_1905th/79827255.pdf","79827255")</f>
        <v>79827255</v>
      </c>
      <c r="F1301" s="13" t="s">
        <v>2360</v>
      </c>
      <c r="G1301" s="13" t="s">
        <v>2359</v>
      </c>
      <c r="H1301" s="13" t="s">
        <v>5137</v>
      </c>
      <c r="I1301" s="12">
        <v>45489</v>
      </c>
    </row>
    <row r="1302" spans="1:9" x14ac:dyDescent="0.15">
      <c r="A1302" s="10">
        <v>1301</v>
      </c>
      <c r="B1302" s="9" t="s">
        <v>9</v>
      </c>
      <c r="C1302" s="11" t="s">
        <v>10</v>
      </c>
      <c r="D1302" s="12">
        <v>45562</v>
      </c>
      <c r="E1302" s="14" t="str">
        <f>+HYPERLINK("http://trademark.i-assist.jp/data/china/image_1905th/79662669.pdf","79662669")</f>
        <v>79662669</v>
      </c>
      <c r="F1302" s="13" t="s">
        <v>2362</v>
      </c>
      <c r="G1302" s="13" t="s">
        <v>2361</v>
      </c>
      <c r="H1302" s="13" t="s">
        <v>5138</v>
      </c>
      <c r="I1302" s="12">
        <v>45481</v>
      </c>
    </row>
    <row r="1303" spans="1:9" x14ac:dyDescent="0.15">
      <c r="A1303" s="10">
        <v>1302</v>
      </c>
      <c r="B1303" s="9" t="s">
        <v>9</v>
      </c>
      <c r="C1303" s="11" t="s">
        <v>10</v>
      </c>
      <c r="D1303" s="12">
        <v>45562</v>
      </c>
      <c r="E1303" s="14" t="str">
        <f>+HYPERLINK("http://trademark.i-assist.jp/data/china/image_1905th/79664996.pdf","79664996")</f>
        <v>79664996</v>
      </c>
      <c r="F1303" s="13" t="s">
        <v>2364</v>
      </c>
      <c r="G1303" s="13" t="s">
        <v>2363</v>
      </c>
      <c r="H1303" s="13" t="s">
        <v>5139</v>
      </c>
      <c r="I1303" s="12">
        <v>45481</v>
      </c>
    </row>
    <row r="1304" spans="1:9" x14ac:dyDescent="0.15">
      <c r="A1304" s="10">
        <v>1303</v>
      </c>
      <c r="B1304" s="9" t="s">
        <v>9</v>
      </c>
      <c r="C1304" s="11" t="s">
        <v>10</v>
      </c>
      <c r="D1304" s="12">
        <v>45562</v>
      </c>
      <c r="E1304" s="14" t="str">
        <f>+HYPERLINK("http://trademark.i-assist.jp/data/china/image_1905th/79665184.pdf","79665184")</f>
        <v>79665184</v>
      </c>
      <c r="F1304" s="13" t="s">
        <v>2366</v>
      </c>
      <c r="G1304" s="13" t="s">
        <v>2365</v>
      </c>
      <c r="H1304" s="13" t="s">
        <v>5140</v>
      </c>
      <c r="I1304" s="12">
        <v>45481</v>
      </c>
    </row>
    <row r="1305" spans="1:9" x14ac:dyDescent="0.15">
      <c r="A1305" s="10">
        <v>1304</v>
      </c>
      <c r="B1305" s="9" t="s">
        <v>9</v>
      </c>
      <c r="C1305" s="11" t="s">
        <v>10</v>
      </c>
      <c r="D1305" s="12">
        <v>45562</v>
      </c>
      <c r="E1305" s="14" t="str">
        <f>+HYPERLINK("http://trademark.i-assist.jp/data/china/image_1905th/79671112.pdf","79671112")</f>
        <v>79671112</v>
      </c>
      <c r="F1305" s="13" t="s">
        <v>2368</v>
      </c>
      <c r="G1305" s="13" t="s">
        <v>2367</v>
      </c>
      <c r="H1305" s="13" t="s">
        <v>5141</v>
      </c>
      <c r="I1305" s="12">
        <v>45481</v>
      </c>
    </row>
    <row r="1306" spans="1:9" x14ac:dyDescent="0.15">
      <c r="A1306" s="10">
        <v>1305</v>
      </c>
      <c r="B1306" s="9" t="s">
        <v>9</v>
      </c>
      <c r="C1306" s="11" t="s">
        <v>10</v>
      </c>
      <c r="D1306" s="12">
        <v>45562</v>
      </c>
      <c r="E1306" s="14" t="str">
        <f>+HYPERLINK("http://trademark.i-assist.jp/data/china/image_1905th/79671590.pdf","79671590")</f>
        <v>79671590</v>
      </c>
      <c r="F1306" s="13" t="s">
        <v>2370</v>
      </c>
      <c r="G1306" s="13" t="s">
        <v>2369</v>
      </c>
      <c r="H1306" s="13" t="s">
        <v>5142</v>
      </c>
      <c r="I1306" s="12">
        <v>45481</v>
      </c>
    </row>
    <row r="1307" spans="1:9" x14ac:dyDescent="0.15">
      <c r="A1307" s="10">
        <v>1306</v>
      </c>
      <c r="B1307" s="9" t="s">
        <v>9</v>
      </c>
      <c r="C1307" s="11" t="s">
        <v>10</v>
      </c>
      <c r="D1307" s="12">
        <v>45562</v>
      </c>
      <c r="E1307" s="14" t="str">
        <f>+HYPERLINK("http://trademark.i-assist.jp/data/china/image_1905th/79684301.pdf","79684301")</f>
        <v>79684301</v>
      </c>
      <c r="F1307" s="13" t="s">
        <v>2372</v>
      </c>
      <c r="G1307" s="13" t="s">
        <v>2371</v>
      </c>
      <c r="H1307" s="13" t="s">
        <v>5089</v>
      </c>
      <c r="I1307" s="12">
        <v>45482</v>
      </c>
    </row>
    <row r="1308" spans="1:9" x14ac:dyDescent="0.15">
      <c r="A1308" s="10">
        <v>1307</v>
      </c>
      <c r="B1308" s="9" t="s">
        <v>9</v>
      </c>
      <c r="C1308" s="11" t="s">
        <v>10</v>
      </c>
      <c r="D1308" s="12">
        <v>45562</v>
      </c>
      <c r="E1308" s="14" t="str">
        <f>+HYPERLINK("http://trademark.i-assist.jp/data/china/image_1905th/79684311.pdf","79684311")</f>
        <v>79684311</v>
      </c>
      <c r="F1308" s="13" t="s">
        <v>2374</v>
      </c>
      <c r="G1308" s="13" t="s">
        <v>2373</v>
      </c>
      <c r="H1308" s="13" t="s">
        <v>5143</v>
      </c>
      <c r="I1308" s="12">
        <v>45482</v>
      </c>
    </row>
    <row r="1309" spans="1:9" x14ac:dyDescent="0.15">
      <c r="A1309" s="10">
        <v>1308</v>
      </c>
      <c r="B1309" s="9" t="s">
        <v>9</v>
      </c>
      <c r="C1309" s="11" t="s">
        <v>10</v>
      </c>
      <c r="D1309" s="12">
        <v>45562</v>
      </c>
      <c r="E1309" s="14" t="str">
        <f>+HYPERLINK("http://trademark.i-assist.jp/data/china/image_1905th/60148445.pdf","60148445")</f>
        <v>60148445</v>
      </c>
      <c r="F1309" s="13" t="s">
        <v>2376</v>
      </c>
      <c r="G1309" s="13" t="s">
        <v>2375</v>
      </c>
      <c r="H1309" s="13" t="s">
        <v>5144</v>
      </c>
      <c r="I1309" s="12">
        <v>44496</v>
      </c>
    </row>
    <row r="1310" spans="1:9" x14ac:dyDescent="0.15">
      <c r="A1310" s="10">
        <v>1309</v>
      </c>
      <c r="B1310" s="9" t="s">
        <v>9</v>
      </c>
      <c r="C1310" s="11" t="s">
        <v>10</v>
      </c>
      <c r="D1310" s="12">
        <v>45562</v>
      </c>
      <c r="E1310" s="14" t="str">
        <f>+HYPERLINK("http://trademark.i-assist.jp/data/china/image_1905th/65089062.pdf","65089062")</f>
        <v>65089062</v>
      </c>
      <c r="F1310" s="13" t="s">
        <v>2378</v>
      </c>
      <c r="G1310" s="13" t="s">
        <v>2377</v>
      </c>
      <c r="H1310" s="13" t="s">
        <v>5145</v>
      </c>
      <c r="I1310" s="12">
        <v>44718</v>
      </c>
    </row>
    <row r="1311" spans="1:9" x14ac:dyDescent="0.15">
      <c r="A1311" s="10">
        <v>1310</v>
      </c>
      <c r="B1311" s="9" t="s">
        <v>9</v>
      </c>
      <c r="C1311" s="11" t="s">
        <v>10</v>
      </c>
      <c r="D1311" s="12">
        <v>45562</v>
      </c>
      <c r="E1311" s="14" t="str">
        <f>+HYPERLINK("http://trademark.i-assist.jp/data/china/image_1905th/75831855.pdf","75831855")</f>
        <v>75831855</v>
      </c>
      <c r="F1311" s="13" t="s">
        <v>2380</v>
      </c>
      <c r="G1311" s="13" t="s">
        <v>2379</v>
      </c>
      <c r="H1311" s="13" t="s">
        <v>5146</v>
      </c>
      <c r="I1311" s="12">
        <v>45275</v>
      </c>
    </row>
    <row r="1312" spans="1:9" x14ac:dyDescent="0.15">
      <c r="A1312" s="10">
        <v>1311</v>
      </c>
      <c r="B1312" s="9" t="s">
        <v>9</v>
      </c>
      <c r="C1312" s="11" t="s">
        <v>10</v>
      </c>
      <c r="D1312" s="12">
        <v>45562</v>
      </c>
      <c r="E1312" s="14" t="str">
        <f>+HYPERLINK("http://trademark.i-assist.jp/data/china/image_1905th/78608280.pdf","78608280")</f>
        <v>78608280</v>
      </c>
      <c r="F1312" s="13" t="s">
        <v>2382</v>
      </c>
      <c r="G1312" s="13" t="s">
        <v>2381</v>
      </c>
      <c r="H1312" s="13" t="s">
        <v>5147</v>
      </c>
      <c r="I1312" s="12">
        <v>45427</v>
      </c>
    </row>
    <row r="1313" spans="1:9" x14ac:dyDescent="0.15">
      <c r="A1313" s="10">
        <v>1312</v>
      </c>
      <c r="B1313" s="9" t="s">
        <v>9</v>
      </c>
      <c r="C1313" s="11" t="s">
        <v>10</v>
      </c>
      <c r="D1313" s="12">
        <v>45562</v>
      </c>
      <c r="E1313" s="14" t="str">
        <f>+HYPERLINK("http://trademark.i-assist.jp/data/china/image_1905th/78725339.pdf","78725339")</f>
        <v>78725339</v>
      </c>
      <c r="F1313" s="13" t="s">
        <v>2384</v>
      </c>
      <c r="G1313" s="13" t="s">
        <v>2383</v>
      </c>
      <c r="H1313" s="13" t="s">
        <v>5148</v>
      </c>
      <c r="I1313" s="12">
        <v>45433</v>
      </c>
    </row>
    <row r="1314" spans="1:9" x14ac:dyDescent="0.15">
      <c r="A1314" s="10">
        <v>1313</v>
      </c>
      <c r="B1314" s="9" t="s">
        <v>9</v>
      </c>
      <c r="C1314" s="11" t="s">
        <v>10</v>
      </c>
      <c r="D1314" s="12">
        <v>45562</v>
      </c>
      <c r="E1314" s="14" t="str">
        <f>+HYPERLINK("http://trademark.i-assist.jp/data/china/image_1905th/78725342.pdf","78725342")</f>
        <v>78725342</v>
      </c>
      <c r="F1314" s="13" t="s">
        <v>2386</v>
      </c>
      <c r="G1314" s="13" t="s">
        <v>2385</v>
      </c>
      <c r="H1314" s="13" t="s">
        <v>5149</v>
      </c>
      <c r="I1314" s="12">
        <v>45433</v>
      </c>
    </row>
    <row r="1315" spans="1:9" x14ac:dyDescent="0.15">
      <c r="A1315" s="10">
        <v>1314</v>
      </c>
      <c r="B1315" s="9" t="s">
        <v>9</v>
      </c>
      <c r="C1315" s="11" t="s">
        <v>10</v>
      </c>
      <c r="D1315" s="12">
        <v>45562</v>
      </c>
      <c r="E1315" s="14" t="str">
        <f>+HYPERLINK("http://trademark.i-assist.jp/data/china/image_1905th/78882237.pdf","78882237")</f>
        <v>78882237</v>
      </c>
      <c r="F1315" s="13" t="s">
        <v>2388</v>
      </c>
      <c r="G1315" s="13" t="s">
        <v>2387</v>
      </c>
      <c r="H1315" s="13" t="s">
        <v>5150</v>
      </c>
      <c r="I1315" s="12">
        <v>45440</v>
      </c>
    </row>
    <row r="1316" spans="1:9" x14ac:dyDescent="0.15">
      <c r="A1316" s="10">
        <v>1315</v>
      </c>
      <c r="B1316" s="9" t="s">
        <v>9</v>
      </c>
      <c r="C1316" s="11" t="s">
        <v>10</v>
      </c>
      <c r="D1316" s="12">
        <v>45562</v>
      </c>
      <c r="E1316" s="14" t="str">
        <f>+HYPERLINK("http://trademark.i-assist.jp/data/china/image_1905th/78058527.pdf","78058527")</f>
        <v>78058527</v>
      </c>
      <c r="F1316" s="13" t="s">
        <v>2390</v>
      </c>
      <c r="G1316" s="13" t="s">
        <v>2389</v>
      </c>
      <c r="H1316" s="13" t="s">
        <v>5151</v>
      </c>
      <c r="I1316" s="12">
        <v>45400</v>
      </c>
    </row>
    <row r="1317" spans="1:9" x14ac:dyDescent="0.15">
      <c r="A1317" s="10">
        <v>1316</v>
      </c>
      <c r="B1317" s="9" t="s">
        <v>9</v>
      </c>
      <c r="C1317" s="11" t="s">
        <v>10</v>
      </c>
      <c r="D1317" s="12">
        <v>45562</v>
      </c>
      <c r="E1317" s="14" t="str">
        <f>+HYPERLINK("http://trademark.i-assist.jp/data/china/image_1905th/78060101.pdf","78060101")</f>
        <v>78060101</v>
      </c>
      <c r="F1317" s="13" t="s">
        <v>2392</v>
      </c>
      <c r="G1317" s="13" t="s">
        <v>2391</v>
      </c>
      <c r="H1317" s="13" t="s">
        <v>4733</v>
      </c>
      <c r="I1317" s="12">
        <v>45400</v>
      </c>
    </row>
    <row r="1318" spans="1:9" x14ac:dyDescent="0.15">
      <c r="A1318" s="10">
        <v>1317</v>
      </c>
      <c r="B1318" s="9" t="s">
        <v>9</v>
      </c>
      <c r="C1318" s="11" t="s">
        <v>10</v>
      </c>
      <c r="D1318" s="12">
        <v>45562</v>
      </c>
      <c r="E1318" s="14" t="str">
        <f>+HYPERLINK("http://trademark.i-assist.jp/data/china/image_1905th/79043321.pdf","79043321")</f>
        <v>79043321</v>
      </c>
      <c r="F1318" s="13" t="s">
        <v>2394</v>
      </c>
      <c r="G1318" s="13" t="s">
        <v>2393</v>
      </c>
      <c r="H1318" s="13" t="s">
        <v>5152</v>
      </c>
      <c r="I1318" s="12">
        <v>45448</v>
      </c>
    </row>
    <row r="1319" spans="1:9" x14ac:dyDescent="0.15">
      <c r="A1319" s="10">
        <v>1318</v>
      </c>
      <c r="B1319" s="9" t="s">
        <v>9</v>
      </c>
      <c r="C1319" s="11" t="s">
        <v>10</v>
      </c>
      <c r="D1319" s="12">
        <v>45562</v>
      </c>
      <c r="E1319" s="14" t="str">
        <f>+HYPERLINK("http://trademark.i-assist.jp/data/china/image_1905th/79059764.pdf","79059764")</f>
        <v>79059764</v>
      </c>
      <c r="F1319" s="13" t="s">
        <v>2395</v>
      </c>
      <c r="G1319" s="13" t="s">
        <v>1305</v>
      </c>
      <c r="H1319" s="13" t="s">
        <v>4696</v>
      </c>
      <c r="I1319" s="12">
        <v>45448</v>
      </c>
    </row>
    <row r="1320" spans="1:9" x14ac:dyDescent="0.15">
      <c r="A1320" s="10">
        <v>1319</v>
      </c>
      <c r="B1320" s="9" t="s">
        <v>9</v>
      </c>
      <c r="C1320" s="11" t="s">
        <v>10</v>
      </c>
      <c r="D1320" s="12">
        <v>45562</v>
      </c>
      <c r="E1320" s="14" t="str">
        <f>+HYPERLINK("http://trademark.i-assist.jp/data/china/image_1905th/79073059.pdf","79073059")</f>
        <v>79073059</v>
      </c>
      <c r="F1320" s="13" t="s">
        <v>2397</v>
      </c>
      <c r="G1320" s="13" t="s">
        <v>2396</v>
      </c>
      <c r="H1320" s="13" t="s">
        <v>5153</v>
      </c>
      <c r="I1320" s="12">
        <v>45449</v>
      </c>
    </row>
    <row r="1321" spans="1:9" x14ac:dyDescent="0.15">
      <c r="A1321" s="10">
        <v>1320</v>
      </c>
      <c r="B1321" s="9" t="s">
        <v>9</v>
      </c>
      <c r="C1321" s="11" t="s">
        <v>10</v>
      </c>
      <c r="D1321" s="12">
        <v>45562</v>
      </c>
      <c r="E1321" s="14" t="str">
        <f>+HYPERLINK("http://trademark.i-assist.jp/data/china/image_1905th/79080937.pdf","79080937")</f>
        <v>79080937</v>
      </c>
      <c r="F1321" s="13" t="s">
        <v>2399</v>
      </c>
      <c r="G1321" s="13" t="s">
        <v>2398</v>
      </c>
      <c r="H1321" s="13" t="s">
        <v>5154</v>
      </c>
      <c r="I1321" s="12">
        <v>45449</v>
      </c>
    </row>
    <row r="1322" spans="1:9" x14ac:dyDescent="0.15">
      <c r="A1322" s="10">
        <v>1321</v>
      </c>
      <c r="B1322" s="9" t="s">
        <v>9</v>
      </c>
      <c r="C1322" s="11" t="s">
        <v>10</v>
      </c>
      <c r="D1322" s="12">
        <v>45562</v>
      </c>
      <c r="E1322" s="14" t="str">
        <f>+HYPERLINK("http://trademark.i-assist.jp/data/china/image_1905th/79091119.pdf","79091119")</f>
        <v>79091119</v>
      </c>
      <c r="F1322" s="13" t="s">
        <v>2401</v>
      </c>
      <c r="G1322" s="13" t="s">
        <v>2400</v>
      </c>
      <c r="H1322" s="13" t="s">
        <v>5155</v>
      </c>
      <c r="I1322" s="12">
        <v>45450</v>
      </c>
    </row>
    <row r="1323" spans="1:9" x14ac:dyDescent="0.15">
      <c r="A1323" s="10">
        <v>1322</v>
      </c>
      <c r="B1323" s="9" t="s">
        <v>9</v>
      </c>
      <c r="C1323" s="11" t="s">
        <v>10</v>
      </c>
      <c r="D1323" s="12">
        <v>45562</v>
      </c>
      <c r="E1323" s="14" t="str">
        <f>+HYPERLINK("http://trademark.i-assist.jp/data/china/image_1905th/79108023.pdf","79108023")</f>
        <v>79108023</v>
      </c>
      <c r="F1323" s="13" t="s">
        <v>2403</v>
      </c>
      <c r="G1323" s="13" t="s">
        <v>2402</v>
      </c>
      <c r="H1323" s="13" t="s">
        <v>5156</v>
      </c>
      <c r="I1323" s="12">
        <v>45450</v>
      </c>
    </row>
    <row r="1324" spans="1:9" x14ac:dyDescent="0.15">
      <c r="A1324" s="10">
        <v>1323</v>
      </c>
      <c r="B1324" s="9" t="s">
        <v>9</v>
      </c>
      <c r="C1324" s="11" t="s">
        <v>10</v>
      </c>
      <c r="D1324" s="12">
        <v>45562</v>
      </c>
      <c r="E1324" s="14" t="str">
        <f>+HYPERLINK("http://trademark.i-assist.jp/data/china/image_1905th/79118383.pdf","79118383")</f>
        <v>79118383</v>
      </c>
      <c r="F1324" s="13" t="s">
        <v>1695</v>
      </c>
      <c r="G1324" s="13" t="s">
        <v>1694</v>
      </c>
      <c r="H1324" s="13" t="s">
        <v>4865</v>
      </c>
      <c r="I1324" s="12">
        <v>45450</v>
      </c>
    </row>
    <row r="1325" spans="1:9" x14ac:dyDescent="0.15">
      <c r="A1325" s="10">
        <v>1324</v>
      </c>
      <c r="B1325" s="9" t="s">
        <v>9</v>
      </c>
      <c r="C1325" s="11" t="s">
        <v>10</v>
      </c>
      <c r="D1325" s="12">
        <v>45562</v>
      </c>
      <c r="E1325" s="14" t="str">
        <f>+HYPERLINK("http://trademark.i-assist.jp/data/china/image_1905th/79218990.pdf","79218990")</f>
        <v>79218990</v>
      </c>
      <c r="F1325" s="13" t="s">
        <v>2405</v>
      </c>
      <c r="G1325" s="13" t="s">
        <v>2404</v>
      </c>
      <c r="H1325" s="13" t="s">
        <v>5157</v>
      </c>
      <c r="I1325" s="12">
        <v>45457</v>
      </c>
    </row>
    <row r="1326" spans="1:9" x14ac:dyDescent="0.15">
      <c r="A1326" s="10">
        <v>1325</v>
      </c>
      <c r="B1326" s="9" t="s">
        <v>9</v>
      </c>
      <c r="C1326" s="11" t="s">
        <v>10</v>
      </c>
      <c r="D1326" s="12">
        <v>45562</v>
      </c>
      <c r="E1326" s="14" t="str">
        <f>+HYPERLINK("http://trademark.i-assist.jp/data/china/image_1905th/79249213.pdf","79249213")</f>
        <v>79249213</v>
      </c>
      <c r="F1326" s="13" t="s">
        <v>73</v>
      </c>
      <c r="G1326" s="13" t="s">
        <v>2406</v>
      </c>
      <c r="H1326" s="13" t="s">
        <v>5158</v>
      </c>
      <c r="I1326" s="12">
        <v>45460</v>
      </c>
    </row>
    <row r="1327" spans="1:9" x14ac:dyDescent="0.15">
      <c r="A1327" s="10">
        <v>1326</v>
      </c>
      <c r="B1327" s="9" t="s">
        <v>9</v>
      </c>
      <c r="C1327" s="11" t="s">
        <v>10</v>
      </c>
      <c r="D1327" s="12">
        <v>45562</v>
      </c>
      <c r="E1327" s="14" t="str">
        <f>+HYPERLINK("http://trademark.i-assist.jp/data/china/image_1905th/79254998.pdf","79254998")</f>
        <v>79254998</v>
      </c>
      <c r="F1327" s="13" t="s">
        <v>2408</v>
      </c>
      <c r="G1327" s="13" t="s">
        <v>2407</v>
      </c>
      <c r="H1327" s="13" t="s">
        <v>5159</v>
      </c>
      <c r="I1327" s="12">
        <v>45460</v>
      </c>
    </row>
    <row r="1328" spans="1:9" x14ac:dyDescent="0.15">
      <c r="A1328" s="10">
        <v>1327</v>
      </c>
      <c r="B1328" s="9" t="s">
        <v>9</v>
      </c>
      <c r="C1328" s="11" t="s">
        <v>10</v>
      </c>
      <c r="D1328" s="12">
        <v>45562</v>
      </c>
      <c r="E1328" s="14" t="str">
        <f>+HYPERLINK("http://trademark.i-assist.jp/data/china/image_1905th/79275090.pdf","79275090")</f>
        <v>79275090</v>
      </c>
      <c r="F1328" s="13" t="s">
        <v>2410</v>
      </c>
      <c r="G1328" s="13" t="s">
        <v>2409</v>
      </c>
      <c r="H1328" s="13" t="s">
        <v>5160</v>
      </c>
      <c r="I1328" s="12">
        <v>45461</v>
      </c>
    </row>
    <row r="1329" spans="1:9" x14ac:dyDescent="0.15">
      <c r="A1329" s="10">
        <v>1328</v>
      </c>
      <c r="B1329" s="9" t="s">
        <v>9</v>
      </c>
      <c r="C1329" s="11" t="s">
        <v>10</v>
      </c>
      <c r="D1329" s="12">
        <v>45562</v>
      </c>
      <c r="E1329" s="14" t="str">
        <f>+HYPERLINK("http://trademark.i-assist.jp/data/china/image_1905th/79298783.pdf","79298783")</f>
        <v>79298783</v>
      </c>
      <c r="F1329" s="13" t="s">
        <v>2412</v>
      </c>
      <c r="G1329" s="13" t="s">
        <v>2411</v>
      </c>
      <c r="H1329" s="13" t="s">
        <v>5161</v>
      </c>
      <c r="I1329" s="12">
        <v>45462</v>
      </c>
    </row>
    <row r="1330" spans="1:9" x14ac:dyDescent="0.15">
      <c r="A1330" s="10">
        <v>1329</v>
      </c>
      <c r="B1330" s="9" t="s">
        <v>9</v>
      </c>
      <c r="C1330" s="11" t="s">
        <v>10</v>
      </c>
      <c r="D1330" s="12">
        <v>45562</v>
      </c>
      <c r="E1330" s="14" t="str">
        <f>+HYPERLINK("http://trademark.i-assist.jp/data/china/image_1905th/79407487.pdf","79407487")</f>
        <v>79407487</v>
      </c>
      <c r="F1330" s="13" t="s">
        <v>2413</v>
      </c>
      <c r="G1330" s="13" t="s">
        <v>862</v>
      </c>
      <c r="H1330" s="13" t="s">
        <v>4533</v>
      </c>
      <c r="I1330" s="12">
        <v>45467</v>
      </c>
    </row>
    <row r="1331" spans="1:9" x14ac:dyDescent="0.15">
      <c r="A1331" s="10">
        <v>1330</v>
      </c>
      <c r="B1331" s="9" t="s">
        <v>9</v>
      </c>
      <c r="C1331" s="11" t="s">
        <v>10</v>
      </c>
      <c r="D1331" s="12">
        <v>45562</v>
      </c>
      <c r="E1331" s="14" t="str">
        <f>+HYPERLINK("http://trademark.i-assist.jp/data/china/image_1905th/79415090.pdf","79415090")</f>
        <v>79415090</v>
      </c>
      <c r="F1331" s="13" t="s">
        <v>2415</v>
      </c>
      <c r="G1331" s="13" t="s">
        <v>2414</v>
      </c>
      <c r="H1331" s="13" t="s">
        <v>5162</v>
      </c>
      <c r="I1331" s="12">
        <v>45468</v>
      </c>
    </row>
    <row r="1332" spans="1:9" x14ac:dyDescent="0.15">
      <c r="A1332" s="10">
        <v>1331</v>
      </c>
      <c r="B1332" s="9" t="s">
        <v>9</v>
      </c>
      <c r="C1332" s="11" t="s">
        <v>10</v>
      </c>
      <c r="D1332" s="12">
        <v>45562</v>
      </c>
      <c r="E1332" s="14" t="str">
        <f>+HYPERLINK("http://trademark.i-assist.jp/data/china/image_1905th/79415356.pdf","79415356")</f>
        <v>79415356</v>
      </c>
      <c r="F1332" s="13" t="s">
        <v>2416</v>
      </c>
      <c r="G1332" s="13" t="s">
        <v>213</v>
      </c>
      <c r="H1332" s="13" t="s">
        <v>4244</v>
      </c>
      <c r="I1332" s="12">
        <v>45468</v>
      </c>
    </row>
    <row r="1333" spans="1:9" x14ac:dyDescent="0.15">
      <c r="A1333" s="10">
        <v>1332</v>
      </c>
      <c r="B1333" s="9" t="s">
        <v>9</v>
      </c>
      <c r="C1333" s="11" t="s">
        <v>10</v>
      </c>
      <c r="D1333" s="12">
        <v>45562</v>
      </c>
      <c r="E1333" s="14" t="str">
        <f>+HYPERLINK("http://trademark.i-assist.jp/data/china/image_1905th/79421626.pdf","79421626")</f>
        <v>79421626</v>
      </c>
      <c r="F1333" s="13" t="s">
        <v>2417</v>
      </c>
      <c r="G1333" s="13" t="s">
        <v>356</v>
      </c>
      <c r="H1333" s="13" t="s">
        <v>4308</v>
      </c>
      <c r="I1333" s="12">
        <v>45468</v>
      </c>
    </row>
    <row r="1334" spans="1:9" x14ac:dyDescent="0.15">
      <c r="A1334" s="10">
        <v>1333</v>
      </c>
      <c r="B1334" s="9" t="s">
        <v>9</v>
      </c>
      <c r="C1334" s="11" t="s">
        <v>10</v>
      </c>
      <c r="D1334" s="12">
        <v>45562</v>
      </c>
      <c r="E1334" s="14" t="str">
        <f>+HYPERLINK("http://trademark.i-assist.jp/data/china/image_1905th/79425302.pdf","79425302")</f>
        <v>79425302</v>
      </c>
      <c r="F1334" s="13" t="s">
        <v>2419</v>
      </c>
      <c r="G1334" s="13" t="s">
        <v>2418</v>
      </c>
      <c r="H1334" s="13" t="s">
        <v>5163</v>
      </c>
      <c r="I1334" s="12">
        <v>45468</v>
      </c>
    </row>
    <row r="1335" spans="1:9" x14ac:dyDescent="0.15">
      <c r="A1335" s="10">
        <v>1334</v>
      </c>
      <c r="B1335" s="9" t="s">
        <v>9</v>
      </c>
      <c r="C1335" s="11" t="s">
        <v>10</v>
      </c>
      <c r="D1335" s="12">
        <v>45562</v>
      </c>
      <c r="E1335" s="14" t="str">
        <f>+HYPERLINK("http://trademark.i-assist.jp/data/china/image_1905th/79430624.pdf","79430624")</f>
        <v>79430624</v>
      </c>
      <c r="F1335" s="13" t="s">
        <v>2420</v>
      </c>
      <c r="G1335" s="13" t="s">
        <v>213</v>
      </c>
      <c r="H1335" s="13" t="s">
        <v>4244</v>
      </c>
      <c r="I1335" s="12">
        <v>45468</v>
      </c>
    </row>
    <row r="1336" spans="1:9" x14ac:dyDescent="0.15">
      <c r="A1336" s="10">
        <v>1335</v>
      </c>
      <c r="B1336" s="9" t="s">
        <v>9</v>
      </c>
      <c r="C1336" s="11" t="s">
        <v>10</v>
      </c>
      <c r="D1336" s="12">
        <v>45562</v>
      </c>
      <c r="E1336" s="14" t="str">
        <f>+HYPERLINK("http://trademark.i-assist.jp/data/china/image_1905th/79434541.pdf","79434541")</f>
        <v>79434541</v>
      </c>
      <c r="F1336" s="13" t="s">
        <v>2422</v>
      </c>
      <c r="G1336" s="13" t="s">
        <v>2421</v>
      </c>
      <c r="H1336" s="13" t="s">
        <v>5164</v>
      </c>
      <c r="I1336" s="12">
        <v>45468</v>
      </c>
    </row>
    <row r="1337" spans="1:9" x14ac:dyDescent="0.15">
      <c r="A1337" s="10">
        <v>1336</v>
      </c>
      <c r="B1337" s="9" t="s">
        <v>9</v>
      </c>
      <c r="C1337" s="11" t="s">
        <v>10</v>
      </c>
      <c r="D1337" s="12">
        <v>45562</v>
      </c>
      <c r="E1337" s="14" t="str">
        <f>+HYPERLINK("http://trademark.i-assist.jp/data/china/image_1905th/79436778.pdf","79436778")</f>
        <v>79436778</v>
      </c>
      <c r="F1337" s="13" t="s">
        <v>73</v>
      </c>
      <c r="G1337" s="13" t="s">
        <v>2423</v>
      </c>
      <c r="H1337" s="13" t="s">
        <v>5165</v>
      </c>
      <c r="I1337" s="12">
        <v>45468</v>
      </c>
    </row>
    <row r="1338" spans="1:9" x14ac:dyDescent="0.15">
      <c r="A1338" s="10">
        <v>1337</v>
      </c>
      <c r="B1338" s="9" t="s">
        <v>9</v>
      </c>
      <c r="C1338" s="11" t="s">
        <v>10</v>
      </c>
      <c r="D1338" s="12">
        <v>45562</v>
      </c>
      <c r="E1338" s="14" t="str">
        <f>+HYPERLINK("http://trademark.i-assist.jp/data/china/image_1905th/79440044.pdf","79440044")</f>
        <v>79440044</v>
      </c>
      <c r="F1338" s="13" t="s">
        <v>2425</v>
      </c>
      <c r="G1338" s="13" t="s">
        <v>2424</v>
      </c>
      <c r="H1338" s="13" t="s">
        <v>4247</v>
      </c>
      <c r="I1338" s="12">
        <v>45469</v>
      </c>
    </row>
    <row r="1339" spans="1:9" x14ac:dyDescent="0.15">
      <c r="A1339" s="10">
        <v>1338</v>
      </c>
      <c r="B1339" s="9" t="s">
        <v>9</v>
      </c>
      <c r="C1339" s="11" t="s">
        <v>10</v>
      </c>
      <c r="D1339" s="12">
        <v>45562</v>
      </c>
      <c r="E1339" s="14" t="str">
        <f>+HYPERLINK("http://trademark.i-assist.jp/data/china/image_1905th/79449989.pdf","79449989")</f>
        <v>79449989</v>
      </c>
      <c r="F1339" s="13" t="s">
        <v>2427</v>
      </c>
      <c r="G1339" s="13" t="s">
        <v>2426</v>
      </c>
      <c r="H1339" s="13" t="s">
        <v>5166</v>
      </c>
      <c r="I1339" s="12">
        <v>45469</v>
      </c>
    </row>
    <row r="1340" spans="1:9" x14ac:dyDescent="0.15">
      <c r="A1340" s="10">
        <v>1339</v>
      </c>
      <c r="B1340" s="9" t="s">
        <v>9</v>
      </c>
      <c r="C1340" s="11" t="s">
        <v>10</v>
      </c>
      <c r="D1340" s="12">
        <v>45562</v>
      </c>
      <c r="E1340" s="14" t="str">
        <f>+HYPERLINK("http://trademark.i-assist.jp/data/china/image_1905th/79451538.pdf","79451538")</f>
        <v>79451538</v>
      </c>
      <c r="F1340" s="13" t="s">
        <v>2429</v>
      </c>
      <c r="G1340" s="13" t="s">
        <v>2428</v>
      </c>
      <c r="H1340" s="13" t="s">
        <v>5167</v>
      </c>
      <c r="I1340" s="12">
        <v>45469</v>
      </c>
    </row>
    <row r="1341" spans="1:9" x14ac:dyDescent="0.15">
      <c r="A1341" s="10">
        <v>1340</v>
      </c>
      <c r="B1341" s="9" t="s">
        <v>9</v>
      </c>
      <c r="C1341" s="11" t="s">
        <v>10</v>
      </c>
      <c r="D1341" s="12">
        <v>45562</v>
      </c>
      <c r="E1341" s="14" t="str">
        <f>+HYPERLINK("http://trademark.i-assist.jp/data/china/image_1905th/79460156.pdf","79460156")</f>
        <v>79460156</v>
      </c>
      <c r="F1341" s="13" t="s">
        <v>2431</v>
      </c>
      <c r="G1341" s="13" t="s">
        <v>2430</v>
      </c>
      <c r="H1341" s="13" t="s">
        <v>5168</v>
      </c>
      <c r="I1341" s="12">
        <v>45469</v>
      </c>
    </row>
    <row r="1342" spans="1:9" x14ac:dyDescent="0.15">
      <c r="A1342" s="10">
        <v>1341</v>
      </c>
      <c r="B1342" s="9" t="s">
        <v>9</v>
      </c>
      <c r="C1342" s="11" t="s">
        <v>10</v>
      </c>
      <c r="D1342" s="12">
        <v>45562</v>
      </c>
      <c r="E1342" s="14" t="str">
        <f>+HYPERLINK("http://trademark.i-assist.jp/data/china/image_1905th/79308879.pdf","79308879")</f>
        <v>79308879</v>
      </c>
      <c r="F1342" s="13" t="s">
        <v>2433</v>
      </c>
      <c r="G1342" s="13" t="s">
        <v>2432</v>
      </c>
      <c r="H1342" s="13" t="s">
        <v>5169</v>
      </c>
      <c r="I1342" s="12">
        <v>45462</v>
      </c>
    </row>
    <row r="1343" spans="1:9" x14ac:dyDescent="0.15">
      <c r="A1343" s="10">
        <v>1342</v>
      </c>
      <c r="B1343" s="9" t="s">
        <v>9</v>
      </c>
      <c r="C1343" s="11" t="s">
        <v>10</v>
      </c>
      <c r="D1343" s="12">
        <v>45562</v>
      </c>
      <c r="E1343" s="14" t="str">
        <f>+HYPERLINK("http://trademark.i-assist.jp/data/china/image_1905th/79314843.pdf","79314843")</f>
        <v>79314843</v>
      </c>
      <c r="F1343" s="13" t="s">
        <v>2435</v>
      </c>
      <c r="G1343" s="13" t="s">
        <v>2434</v>
      </c>
      <c r="H1343" s="13" t="s">
        <v>5170</v>
      </c>
      <c r="I1343" s="12">
        <v>45462</v>
      </c>
    </row>
    <row r="1344" spans="1:9" x14ac:dyDescent="0.15">
      <c r="A1344" s="10">
        <v>1343</v>
      </c>
      <c r="B1344" s="9" t="s">
        <v>9</v>
      </c>
      <c r="C1344" s="11" t="s">
        <v>10</v>
      </c>
      <c r="D1344" s="12">
        <v>45562</v>
      </c>
      <c r="E1344" s="14" t="str">
        <f>+HYPERLINK("http://trademark.i-assist.jp/data/china/image_1905th/79321023.pdf","79321023")</f>
        <v>79321023</v>
      </c>
      <c r="F1344" s="13" t="s">
        <v>2437</v>
      </c>
      <c r="G1344" s="13" t="s">
        <v>2436</v>
      </c>
      <c r="H1344" s="13" t="s">
        <v>5171</v>
      </c>
      <c r="I1344" s="12">
        <v>45462</v>
      </c>
    </row>
    <row r="1345" spans="1:9" x14ac:dyDescent="0.15">
      <c r="A1345" s="10">
        <v>1344</v>
      </c>
      <c r="B1345" s="9" t="s">
        <v>9</v>
      </c>
      <c r="C1345" s="11" t="s">
        <v>10</v>
      </c>
      <c r="D1345" s="12">
        <v>45562</v>
      </c>
      <c r="E1345" s="14" t="str">
        <f>+HYPERLINK("http://trademark.i-assist.jp/data/china/image_1905th/79339966.pdf","79339966")</f>
        <v>79339966</v>
      </c>
      <c r="F1345" s="13" t="s">
        <v>2438</v>
      </c>
      <c r="G1345" s="13" t="s">
        <v>1595</v>
      </c>
      <c r="H1345" s="13" t="s">
        <v>4822</v>
      </c>
      <c r="I1345" s="12">
        <v>45463</v>
      </c>
    </row>
    <row r="1346" spans="1:9" x14ac:dyDescent="0.15">
      <c r="A1346" s="10">
        <v>1345</v>
      </c>
      <c r="B1346" s="9" t="s">
        <v>9</v>
      </c>
      <c r="C1346" s="11" t="s">
        <v>10</v>
      </c>
      <c r="D1346" s="12">
        <v>45562</v>
      </c>
      <c r="E1346" s="14" t="str">
        <f>+HYPERLINK("http://trademark.i-assist.jp/data/china/image_1905th/79349716.pdf","79349716")</f>
        <v>79349716</v>
      </c>
      <c r="F1346" s="13" t="s">
        <v>2440</v>
      </c>
      <c r="G1346" s="13" t="s">
        <v>2439</v>
      </c>
      <c r="H1346" s="13" t="s">
        <v>5172</v>
      </c>
      <c r="I1346" s="12">
        <v>45464</v>
      </c>
    </row>
    <row r="1347" spans="1:9" x14ac:dyDescent="0.15">
      <c r="A1347" s="10">
        <v>1346</v>
      </c>
      <c r="B1347" s="9" t="s">
        <v>9</v>
      </c>
      <c r="C1347" s="11" t="s">
        <v>10</v>
      </c>
      <c r="D1347" s="12">
        <v>45562</v>
      </c>
      <c r="E1347" s="14" t="str">
        <f>+HYPERLINK("http://trademark.i-assist.jp/data/china/image_1905th/79351002.pdf","79351002")</f>
        <v>79351002</v>
      </c>
      <c r="F1347" s="13" t="s">
        <v>2442</v>
      </c>
      <c r="G1347" s="13" t="s">
        <v>2441</v>
      </c>
      <c r="H1347" s="13" t="s">
        <v>5173</v>
      </c>
      <c r="I1347" s="12">
        <v>45464</v>
      </c>
    </row>
    <row r="1348" spans="1:9" x14ac:dyDescent="0.15">
      <c r="A1348" s="10">
        <v>1347</v>
      </c>
      <c r="B1348" s="9" t="s">
        <v>9</v>
      </c>
      <c r="C1348" s="11" t="s">
        <v>10</v>
      </c>
      <c r="D1348" s="12">
        <v>45562</v>
      </c>
      <c r="E1348" s="14" t="str">
        <f>+HYPERLINK("http://trademark.i-assist.jp/data/china/image_1905th/79367517.pdf","79367517")</f>
        <v>79367517</v>
      </c>
      <c r="F1348" s="13" t="s">
        <v>2444</v>
      </c>
      <c r="G1348" s="13" t="s">
        <v>2443</v>
      </c>
      <c r="H1348" s="13" t="s">
        <v>5174</v>
      </c>
      <c r="I1348" s="12">
        <v>45464</v>
      </c>
    </row>
    <row r="1349" spans="1:9" x14ac:dyDescent="0.15">
      <c r="A1349" s="10">
        <v>1348</v>
      </c>
      <c r="B1349" s="9" t="s">
        <v>9</v>
      </c>
      <c r="C1349" s="11" t="s">
        <v>10</v>
      </c>
      <c r="D1349" s="12">
        <v>45562</v>
      </c>
      <c r="E1349" s="14" t="str">
        <f>+HYPERLINK("http://trademark.i-assist.jp/data/china/image_1905th/79370299.pdf","79370299")</f>
        <v>79370299</v>
      </c>
      <c r="F1349" s="13" t="s">
        <v>2153</v>
      </c>
      <c r="G1349" s="13" t="s">
        <v>2152</v>
      </c>
      <c r="H1349" s="13" t="s">
        <v>5054</v>
      </c>
      <c r="I1349" s="12">
        <v>45464</v>
      </c>
    </row>
    <row r="1350" spans="1:9" x14ac:dyDescent="0.15">
      <c r="A1350" s="10">
        <v>1349</v>
      </c>
      <c r="B1350" s="9" t="s">
        <v>9</v>
      </c>
      <c r="C1350" s="11" t="s">
        <v>10</v>
      </c>
      <c r="D1350" s="12">
        <v>45562</v>
      </c>
      <c r="E1350" s="14" t="str">
        <f>+HYPERLINK("http://trademark.i-assist.jp/data/china/image_1905th/79379155.pdf","79379155")</f>
        <v>79379155</v>
      </c>
      <c r="F1350" s="13" t="s">
        <v>2446</v>
      </c>
      <c r="G1350" s="13" t="s">
        <v>2445</v>
      </c>
      <c r="H1350" s="13" t="s">
        <v>5175</v>
      </c>
      <c r="I1350" s="12">
        <v>45465</v>
      </c>
    </row>
    <row r="1351" spans="1:9" x14ac:dyDescent="0.15">
      <c r="A1351" s="10">
        <v>1350</v>
      </c>
      <c r="B1351" s="9" t="s">
        <v>9</v>
      </c>
      <c r="C1351" s="11" t="s">
        <v>10</v>
      </c>
      <c r="D1351" s="12">
        <v>45562</v>
      </c>
      <c r="E1351" s="14" t="str">
        <f>+HYPERLINK("http://trademark.i-assist.jp/data/china/image_1905th/79388786.pdf","79388786")</f>
        <v>79388786</v>
      </c>
      <c r="F1351" s="13" t="s">
        <v>2448</v>
      </c>
      <c r="G1351" s="13" t="s">
        <v>2447</v>
      </c>
      <c r="H1351" s="13" t="s">
        <v>4164</v>
      </c>
      <c r="I1351" s="12">
        <v>45467</v>
      </c>
    </row>
    <row r="1352" spans="1:9" x14ac:dyDescent="0.15">
      <c r="A1352" s="10">
        <v>1351</v>
      </c>
      <c r="B1352" s="9" t="s">
        <v>9</v>
      </c>
      <c r="C1352" s="11" t="s">
        <v>10</v>
      </c>
      <c r="D1352" s="12">
        <v>45562</v>
      </c>
      <c r="E1352" s="14" t="str">
        <f>+HYPERLINK("http://trademark.i-assist.jp/data/china/image_1905th/79523897.pdf","79523897")</f>
        <v>79523897</v>
      </c>
      <c r="F1352" s="13" t="s">
        <v>2450</v>
      </c>
      <c r="G1352" s="13" t="s">
        <v>2449</v>
      </c>
      <c r="H1352" s="13" t="s">
        <v>5176</v>
      </c>
      <c r="I1352" s="12">
        <v>45473</v>
      </c>
    </row>
    <row r="1353" spans="1:9" x14ac:dyDescent="0.15">
      <c r="A1353" s="10">
        <v>1352</v>
      </c>
      <c r="B1353" s="9" t="s">
        <v>9</v>
      </c>
      <c r="C1353" s="11" t="s">
        <v>10</v>
      </c>
      <c r="D1353" s="12">
        <v>45562</v>
      </c>
      <c r="E1353" s="14" t="str">
        <f>+HYPERLINK("http://trademark.i-assist.jp/data/china/image_1905th/79527728.pdf","79527728")</f>
        <v>79527728</v>
      </c>
      <c r="F1353" s="13" t="s">
        <v>2451</v>
      </c>
      <c r="G1353" s="13" t="s">
        <v>306</v>
      </c>
      <c r="H1353" s="13" t="s">
        <v>4227</v>
      </c>
      <c r="I1353" s="12">
        <v>45474</v>
      </c>
    </row>
    <row r="1354" spans="1:9" x14ac:dyDescent="0.15">
      <c r="A1354" s="10">
        <v>1353</v>
      </c>
      <c r="B1354" s="9" t="s">
        <v>9</v>
      </c>
      <c r="C1354" s="11" t="s">
        <v>10</v>
      </c>
      <c r="D1354" s="12">
        <v>45562</v>
      </c>
      <c r="E1354" s="14" t="str">
        <f>+HYPERLINK("http://trademark.i-assist.jp/data/china/image_1905th/79532630.pdf","79532630")</f>
        <v>79532630</v>
      </c>
      <c r="F1354" s="13" t="s">
        <v>655</v>
      </c>
      <c r="G1354" s="13" t="s">
        <v>654</v>
      </c>
      <c r="H1354" s="13" t="s">
        <v>4443</v>
      </c>
      <c r="I1354" s="12">
        <v>45474</v>
      </c>
    </row>
    <row r="1355" spans="1:9" x14ac:dyDescent="0.15">
      <c r="A1355" s="10">
        <v>1354</v>
      </c>
      <c r="B1355" s="9" t="s">
        <v>9</v>
      </c>
      <c r="C1355" s="11" t="s">
        <v>10</v>
      </c>
      <c r="D1355" s="12">
        <v>45562</v>
      </c>
      <c r="E1355" s="14" t="str">
        <f>+HYPERLINK("http://trademark.i-assist.jp/data/china/image_1905th/79536867.pdf","79536867")</f>
        <v>79536867</v>
      </c>
      <c r="F1355" s="13" t="s">
        <v>2453</v>
      </c>
      <c r="G1355" s="13" t="s">
        <v>2452</v>
      </c>
      <c r="H1355" s="13" t="s">
        <v>5177</v>
      </c>
      <c r="I1355" s="12">
        <v>45474</v>
      </c>
    </row>
    <row r="1356" spans="1:9" x14ac:dyDescent="0.15">
      <c r="A1356" s="10">
        <v>1355</v>
      </c>
      <c r="B1356" s="9" t="s">
        <v>9</v>
      </c>
      <c r="C1356" s="11" t="s">
        <v>10</v>
      </c>
      <c r="D1356" s="12">
        <v>45562</v>
      </c>
      <c r="E1356" s="14" t="str">
        <f>+HYPERLINK("http://trademark.i-assist.jp/data/china/image_1905th/79539097.pdf","79539097")</f>
        <v>79539097</v>
      </c>
      <c r="F1356" s="13" t="s">
        <v>2454</v>
      </c>
      <c r="G1356" s="13" t="s">
        <v>436</v>
      </c>
      <c r="H1356" s="13" t="s">
        <v>4344</v>
      </c>
      <c r="I1356" s="12">
        <v>45474</v>
      </c>
    </row>
    <row r="1357" spans="1:9" x14ac:dyDescent="0.15">
      <c r="A1357" s="10">
        <v>1356</v>
      </c>
      <c r="B1357" s="9" t="s">
        <v>9</v>
      </c>
      <c r="C1357" s="11" t="s">
        <v>10</v>
      </c>
      <c r="D1357" s="12">
        <v>45562</v>
      </c>
      <c r="E1357" s="14" t="str">
        <f>+HYPERLINK("http://trademark.i-assist.jp/data/china/image_1905th/79539185.pdf","79539185")</f>
        <v>79539185</v>
      </c>
      <c r="F1357" s="13" t="s">
        <v>2455</v>
      </c>
      <c r="G1357" s="13" t="s">
        <v>436</v>
      </c>
      <c r="H1357" s="13" t="s">
        <v>4558</v>
      </c>
      <c r="I1357" s="12">
        <v>45474</v>
      </c>
    </row>
    <row r="1358" spans="1:9" x14ac:dyDescent="0.15">
      <c r="A1358" s="10">
        <v>1357</v>
      </c>
      <c r="B1358" s="9" t="s">
        <v>9</v>
      </c>
      <c r="C1358" s="11" t="s">
        <v>10</v>
      </c>
      <c r="D1358" s="12">
        <v>45562</v>
      </c>
      <c r="E1358" s="14" t="str">
        <f>+HYPERLINK("http://trademark.i-assist.jp/data/china/image_1905th/79539825.pdf","79539825")</f>
        <v>79539825</v>
      </c>
      <c r="F1358" s="13" t="s">
        <v>2457</v>
      </c>
      <c r="G1358" s="13" t="s">
        <v>2456</v>
      </c>
      <c r="H1358" s="13" t="s">
        <v>5178</v>
      </c>
      <c r="I1358" s="12">
        <v>45474</v>
      </c>
    </row>
    <row r="1359" spans="1:9" x14ac:dyDescent="0.15">
      <c r="A1359" s="10">
        <v>1358</v>
      </c>
      <c r="B1359" s="9" t="s">
        <v>9</v>
      </c>
      <c r="C1359" s="11" t="s">
        <v>10</v>
      </c>
      <c r="D1359" s="12">
        <v>45562</v>
      </c>
      <c r="E1359" s="14" t="str">
        <f>+HYPERLINK("http://trademark.i-assist.jp/data/china/image_1905th/79542605.pdf","79542605")</f>
        <v>79542605</v>
      </c>
      <c r="F1359" s="13" t="s">
        <v>2459</v>
      </c>
      <c r="G1359" s="13" t="s">
        <v>2458</v>
      </c>
      <c r="H1359" s="13" t="s">
        <v>5179</v>
      </c>
      <c r="I1359" s="12">
        <v>45474</v>
      </c>
    </row>
    <row r="1360" spans="1:9" x14ac:dyDescent="0.15">
      <c r="A1360" s="10">
        <v>1359</v>
      </c>
      <c r="B1360" s="9" t="s">
        <v>9</v>
      </c>
      <c r="C1360" s="11" t="s">
        <v>10</v>
      </c>
      <c r="D1360" s="12">
        <v>45562</v>
      </c>
      <c r="E1360" s="14" t="str">
        <f>+HYPERLINK("http://trademark.i-assist.jp/data/china/image_1905th/79543134.pdf","79543134")</f>
        <v>79543134</v>
      </c>
      <c r="F1360" s="13" t="s">
        <v>2461</v>
      </c>
      <c r="G1360" s="13" t="s">
        <v>2460</v>
      </c>
      <c r="H1360" s="13" t="s">
        <v>5180</v>
      </c>
      <c r="I1360" s="12">
        <v>45474</v>
      </c>
    </row>
    <row r="1361" spans="1:9" x14ac:dyDescent="0.15">
      <c r="A1361" s="10">
        <v>1360</v>
      </c>
      <c r="B1361" s="9" t="s">
        <v>9</v>
      </c>
      <c r="C1361" s="11" t="s">
        <v>10</v>
      </c>
      <c r="D1361" s="12">
        <v>45562</v>
      </c>
      <c r="E1361" s="14" t="str">
        <f>+HYPERLINK("http://trademark.i-assist.jp/data/china/image_1905th/79547792.pdf","79547792")</f>
        <v>79547792</v>
      </c>
      <c r="F1361" s="13" t="s">
        <v>2463</v>
      </c>
      <c r="G1361" s="13" t="s">
        <v>2462</v>
      </c>
      <c r="H1361" s="13" t="s">
        <v>5181</v>
      </c>
      <c r="I1361" s="12">
        <v>45474</v>
      </c>
    </row>
    <row r="1362" spans="1:9" x14ac:dyDescent="0.15">
      <c r="A1362" s="10">
        <v>1361</v>
      </c>
      <c r="B1362" s="9" t="s">
        <v>9</v>
      </c>
      <c r="C1362" s="11" t="s">
        <v>10</v>
      </c>
      <c r="D1362" s="12">
        <v>45562</v>
      </c>
      <c r="E1362" s="14" t="str">
        <f>+HYPERLINK("http://trademark.i-assist.jp/data/china/image_1905th/79547938.pdf","79547938")</f>
        <v>79547938</v>
      </c>
      <c r="F1362" s="13" t="s">
        <v>2465</v>
      </c>
      <c r="G1362" s="13" t="s">
        <v>2464</v>
      </c>
      <c r="H1362" s="13" t="s">
        <v>5182</v>
      </c>
      <c r="I1362" s="12">
        <v>45474</v>
      </c>
    </row>
    <row r="1363" spans="1:9" x14ac:dyDescent="0.15">
      <c r="A1363" s="10">
        <v>1362</v>
      </c>
      <c r="B1363" s="9" t="s">
        <v>9</v>
      </c>
      <c r="C1363" s="11" t="s">
        <v>10</v>
      </c>
      <c r="D1363" s="12">
        <v>45562</v>
      </c>
      <c r="E1363" s="14" t="str">
        <f>+HYPERLINK("http://trademark.i-assist.jp/data/china/image_1905th/79668787.pdf","79668787")</f>
        <v>79668787</v>
      </c>
      <c r="F1363" s="13" t="s">
        <v>2467</v>
      </c>
      <c r="G1363" s="13" t="s">
        <v>2466</v>
      </c>
      <c r="H1363" s="13" t="s">
        <v>5183</v>
      </c>
      <c r="I1363" s="12">
        <v>45481</v>
      </c>
    </row>
    <row r="1364" spans="1:9" x14ac:dyDescent="0.15">
      <c r="A1364" s="10">
        <v>1363</v>
      </c>
      <c r="B1364" s="9" t="s">
        <v>9</v>
      </c>
      <c r="C1364" s="11" t="s">
        <v>10</v>
      </c>
      <c r="D1364" s="12">
        <v>45562</v>
      </c>
      <c r="E1364" s="14" t="str">
        <f>+HYPERLINK("http://trademark.i-assist.jp/data/china/image_1905th/79669779.pdf","79669779")</f>
        <v>79669779</v>
      </c>
      <c r="F1364" s="13" t="s">
        <v>73</v>
      </c>
      <c r="G1364" s="13" t="s">
        <v>2468</v>
      </c>
      <c r="H1364" s="13" t="s">
        <v>4790</v>
      </c>
      <c r="I1364" s="12">
        <v>45481</v>
      </c>
    </row>
    <row r="1365" spans="1:9" x14ac:dyDescent="0.15">
      <c r="A1365" s="10">
        <v>1364</v>
      </c>
      <c r="B1365" s="9" t="s">
        <v>9</v>
      </c>
      <c r="C1365" s="11" t="s">
        <v>10</v>
      </c>
      <c r="D1365" s="12">
        <v>45562</v>
      </c>
      <c r="E1365" s="14" t="str">
        <f>+HYPERLINK("http://trademark.i-assist.jp/data/china/image_1905th/79671312.pdf","79671312")</f>
        <v>79671312</v>
      </c>
      <c r="F1365" s="13" t="s">
        <v>2470</v>
      </c>
      <c r="G1365" s="13" t="s">
        <v>2469</v>
      </c>
      <c r="H1365" s="13" t="s">
        <v>5184</v>
      </c>
      <c r="I1365" s="12">
        <v>45481</v>
      </c>
    </row>
    <row r="1366" spans="1:9" x14ac:dyDescent="0.15">
      <c r="A1366" s="10">
        <v>1365</v>
      </c>
      <c r="B1366" s="9" t="s">
        <v>9</v>
      </c>
      <c r="C1366" s="11" t="s">
        <v>10</v>
      </c>
      <c r="D1366" s="12">
        <v>45562</v>
      </c>
      <c r="E1366" s="14" t="str">
        <f>+HYPERLINK("http://trademark.i-assist.jp/data/china/image_1905th/79671839.pdf","79671839")</f>
        <v>79671839</v>
      </c>
      <c r="F1366" s="13" t="s">
        <v>2472</v>
      </c>
      <c r="G1366" s="13" t="s">
        <v>2471</v>
      </c>
      <c r="H1366" s="13" t="s">
        <v>5185</v>
      </c>
      <c r="I1366" s="12">
        <v>45481</v>
      </c>
    </row>
    <row r="1367" spans="1:9" x14ac:dyDescent="0.15">
      <c r="A1367" s="10">
        <v>1366</v>
      </c>
      <c r="B1367" s="9" t="s">
        <v>9</v>
      </c>
      <c r="C1367" s="11" t="s">
        <v>10</v>
      </c>
      <c r="D1367" s="12">
        <v>45562</v>
      </c>
      <c r="E1367" s="14" t="str">
        <f>+HYPERLINK("http://trademark.i-assist.jp/data/china/image_1905th/79682905.pdf","79682905")</f>
        <v>79682905</v>
      </c>
      <c r="F1367" s="13" t="s">
        <v>2474</v>
      </c>
      <c r="G1367" s="13" t="s">
        <v>2473</v>
      </c>
      <c r="H1367" s="13" t="s">
        <v>4622</v>
      </c>
      <c r="I1367" s="12">
        <v>45482</v>
      </c>
    </row>
    <row r="1368" spans="1:9" x14ac:dyDescent="0.15">
      <c r="A1368" s="10">
        <v>1367</v>
      </c>
      <c r="B1368" s="9" t="s">
        <v>9</v>
      </c>
      <c r="C1368" s="11" t="s">
        <v>10</v>
      </c>
      <c r="D1368" s="12">
        <v>45562</v>
      </c>
      <c r="E1368" s="14" t="str">
        <f>+HYPERLINK("http://trademark.i-assist.jp/data/china/image_1905th/79684845.pdf","79684845")</f>
        <v>79684845</v>
      </c>
      <c r="F1368" s="13" t="s">
        <v>2476</v>
      </c>
      <c r="G1368" s="13" t="s">
        <v>2475</v>
      </c>
      <c r="H1368" s="13" t="s">
        <v>5186</v>
      </c>
      <c r="I1368" s="12">
        <v>45482</v>
      </c>
    </row>
    <row r="1369" spans="1:9" x14ac:dyDescent="0.15">
      <c r="A1369" s="10">
        <v>1368</v>
      </c>
      <c r="B1369" s="9" t="s">
        <v>9</v>
      </c>
      <c r="C1369" s="11" t="s">
        <v>10</v>
      </c>
      <c r="D1369" s="12">
        <v>45562</v>
      </c>
      <c r="E1369" s="14" t="str">
        <f>+HYPERLINK("http://trademark.i-assist.jp/data/china/image_1905th/79465900.pdf","79465900")</f>
        <v>79465900</v>
      </c>
      <c r="F1369" s="13" t="s">
        <v>2478</v>
      </c>
      <c r="G1369" s="13" t="s">
        <v>2477</v>
      </c>
      <c r="H1369" s="13" t="s">
        <v>5152</v>
      </c>
      <c r="I1369" s="12">
        <v>45470</v>
      </c>
    </row>
    <row r="1370" spans="1:9" x14ac:dyDescent="0.15">
      <c r="A1370" s="10">
        <v>1369</v>
      </c>
      <c r="B1370" s="9" t="s">
        <v>9</v>
      </c>
      <c r="C1370" s="11" t="s">
        <v>10</v>
      </c>
      <c r="D1370" s="12">
        <v>45562</v>
      </c>
      <c r="E1370" s="14" t="str">
        <f>+HYPERLINK("http://trademark.i-assist.jp/data/china/image_1905th/79485476.pdf","79485476")</f>
        <v>79485476</v>
      </c>
      <c r="F1370" s="13" t="s">
        <v>2480</v>
      </c>
      <c r="G1370" s="13" t="s">
        <v>2479</v>
      </c>
      <c r="H1370" s="13" t="s">
        <v>5187</v>
      </c>
      <c r="I1370" s="12">
        <v>45470</v>
      </c>
    </row>
    <row r="1371" spans="1:9" x14ac:dyDescent="0.15">
      <c r="A1371" s="10">
        <v>1370</v>
      </c>
      <c r="B1371" s="9" t="s">
        <v>9</v>
      </c>
      <c r="C1371" s="11" t="s">
        <v>10</v>
      </c>
      <c r="D1371" s="12">
        <v>45562</v>
      </c>
      <c r="E1371" s="14" t="str">
        <f>+HYPERLINK("http://trademark.i-assist.jp/data/china/image_1905th/79488684.pdf","79488684")</f>
        <v>79488684</v>
      </c>
      <c r="F1371" s="13" t="s">
        <v>2482</v>
      </c>
      <c r="G1371" s="13" t="s">
        <v>2481</v>
      </c>
      <c r="H1371" s="13" t="s">
        <v>5188</v>
      </c>
      <c r="I1371" s="12">
        <v>45471</v>
      </c>
    </row>
    <row r="1372" spans="1:9" x14ac:dyDescent="0.15">
      <c r="A1372" s="10">
        <v>1371</v>
      </c>
      <c r="B1372" s="9" t="s">
        <v>9</v>
      </c>
      <c r="C1372" s="11" t="s">
        <v>10</v>
      </c>
      <c r="D1372" s="12">
        <v>45562</v>
      </c>
      <c r="E1372" s="14" t="str">
        <f>+HYPERLINK("http://trademark.i-assist.jp/data/china/image_1905th/79489759.pdf","79489759")</f>
        <v>79489759</v>
      </c>
      <c r="F1372" s="13" t="s">
        <v>2484</v>
      </c>
      <c r="G1372" s="13" t="s">
        <v>2483</v>
      </c>
      <c r="H1372" s="13" t="s">
        <v>5189</v>
      </c>
      <c r="I1372" s="12">
        <v>45471</v>
      </c>
    </row>
    <row r="1373" spans="1:9" x14ac:dyDescent="0.15">
      <c r="A1373" s="10">
        <v>1372</v>
      </c>
      <c r="B1373" s="9" t="s">
        <v>9</v>
      </c>
      <c r="C1373" s="11" t="s">
        <v>10</v>
      </c>
      <c r="D1373" s="12">
        <v>45562</v>
      </c>
      <c r="E1373" s="14" t="str">
        <f>+HYPERLINK("http://trademark.i-assist.jp/data/china/image_1905th/79493379.pdf","79493379")</f>
        <v>79493379</v>
      </c>
      <c r="F1373" s="13" t="s">
        <v>2486</v>
      </c>
      <c r="G1373" s="13" t="s">
        <v>2485</v>
      </c>
      <c r="H1373" s="13" t="s">
        <v>5190</v>
      </c>
      <c r="I1373" s="12">
        <v>45471</v>
      </c>
    </row>
    <row r="1374" spans="1:9" x14ac:dyDescent="0.15">
      <c r="A1374" s="10">
        <v>1373</v>
      </c>
      <c r="B1374" s="9" t="s">
        <v>9</v>
      </c>
      <c r="C1374" s="11" t="s">
        <v>10</v>
      </c>
      <c r="D1374" s="12">
        <v>45562</v>
      </c>
      <c r="E1374" s="14" t="str">
        <f>+HYPERLINK("http://trademark.i-assist.jp/data/china/image_1905th/79500090.pdf","79500090")</f>
        <v>79500090</v>
      </c>
      <c r="F1374" s="13" t="s">
        <v>2487</v>
      </c>
      <c r="G1374" s="13" t="s">
        <v>999</v>
      </c>
      <c r="H1374" s="13" t="s">
        <v>4590</v>
      </c>
      <c r="I1374" s="12">
        <v>45471</v>
      </c>
    </row>
    <row r="1375" spans="1:9" x14ac:dyDescent="0.15">
      <c r="A1375" s="10">
        <v>1374</v>
      </c>
      <c r="B1375" s="9" t="s">
        <v>9</v>
      </c>
      <c r="C1375" s="11" t="s">
        <v>10</v>
      </c>
      <c r="D1375" s="12">
        <v>45562</v>
      </c>
      <c r="E1375" s="14" t="str">
        <f>+HYPERLINK("http://trademark.i-assist.jp/data/china/image_1905th/79504506.pdf","79504506")</f>
        <v>79504506</v>
      </c>
      <c r="F1375" s="13" t="s">
        <v>2489</v>
      </c>
      <c r="G1375" s="13" t="s">
        <v>2488</v>
      </c>
      <c r="H1375" s="13" t="s">
        <v>4349</v>
      </c>
      <c r="I1375" s="12">
        <v>45471</v>
      </c>
    </row>
    <row r="1376" spans="1:9" x14ac:dyDescent="0.15">
      <c r="A1376" s="10">
        <v>1375</v>
      </c>
      <c r="B1376" s="9" t="s">
        <v>9</v>
      </c>
      <c r="C1376" s="11" t="s">
        <v>10</v>
      </c>
      <c r="D1376" s="12">
        <v>45562</v>
      </c>
      <c r="E1376" s="14" t="str">
        <f>+HYPERLINK("http://trademark.i-assist.jp/data/china/image_1905th/79506763.pdf","79506763")</f>
        <v>79506763</v>
      </c>
      <c r="F1376" s="13" t="s">
        <v>2491</v>
      </c>
      <c r="G1376" s="13" t="s">
        <v>2490</v>
      </c>
      <c r="H1376" s="13" t="s">
        <v>5191</v>
      </c>
      <c r="I1376" s="12">
        <v>45471</v>
      </c>
    </row>
    <row r="1377" spans="1:9" x14ac:dyDescent="0.15">
      <c r="A1377" s="10">
        <v>1376</v>
      </c>
      <c r="B1377" s="9" t="s">
        <v>9</v>
      </c>
      <c r="C1377" s="11" t="s">
        <v>10</v>
      </c>
      <c r="D1377" s="12">
        <v>45562</v>
      </c>
      <c r="E1377" s="14" t="str">
        <f>+HYPERLINK("http://trademark.i-assist.jp/data/china/image_1905th/79508542.pdf","79508542")</f>
        <v>79508542</v>
      </c>
      <c r="F1377" s="13" t="s">
        <v>2493</v>
      </c>
      <c r="G1377" s="13" t="s">
        <v>2492</v>
      </c>
      <c r="H1377" s="13" t="s">
        <v>5192</v>
      </c>
      <c r="I1377" s="12">
        <v>45471</v>
      </c>
    </row>
    <row r="1378" spans="1:9" x14ac:dyDescent="0.15">
      <c r="A1378" s="10">
        <v>1377</v>
      </c>
      <c r="B1378" s="9" t="s">
        <v>9</v>
      </c>
      <c r="C1378" s="11" t="s">
        <v>10</v>
      </c>
      <c r="D1378" s="12">
        <v>45562</v>
      </c>
      <c r="E1378" s="14" t="str">
        <f>+HYPERLINK("http://trademark.i-assist.jp/data/china/image_1905th/79512991.pdf","79512991")</f>
        <v>79512991</v>
      </c>
      <c r="F1378" s="13" t="s">
        <v>2495</v>
      </c>
      <c r="G1378" s="13" t="s">
        <v>2494</v>
      </c>
      <c r="H1378" s="13" t="s">
        <v>5193</v>
      </c>
      <c r="I1378" s="12">
        <v>45471</v>
      </c>
    </row>
    <row r="1379" spans="1:9" x14ac:dyDescent="0.15">
      <c r="A1379" s="10">
        <v>1378</v>
      </c>
      <c r="B1379" s="9" t="s">
        <v>9</v>
      </c>
      <c r="C1379" s="11" t="s">
        <v>10</v>
      </c>
      <c r="D1379" s="12">
        <v>45562</v>
      </c>
      <c r="E1379" s="14" t="str">
        <f>+HYPERLINK("http://trademark.i-assist.jp/data/china/image_1905th/79745427.pdf","79745427")</f>
        <v>79745427</v>
      </c>
      <c r="F1379" s="13" t="s">
        <v>2497</v>
      </c>
      <c r="G1379" s="13" t="s">
        <v>2496</v>
      </c>
      <c r="H1379" s="13" t="s">
        <v>5194</v>
      </c>
      <c r="I1379" s="12">
        <v>45484</v>
      </c>
    </row>
    <row r="1380" spans="1:9" x14ac:dyDescent="0.15">
      <c r="A1380" s="10">
        <v>1379</v>
      </c>
      <c r="B1380" s="9" t="s">
        <v>9</v>
      </c>
      <c r="C1380" s="11" t="s">
        <v>10</v>
      </c>
      <c r="D1380" s="12">
        <v>45562</v>
      </c>
      <c r="E1380" s="14" t="str">
        <f>+HYPERLINK("http://trademark.i-assist.jp/data/china/image_1905th/79747999.pdf","79747999")</f>
        <v>79747999</v>
      </c>
      <c r="F1380" s="13" t="s">
        <v>2499</v>
      </c>
      <c r="G1380" s="13" t="s">
        <v>2498</v>
      </c>
      <c r="H1380" s="13" t="s">
        <v>4379</v>
      </c>
      <c r="I1380" s="12">
        <v>45484</v>
      </c>
    </row>
    <row r="1381" spans="1:9" x14ac:dyDescent="0.15">
      <c r="A1381" s="10">
        <v>1380</v>
      </c>
      <c r="B1381" s="9" t="s">
        <v>9</v>
      </c>
      <c r="C1381" s="11" t="s">
        <v>10</v>
      </c>
      <c r="D1381" s="12">
        <v>45562</v>
      </c>
      <c r="E1381" s="14" t="str">
        <f>+HYPERLINK("http://trademark.i-assist.jp/data/china/image_1905th/79748684.pdf","79748684")</f>
        <v>79748684</v>
      </c>
      <c r="F1381" s="13" t="s">
        <v>2501</v>
      </c>
      <c r="G1381" s="13" t="s">
        <v>2500</v>
      </c>
      <c r="H1381" s="13" t="s">
        <v>5195</v>
      </c>
      <c r="I1381" s="12">
        <v>45484</v>
      </c>
    </row>
    <row r="1382" spans="1:9" x14ac:dyDescent="0.15">
      <c r="A1382" s="10">
        <v>1381</v>
      </c>
      <c r="B1382" s="9" t="s">
        <v>9</v>
      </c>
      <c r="C1382" s="11" t="s">
        <v>10</v>
      </c>
      <c r="D1382" s="12">
        <v>45562</v>
      </c>
      <c r="E1382" s="14" t="str">
        <f>+HYPERLINK("http://trademark.i-assist.jp/data/china/image_1905th/79749865.pdf","79749865")</f>
        <v>79749865</v>
      </c>
      <c r="F1382" s="13" t="s">
        <v>2503</v>
      </c>
      <c r="G1382" s="13" t="s">
        <v>2502</v>
      </c>
      <c r="H1382" s="13" t="s">
        <v>5196</v>
      </c>
      <c r="I1382" s="12">
        <v>45484</v>
      </c>
    </row>
    <row r="1383" spans="1:9" x14ac:dyDescent="0.15">
      <c r="A1383" s="10">
        <v>1382</v>
      </c>
      <c r="B1383" s="9" t="s">
        <v>9</v>
      </c>
      <c r="C1383" s="11" t="s">
        <v>10</v>
      </c>
      <c r="D1383" s="12">
        <v>45562</v>
      </c>
      <c r="E1383" s="14" t="str">
        <f>+HYPERLINK("http://trademark.i-assist.jp/data/china/image_1905th/79750387.pdf","79750387")</f>
        <v>79750387</v>
      </c>
      <c r="F1383" s="13" t="s">
        <v>2504</v>
      </c>
      <c r="G1383" s="13" t="s">
        <v>605</v>
      </c>
      <c r="H1383" s="13" t="s">
        <v>4394</v>
      </c>
      <c r="I1383" s="12">
        <v>45484</v>
      </c>
    </row>
    <row r="1384" spans="1:9" x14ac:dyDescent="0.15">
      <c r="A1384" s="10">
        <v>1383</v>
      </c>
      <c r="B1384" s="9" t="s">
        <v>9</v>
      </c>
      <c r="C1384" s="11" t="s">
        <v>10</v>
      </c>
      <c r="D1384" s="12">
        <v>45562</v>
      </c>
      <c r="E1384" s="14" t="str">
        <f>+HYPERLINK("http://trademark.i-assist.jp/data/china/image_1905th/79766824.pdf","79766824")</f>
        <v>79766824</v>
      </c>
      <c r="F1384" s="13" t="s">
        <v>2506</v>
      </c>
      <c r="G1384" s="13" t="s">
        <v>2505</v>
      </c>
      <c r="H1384" s="13" t="s">
        <v>5197</v>
      </c>
      <c r="I1384" s="12">
        <v>45485</v>
      </c>
    </row>
    <row r="1385" spans="1:9" x14ac:dyDescent="0.15">
      <c r="A1385" s="10">
        <v>1384</v>
      </c>
      <c r="B1385" s="9" t="s">
        <v>9</v>
      </c>
      <c r="C1385" s="11" t="s">
        <v>10</v>
      </c>
      <c r="D1385" s="12">
        <v>45562</v>
      </c>
      <c r="E1385" s="14" t="str">
        <f>+HYPERLINK("http://trademark.i-assist.jp/data/china/image_1905th/79767488.pdf","79767488")</f>
        <v>79767488</v>
      </c>
      <c r="F1385" s="13" t="s">
        <v>2507</v>
      </c>
      <c r="G1385" s="13" t="s">
        <v>58</v>
      </c>
      <c r="H1385" s="13" t="s">
        <v>4170</v>
      </c>
      <c r="I1385" s="12">
        <v>45485</v>
      </c>
    </row>
    <row r="1386" spans="1:9" x14ac:dyDescent="0.15">
      <c r="A1386" s="10">
        <v>1385</v>
      </c>
      <c r="B1386" s="9" t="s">
        <v>9</v>
      </c>
      <c r="C1386" s="11" t="s">
        <v>10</v>
      </c>
      <c r="D1386" s="12">
        <v>45562</v>
      </c>
      <c r="E1386" s="14" t="str">
        <f>+HYPERLINK("http://trademark.i-assist.jp/data/china/image_1905th/79772410.pdf","79772410")</f>
        <v>79772410</v>
      </c>
      <c r="F1386" s="13" t="s">
        <v>2509</v>
      </c>
      <c r="G1386" s="13" t="s">
        <v>2508</v>
      </c>
      <c r="H1386" s="13" t="s">
        <v>5198</v>
      </c>
      <c r="I1386" s="12">
        <v>45485</v>
      </c>
    </row>
    <row r="1387" spans="1:9" x14ac:dyDescent="0.15">
      <c r="A1387" s="10">
        <v>1386</v>
      </c>
      <c r="B1387" s="9" t="s">
        <v>9</v>
      </c>
      <c r="C1387" s="11" t="s">
        <v>10</v>
      </c>
      <c r="D1387" s="12">
        <v>45562</v>
      </c>
      <c r="E1387" s="14" t="str">
        <f>+HYPERLINK("http://trademark.i-assist.jp/data/china/image_1905th/79611058.pdf","79611058")</f>
        <v>79611058</v>
      </c>
      <c r="F1387" s="13" t="s">
        <v>2511</v>
      </c>
      <c r="G1387" s="13" t="s">
        <v>2510</v>
      </c>
      <c r="H1387" s="13" t="s">
        <v>5199</v>
      </c>
      <c r="I1387" s="12">
        <v>45477</v>
      </c>
    </row>
    <row r="1388" spans="1:9" x14ac:dyDescent="0.15">
      <c r="A1388" s="10">
        <v>1387</v>
      </c>
      <c r="B1388" s="9" t="s">
        <v>9</v>
      </c>
      <c r="C1388" s="11" t="s">
        <v>10</v>
      </c>
      <c r="D1388" s="12">
        <v>45562</v>
      </c>
      <c r="E1388" s="14" t="str">
        <f>+HYPERLINK("http://trademark.i-assist.jp/data/china/image_1905th/79616016.pdf","79616016")</f>
        <v>79616016</v>
      </c>
      <c r="F1388" s="13" t="s">
        <v>2513</v>
      </c>
      <c r="G1388" s="13" t="s">
        <v>2512</v>
      </c>
      <c r="H1388" s="13" t="s">
        <v>5200</v>
      </c>
      <c r="I1388" s="12">
        <v>45477</v>
      </c>
    </row>
    <row r="1389" spans="1:9" x14ac:dyDescent="0.15">
      <c r="A1389" s="10">
        <v>1388</v>
      </c>
      <c r="B1389" s="9" t="s">
        <v>9</v>
      </c>
      <c r="C1389" s="11" t="s">
        <v>10</v>
      </c>
      <c r="D1389" s="12">
        <v>45562</v>
      </c>
      <c r="E1389" s="14" t="str">
        <f>+HYPERLINK("http://trademark.i-assist.jp/data/china/image_1905th/79624846.pdf","79624846")</f>
        <v>79624846</v>
      </c>
      <c r="F1389" s="13" t="s">
        <v>2514</v>
      </c>
      <c r="G1389" s="13" t="s">
        <v>1141</v>
      </c>
      <c r="H1389" s="13" t="s">
        <v>4638</v>
      </c>
      <c r="I1389" s="12">
        <v>45478</v>
      </c>
    </row>
    <row r="1390" spans="1:9" x14ac:dyDescent="0.15">
      <c r="A1390" s="10">
        <v>1389</v>
      </c>
      <c r="B1390" s="9" t="s">
        <v>9</v>
      </c>
      <c r="C1390" s="11" t="s">
        <v>10</v>
      </c>
      <c r="D1390" s="12">
        <v>45562</v>
      </c>
      <c r="E1390" s="14" t="str">
        <f>+HYPERLINK("http://trademark.i-assist.jp/data/china/image_1905th/79689278.pdf","79689278")</f>
        <v>79689278</v>
      </c>
      <c r="F1390" s="13" t="s">
        <v>2516</v>
      </c>
      <c r="G1390" s="13" t="s">
        <v>2515</v>
      </c>
      <c r="H1390" s="13" t="s">
        <v>5201</v>
      </c>
      <c r="I1390" s="12">
        <v>45482</v>
      </c>
    </row>
    <row r="1391" spans="1:9" x14ac:dyDescent="0.15">
      <c r="A1391" s="10">
        <v>1390</v>
      </c>
      <c r="B1391" s="9" t="s">
        <v>9</v>
      </c>
      <c r="C1391" s="11" t="s">
        <v>10</v>
      </c>
      <c r="D1391" s="12">
        <v>45562</v>
      </c>
      <c r="E1391" s="14" t="str">
        <f>+HYPERLINK("http://trademark.i-assist.jp/data/china/image_1905th/79689688.pdf","79689688")</f>
        <v>79689688</v>
      </c>
      <c r="F1391" s="13" t="s">
        <v>2518</v>
      </c>
      <c r="G1391" s="13" t="s">
        <v>2517</v>
      </c>
      <c r="H1391" s="13" t="s">
        <v>4328</v>
      </c>
      <c r="I1391" s="12">
        <v>45482</v>
      </c>
    </row>
    <row r="1392" spans="1:9" x14ac:dyDescent="0.15">
      <c r="A1392" s="10">
        <v>1391</v>
      </c>
      <c r="B1392" s="9" t="s">
        <v>9</v>
      </c>
      <c r="C1392" s="11" t="s">
        <v>10</v>
      </c>
      <c r="D1392" s="12">
        <v>45562</v>
      </c>
      <c r="E1392" s="14" t="str">
        <f>+HYPERLINK("http://trademark.i-assist.jp/data/china/image_1905th/79696485.pdf","79696485")</f>
        <v>79696485</v>
      </c>
      <c r="F1392" s="13" t="s">
        <v>2520</v>
      </c>
      <c r="G1392" s="13" t="s">
        <v>2519</v>
      </c>
      <c r="H1392" s="13" t="s">
        <v>5202</v>
      </c>
      <c r="I1392" s="12">
        <v>45482</v>
      </c>
    </row>
    <row r="1393" spans="1:9" x14ac:dyDescent="0.15">
      <c r="A1393" s="10">
        <v>1392</v>
      </c>
      <c r="B1393" s="9" t="s">
        <v>9</v>
      </c>
      <c r="C1393" s="11" t="s">
        <v>10</v>
      </c>
      <c r="D1393" s="12">
        <v>45562</v>
      </c>
      <c r="E1393" s="14" t="str">
        <f>+HYPERLINK("http://trademark.i-assist.jp/data/china/image_1905th/79697433.pdf","79697433")</f>
        <v>79697433</v>
      </c>
      <c r="F1393" s="13" t="s">
        <v>2522</v>
      </c>
      <c r="G1393" s="13" t="s">
        <v>2521</v>
      </c>
      <c r="H1393" s="13" t="s">
        <v>5203</v>
      </c>
      <c r="I1393" s="12">
        <v>45482</v>
      </c>
    </row>
    <row r="1394" spans="1:9" x14ac:dyDescent="0.15">
      <c r="A1394" s="10">
        <v>1393</v>
      </c>
      <c r="B1394" s="9" t="s">
        <v>9</v>
      </c>
      <c r="C1394" s="11" t="s">
        <v>10</v>
      </c>
      <c r="D1394" s="12">
        <v>45562</v>
      </c>
      <c r="E1394" s="14" t="str">
        <f>+HYPERLINK("http://trademark.i-assist.jp/data/china/image_1905th/79708274.pdf","79708274")</f>
        <v>79708274</v>
      </c>
      <c r="F1394" s="13" t="s">
        <v>2524</v>
      </c>
      <c r="G1394" s="13" t="s">
        <v>2523</v>
      </c>
      <c r="H1394" s="13" t="s">
        <v>4257</v>
      </c>
      <c r="I1394" s="12">
        <v>45483</v>
      </c>
    </row>
    <row r="1395" spans="1:9" x14ac:dyDescent="0.15">
      <c r="A1395" s="10">
        <v>1394</v>
      </c>
      <c r="B1395" s="9" t="s">
        <v>9</v>
      </c>
      <c r="C1395" s="11" t="s">
        <v>10</v>
      </c>
      <c r="D1395" s="12">
        <v>45562</v>
      </c>
      <c r="E1395" s="14" t="str">
        <f>+HYPERLINK("http://trademark.i-assist.jp/data/china/image_1905th/79637892.pdf","79637892")</f>
        <v>79637892</v>
      </c>
      <c r="F1395" s="13" t="s">
        <v>2526</v>
      </c>
      <c r="G1395" s="13" t="s">
        <v>2525</v>
      </c>
      <c r="H1395" s="13" t="s">
        <v>5204</v>
      </c>
      <c r="I1395" s="12">
        <v>45478</v>
      </c>
    </row>
    <row r="1396" spans="1:9" x14ac:dyDescent="0.15">
      <c r="A1396" s="10">
        <v>1395</v>
      </c>
      <c r="B1396" s="9" t="s">
        <v>9</v>
      </c>
      <c r="C1396" s="11" t="s">
        <v>10</v>
      </c>
      <c r="D1396" s="12">
        <v>45562</v>
      </c>
      <c r="E1396" s="14" t="str">
        <f>+HYPERLINK("http://trademark.i-assist.jp/data/china/image_1905th/79641773.pdf","79641773")</f>
        <v>79641773</v>
      </c>
      <c r="F1396" s="13" t="s">
        <v>2528</v>
      </c>
      <c r="G1396" s="13" t="s">
        <v>2527</v>
      </c>
      <c r="H1396" s="13" t="s">
        <v>4308</v>
      </c>
      <c r="I1396" s="12">
        <v>45478</v>
      </c>
    </row>
    <row r="1397" spans="1:9" x14ac:dyDescent="0.15">
      <c r="A1397" s="10">
        <v>1396</v>
      </c>
      <c r="B1397" s="9" t="s">
        <v>9</v>
      </c>
      <c r="C1397" s="11" t="s">
        <v>10</v>
      </c>
      <c r="D1397" s="12">
        <v>45562</v>
      </c>
      <c r="E1397" s="14" t="str">
        <f>+HYPERLINK("http://trademark.i-assist.jp/data/china/image_1905th/79642060.pdf","79642060")</f>
        <v>79642060</v>
      </c>
      <c r="F1397" s="13" t="s">
        <v>2530</v>
      </c>
      <c r="G1397" s="13" t="s">
        <v>2529</v>
      </c>
      <c r="H1397" s="13" t="s">
        <v>5205</v>
      </c>
      <c r="I1397" s="12">
        <v>45478</v>
      </c>
    </row>
    <row r="1398" spans="1:9" x14ac:dyDescent="0.15">
      <c r="A1398" s="10">
        <v>1397</v>
      </c>
      <c r="B1398" s="9" t="s">
        <v>9</v>
      </c>
      <c r="C1398" s="11" t="s">
        <v>10</v>
      </c>
      <c r="D1398" s="12">
        <v>45562</v>
      </c>
      <c r="E1398" s="14" t="str">
        <f>+HYPERLINK("http://trademark.i-assist.jp/data/china/image_1905th/79644834.pdf","79644834")</f>
        <v>79644834</v>
      </c>
      <c r="F1398" s="13" t="s">
        <v>2532</v>
      </c>
      <c r="G1398" s="13" t="s">
        <v>2531</v>
      </c>
      <c r="H1398" s="13" t="s">
        <v>5206</v>
      </c>
      <c r="I1398" s="12">
        <v>45478</v>
      </c>
    </row>
    <row r="1399" spans="1:9" x14ac:dyDescent="0.15">
      <c r="A1399" s="10">
        <v>1398</v>
      </c>
      <c r="B1399" s="9" t="s">
        <v>9</v>
      </c>
      <c r="C1399" s="11" t="s">
        <v>10</v>
      </c>
      <c r="D1399" s="12">
        <v>45562</v>
      </c>
      <c r="E1399" s="14" t="str">
        <f>+HYPERLINK("http://trademark.i-assist.jp/data/china/image_1905th/79646489.pdf","79646489")</f>
        <v>79646489</v>
      </c>
      <c r="F1399" s="13" t="s">
        <v>2534</v>
      </c>
      <c r="G1399" s="13" t="s">
        <v>2533</v>
      </c>
      <c r="H1399" s="13" t="s">
        <v>4923</v>
      </c>
      <c r="I1399" s="12">
        <v>45478</v>
      </c>
    </row>
    <row r="1400" spans="1:9" x14ac:dyDescent="0.15">
      <c r="A1400" s="10">
        <v>1399</v>
      </c>
      <c r="B1400" s="9" t="s">
        <v>9</v>
      </c>
      <c r="C1400" s="11" t="s">
        <v>10</v>
      </c>
      <c r="D1400" s="12">
        <v>45562</v>
      </c>
      <c r="E1400" s="14" t="str">
        <f>+HYPERLINK("http://trademark.i-assist.jp/data/china/image_1905th/79658708.pdf","79658708")</f>
        <v>79658708</v>
      </c>
      <c r="F1400" s="13" t="s">
        <v>2536</v>
      </c>
      <c r="G1400" s="13" t="s">
        <v>2535</v>
      </c>
      <c r="H1400" s="13" t="s">
        <v>5207</v>
      </c>
      <c r="I1400" s="12">
        <v>45481</v>
      </c>
    </row>
    <row r="1401" spans="1:9" x14ac:dyDescent="0.15">
      <c r="A1401" s="10">
        <v>1400</v>
      </c>
      <c r="B1401" s="9" t="s">
        <v>9</v>
      </c>
      <c r="C1401" s="11" t="s">
        <v>10</v>
      </c>
      <c r="D1401" s="12">
        <v>45562</v>
      </c>
      <c r="E1401" s="14" t="str">
        <f>+HYPERLINK("http://trademark.i-assist.jp/data/china/image_1905th/79563605.pdf","79563605")</f>
        <v>79563605</v>
      </c>
      <c r="F1401" s="13" t="s">
        <v>73</v>
      </c>
      <c r="G1401" s="13" t="s">
        <v>2537</v>
      </c>
      <c r="H1401" s="13" t="s">
        <v>5208</v>
      </c>
      <c r="I1401" s="12">
        <v>45475</v>
      </c>
    </row>
    <row r="1402" spans="1:9" x14ac:dyDescent="0.15">
      <c r="A1402" s="10">
        <v>1401</v>
      </c>
      <c r="B1402" s="9" t="s">
        <v>9</v>
      </c>
      <c r="C1402" s="11" t="s">
        <v>10</v>
      </c>
      <c r="D1402" s="12">
        <v>45562</v>
      </c>
      <c r="E1402" s="14" t="str">
        <f>+HYPERLINK("http://trademark.i-assist.jp/data/china/image_1905th/79564957.pdf","79564957")</f>
        <v>79564957</v>
      </c>
      <c r="F1402" s="13" t="s">
        <v>2538</v>
      </c>
      <c r="G1402" s="13" t="s">
        <v>1476</v>
      </c>
      <c r="H1402" s="13" t="s">
        <v>4227</v>
      </c>
      <c r="I1402" s="12">
        <v>45475</v>
      </c>
    </row>
    <row r="1403" spans="1:9" x14ac:dyDescent="0.15">
      <c r="A1403" s="10">
        <v>1402</v>
      </c>
      <c r="B1403" s="9" t="s">
        <v>9</v>
      </c>
      <c r="C1403" s="11" t="s">
        <v>10</v>
      </c>
      <c r="D1403" s="12">
        <v>45562</v>
      </c>
      <c r="E1403" s="14" t="str">
        <f>+HYPERLINK("http://trademark.i-assist.jp/data/china/image_1905th/79569050.pdf","79569050")</f>
        <v>79569050</v>
      </c>
      <c r="F1403" s="13" t="s">
        <v>2540</v>
      </c>
      <c r="G1403" s="13" t="s">
        <v>2539</v>
      </c>
      <c r="H1403" s="13" t="s">
        <v>5098</v>
      </c>
      <c r="I1403" s="12">
        <v>45475</v>
      </c>
    </row>
    <row r="1404" spans="1:9" x14ac:dyDescent="0.15">
      <c r="A1404" s="10">
        <v>1403</v>
      </c>
      <c r="B1404" s="9" t="s">
        <v>9</v>
      </c>
      <c r="C1404" s="11" t="s">
        <v>10</v>
      </c>
      <c r="D1404" s="12">
        <v>45562</v>
      </c>
      <c r="E1404" s="14" t="str">
        <f>+HYPERLINK("http://trademark.i-assist.jp/data/china/image_1905th/79570602.pdf","79570602")</f>
        <v>79570602</v>
      </c>
      <c r="F1404" s="13" t="s">
        <v>2542</v>
      </c>
      <c r="G1404" s="13" t="s">
        <v>2541</v>
      </c>
      <c r="H1404" s="13" t="s">
        <v>5209</v>
      </c>
      <c r="I1404" s="12">
        <v>45475</v>
      </c>
    </row>
    <row r="1405" spans="1:9" x14ac:dyDescent="0.15">
      <c r="A1405" s="10">
        <v>1404</v>
      </c>
      <c r="B1405" s="9" t="s">
        <v>9</v>
      </c>
      <c r="C1405" s="11" t="s">
        <v>10</v>
      </c>
      <c r="D1405" s="12">
        <v>45562</v>
      </c>
      <c r="E1405" s="14" t="str">
        <f>+HYPERLINK("http://trademark.i-assist.jp/data/china/image_1905th/79574285.pdf","79574285")</f>
        <v>79574285</v>
      </c>
      <c r="F1405" s="13" t="s">
        <v>2544</v>
      </c>
      <c r="G1405" s="13" t="s">
        <v>2543</v>
      </c>
      <c r="H1405" s="13" t="s">
        <v>5210</v>
      </c>
      <c r="I1405" s="12">
        <v>45475</v>
      </c>
    </row>
    <row r="1406" spans="1:9" x14ac:dyDescent="0.15">
      <c r="A1406" s="10">
        <v>1405</v>
      </c>
      <c r="B1406" s="9" t="s">
        <v>9</v>
      </c>
      <c r="C1406" s="11" t="s">
        <v>10</v>
      </c>
      <c r="D1406" s="12">
        <v>45562</v>
      </c>
      <c r="E1406" s="14" t="str">
        <f>+HYPERLINK("http://trademark.i-assist.jp/data/china/image_1905th/79577605.pdf","79577605")</f>
        <v>79577605</v>
      </c>
      <c r="F1406" s="13" t="s">
        <v>2546</v>
      </c>
      <c r="G1406" s="13" t="s">
        <v>2545</v>
      </c>
      <c r="H1406" s="13" t="s">
        <v>5211</v>
      </c>
      <c r="I1406" s="12">
        <v>45476</v>
      </c>
    </row>
    <row r="1407" spans="1:9" x14ac:dyDescent="0.15">
      <c r="A1407" s="10">
        <v>1406</v>
      </c>
      <c r="B1407" s="9" t="s">
        <v>9</v>
      </c>
      <c r="C1407" s="11" t="s">
        <v>10</v>
      </c>
      <c r="D1407" s="12">
        <v>45562</v>
      </c>
      <c r="E1407" s="14" t="str">
        <f>+HYPERLINK("http://trademark.i-assist.jp/data/china/image_1905th/79584559.pdf","79584559")</f>
        <v>79584559</v>
      </c>
      <c r="F1407" s="13" t="s">
        <v>2548</v>
      </c>
      <c r="G1407" s="13" t="s">
        <v>2547</v>
      </c>
      <c r="H1407" s="13" t="s">
        <v>5212</v>
      </c>
      <c r="I1407" s="12">
        <v>45476</v>
      </c>
    </row>
    <row r="1408" spans="1:9" x14ac:dyDescent="0.15">
      <c r="A1408" s="10">
        <v>1407</v>
      </c>
      <c r="B1408" s="9" t="s">
        <v>9</v>
      </c>
      <c r="C1408" s="11" t="s">
        <v>10</v>
      </c>
      <c r="D1408" s="12">
        <v>45562</v>
      </c>
      <c r="E1408" s="14" t="str">
        <f>+HYPERLINK("http://trademark.i-assist.jp/data/china/image_1905th/79602880.pdf","79602880")</f>
        <v>79602880</v>
      </c>
      <c r="F1408" s="13" t="s">
        <v>2550</v>
      </c>
      <c r="G1408" s="13" t="s">
        <v>2549</v>
      </c>
      <c r="H1408" s="13" t="s">
        <v>5213</v>
      </c>
      <c r="I1408" s="12">
        <v>45477</v>
      </c>
    </row>
    <row r="1409" spans="1:9" x14ac:dyDescent="0.15">
      <c r="A1409" s="10">
        <v>1408</v>
      </c>
      <c r="B1409" s="9" t="s">
        <v>9</v>
      </c>
      <c r="C1409" s="11" t="s">
        <v>10</v>
      </c>
      <c r="D1409" s="12">
        <v>45562</v>
      </c>
      <c r="E1409" s="14" t="str">
        <f>+HYPERLINK("http://trademark.i-assist.jp/data/china/image_1905th/79712241.pdf","79712241")</f>
        <v>79712241</v>
      </c>
      <c r="F1409" s="13" t="s">
        <v>2552</v>
      </c>
      <c r="G1409" s="13" t="s">
        <v>2551</v>
      </c>
      <c r="H1409" s="13" t="s">
        <v>4227</v>
      </c>
      <c r="I1409" s="12">
        <v>45483</v>
      </c>
    </row>
    <row r="1410" spans="1:9" x14ac:dyDescent="0.15">
      <c r="A1410" s="10">
        <v>1409</v>
      </c>
      <c r="B1410" s="9" t="s">
        <v>9</v>
      </c>
      <c r="C1410" s="11" t="s">
        <v>10</v>
      </c>
      <c r="D1410" s="12">
        <v>45562</v>
      </c>
      <c r="E1410" s="14" t="str">
        <f>+HYPERLINK("http://trademark.i-assist.jp/data/china/image_1905th/79718628.pdf","79718628")</f>
        <v>79718628</v>
      </c>
      <c r="F1410" s="13" t="s">
        <v>2554</v>
      </c>
      <c r="G1410" s="13" t="s">
        <v>2553</v>
      </c>
      <c r="H1410" s="13" t="s">
        <v>5214</v>
      </c>
      <c r="I1410" s="12">
        <v>45483</v>
      </c>
    </row>
    <row r="1411" spans="1:9" x14ac:dyDescent="0.15">
      <c r="A1411" s="10">
        <v>1410</v>
      </c>
      <c r="B1411" s="9" t="s">
        <v>9</v>
      </c>
      <c r="C1411" s="11" t="s">
        <v>10</v>
      </c>
      <c r="D1411" s="12">
        <v>45562</v>
      </c>
      <c r="E1411" s="14" t="str">
        <f>+HYPERLINK("http://trademark.i-assist.jp/data/china/image_1905th/79725350.pdf","79725350")</f>
        <v>79725350</v>
      </c>
      <c r="F1411" s="13" t="s">
        <v>2555</v>
      </c>
      <c r="G1411" s="13" t="s">
        <v>1470</v>
      </c>
      <c r="H1411" s="13" t="s">
        <v>4767</v>
      </c>
      <c r="I1411" s="12">
        <v>45483</v>
      </c>
    </row>
    <row r="1412" spans="1:9" x14ac:dyDescent="0.15">
      <c r="A1412" s="10">
        <v>1411</v>
      </c>
      <c r="B1412" s="9" t="s">
        <v>9</v>
      </c>
      <c r="C1412" s="11" t="s">
        <v>10</v>
      </c>
      <c r="D1412" s="12">
        <v>45562</v>
      </c>
      <c r="E1412" s="14" t="str">
        <f>+HYPERLINK("http://trademark.i-assist.jp/data/china/image_1905th/79725549.pdf","79725549")</f>
        <v>79725549</v>
      </c>
      <c r="F1412" s="13" t="s">
        <v>2556</v>
      </c>
      <c r="G1412" s="13" t="s">
        <v>774</v>
      </c>
      <c r="H1412" s="13" t="s">
        <v>4257</v>
      </c>
      <c r="I1412" s="12">
        <v>45483</v>
      </c>
    </row>
    <row r="1413" spans="1:9" x14ac:dyDescent="0.15">
      <c r="A1413" s="10">
        <v>1412</v>
      </c>
      <c r="B1413" s="9" t="s">
        <v>9</v>
      </c>
      <c r="C1413" s="11" t="s">
        <v>10</v>
      </c>
      <c r="D1413" s="12">
        <v>45562</v>
      </c>
      <c r="E1413" s="14" t="str">
        <f>+HYPERLINK("http://trademark.i-assist.jp/data/china/image_1905th/79729823.pdf","79729823")</f>
        <v>79729823</v>
      </c>
      <c r="F1413" s="13" t="s">
        <v>2558</v>
      </c>
      <c r="G1413" s="13" t="s">
        <v>2557</v>
      </c>
      <c r="H1413" s="13" t="s">
        <v>4442</v>
      </c>
      <c r="I1413" s="12">
        <v>45484</v>
      </c>
    </row>
    <row r="1414" spans="1:9" x14ac:dyDescent="0.15">
      <c r="A1414" s="10">
        <v>1413</v>
      </c>
      <c r="B1414" s="9" t="s">
        <v>9</v>
      </c>
      <c r="C1414" s="11" t="s">
        <v>10</v>
      </c>
      <c r="D1414" s="12">
        <v>45562</v>
      </c>
      <c r="E1414" s="14" t="str">
        <f>+HYPERLINK("http://trademark.i-assist.jp/data/china/image_1905th/79737332.pdf","79737332")</f>
        <v>79737332</v>
      </c>
      <c r="F1414" s="13" t="s">
        <v>2560</v>
      </c>
      <c r="G1414" s="13" t="s">
        <v>2559</v>
      </c>
      <c r="H1414" s="13" t="s">
        <v>5098</v>
      </c>
      <c r="I1414" s="12">
        <v>45484</v>
      </c>
    </row>
    <row r="1415" spans="1:9" x14ac:dyDescent="0.15">
      <c r="A1415" s="10">
        <v>1414</v>
      </c>
      <c r="B1415" s="9" t="s">
        <v>9</v>
      </c>
      <c r="C1415" s="11" t="s">
        <v>10</v>
      </c>
      <c r="D1415" s="12">
        <v>45562</v>
      </c>
      <c r="E1415" s="14" t="str">
        <f>+HYPERLINK("http://trademark.i-assist.jp/data/china/image_1905th/79779152.pdf","79779152")</f>
        <v>79779152</v>
      </c>
      <c r="F1415" s="13" t="s">
        <v>2562</v>
      </c>
      <c r="G1415" s="13" t="s">
        <v>2561</v>
      </c>
      <c r="H1415" s="13" t="s">
        <v>4989</v>
      </c>
      <c r="I1415" s="12">
        <v>45486</v>
      </c>
    </row>
    <row r="1416" spans="1:9" x14ac:dyDescent="0.15">
      <c r="A1416" s="10">
        <v>1415</v>
      </c>
      <c r="B1416" s="9" t="s">
        <v>9</v>
      </c>
      <c r="C1416" s="11" t="s">
        <v>10</v>
      </c>
      <c r="D1416" s="12">
        <v>45562</v>
      </c>
      <c r="E1416" s="14" t="str">
        <f>+HYPERLINK("http://trademark.i-assist.jp/data/china/image_1905th/79780372.pdf","79780372")</f>
        <v>79780372</v>
      </c>
      <c r="F1416" s="13" t="s">
        <v>2564</v>
      </c>
      <c r="G1416" s="13" t="s">
        <v>2563</v>
      </c>
      <c r="H1416" s="13" t="s">
        <v>5215</v>
      </c>
      <c r="I1416" s="12">
        <v>45486</v>
      </c>
    </row>
    <row r="1417" spans="1:9" x14ac:dyDescent="0.15">
      <c r="A1417" s="10">
        <v>1416</v>
      </c>
      <c r="B1417" s="9" t="s">
        <v>9</v>
      </c>
      <c r="C1417" s="11" t="s">
        <v>10</v>
      </c>
      <c r="D1417" s="12">
        <v>45562</v>
      </c>
      <c r="E1417" s="14" t="str">
        <f>+HYPERLINK("http://trademark.i-assist.jp/data/china/image_1905th/79781168.pdf","79781168")</f>
        <v>79781168</v>
      </c>
      <c r="F1417" s="13" t="s">
        <v>2566</v>
      </c>
      <c r="G1417" s="13" t="s">
        <v>2565</v>
      </c>
      <c r="H1417" s="13" t="s">
        <v>5216</v>
      </c>
      <c r="I1417" s="12">
        <v>45486</v>
      </c>
    </row>
    <row r="1418" spans="1:9" x14ac:dyDescent="0.15">
      <c r="A1418" s="10">
        <v>1417</v>
      </c>
      <c r="B1418" s="9" t="s">
        <v>9</v>
      </c>
      <c r="C1418" s="11" t="s">
        <v>10</v>
      </c>
      <c r="D1418" s="12">
        <v>45562</v>
      </c>
      <c r="E1418" s="14" t="str">
        <f>+HYPERLINK("http://trademark.i-assist.jp/data/china/image_1905th/79781880.pdf","79781880")</f>
        <v>79781880</v>
      </c>
      <c r="F1418" s="13" t="s">
        <v>2568</v>
      </c>
      <c r="G1418" s="13" t="s">
        <v>2567</v>
      </c>
      <c r="H1418" s="13" t="s">
        <v>5217</v>
      </c>
      <c r="I1418" s="12">
        <v>45486</v>
      </c>
    </row>
    <row r="1419" spans="1:9" x14ac:dyDescent="0.15">
      <c r="A1419" s="10">
        <v>1418</v>
      </c>
      <c r="B1419" s="9" t="s">
        <v>9</v>
      </c>
      <c r="C1419" s="11" t="s">
        <v>10</v>
      </c>
      <c r="D1419" s="12">
        <v>45562</v>
      </c>
      <c r="E1419" s="14" t="str">
        <f>+HYPERLINK("http://trademark.i-assist.jp/data/china/image_1905th/79788680.pdf","79788680")</f>
        <v>79788680</v>
      </c>
      <c r="F1419" s="13" t="s">
        <v>2570</v>
      </c>
      <c r="G1419" s="13" t="s">
        <v>2569</v>
      </c>
      <c r="H1419" s="13" t="s">
        <v>5218</v>
      </c>
      <c r="I1419" s="12">
        <v>45488</v>
      </c>
    </row>
    <row r="1420" spans="1:9" x14ac:dyDescent="0.15">
      <c r="A1420" s="10">
        <v>1419</v>
      </c>
      <c r="B1420" s="9" t="s">
        <v>9</v>
      </c>
      <c r="C1420" s="11" t="s">
        <v>10</v>
      </c>
      <c r="D1420" s="12">
        <v>45562</v>
      </c>
      <c r="E1420" s="14" t="str">
        <f>+HYPERLINK("http://trademark.i-assist.jp/data/china/image_1905th/79796359.pdf","79796359")</f>
        <v>79796359</v>
      </c>
      <c r="F1420" s="13" t="s">
        <v>2572</v>
      </c>
      <c r="G1420" s="13" t="s">
        <v>2571</v>
      </c>
      <c r="H1420" s="13" t="s">
        <v>5219</v>
      </c>
      <c r="I1420" s="12">
        <v>45488</v>
      </c>
    </row>
    <row r="1421" spans="1:9" x14ac:dyDescent="0.15">
      <c r="A1421" s="10">
        <v>1420</v>
      </c>
      <c r="B1421" s="9" t="s">
        <v>9</v>
      </c>
      <c r="C1421" s="11" t="s">
        <v>10</v>
      </c>
      <c r="D1421" s="12">
        <v>45562</v>
      </c>
      <c r="E1421" s="14" t="str">
        <f>+HYPERLINK("http://trademark.i-assist.jp/data/china/image_1905th/79800926.pdf","79800926")</f>
        <v>79800926</v>
      </c>
      <c r="F1421" s="13" t="s">
        <v>2573</v>
      </c>
      <c r="G1421" s="13" t="s">
        <v>2352</v>
      </c>
      <c r="H1421" s="13" t="s">
        <v>5134</v>
      </c>
      <c r="I1421" s="12">
        <v>45488</v>
      </c>
    </row>
    <row r="1422" spans="1:9" x14ac:dyDescent="0.15">
      <c r="A1422" s="10">
        <v>1421</v>
      </c>
      <c r="B1422" s="9" t="s">
        <v>9</v>
      </c>
      <c r="C1422" s="11" t="s">
        <v>10</v>
      </c>
      <c r="D1422" s="12">
        <v>45562</v>
      </c>
      <c r="E1422" s="14" t="str">
        <f>+HYPERLINK("http://trademark.i-assist.jp/data/china/image_1905th/79813518.pdf","79813518")</f>
        <v>79813518</v>
      </c>
      <c r="F1422" s="13" t="s">
        <v>2574</v>
      </c>
      <c r="G1422" s="13" t="s">
        <v>586</v>
      </c>
      <c r="H1422" s="13" t="s">
        <v>4416</v>
      </c>
      <c r="I1422" s="12">
        <v>45489</v>
      </c>
    </row>
    <row r="1423" spans="1:9" x14ac:dyDescent="0.15">
      <c r="A1423" s="10">
        <v>1422</v>
      </c>
      <c r="B1423" s="9" t="s">
        <v>9</v>
      </c>
      <c r="C1423" s="11" t="s">
        <v>10</v>
      </c>
      <c r="D1423" s="12">
        <v>45562</v>
      </c>
      <c r="E1423" s="14" t="str">
        <f>+HYPERLINK("http://trademark.i-assist.jp/data/china/image_1905th/79814288.pdf","79814288")</f>
        <v>79814288</v>
      </c>
      <c r="F1423" s="13" t="s">
        <v>2576</v>
      </c>
      <c r="G1423" s="13" t="s">
        <v>2575</v>
      </c>
      <c r="H1423" s="13" t="s">
        <v>5220</v>
      </c>
      <c r="I1423" s="12">
        <v>45489</v>
      </c>
    </row>
    <row r="1424" spans="1:9" x14ac:dyDescent="0.15">
      <c r="A1424" s="10">
        <v>1423</v>
      </c>
      <c r="B1424" s="9" t="s">
        <v>9</v>
      </c>
      <c r="C1424" s="11" t="s">
        <v>10</v>
      </c>
      <c r="D1424" s="12">
        <v>45562</v>
      </c>
      <c r="E1424" s="14" t="str">
        <f>+HYPERLINK("http://trademark.i-assist.jp/data/china/image_1905th/79826826.pdf","79826826")</f>
        <v>79826826</v>
      </c>
      <c r="F1424" s="13" t="s">
        <v>2578</v>
      </c>
      <c r="G1424" s="13" t="s">
        <v>2577</v>
      </c>
      <c r="H1424" s="13" t="s">
        <v>5221</v>
      </c>
      <c r="I1424" s="12">
        <v>45489</v>
      </c>
    </row>
    <row r="1425" spans="1:9" x14ac:dyDescent="0.15">
      <c r="A1425" s="10">
        <v>1424</v>
      </c>
      <c r="B1425" s="9" t="s">
        <v>9</v>
      </c>
      <c r="C1425" s="11" t="s">
        <v>10</v>
      </c>
      <c r="D1425" s="12">
        <v>45562</v>
      </c>
      <c r="E1425" s="14" t="str">
        <f>+HYPERLINK("http://trademark.i-assist.jp/data/china/image_1905th/79831920.pdf","79831920")</f>
        <v>79831920</v>
      </c>
      <c r="F1425" s="13" t="s">
        <v>2580</v>
      </c>
      <c r="G1425" s="13" t="s">
        <v>2579</v>
      </c>
      <c r="H1425" s="13" t="s">
        <v>5222</v>
      </c>
      <c r="I1425" s="12">
        <v>45489</v>
      </c>
    </row>
    <row r="1426" spans="1:9" x14ac:dyDescent="0.15">
      <c r="A1426" s="10">
        <v>1425</v>
      </c>
      <c r="B1426" s="9" t="s">
        <v>9</v>
      </c>
      <c r="C1426" s="11" t="s">
        <v>10</v>
      </c>
      <c r="D1426" s="12">
        <v>45562</v>
      </c>
      <c r="E1426" s="14" t="str">
        <f>+HYPERLINK("http://trademark.i-assist.jp/data/china/image_1905th/79838097.pdf","79838097")</f>
        <v>79838097</v>
      </c>
      <c r="F1426" s="13" t="s">
        <v>2582</v>
      </c>
      <c r="G1426" s="13" t="s">
        <v>2581</v>
      </c>
      <c r="H1426" s="13" t="s">
        <v>4529</v>
      </c>
      <c r="I1426" s="12">
        <v>45490</v>
      </c>
    </row>
    <row r="1427" spans="1:9" x14ac:dyDescent="0.15">
      <c r="A1427" s="10">
        <v>1426</v>
      </c>
      <c r="B1427" s="9" t="s">
        <v>9</v>
      </c>
      <c r="C1427" s="11" t="s">
        <v>10</v>
      </c>
      <c r="D1427" s="12">
        <v>45562</v>
      </c>
      <c r="E1427" s="14" t="str">
        <f>+HYPERLINK("http://trademark.i-assist.jp/data/china/image_1905th/79840054.pdf","79840054")</f>
        <v>79840054</v>
      </c>
      <c r="F1427" s="13" t="s">
        <v>2584</v>
      </c>
      <c r="G1427" s="13" t="s">
        <v>2583</v>
      </c>
      <c r="H1427" s="13" t="s">
        <v>4358</v>
      </c>
      <c r="I1427" s="12">
        <v>45490</v>
      </c>
    </row>
    <row r="1428" spans="1:9" x14ac:dyDescent="0.15">
      <c r="A1428" s="10">
        <v>1427</v>
      </c>
      <c r="B1428" s="9" t="s">
        <v>9</v>
      </c>
      <c r="C1428" s="11" t="s">
        <v>10</v>
      </c>
      <c r="D1428" s="12">
        <v>45562</v>
      </c>
      <c r="E1428" s="14" t="str">
        <f>+HYPERLINK("http://trademark.i-assist.jp/data/china/image_1905th/79852377.pdf","79852377")</f>
        <v>79852377</v>
      </c>
      <c r="F1428" s="13" t="s">
        <v>2586</v>
      </c>
      <c r="G1428" s="13" t="s">
        <v>2585</v>
      </c>
      <c r="H1428" s="13" t="s">
        <v>5223</v>
      </c>
      <c r="I1428" s="12">
        <v>45490</v>
      </c>
    </row>
    <row r="1429" spans="1:9" x14ac:dyDescent="0.15">
      <c r="A1429" s="10">
        <v>1428</v>
      </c>
      <c r="B1429" s="9" t="s">
        <v>9</v>
      </c>
      <c r="C1429" s="11" t="s">
        <v>10</v>
      </c>
      <c r="D1429" s="12">
        <v>45562</v>
      </c>
      <c r="E1429" s="14" t="str">
        <f>+HYPERLINK("http://trademark.i-assist.jp/data/china/image_1905th/79853811.pdf","79853811")</f>
        <v>79853811</v>
      </c>
      <c r="F1429" s="13" t="s">
        <v>2588</v>
      </c>
      <c r="G1429" s="13" t="s">
        <v>2587</v>
      </c>
      <c r="H1429" s="13" t="s">
        <v>5224</v>
      </c>
      <c r="I1429" s="12">
        <v>45490</v>
      </c>
    </row>
    <row r="1430" spans="1:9" x14ac:dyDescent="0.15">
      <c r="A1430" s="10">
        <v>1429</v>
      </c>
      <c r="B1430" s="9" t="s">
        <v>9</v>
      </c>
      <c r="C1430" s="11" t="s">
        <v>10</v>
      </c>
      <c r="D1430" s="12">
        <v>45562</v>
      </c>
      <c r="E1430" s="14" t="str">
        <f>+HYPERLINK("http://trademark.i-assist.jp/data/china/image_1905th/79859575.pdf","79859575")</f>
        <v>79859575</v>
      </c>
      <c r="F1430" s="13" t="s">
        <v>2590</v>
      </c>
      <c r="G1430" s="13" t="s">
        <v>2589</v>
      </c>
      <c r="H1430" s="13" t="s">
        <v>5225</v>
      </c>
      <c r="I1430" s="12">
        <v>45491</v>
      </c>
    </row>
    <row r="1431" spans="1:9" x14ac:dyDescent="0.15">
      <c r="A1431" s="10">
        <v>1430</v>
      </c>
      <c r="B1431" s="9" t="s">
        <v>9</v>
      </c>
      <c r="C1431" s="11" t="s">
        <v>10</v>
      </c>
      <c r="D1431" s="12">
        <v>45562</v>
      </c>
      <c r="E1431" s="14" t="str">
        <f>+HYPERLINK("http://trademark.i-assist.jp/data/china/image_1905th/79862922.pdf","79862922")</f>
        <v>79862922</v>
      </c>
      <c r="F1431" s="13" t="s">
        <v>2592</v>
      </c>
      <c r="G1431" s="13" t="s">
        <v>2591</v>
      </c>
      <c r="H1431" s="13" t="s">
        <v>5226</v>
      </c>
      <c r="I1431" s="12">
        <v>45491</v>
      </c>
    </row>
    <row r="1432" spans="1:9" x14ac:dyDescent="0.15">
      <c r="A1432" s="10">
        <v>1431</v>
      </c>
      <c r="B1432" s="9" t="s">
        <v>9</v>
      </c>
      <c r="C1432" s="11" t="s">
        <v>10</v>
      </c>
      <c r="D1432" s="12">
        <v>45562</v>
      </c>
      <c r="E1432" s="14" t="str">
        <f>+HYPERLINK("http://trademark.i-assist.jp/data/china/image_1905th/79869416.pdf","79869416")</f>
        <v>79869416</v>
      </c>
      <c r="F1432" s="13" t="s">
        <v>2594</v>
      </c>
      <c r="G1432" s="13" t="s">
        <v>2593</v>
      </c>
      <c r="H1432" s="13" t="s">
        <v>5227</v>
      </c>
      <c r="I1432" s="12">
        <v>45491</v>
      </c>
    </row>
    <row r="1433" spans="1:9" x14ac:dyDescent="0.15">
      <c r="A1433" s="10">
        <v>1432</v>
      </c>
      <c r="B1433" s="9" t="s">
        <v>9</v>
      </c>
      <c r="C1433" s="11" t="s">
        <v>10</v>
      </c>
      <c r="D1433" s="12">
        <v>45562</v>
      </c>
      <c r="E1433" s="14" t="str">
        <f>+HYPERLINK("http://trademark.i-assist.jp/data/china/image_1905th/78090027.pdf","78090027")</f>
        <v>78090027</v>
      </c>
      <c r="F1433" s="13" t="s">
        <v>2596</v>
      </c>
      <c r="G1433" s="13" t="s">
        <v>2595</v>
      </c>
      <c r="H1433" s="13" t="s">
        <v>5228</v>
      </c>
      <c r="I1433" s="12">
        <v>45401</v>
      </c>
    </row>
    <row r="1434" spans="1:9" x14ac:dyDescent="0.15">
      <c r="A1434" s="10">
        <v>1433</v>
      </c>
      <c r="B1434" s="9" t="s">
        <v>9</v>
      </c>
      <c r="C1434" s="11" t="s">
        <v>10</v>
      </c>
      <c r="D1434" s="12">
        <v>45562</v>
      </c>
      <c r="E1434" s="14" t="str">
        <f>+HYPERLINK("http://trademark.i-assist.jp/data/china/image_1905th/78154266.pdf","78154266")</f>
        <v>78154266</v>
      </c>
      <c r="F1434" s="13" t="s">
        <v>2598</v>
      </c>
      <c r="G1434" s="13" t="s">
        <v>2597</v>
      </c>
      <c r="H1434" s="13" t="s">
        <v>5034</v>
      </c>
      <c r="I1434" s="12">
        <v>45405</v>
      </c>
    </row>
    <row r="1435" spans="1:9" x14ac:dyDescent="0.15">
      <c r="A1435" s="10">
        <v>1434</v>
      </c>
      <c r="B1435" s="9" t="s">
        <v>9</v>
      </c>
      <c r="C1435" s="11" t="s">
        <v>10</v>
      </c>
      <c r="D1435" s="12">
        <v>45562</v>
      </c>
      <c r="E1435" s="14" t="str">
        <f>+HYPERLINK("http://trademark.i-assist.jp/data/china/image_1905th/79719673.pdf","79719673")</f>
        <v>79719673</v>
      </c>
      <c r="F1435" s="13" t="s">
        <v>2600</v>
      </c>
      <c r="G1435" s="13" t="s">
        <v>2599</v>
      </c>
      <c r="H1435" s="13" t="s">
        <v>5229</v>
      </c>
      <c r="I1435" s="12">
        <v>45483</v>
      </c>
    </row>
    <row r="1436" spans="1:9" x14ac:dyDescent="0.15">
      <c r="A1436" s="10">
        <v>1435</v>
      </c>
      <c r="B1436" s="9" t="s">
        <v>9</v>
      </c>
      <c r="C1436" s="11" t="s">
        <v>10</v>
      </c>
      <c r="D1436" s="12">
        <v>45562</v>
      </c>
      <c r="E1436" s="14" t="str">
        <f>+HYPERLINK("http://trademark.i-assist.jp/data/china/image_1905th/79729074.pdf","79729074")</f>
        <v>79729074</v>
      </c>
      <c r="F1436" s="13" t="s">
        <v>2602</v>
      </c>
      <c r="G1436" s="13" t="s">
        <v>2601</v>
      </c>
      <c r="H1436" s="13" t="s">
        <v>4150</v>
      </c>
      <c r="I1436" s="12">
        <v>45484</v>
      </c>
    </row>
    <row r="1437" spans="1:9" x14ac:dyDescent="0.15">
      <c r="A1437" s="10">
        <v>1436</v>
      </c>
      <c r="B1437" s="9" t="s">
        <v>9</v>
      </c>
      <c r="C1437" s="11" t="s">
        <v>10</v>
      </c>
      <c r="D1437" s="12">
        <v>45562</v>
      </c>
      <c r="E1437" s="14" t="str">
        <f>+HYPERLINK("http://trademark.i-assist.jp/data/china/image_1905th/79729694.pdf","79729694")</f>
        <v>79729694</v>
      </c>
      <c r="F1437" s="13" t="s">
        <v>2604</v>
      </c>
      <c r="G1437" s="13" t="s">
        <v>2603</v>
      </c>
      <c r="H1437" s="13" t="s">
        <v>4149</v>
      </c>
      <c r="I1437" s="12">
        <v>45484</v>
      </c>
    </row>
    <row r="1438" spans="1:9" x14ac:dyDescent="0.15">
      <c r="A1438" s="10">
        <v>1437</v>
      </c>
      <c r="B1438" s="9" t="s">
        <v>9</v>
      </c>
      <c r="C1438" s="11" t="s">
        <v>10</v>
      </c>
      <c r="D1438" s="12">
        <v>45562</v>
      </c>
      <c r="E1438" s="14" t="str">
        <f>+HYPERLINK("http://trademark.i-assist.jp/data/china/image_1905th/79731100.pdf","79731100")</f>
        <v>79731100</v>
      </c>
      <c r="F1438" s="13" t="s">
        <v>2606</v>
      </c>
      <c r="G1438" s="13" t="s">
        <v>2605</v>
      </c>
      <c r="H1438" s="13" t="s">
        <v>5230</v>
      </c>
      <c r="I1438" s="12">
        <v>45484</v>
      </c>
    </row>
    <row r="1439" spans="1:9" x14ac:dyDescent="0.15">
      <c r="A1439" s="10">
        <v>1438</v>
      </c>
      <c r="B1439" s="9" t="s">
        <v>9</v>
      </c>
      <c r="C1439" s="11" t="s">
        <v>10</v>
      </c>
      <c r="D1439" s="12">
        <v>45562</v>
      </c>
      <c r="E1439" s="14" t="str">
        <f>+HYPERLINK("http://trademark.i-assist.jp/data/china/image_1905th/79732424.pdf","79732424")</f>
        <v>79732424</v>
      </c>
      <c r="F1439" s="13" t="s">
        <v>2608</v>
      </c>
      <c r="G1439" s="13" t="s">
        <v>2607</v>
      </c>
      <c r="H1439" s="13" t="s">
        <v>5231</v>
      </c>
      <c r="I1439" s="12">
        <v>45484</v>
      </c>
    </row>
    <row r="1440" spans="1:9" x14ac:dyDescent="0.15">
      <c r="A1440" s="10">
        <v>1439</v>
      </c>
      <c r="B1440" s="9" t="s">
        <v>9</v>
      </c>
      <c r="C1440" s="11" t="s">
        <v>10</v>
      </c>
      <c r="D1440" s="12">
        <v>45562</v>
      </c>
      <c r="E1440" s="14" t="str">
        <f>+HYPERLINK("http://trademark.i-assist.jp/data/china/image_1905th/79208264.pdf","79208264")</f>
        <v>79208264</v>
      </c>
      <c r="F1440" s="13" t="s">
        <v>2610</v>
      </c>
      <c r="G1440" s="13" t="s">
        <v>2609</v>
      </c>
      <c r="H1440" s="13" t="s">
        <v>5232</v>
      </c>
      <c r="I1440" s="12">
        <v>45457</v>
      </c>
    </row>
    <row r="1441" spans="1:9" x14ac:dyDescent="0.15">
      <c r="A1441" s="10">
        <v>1440</v>
      </c>
      <c r="B1441" s="9" t="s">
        <v>9</v>
      </c>
      <c r="C1441" s="11" t="s">
        <v>10</v>
      </c>
      <c r="D1441" s="12">
        <v>45562</v>
      </c>
      <c r="E1441" s="14" t="str">
        <f>+HYPERLINK("http://trademark.i-assist.jp/data/china/image_1905th/79215866.pdf","79215866")</f>
        <v>79215866</v>
      </c>
      <c r="F1441" s="13" t="s">
        <v>73</v>
      </c>
      <c r="G1441" s="13" t="s">
        <v>2611</v>
      </c>
      <c r="H1441" s="13" t="s">
        <v>5233</v>
      </c>
      <c r="I1441" s="12">
        <v>45457</v>
      </c>
    </row>
    <row r="1442" spans="1:9" x14ac:dyDescent="0.15">
      <c r="A1442" s="10">
        <v>1441</v>
      </c>
      <c r="B1442" s="9" t="s">
        <v>9</v>
      </c>
      <c r="C1442" s="11" t="s">
        <v>10</v>
      </c>
      <c r="D1442" s="12">
        <v>45562</v>
      </c>
      <c r="E1442" s="14" t="str">
        <f>+HYPERLINK("http://trademark.i-assist.jp/data/china/image_1905th/79270886.pdf","79270886")</f>
        <v>79270886</v>
      </c>
      <c r="F1442" s="13" t="s">
        <v>2613</v>
      </c>
      <c r="G1442" s="13" t="s">
        <v>2612</v>
      </c>
      <c r="H1442" s="13" t="s">
        <v>5234</v>
      </c>
      <c r="I1442" s="12">
        <v>45461</v>
      </c>
    </row>
    <row r="1443" spans="1:9" x14ac:dyDescent="0.15">
      <c r="A1443" s="10">
        <v>1442</v>
      </c>
      <c r="B1443" s="9" t="s">
        <v>9</v>
      </c>
      <c r="C1443" s="11" t="s">
        <v>10</v>
      </c>
      <c r="D1443" s="12">
        <v>45562</v>
      </c>
      <c r="E1443" s="14" t="str">
        <f>+HYPERLINK("http://trademark.i-assist.jp/data/china/image_1905th/79279362.pdf","79279362")</f>
        <v>79279362</v>
      </c>
      <c r="F1443" s="13" t="s">
        <v>2615</v>
      </c>
      <c r="G1443" s="13" t="s">
        <v>2614</v>
      </c>
      <c r="H1443" s="13" t="s">
        <v>5235</v>
      </c>
      <c r="I1443" s="12">
        <v>45461</v>
      </c>
    </row>
    <row r="1444" spans="1:9" x14ac:dyDescent="0.15">
      <c r="A1444" s="10">
        <v>1443</v>
      </c>
      <c r="B1444" s="9" t="s">
        <v>9</v>
      </c>
      <c r="C1444" s="11" t="s">
        <v>10</v>
      </c>
      <c r="D1444" s="12">
        <v>45562</v>
      </c>
      <c r="E1444" s="14" t="str">
        <f>+HYPERLINK("http://trademark.i-assist.jp/data/china/image_1905th/79286336.pdf","79286336")</f>
        <v>79286336</v>
      </c>
      <c r="F1444" s="13" t="s">
        <v>2617</v>
      </c>
      <c r="G1444" s="13" t="s">
        <v>2616</v>
      </c>
      <c r="H1444" s="13" t="s">
        <v>5236</v>
      </c>
      <c r="I1444" s="12">
        <v>45461</v>
      </c>
    </row>
    <row r="1445" spans="1:9" x14ac:dyDescent="0.15">
      <c r="A1445" s="10">
        <v>1444</v>
      </c>
      <c r="B1445" s="9" t="s">
        <v>9</v>
      </c>
      <c r="C1445" s="11" t="s">
        <v>10</v>
      </c>
      <c r="D1445" s="12">
        <v>45562</v>
      </c>
      <c r="E1445" s="14" t="str">
        <f>+HYPERLINK("http://trademark.i-assist.jp/data/china/image_1905th/79303037.pdf","79303037")</f>
        <v>79303037</v>
      </c>
      <c r="F1445" s="13" t="s">
        <v>2619</v>
      </c>
      <c r="G1445" s="13" t="s">
        <v>2618</v>
      </c>
      <c r="H1445" s="13" t="s">
        <v>5237</v>
      </c>
      <c r="I1445" s="12">
        <v>45462</v>
      </c>
    </row>
    <row r="1446" spans="1:9" x14ac:dyDescent="0.15">
      <c r="A1446" s="10">
        <v>1445</v>
      </c>
      <c r="B1446" s="9" t="s">
        <v>9</v>
      </c>
      <c r="C1446" s="11" t="s">
        <v>10</v>
      </c>
      <c r="D1446" s="12">
        <v>45562</v>
      </c>
      <c r="E1446" s="14" t="str">
        <f>+HYPERLINK("http://trademark.i-assist.jp/data/china/image_1905th/78194491.pdf","78194491")</f>
        <v>78194491</v>
      </c>
      <c r="F1446" s="13" t="s">
        <v>2621</v>
      </c>
      <c r="G1446" s="13" t="s">
        <v>2620</v>
      </c>
      <c r="H1446" s="13" t="s">
        <v>4822</v>
      </c>
      <c r="I1446" s="12">
        <v>45406</v>
      </c>
    </row>
    <row r="1447" spans="1:9" x14ac:dyDescent="0.15">
      <c r="A1447" s="10">
        <v>1446</v>
      </c>
      <c r="B1447" s="9" t="s">
        <v>9</v>
      </c>
      <c r="C1447" s="11" t="s">
        <v>10</v>
      </c>
      <c r="D1447" s="12">
        <v>45562</v>
      </c>
      <c r="E1447" s="14" t="str">
        <f>+HYPERLINK("http://trademark.i-assist.jp/data/china/image_1905th/79520350.pdf","79520350")</f>
        <v>79520350</v>
      </c>
      <c r="F1447" s="13" t="s">
        <v>2623</v>
      </c>
      <c r="G1447" s="13" t="s">
        <v>2622</v>
      </c>
      <c r="H1447" s="13" t="s">
        <v>5238</v>
      </c>
      <c r="I1447" s="12">
        <v>45472</v>
      </c>
    </row>
    <row r="1448" spans="1:9" x14ac:dyDescent="0.15">
      <c r="A1448" s="10">
        <v>1447</v>
      </c>
      <c r="B1448" s="9" t="s">
        <v>9</v>
      </c>
      <c r="C1448" s="11" t="s">
        <v>10</v>
      </c>
      <c r="D1448" s="12">
        <v>45562</v>
      </c>
      <c r="E1448" s="14" t="str">
        <f>+HYPERLINK("http://trademark.i-assist.jp/data/china/image_1905th/79530812.pdf","79530812")</f>
        <v>79530812</v>
      </c>
      <c r="F1448" s="13" t="s">
        <v>2625</v>
      </c>
      <c r="G1448" s="13" t="s">
        <v>2624</v>
      </c>
      <c r="H1448" s="13" t="s">
        <v>5239</v>
      </c>
      <c r="I1448" s="12">
        <v>45474</v>
      </c>
    </row>
    <row r="1449" spans="1:9" x14ac:dyDescent="0.15">
      <c r="A1449" s="10">
        <v>1448</v>
      </c>
      <c r="B1449" s="9" t="s">
        <v>9</v>
      </c>
      <c r="C1449" s="11" t="s">
        <v>10</v>
      </c>
      <c r="D1449" s="12">
        <v>45562</v>
      </c>
      <c r="E1449" s="14" t="str">
        <f>+HYPERLINK("http://trademark.i-assist.jp/data/china/image_1905th/79532119.pdf","79532119")</f>
        <v>79532119</v>
      </c>
      <c r="F1449" s="13" t="s">
        <v>2627</v>
      </c>
      <c r="G1449" s="13" t="s">
        <v>2626</v>
      </c>
      <c r="H1449" s="13" t="s">
        <v>5240</v>
      </c>
      <c r="I1449" s="12">
        <v>45474</v>
      </c>
    </row>
    <row r="1450" spans="1:9" x14ac:dyDescent="0.15">
      <c r="A1450" s="10">
        <v>1449</v>
      </c>
      <c r="B1450" s="9" t="s">
        <v>9</v>
      </c>
      <c r="C1450" s="11" t="s">
        <v>10</v>
      </c>
      <c r="D1450" s="12">
        <v>45562</v>
      </c>
      <c r="E1450" s="14" t="str">
        <f>+HYPERLINK("http://trademark.i-assist.jp/data/china/image_1905th/79532475.pdf","79532475")</f>
        <v>79532475</v>
      </c>
      <c r="F1450" s="13" t="s">
        <v>2629</v>
      </c>
      <c r="G1450" s="13" t="s">
        <v>2628</v>
      </c>
      <c r="H1450" s="13" t="s">
        <v>5241</v>
      </c>
      <c r="I1450" s="12">
        <v>45474</v>
      </c>
    </row>
    <row r="1451" spans="1:9" x14ac:dyDescent="0.15">
      <c r="A1451" s="10">
        <v>1450</v>
      </c>
      <c r="B1451" s="9" t="s">
        <v>9</v>
      </c>
      <c r="C1451" s="11" t="s">
        <v>10</v>
      </c>
      <c r="D1451" s="12">
        <v>45562</v>
      </c>
      <c r="E1451" s="14" t="str">
        <f>+HYPERLINK("http://trademark.i-assist.jp/data/china/image_1905th/79538203.pdf","79538203")</f>
        <v>79538203</v>
      </c>
      <c r="F1451" s="13" t="s">
        <v>2631</v>
      </c>
      <c r="G1451" s="13" t="s">
        <v>2630</v>
      </c>
      <c r="H1451" s="13" t="s">
        <v>5242</v>
      </c>
      <c r="I1451" s="12">
        <v>45474</v>
      </c>
    </row>
    <row r="1452" spans="1:9" x14ac:dyDescent="0.15">
      <c r="A1452" s="10">
        <v>1451</v>
      </c>
      <c r="B1452" s="9" t="s">
        <v>9</v>
      </c>
      <c r="C1452" s="11" t="s">
        <v>10</v>
      </c>
      <c r="D1452" s="12">
        <v>45562</v>
      </c>
      <c r="E1452" s="14" t="str">
        <f>+HYPERLINK("http://trademark.i-assist.jp/data/china/image_1905th/79544498.pdf","79544498")</f>
        <v>79544498</v>
      </c>
      <c r="F1452" s="13" t="s">
        <v>2632</v>
      </c>
      <c r="G1452" s="13" t="s">
        <v>801</v>
      </c>
      <c r="H1452" s="13" t="s">
        <v>4328</v>
      </c>
      <c r="I1452" s="12">
        <v>45474</v>
      </c>
    </row>
    <row r="1453" spans="1:9" x14ac:dyDescent="0.15">
      <c r="A1453" s="10">
        <v>1452</v>
      </c>
      <c r="B1453" s="9" t="s">
        <v>9</v>
      </c>
      <c r="C1453" s="11" t="s">
        <v>10</v>
      </c>
      <c r="D1453" s="12">
        <v>45562</v>
      </c>
      <c r="E1453" s="14" t="str">
        <f>+HYPERLINK("http://trademark.i-assist.jp/data/china/image_1905th/79546806.pdf","79546806")</f>
        <v>79546806</v>
      </c>
      <c r="F1453" s="13" t="s">
        <v>2633</v>
      </c>
      <c r="G1453" s="13" t="s">
        <v>436</v>
      </c>
      <c r="H1453" s="13" t="s">
        <v>4344</v>
      </c>
      <c r="I1453" s="12">
        <v>45474</v>
      </c>
    </row>
    <row r="1454" spans="1:9" x14ac:dyDescent="0.15">
      <c r="A1454" s="10">
        <v>1453</v>
      </c>
      <c r="B1454" s="9" t="s">
        <v>9</v>
      </c>
      <c r="C1454" s="11" t="s">
        <v>10</v>
      </c>
      <c r="D1454" s="12">
        <v>45562</v>
      </c>
      <c r="E1454" s="14" t="str">
        <f>+HYPERLINK("http://trademark.i-assist.jp/data/china/image_1905th/79547162.pdf","79547162")</f>
        <v>79547162</v>
      </c>
      <c r="F1454" s="13" t="s">
        <v>2634</v>
      </c>
      <c r="G1454" s="13" t="s">
        <v>436</v>
      </c>
      <c r="H1454" s="13" t="s">
        <v>4344</v>
      </c>
      <c r="I1454" s="12">
        <v>45474</v>
      </c>
    </row>
    <row r="1455" spans="1:9" x14ac:dyDescent="0.15">
      <c r="A1455" s="10">
        <v>1454</v>
      </c>
      <c r="B1455" s="9" t="s">
        <v>9</v>
      </c>
      <c r="C1455" s="11" t="s">
        <v>10</v>
      </c>
      <c r="D1455" s="12">
        <v>45562</v>
      </c>
      <c r="E1455" s="14" t="str">
        <f>+HYPERLINK("http://trademark.i-assist.jp/data/china/image_1905th/79548459.pdf","79548459")</f>
        <v>79548459</v>
      </c>
      <c r="F1455" s="13" t="s">
        <v>2636</v>
      </c>
      <c r="G1455" s="13" t="s">
        <v>2635</v>
      </c>
      <c r="H1455" s="13" t="s">
        <v>4200</v>
      </c>
      <c r="I1455" s="12">
        <v>45474</v>
      </c>
    </row>
    <row r="1456" spans="1:9" x14ac:dyDescent="0.15">
      <c r="A1456" s="10">
        <v>1455</v>
      </c>
      <c r="B1456" s="9" t="s">
        <v>9</v>
      </c>
      <c r="C1456" s="11" t="s">
        <v>10</v>
      </c>
      <c r="D1456" s="12">
        <v>45562</v>
      </c>
      <c r="E1456" s="14" t="str">
        <f>+HYPERLINK("http://trademark.i-assist.jp/data/china/image_1905th/79550171.pdf","79550171")</f>
        <v>79550171</v>
      </c>
      <c r="F1456" s="13" t="s">
        <v>2637</v>
      </c>
      <c r="G1456" s="13" t="s">
        <v>108</v>
      </c>
      <c r="H1456" s="13" t="s">
        <v>4195</v>
      </c>
      <c r="I1456" s="12">
        <v>45474</v>
      </c>
    </row>
    <row r="1457" spans="1:9" x14ac:dyDescent="0.15">
      <c r="A1457" s="10">
        <v>1456</v>
      </c>
      <c r="B1457" s="9" t="s">
        <v>9</v>
      </c>
      <c r="C1457" s="11" t="s">
        <v>10</v>
      </c>
      <c r="D1457" s="12">
        <v>45562</v>
      </c>
      <c r="E1457" s="14" t="str">
        <f>+HYPERLINK("http://trademark.i-assist.jp/data/china/image_1905th/79559134.pdf","79559134")</f>
        <v>79559134</v>
      </c>
      <c r="F1457" s="13" t="s">
        <v>2639</v>
      </c>
      <c r="G1457" s="13" t="s">
        <v>2638</v>
      </c>
      <c r="H1457" s="13" t="s">
        <v>5243</v>
      </c>
      <c r="I1457" s="12">
        <v>45475</v>
      </c>
    </row>
    <row r="1458" spans="1:9" x14ac:dyDescent="0.15">
      <c r="A1458" s="10">
        <v>1457</v>
      </c>
      <c r="B1458" s="9" t="s">
        <v>9</v>
      </c>
      <c r="C1458" s="11" t="s">
        <v>10</v>
      </c>
      <c r="D1458" s="12">
        <v>45562</v>
      </c>
      <c r="E1458" s="14" t="str">
        <f>+HYPERLINK("http://trademark.i-assist.jp/data/china/image_1905th/79690650.pdf","79690650")</f>
        <v>79690650</v>
      </c>
      <c r="F1458" s="13" t="s">
        <v>2641</v>
      </c>
      <c r="G1458" s="13" t="s">
        <v>2640</v>
      </c>
      <c r="H1458" s="13" t="s">
        <v>5244</v>
      </c>
      <c r="I1458" s="12">
        <v>45482</v>
      </c>
    </row>
    <row r="1459" spans="1:9" x14ac:dyDescent="0.15">
      <c r="A1459" s="10">
        <v>1458</v>
      </c>
      <c r="B1459" s="9" t="s">
        <v>9</v>
      </c>
      <c r="C1459" s="11" t="s">
        <v>10</v>
      </c>
      <c r="D1459" s="12">
        <v>45562</v>
      </c>
      <c r="E1459" s="14" t="str">
        <f>+HYPERLINK("http://trademark.i-assist.jp/data/china/image_1905th/79692399.pdf","79692399")</f>
        <v>79692399</v>
      </c>
      <c r="F1459" s="13" t="s">
        <v>2643</v>
      </c>
      <c r="G1459" s="13" t="s">
        <v>2642</v>
      </c>
      <c r="H1459" s="13" t="s">
        <v>5245</v>
      </c>
      <c r="I1459" s="12">
        <v>45482</v>
      </c>
    </row>
    <row r="1460" spans="1:9" x14ac:dyDescent="0.15">
      <c r="A1460" s="10">
        <v>1459</v>
      </c>
      <c r="B1460" s="9" t="s">
        <v>9</v>
      </c>
      <c r="C1460" s="11" t="s">
        <v>10</v>
      </c>
      <c r="D1460" s="12">
        <v>45562</v>
      </c>
      <c r="E1460" s="14" t="str">
        <f>+HYPERLINK("http://trademark.i-assist.jp/data/china/image_1905th/79692626.pdf","79692626")</f>
        <v>79692626</v>
      </c>
      <c r="F1460" s="13" t="s">
        <v>2645</v>
      </c>
      <c r="G1460" s="13" t="s">
        <v>2644</v>
      </c>
      <c r="H1460" s="13" t="s">
        <v>5246</v>
      </c>
      <c r="I1460" s="12">
        <v>45482</v>
      </c>
    </row>
    <row r="1461" spans="1:9" x14ac:dyDescent="0.15">
      <c r="A1461" s="10">
        <v>1460</v>
      </c>
      <c r="B1461" s="9" t="s">
        <v>9</v>
      </c>
      <c r="C1461" s="11" t="s">
        <v>10</v>
      </c>
      <c r="D1461" s="12">
        <v>45562</v>
      </c>
      <c r="E1461" s="14" t="str">
        <f>+HYPERLINK("http://trademark.i-assist.jp/data/china/image_1905th/79696110.pdf","79696110")</f>
        <v>79696110</v>
      </c>
      <c r="F1461" s="13" t="s">
        <v>2646</v>
      </c>
      <c r="G1461" s="13" t="s">
        <v>1456</v>
      </c>
      <c r="H1461" s="13" t="s">
        <v>4760</v>
      </c>
      <c r="I1461" s="12">
        <v>45482</v>
      </c>
    </row>
    <row r="1462" spans="1:9" x14ac:dyDescent="0.15">
      <c r="A1462" s="10">
        <v>1461</v>
      </c>
      <c r="B1462" s="9" t="s">
        <v>9</v>
      </c>
      <c r="C1462" s="11" t="s">
        <v>10</v>
      </c>
      <c r="D1462" s="12">
        <v>45562</v>
      </c>
      <c r="E1462" s="14" t="str">
        <f>+HYPERLINK("http://trademark.i-assist.jp/data/china/image_1905th/79697055.pdf","79697055")</f>
        <v>79697055</v>
      </c>
      <c r="F1462" s="13" t="s">
        <v>2648</v>
      </c>
      <c r="G1462" s="13" t="s">
        <v>2647</v>
      </c>
      <c r="H1462" s="13" t="s">
        <v>5247</v>
      </c>
      <c r="I1462" s="12">
        <v>45482</v>
      </c>
    </row>
    <row r="1463" spans="1:9" x14ac:dyDescent="0.15">
      <c r="A1463" s="10">
        <v>1462</v>
      </c>
      <c r="B1463" s="9" t="s">
        <v>9</v>
      </c>
      <c r="C1463" s="11" t="s">
        <v>10</v>
      </c>
      <c r="D1463" s="12">
        <v>45562</v>
      </c>
      <c r="E1463" s="14" t="str">
        <f>+HYPERLINK("http://trademark.i-assist.jp/data/china/image_1905th/79699682.pdf","79699682")</f>
        <v>79699682</v>
      </c>
      <c r="F1463" s="13" t="s">
        <v>2650</v>
      </c>
      <c r="G1463" s="13" t="s">
        <v>2649</v>
      </c>
      <c r="H1463" s="13" t="s">
        <v>5248</v>
      </c>
      <c r="I1463" s="12">
        <v>45482</v>
      </c>
    </row>
    <row r="1464" spans="1:9" x14ac:dyDescent="0.15">
      <c r="A1464" s="10">
        <v>1463</v>
      </c>
      <c r="B1464" s="9" t="s">
        <v>9</v>
      </c>
      <c r="C1464" s="11" t="s">
        <v>10</v>
      </c>
      <c r="D1464" s="12">
        <v>45562</v>
      </c>
      <c r="E1464" s="14" t="str">
        <f>+HYPERLINK("http://trademark.i-assist.jp/data/china/image_1905th/79700659.pdf","79700659")</f>
        <v>79700659</v>
      </c>
      <c r="F1464" s="13" t="s">
        <v>2652</v>
      </c>
      <c r="G1464" s="13" t="s">
        <v>2651</v>
      </c>
      <c r="H1464" s="13" t="s">
        <v>5249</v>
      </c>
      <c r="I1464" s="12">
        <v>45482</v>
      </c>
    </row>
    <row r="1465" spans="1:9" x14ac:dyDescent="0.15">
      <c r="A1465" s="10">
        <v>1464</v>
      </c>
      <c r="B1465" s="9" t="s">
        <v>9</v>
      </c>
      <c r="C1465" s="11" t="s">
        <v>10</v>
      </c>
      <c r="D1465" s="12">
        <v>45562</v>
      </c>
      <c r="E1465" s="14" t="str">
        <f>+HYPERLINK("http://trademark.i-assist.jp/data/china/image_1905th/79702324.pdf","79702324")</f>
        <v>79702324</v>
      </c>
      <c r="F1465" s="13" t="s">
        <v>2654</v>
      </c>
      <c r="G1465" s="13" t="s">
        <v>2653</v>
      </c>
      <c r="H1465" s="13" t="s">
        <v>5250</v>
      </c>
      <c r="I1465" s="12">
        <v>45482</v>
      </c>
    </row>
    <row r="1466" spans="1:9" x14ac:dyDescent="0.15">
      <c r="A1466" s="10">
        <v>1465</v>
      </c>
      <c r="B1466" s="9" t="s">
        <v>9</v>
      </c>
      <c r="C1466" s="11" t="s">
        <v>10</v>
      </c>
      <c r="D1466" s="12">
        <v>45562</v>
      </c>
      <c r="E1466" s="14" t="str">
        <f>+HYPERLINK("http://trademark.i-assist.jp/data/china/image_1905th/79705884.pdf","79705884")</f>
        <v>79705884</v>
      </c>
      <c r="F1466" s="13" t="s">
        <v>2656</v>
      </c>
      <c r="G1466" s="13" t="s">
        <v>2655</v>
      </c>
      <c r="H1466" s="13" t="s">
        <v>4200</v>
      </c>
      <c r="I1466" s="12">
        <v>45483</v>
      </c>
    </row>
    <row r="1467" spans="1:9" x14ac:dyDescent="0.15">
      <c r="A1467" s="10">
        <v>1466</v>
      </c>
      <c r="B1467" s="9" t="s">
        <v>9</v>
      </c>
      <c r="C1467" s="11" t="s">
        <v>10</v>
      </c>
      <c r="D1467" s="12">
        <v>45562</v>
      </c>
      <c r="E1467" s="14" t="str">
        <f>+HYPERLINK("http://trademark.i-assist.jp/data/china/image_1905th/79708153.pdf","79708153")</f>
        <v>79708153</v>
      </c>
      <c r="F1467" s="13" t="s">
        <v>2658</v>
      </c>
      <c r="G1467" s="13" t="s">
        <v>2657</v>
      </c>
      <c r="H1467" s="13" t="s">
        <v>5251</v>
      </c>
      <c r="I1467" s="12">
        <v>45483</v>
      </c>
    </row>
    <row r="1468" spans="1:9" x14ac:dyDescent="0.15">
      <c r="A1468" s="10">
        <v>1467</v>
      </c>
      <c r="B1468" s="9" t="s">
        <v>9</v>
      </c>
      <c r="C1468" s="11" t="s">
        <v>10</v>
      </c>
      <c r="D1468" s="12">
        <v>45562</v>
      </c>
      <c r="E1468" s="14" t="str">
        <f>+HYPERLINK("http://trademark.i-assist.jp/data/china/image_1905th/78449810.pdf","78449810")</f>
        <v>78449810</v>
      </c>
      <c r="F1468" s="13" t="s">
        <v>2660</v>
      </c>
      <c r="G1468" s="13" t="s">
        <v>2659</v>
      </c>
      <c r="H1468" s="13" t="s">
        <v>5252</v>
      </c>
      <c r="I1468" s="12">
        <v>45418</v>
      </c>
    </row>
    <row r="1469" spans="1:9" x14ac:dyDescent="0.15">
      <c r="A1469" s="10">
        <v>1468</v>
      </c>
      <c r="B1469" s="9" t="s">
        <v>9</v>
      </c>
      <c r="C1469" s="11" t="s">
        <v>10</v>
      </c>
      <c r="D1469" s="12">
        <v>45562</v>
      </c>
      <c r="E1469" s="14" t="str">
        <f>+HYPERLINK("http://trademark.i-assist.jp/data/china/image_1905th/78453242.pdf","78453242")</f>
        <v>78453242</v>
      </c>
      <c r="F1469" s="13" t="s">
        <v>2662</v>
      </c>
      <c r="G1469" s="13" t="s">
        <v>2661</v>
      </c>
      <c r="H1469" s="13" t="s">
        <v>5253</v>
      </c>
      <c r="I1469" s="12">
        <v>45418</v>
      </c>
    </row>
    <row r="1470" spans="1:9" x14ac:dyDescent="0.15">
      <c r="A1470" s="10">
        <v>1469</v>
      </c>
      <c r="B1470" s="9" t="s">
        <v>9</v>
      </c>
      <c r="C1470" s="11" t="s">
        <v>10</v>
      </c>
      <c r="D1470" s="12">
        <v>45562</v>
      </c>
      <c r="E1470" s="14" t="str">
        <f>+HYPERLINK("http://trademark.i-assist.jp/data/china/image_1905th/78558703.pdf","78558703")</f>
        <v>78558703</v>
      </c>
      <c r="F1470" s="13" t="s">
        <v>2664</v>
      </c>
      <c r="G1470" s="13" t="s">
        <v>2663</v>
      </c>
      <c r="H1470" s="13" t="s">
        <v>5254</v>
      </c>
      <c r="I1470" s="12">
        <v>45425</v>
      </c>
    </row>
    <row r="1471" spans="1:9" x14ac:dyDescent="0.15">
      <c r="A1471" s="10">
        <v>1470</v>
      </c>
      <c r="B1471" s="9" t="s">
        <v>9</v>
      </c>
      <c r="C1471" s="11" t="s">
        <v>10</v>
      </c>
      <c r="D1471" s="12">
        <v>45562</v>
      </c>
      <c r="E1471" s="14" t="str">
        <f>+HYPERLINK("http://trademark.i-assist.jp/data/china/image_1905th/78803944.pdf","78803944")</f>
        <v>78803944</v>
      </c>
      <c r="F1471" s="13" t="s">
        <v>2666</v>
      </c>
      <c r="G1471" s="13" t="s">
        <v>2665</v>
      </c>
      <c r="H1471" s="13" t="s">
        <v>4328</v>
      </c>
      <c r="I1471" s="12">
        <v>45436</v>
      </c>
    </row>
    <row r="1472" spans="1:9" x14ac:dyDescent="0.15">
      <c r="A1472" s="10">
        <v>1471</v>
      </c>
      <c r="B1472" s="9" t="s">
        <v>9</v>
      </c>
      <c r="C1472" s="11" t="s">
        <v>10</v>
      </c>
      <c r="D1472" s="12">
        <v>45562</v>
      </c>
      <c r="E1472" s="14" t="str">
        <f>+HYPERLINK("http://trademark.i-assist.jp/data/china/image_1905th/78867348.pdf","78867348")</f>
        <v>78867348</v>
      </c>
      <c r="F1472" s="13" t="s">
        <v>2667</v>
      </c>
      <c r="G1472" s="13" t="s">
        <v>213</v>
      </c>
      <c r="H1472" s="13" t="s">
        <v>4244</v>
      </c>
      <c r="I1472" s="12">
        <v>45440</v>
      </c>
    </row>
    <row r="1473" spans="1:9" x14ac:dyDescent="0.15">
      <c r="A1473" s="10">
        <v>1472</v>
      </c>
      <c r="B1473" s="9" t="s">
        <v>9</v>
      </c>
      <c r="C1473" s="11" t="s">
        <v>10</v>
      </c>
      <c r="D1473" s="12">
        <v>45562</v>
      </c>
      <c r="E1473" s="14" t="str">
        <f>+HYPERLINK("http://trademark.i-assist.jp/data/china/image_1905th/79843279.pdf","79843279")</f>
        <v>79843279</v>
      </c>
      <c r="F1473" s="13" t="s">
        <v>2668</v>
      </c>
      <c r="G1473" s="13" t="s">
        <v>983</v>
      </c>
      <c r="H1473" s="13" t="s">
        <v>5255</v>
      </c>
      <c r="I1473" s="12">
        <v>45490</v>
      </c>
    </row>
    <row r="1474" spans="1:9" x14ac:dyDescent="0.15">
      <c r="A1474" s="10">
        <v>1473</v>
      </c>
      <c r="B1474" s="9" t="s">
        <v>9</v>
      </c>
      <c r="C1474" s="11" t="s">
        <v>10</v>
      </c>
      <c r="D1474" s="12">
        <v>45562</v>
      </c>
      <c r="E1474" s="14" t="str">
        <f>+HYPERLINK("http://trademark.i-assist.jp/data/china/image_1905th/79844976.pdf","79844976")</f>
        <v>79844976</v>
      </c>
      <c r="F1474" s="13" t="s">
        <v>2670</v>
      </c>
      <c r="G1474" s="13" t="s">
        <v>2669</v>
      </c>
      <c r="H1474" s="13" t="s">
        <v>5256</v>
      </c>
      <c r="I1474" s="12">
        <v>45490</v>
      </c>
    </row>
    <row r="1475" spans="1:9" x14ac:dyDescent="0.15">
      <c r="A1475" s="10">
        <v>1474</v>
      </c>
      <c r="B1475" s="9" t="s">
        <v>9</v>
      </c>
      <c r="C1475" s="11" t="s">
        <v>10</v>
      </c>
      <c r="D1475" s="12">
        <v>45562</v>
      </c>
      <c r="E1475" s="14" t="str">
        <f>+HYPERLINK("http://trademark.i-assist.jp/data/china/image_1905th/79862464.pdf","79862464")</f>
        <v>79862464</v>
      </c>
      <c r="F1475" s="13" t="s">
        <v>2672</v>
      </c>
      <c r="G1475" s="13" t="s">
        <v>2671</v>
      </c>
      <c r="H1475" s="13" t="s">
        <v>5257</v>
      </c>
      <c r="I1475" s="12">
        <v>45491</v>
      </c>
    </row>
    <row r="1476" spans="1:9" x14ac:dyDescent="0.15">
      <c r="A1476" s="10">
        <v>1475</v>
      </c>
      <c r="B1476" s="9" t="s">
        <v>9</v>
      </c>
      <c r="C1476" s="11" t="s">
        <v>10</v>
      </c>
      <c r="D1476" s="12">
        <v>45562</v>
      </c>
      <c r="E1476" s="14" t="str">
        <f>+HYPERLINK("http://trademark.i-assist.jp/data/china/image_1905th/79875057.pdf","79875057")</f>
        <v>79875057</v>
      </c>
      <c r="F1476" s="13" t="s">
        <v>2674</v>
      </c>
      <c r="G1476" s="13" t="s">
        <v>2673</v>
      </c>
      <c r="H1476" s="13" t="s">
        <v>5258</v>
      </c>
      <c r="I1476" s="12">
        <v>45491</v>
      </c>
    </row>
    <row r="1477" spans="1:9" x14ac:dyDescent="0.15">
      <c r="A1477" s="10">
        <v>1476</v>
      </c>
      <c r="B1477" s="9" t="s">
        <v>9</v>
      </c>
      <c r="C1477" s="11" t="s">
        <v>10</v>
      </c>
      <c r="D1477" s="12">
        <v>45562</v>
      </c>
      <c r="E1477" s="14" t="str">
        <f>+HYPERLINK("http://trademark.i-assist.jp/data/china/image_1905th/79346575.pdf","79346575")</f>
        <v>79346575</v>
      </c>
      <c r="F1477" s="13" t="s">
        <v>73</v>
      </c>
      <c r="G1477" s="13" t="s">
        <v>2675</v>
      </c>
      <c r="H1477" s="13" t="s">
        <v>5259</v>
      </c>
      <c r="I1477" s="12">
        <v>45463</v>
      </c>
    </row>
    <row r="1478" spans="1:9" x14ac:dyDescent="0.15">
      <c r="A1478" s="10">
        <v>1477</v>
      </c>
      <c r="B1478" s="9" t="s">
        <v>9</v>
      </c>
      <c r="C1478" s="11" t="s">
        <v>10</v>
      </c>
      <c r="D1478" s="12">
        <v>45562</v>
      </c>
      <c r="E1478" s="14" t="str">
        <f>+HYPERLINK("http://trademark.i-assist.jp/data/china/image_1905th/79362459.pdf","79362459")</f>
        <v>79362459</v>
      </c>
      <c r="F1478" s="13" t="s">
        <v>73</v>
      </c>
      <c r="G1478" s="13" t="s">
        <v>2676</v>
      </c>
      <c r="H1478" s="13" t="s">
        <v>5260</v>
      </c>
      <c r="I1478" s="12">
        <v>45464</v>
      </c>
    </row>
    <row r="1479" spans="1:9" x14ac:dyDescent="0.15">
      <c r="A1479" s="10">
        <v>1478</v>
      </c>
      <c r="B1479" s="9" t="s">
        <v>9</v>
      </c>
      <c r="C1479" s="11" t="s">
        <v>10</v>
      </c>
      <c r="D1479" s="12">
        <v>45562</v>
      </c>
      <c r="E1479" s="14" t="str">
        <f>+HYPERLINK("http://trademark.i-assist.jp/data/china/image_1905th/79366392.pdf","79366392")</f>
        <v>79366392</v>
      </c>
      <c r="F1479" s="13" t="s">
        <v>2678</v>
      </c>
      <c r="G1479" s="13" t="s">
        <v>2677</v>
      </c>
      <c r="H1479" s="13" t="s">
        <v>5261</v>
      </c>
      <c r="I1479" s="12">
        <v>45464</v>
      </c>
    </row>
    <row r="1480" spans="1:9" x14ac:dyDescent="0.15">
      <c r="A1480" s="10">
        <v>1479</v>
      </c>
      <c r="B1480" s="9" t="s">
        <v>9</v>
      </c>
      <c r="C1480" s="11" t="s">
        <v>10</v>
      </c>
      <c r="D1480" s="12">
        <v>45562</v>
      </c>
      <c r="E1480" s="14" t="str">
        <f>+HYPERLINK("http://trademark.i-assist.jp/data/china/image_1905th/79373705.pdf","79373705")</f>
        <v>79373705</v>
      </c>
      <c r="F1480" s="13" t="s">
        <v>73</v>
      </c>
      <c r="G1480" s="13" t="s">
        <v>2679</v>
      </c>
      <c r="H1480" s="13" t="s">
        <v>5262</v>
      </c>
      <c r="I1480" s="12">
        <v>45464</v>
      </c>
    </row>
    <row r="1481" spans="1:9" x14ac:dyDescent="0.15">
      <c r="A1481" s="10">
        <v>1480</v>
      </c>
      <c r="B1481" s="9" t="s">
        <v>9</v>
      </c>
      <c r="C1481" s="11" t="s">
        <v>10</v>
      </c>
      <c r="D1481" s="12">
        <v>45562</v>
      </c>
      <c r="E1481" s="14" t="str">
        <f>+HYPERLINK("http://trademark.i-assist.jp/data/china/image_1905th/79381651.pdf","79381651")</f>
        <v>79381651</v>
      </c>
      <c r="F1481" s="13" t="s">
        <v>2681</v>
      </c>
      <c r="G1481" s="13" t="s">
        <v>2680</v>
      </c>
      <c r="H1481" s="13" t="s">
        <v>5263</v>
      </c>
      <c r="I1481" s="12">
        <v>45466</v>
      </c>
    </row>
    <row r="1482" spans="1:9" x14ac:dyDescent="0.15">
      <c r="A1482" s="10">
        <v>1481</v>
      </c>
      <c r="B1482" s="9" t="s">
        <v>9</v>
      </c>
      <c r="C1482" s="11" t="s">
        <v>10</v>
      </c>
      <c r="D1482" s="12">
        <v>45562</v>
      </c>
      <c r="E1482" s="14" t="str">
        <f>+HYPERLINK("http://trademark.i-assist.jp/data/china/image_1905th/79383539.pdf","79383539")</f>
        <v>79383539</v>
      </c>
      <c r="F1482" s="13" t="s">
        <v>2682</v>
      </c>
      <c r="G1482" s="13" t="s">
        <v>910</v>
      </c>
      <c r="H1482" s="13" t="s">
        <v>4553</v>
      </c>
      <c r="I1482" s="12">
        <v>45466</v>
      </c>
    </row>
    <row r="1483" spans="1:9" x14ac:dyDescent="0.15">
      <c r="A1483" s="10">
        <v>1482</v>
      </c>
      <c r="B1483" s="9" t="s">
        <v>9</v>
      </c>
      <c r="C1483" s="11" t="s">
        <v>10</v>
      </c>
      <c r="D1483" s="12">
        <v>45562</v>
      </c>
      <c r="E1483" s="14" t="str">
        <f>+HYPERLINK("http://trademark.i-assist.jp/data/china/image_1905th/79384021.pdf","79384021")</f>
        <v>79384021</v>
      </c>
      <c r="F1483" s="13" t="s">
        <v>2684</v>
      </c>
      <c r="G1483" s="13" t="s">
        <v>2683</v>
      </c>
      <c r="H1483" s="13" t="s">
        <v>5264</v>
      </c>
      <c r="I1483" s="12">
        <v>45466</v>
      </c>
    </row>
    <row r="1484" spans="1:9" x14ac:dyDescent="0.15">
      <c r="A1484" s="10">
        <v>1483</v>
      </c>
      <c r="B1484" s="9" t="s">
        <v>9</v>
      </c>
      <c r="C1484" s="11" t="s">
        <v>10</v>
      </c>
      <c r="D1484" s="12">
        <v>45562</v>
      </c>
      <c r="E1484" s="14" t="str">
        <f>+HYPERLINK("http://trademark.i-assist.jp/data/china/image_1905th/79388356.pdf","79388356")</f>
        <v>79388356</v>
      </c>
      <c r="F1484" s="13" t="s">
        <v>2686</v>
      </c>
      <c r="G1484" s="13" t="s">
        <v>2685</v>
      </c>
      <c r="H1484" s="13" t="s">
        <v>5265</v>
      </c>
      <c r="I1484" s="12">
        <v>45467</v>
      </c>
    </row>
    <row r="1485" spans="1:9" x14ac:dyDescent="0.15">
      <c r="A1485" s="10">
        <v>1484</v>
      </c>
      <c r="B1485" s="9" t="s">
        <v>9</v>
      </c>
      <c r="C1485" s="11" t="s">
        <v>10</v>
      </c>
      <c r="D1485" s="12">
        <v>45562</v>
      </c>
      <c r="E1485" s="14" t="str">
        <f>+HYPERLINK("http://trademark.i-assist.jp/data/china/image_1905th/79742261.pdf","79742261")</f>
        <v>79742261</v>
      </c>
      <c r="F1485" s="13" t="s">
        <v>2688</v>
      </c>
      <c r="G1485" s="13" t="s">
        <v>2687</v>
      </c>
      <c r="H1485" s="13" t="s">
        <v>5266</v>
      </c>
      <c r="I1485" s="12">
        <v>45484</v>
      </c>
    </row>
    <row r="1486" spans="1:9" x14ac:dyDescent="0.15">
      <c r="A1486" s="10">
        <v>1485</v>
      </c>
      <c r="B1486" s="9" t="s">
        <v>9</v>
      </c>
      <c r="C1486" s="11" t="s">
        <v>10</v>
      </c>
      <c r="D1486" s="12">
        <v>45562</v>
      </c>
      <c r="E1486" s="14" t="str">
        <f>+HYPERLINK("http://trademark.i-assist.jp/data/china/image_1905th/79744671.pdf","79744671")</f>
        <v>79744671</v>
      </c>
      <c r="F1486" s="13" t="s">
        <v>2690</v>
      </c>
      <c r="G1486" s="13" t="s">
        <v>2689</v>
      </c>
      <c r="H1486" s="13" t="s">
        <v>4200</v>
      </c>
      <c r="I1486" s="12">
        <v>45484</v>
      </c>
    </row>
    <row r="1487" spans="1:9" x14ac:dyDescent="0.15">
      <c r="A1487" s="10">
        <v>1486</v>
      </c>
      <c r="B1487" s="9" t="s">
        <v>9</v>
      </c>
      <c r="C1487" s="11" t="s">
        <v>10</v>
      </c>
      <c r="D1487" s="12">
        <v>45562</v>
      </c>
      <c r="E1487" s="14" t="str">
        <f>+HYPERLINK("http://trademark.i-assist.jp/data/china/image_1905th/79745853.pdf","79745853")</f>
        <v>79745853</v>
      </c>
      <c r="F1487" s="13" t="s">
        <v>2692</v>
      </c>
      <c r="G1487" s="13" t="s">
        <v>2691</v>
      </c>
      <c r="H1487" s="13" t="s">
        <v>5267</v>
      </c>
      <c r="I1487" s="12">
        <v>45484</v>
      </c>
    </row>
    <row r="1488" spans="1:9" x14ac:dyDescent="0.15">
      <c r="A1488" s="10">
        <v>1487</v>
      </c>
      <c r="B1488" s="9" t="s">
        <v>9</v>
      </c>
      <c r="C1488" s="11" t="s">
        <v>10</v>
      </c>
      <c r="D1488" s="12">
        <v>45562</v>
      </c>
      <c r="E1488" s="14" t="str">
        <f>+HYPERLINK("http://trademark.i-assist.jp/data/china/image_1905th/79749361.pdf","79749361")</f>
        <v>79749361</v>
      </c>
      <c r="F1488" s="13" t="s">
        <v>2694</v>
      </c>
      <c r="G1488" s="13" t="s">
        <v>2693</v>
      </c>
      <c r="H1488" s="13" t="s">
        <v>5268</v>
      </c>
      <c r="I1488" s="12">
        <v>45484</v>
      </c>
    </row>
    <row r="1489" spans="1:9" x14ac:dyDescent="0.15">
      <c r="A1489" s="10">
        <v>1488</v>
      </c>
      <c r="B1489" s="9" t="s">
        <v>9</v>
      </c>
      <c r="C1489" s="11" t="s">
        <v>10</v>
      </c>
      <c r="D1489" s="12">
        <v>45562</v>
      </c>
      <c r="E1489" s="14" t="str">
        <f>+HYPERLINK("http://trademark.i-assist.jp/data/china/image_1905th/79753687.pdf","79753687")</f>
        <v>79753687</v>
      </c>
      <c r="F1489" s="13" t="s">
        <v>2695</v>
      </c>
      <c r="G1489" s="13" t="s">
        <v>62</v>
      </c>
      <c r="H1489" s="13" t="s">
        <v>4172</v>
      </c>
      <c r="I1489" s="12">
        <v>45485</v>
      </c>
    </row>
    <row r="1490" spans="1:9" x14ac:dyDescent="0.15">
      <c r="A1490" s="10">
        <v>1489</v>
      </c>
      <c r="B1490" s="9" t="s">
        <v>9</v>
      </c>
      <c r="C1490" s="11" t="s">
        <v>10</v>
      </c>
      <c r="D1490" s="12">
        <v>45562</v>
      </c>
      <c r="E1490" s="14" t="str">
        <f>+HYPERLINK("http://trademark.i-assist.jp/data/china/image_1905th/79764990.pdf","79764990")</f>
        <v>79764990</v>
      </c>
      <c r="F1490" s="13" t="s">
        <v>2697</v>
      </c>
      <c r="G1490" s="13" t="s">
        <v>2696</v>
      </c>
      <c r="H1490" s="13" t="s">
        <v>5269</v>
      </c>
      <c r="I1490" s="12">
        <v>45485</v>
      </c>
    </row>
    <row r="1491" spans="1:9" x14ac:dyDescent="0.15">
      <c r="A1491" s="10">
        <v>1490</v>
      </c>
      <c r="B1491" s="9" t="s">
        <v>9</v>
      </c>
      <c r="C1491" s="11" t="s">
        <v>10</v>
      </c>
      <c r="D1491" s="12">
        <v>45562</v>
      </c>
      <c r="E1491" s="14" t="str">
        <f>+HYPERLINK("http://trademark.i-assist.jp/data/china/image_1905th/79638949.pdf","79638949")</f>
        <v>79638949</v>
      </c>
      <c r="F1491" s="13" t="s">
        <v>2699</v>
      </c>
      <c r="G1491" s="13" t="s">
        <v>2698</v>
      </c>
      <c r="H1491" s="13" t="s">
        <v>5270</v>
      </c>
      <c r="I1491" s="12">
        <v>45478</v>
      </c>
    </row>
    <row r="1492" spans="1:9" x14ac:dyDescent="0.15">
      <c r="A1492" s="10">
        <v>1491</v>
      </c>
      <c r="B1492" s="9" t="s">
        <v>9</v>
      </c>
      <c r="C1492" s="11" t="s">
        <v>10</v>
      </c>
      <c r="D1492" s="12">
        <v>45562</v>
      </c>
      <c r="E1492" s="14" t="str">
        <f>+HYPERLINK("http://trademark.i-assist.jp/data/china/image_1905th/79640406.pdf","79640406")</f>
        <v>79640406</v>
      </c>
      <c r="F1492" s="13" t="s">
        <v>2701</v>
      </c>
      <c r="G1492" s="13" t="s">
        <v>2700</v>
      </c>
      <c r="H1492" s="13" t="s">
        <v>5271</v>
      </c>
      <c r="I1492" s="12">
        <v>45478</v>
      </c>
    </row>
    <row r="1493" spans="1:9" x14ac:dyDescent="0.15">
      <c r="A1493" s="10">
        <v>1492</v>
      </c>
      <c r="B1493" s="9" t="s">
        <v>9</v>
      </c>
      <c r="C1493" s="11" t="s">
        <v>10</v>
      </c>
      <c r="D1493" s="12">
        <v>45562</v>
      </c>
      <c r="E1493" s="14" t="str">
        <f>+HYPERLINK("http://trademark.i-assist.jp/data/china/image_1905th/79641818.pdf","79641818")</f>
        <v>79641818</v>
      </c>
      <c r="F1493" s="13" t="s">
        <v>2702</v>
      </c>
      <c r="G1493" s="13" t="s">
        <v>2071</v>
      </c>
      <c r="H1493" s="13" t="s">
        <v>5022</v>
      </c>
      <c r="I1493" s="12">
        <v>45478</v>
      </c>
    </row>
    <row r="1494" spans="1:9" x14ac:dyDescent="0.15">
      <c r="A1494" s="10">
        <v>1493</v>
      </c>
      <c r="B1494" s="9" t="s">
        <v>9</v>
      </c>
      <c r="C1494" s="11" t="s">
        <v>10</v>
      </c>
      <c r="D1494" s="12">
        <v>45562</v>
      </c>
      <c r="E1494" s="14" t="str">
        <f>+HYPERLINK("http://trademark.i-assist.jp/data/china/image_1905th/79641892.pdf","79641892")</f>
        <v>79641892</v>
      </c>
      <c r="F1494" s="13" t="s">
        <v>2704</v>
      </c>
      <c r="G1494" s="13" t="s">
        <v>2703</v>
      </c>
      <c r="H1494" s="13" t="s">
        <v>5272</v>
      </c>
      <c r="I1494" s="12">
        <v>45478</v>
      </c>
    </row>
    <row r="1495" spans="1:9" x14ac:dyDescent="0.15">
      <c r="A1495" s="10">
        <v>1494</v>
      </c>
      <c r="B1495" s="9" t="s">
        <v>9</v>
      </c>
      <c r="C1495" s="11" t="s">
        <v>10</v>
      </c>
      <c r="D1495" s="12">
        <v>45562</v>
      </c>
      <c r="E1495" s="14" t="str">
        <f>+HYPERLINK("http://trademark.i-assist.jp/data/china/image_1905th/79643145.pdf","79643145")</f>
        <v>79643145</v>
      </c>
      <c r="F1495" s="13" t="s">
        <v>2706</v>
      </c>
      <c r="G1495" s="13" t="s">
        <v>2705</v>
      </c>
      <c r="H1495" s="13" t="s">
        <v>5273</v>
      </c>
      <c r="I1495" s="12">
        <v>45478</v>
      </c>
    </row>
    <row r="1496" spans="1:9" x14ac:dyDescent="0.15">
      <c r="A1496" s="10">
        <v>1495</v>
      </c>
      <c r="B1496" s="9" t="s">
        <v>9</v>
      </c>
      <c r="C1496" s="11" t="s">
        <v>10</v>
      </c>
      <c r="D1496" s="12">
        <v>45562</v>
      </c>
      <c r="E1496" s="14" t="str">
        <f>+HYPERLINK("http://trademark.i-assist.jp/data/china/image_1905th/79649859.pdf","79649859")</f>
        <v>79649859</v>
      </c>
      <c r="F1496" s="13" t="s">
        <v>2707</v>
      </c>
      <c r="G1496" s="13" t="s">
        <v>687</v>
      </c>
      <c r="H1496" s="13" t="s">
        <v>4456</v>
      </c>
      <c r="I1496" s="12">
        <v>45479</v>
      </c>
    </row>
    <row r="1497" spans="1:9" x14ac:dyDescent="0.15">
      <c r="A1497" s="10">
        <v>1496</v>
      </c>
      <c r="B1497" s="9" t="s">
        <v>9</v>
      </c>
      <c r="C1497" s="11" t="s">
        <v>10</v>
      </c>
      <c r="D1497" s="12">
        <v>45562</v>
      </c>
      <c r="E1497" s="14" t="str">
        <f>+HYPERLINK("http://trademark.i-assist.jp/data/china/image_1905th/79650409.pdf","79650409")</f>
        <v>79650409</v>
      </c>
      <c r="F1497" s="13" t="s">
        <v>2709</v>
      </c>
      <c r="G1497" s="13" t="s">
        <v>2708</v>
      </c>
      <c r="H1497" s="13" t="s">
        <v>5274</v>
      </c>
      <c r="I1497" s="12">
        <v>45479</v>
      </c>
    </row>
    <row r="1498" spans="1:9" x14ac:dyDescent="0.15">
      <c r="A1498" s="10">
        <v>1497</v>
      </c>
      <c r="B1498" s="9" t="s">
        <v>9</v>
      </c>
      <c r="C1498" s="11" t="s">
        <v>10</v>
      </c>
      <c r="D1498" s="12">
        <v>45562</v>
      </c>
      <c r="E1498" s="14" t="str">
        <f>+HYPERLINK("http://trademark.i-assist.jp/data/china/image_1905th/79659855.pdf","79659855")</f>
        <v>79659855</v>
      </c>
      <c r="F1498" s="13" t="s">
        <v>2710</v>
      </c>
      <c r="G1498" s="13" t="s">
        <v>1673</v>
      </c>
      <c r="H1498" s="13" t="s">
        <v>4855</v>
      </c>
      <c r="I1498" s="12">
        <v>45481</v>
      </c>
    </row>
    <row r="1499" spans="1:9" x14ac:dyDescent="0.15">
      <c r="A1499" s="10">
        <v>1498</v>
      </c>
      <c r="B1499" s="9" t="s">
        <v>9</v>
      </c>
      <c r="C1499" s="11" t="s">
        <v>10</v>
      </c>
      <c r="D1499" s="12">
        <v>45562</v>
      </c>
      <c r="E1499" s="14" t="str">
        <f>+HYPERLINK("http://trademark.i-assist.jp/data/china/image_1905th/79661323.pdf","79661323")</f>
        <v>79661323</v>
      </c>
      <c r="F1499" s="13" t="s">
        <v>2711</v>
      </c>
      <c r="G1499" s="13" t="s">
        <v>1164</v>
      </c>
      <c r="H1499" s="13" t="s">
        <v>4449</v>
      </c>
      <c r="I1499" s="12">
        <v>45481</v>
      </c>
    </row>
    <row r="1500" spans="1:9" x14ac:dyDescent="0.15">
      <c r="A1500" s="10">
        <v>1499</v>
      </c>
      <c r="B1500" s="9" t="s">
        <v>9</v>
      </c>
      <c r="C1500" s="11" t="s">
        <v>10</v>
      </c>
      <c r="D1500" s="12">
        <v>45562</v>
      </c>
      <c r="E1500" s="14" t="str">
        <f>+HYPERLINK("http://trademark.i-assist.jp/data/china/image_1905th/79661516.pdf","79661516")</f>
        <v>79661516</v>
      </c>
      <c r="F1500" s="13" t="s">
        <v>2713</v>
      </c>
      <c r="G1500" s="13" t="s">
        <v>2712</v>
      </c>
      <c r="H1500" s="13" t="s">
        <v>5275</v>
      </c>
      <c r="I1500" s="12">
        <v>45481</v>
      </c>
    </row>
    <row r="1501" spans="1:9" x14ac:dyDescent="0.15">
      <c r="A1501" s="10">
        <v>1500</v>
      </c>
      <c r="B1501" s="9" t="s">
        <v>9</v>
      </c>
      <c r="C1501" s="11" t="s">
        <v>10</v>
      </c>
      <c r="D1501" s="12">
        <v>45562</v>
      </c>
      <c r="E1501" s="14" t="str">
        <f>+HYPERLINK("http://trademark.i-assist.jp/data/china/image_1905th/79776238.pdf","79776238")</f>
        <v>79776238</v>
      </c>
      <c r="F1501" s="13" t="s">
        <v>2715</v>
      </c>
      <c r="G1501" s="13" t="s">
        <v>2714</v>
      </c>
      <c r="H1501" s="13" t="s">
        <v>4162</v>
      </c>
      <c r="I1501" s="12">
        <v>45486</v>
      </c>
    </row>
    <row r="1502" spans="1:9" x14ac:dyDescent="0.15">
      <c r="A1502" s="10">
        <v>1501</v>
      </c>
      <c r="B1502" s="9" t="s">
        <v>9</v>
      </c>
      <c r="C1502" s="11" t="s">
        <v>10</v>
      </c>
      <c r="D1502" s="12">
        <v>45562</v>
      </c>
      <c r="E1502" s="14" t="str">
        <f>+HYPERLINK("http://trademark.i-assist.jp/data/china/image_1905th/79778286.pdf","79778286")</f>
        <v>79778286</v>
      </c>
      <c r="F1502" s="13" t="s">
        <v>2717</v>
      </c>
      <c r="G1502" s="13" t="s">
        <v>2716</v>
      </c>
      <c r="H1502" s="13" t="s">
        <v>5276</v>
      </c>
      <c r="I1502" s="12">
        <v>45486</v>
      </c>
    </row>
    <row r="1503" spans="1:9" x14ac:dyDescent="0.15">
      <c r="A1503" s="10">
        <v>1502</v>
      </c>
      <c r="B1503" s="9" t="s">
        <v>9</v>
      </c>
      <c r="C1503" s="11" t="s">
        <v>10</v>
      </c>
      <c r="D1503" s="12">
        <v>45562</v>
      </c>
      <c r="E1503" s="14" t="str">
        <f>+HYPERLINK("http://trademark.i-assist.jp/data/china/image_1905th/79782856.pdf","79782856")</f>
        <v>79782856</v>
      </c>
      <c r="F1503" s="13" t="s">
        <v>2719</v>
      </c>
      <c r="G1503" s="13" t="s">
        <v>2718</v>
      </c>
      <c r="H1503" s="13" t="s">
        <v>5277</v>
      </c>
      <c r="I1503" s="12">
        <v>45487</v>
      </c>
    </row>
    <row r="1504" spans="1:9" x14ac:dyDescent="0.15">
      <c r="A1504" s="10">
        <v>1503</v>
      </c>
      <c r="B1504" s="9" t="s">
        <v>9</v>
      </c>
      <c r="C1504" s="11" t="s">
        <v>10</v>
      </c>
      <c r="D1504" s="12">
        <v>45562</v>
      </c>
      <c r="E1504" s="14" t="str">
        <f>+HYPERLINK("http://trademark.i-assist.jp/data/china/image_1905th/79791386.pdf","79791386")</f>
        <v>79791386</v>
      </c>
      <c r="F1504" s="13" t="s">
        <v>2721</v>
      </c>
      <c r="G1504" s="13" t="s">
        <v>2720</v>
      </c>
      <c r="H1504" s="13" t="s">
        <v>5017</v>
      </c>
      <c r="I1504" s="12">
        <v>45488</v>
      </c>
    </row>
    <row r="1505" spans="1:9" x14ac:dyDescent="0.15">
      <c r="A1505" s="10">
        <v>1504</v>
      </c>
      <c r="B1505" s="9" t="s">
        <v>9</v>
      </c>
      <c r="C1505" s="11" t="s">
        <v>10</v>
      </c>
      <c r="D1505" s="12">
        <v>45562</v>
      </c>
      <c r="E1505" s="14" t="str">
        <f>+HYPERLINK("http://trademark.i-assist.jp/data/china/image_1905th/79796548.pdf","79796548")</f>
        <v>79796548</v>
      </c>
      <c r="F1505" s="13" t="s">
        <v>2723</v>
      </c>
      <c r="G1505" s="13" t="s">
        <v>2722</v>
      </c>
      <c r="H1505" s="13" t="s">
        <v>5278</v>
      </c>
      <c r="I1505" s="12">
        <v>45488</v>
      </c>
    </row>
    <row r="1506" spans="1:9" x14ac:dyDescent="0.15">
      <c r="A1506" s="10">
        <v>1505</v>
      </c>
      <c r="B1506" s="9" t="s">
        <v>9</v>
      </c>
      <c r="C1506" s="11" t="s">
        <v>10</v>
      </c>
      <c r="D1506" s="12">
        <v>45562</v>
      </c>
      <c r="E1506" s="14" t="str">
        <f>+HYPERLINK("http://trademark.i-assist.jp/data/china/image_1905th/79801756.pdf","79801756")</f>
        <v>79801756</v>
      </c>
      <c r="F1506" s="13" t="s">
        <v>2725</v>
      </c>
      <c r="G1506" s="13" t="s">
        <v>2724</v>
      </c>
      <c r="H1506" s="13" t="s">
        <v>5279</v>
      </c>
      <c r="I1506" s="12">
        <v>45488</v>
      </c>
    </row>
    <row r="1507" spans="1:9" x14ac:dyDescent="0.15">
      <c r="A1507" s="10">
        <v>1506</v>
      </c>
      <c r="B1507" s="9" t="s">
        <v>9</v>
      </c>
      <c r="C1507" s="11" t="s">
        <v>10</v>
      </c>
      <c r="D1507" s="12">
        <v>45562</v>
      </c>
      <c r="E1507" s="14" t="str">
        <f>+HYPERLINK("http://trademark.i-assist.jp/data/china/image_1905th/79802680.pdf","79802680")</f>
        <v>79802680</v>
      </c>
      <c r="F1507" s="13" t="s">
        <v>2727</v>
      </c>
      <c r="G1507" s="13" t="s">
        <v>2726</v>
      </c>
      <c r="H1507" s="13" t="s">
        <v>5280</v>
      </c>
      <c r="I1507" s="12">
        <v>45488</v>
      </c>
    </row>
    <row r="1508" spans="1:9" x14ac:dyDescent="0.15">
      <c r="A1508" s="10">
        <v>1507</v>
      </c>
      <c r="B1508" s="9" t="s">
        <v>9</v>
      </c>
      <c r="C1508" s="11" t="s">
        <v>10</v>
      </c>
      <c r="D1508" s="12">
        <v>45562</v>
      </c>
      <c r="E1508" s="14" t="str">
        <f>+HYPERLINK("http://trademark.i-assist.jp/data/china/image_1905th/79810590.pdf","79810590")</f>
        <v>79810590</v>
      </c>
      <c r="F1508" s="13" t="s">
        <v>2729</v>
      </c>
      <c r="G1508" s="13" t="s">
        <v>2728</v>
      </c>
      <c r="H1508" s="13" t="s">
        <v>5281</v>
      </c>
      <c r="I1508" s="12">
        <v>45489</v>
      </c>
    </row>
    <row r="1509" spans="1:9" x14ac:dyDescent="0.15">
      <c r="A1509" s="10">
        <v>1508</v>
      </c>
      <c r="B1509" s="9" t="s">
        <v>9</v>
      </c>
      <c r="C1509" s="11" t="s">
        <v>10</v>
      </c>
      <c r="D1509" s="12">
        <v>45562</v>
      </c>
      <c r="E1509" s="14" t="str">
        <f>+HYPERLINK("http://trademark.i-assist.jp/data/china/image_1905th/79817889.pdf","79817889")</f>
        <v>79817889</v>
      </c>
      <c r="F1509" s="13" t="s">
        <v>2731</v>
      </c>
      <c r="G1509" s="13" t="s">
        <v>2730</v>
      </c>
      <c r="H1509" s="13" t="s">
        <v>5282</v>
      </c>
      <c r="I1509" s="12">
        <v>45489</v>
      </c>
    </row>
    <row r="1510" spans="1:9" x14ac:dyDescent="0.15">
      <c r="A1510" s="10">
        <v>1509</v>
      </c>
      <c r="B1510" s="9" t="s">
        <v>9</v>
      </c>
      <c r="C1510" s="11" t="s">
        <v>10</v>
      </c>
      <c r="D1510" s="12">
        <v>45562</v>
      </c>
      <c r="E1510" s="14" t="str">
        <f>+HYPERLINK("http://trademark.i-assist.jp/data/china/image_1905th/79391853.pdf","79391853")</f>
        <v>79391853</v>
      </c>
      <c r="F1510" s="13" t="s">
        <v>2732</v>
      </c>
      <c r="G1510" s="13" t="s">
        <v>1571</v>
      </c>
      <c r="H1510" s="13" t="s">
        <v>5283</v>
      </c>
      <c r="I1510" s="12">
        <v>45467</v>
      </c>
    </row>
    <row r="1511" spans="1:9" x14ac:dyDescent="0.15">
      <c r="A1511" s="10">
        <v>1510</v>
      </c>
      <c r="B1511" s="9" t="s">
        <v>9</v>
      </c>
      <c r="C1511" s="11" t="s">
        <v>10</v>
      </c>
      <c r="D1511" s="12">
        <v>45562</v>
      </c>
      <c r="E1511" s="14" t="str">
        <f>+HYPERLINK("http://trademark.i-assist.jp/data/china/image_1905th/79392858.pdf","79392858")</f>
        <v>79392858</v>
      </c>
      <c r="F1511" s="13" t="s">
        <v>2734</v>
      </c>
      <c r="G1511" s="13" t="s">
        <v>2733</v>
      </c>
      <c r="H1511" s="13" t="s">
        <v>4449</v>
      </c>
      <c r="I1511" s="12">
        <v>45467</v>
      </c>
    </row>
    <row r="1512" spans="1:9" x14ac:dyDescent="0.15">
      <c r="A1512" s="10">
        <v>1511</v>
      </c>
      <c r="B1512" s="9" t="s">
        <v>9</v>
      </c>
      <c r="C1512" s="11" t="s">
        <v>10</v>
      </c>
      <c r="D1512" s="12">
        <v>45562</v>
      </c>
      <c r="E1512" s="14" t="str">
        <f>+HYPERLINK("http://trademark.i-assist.jp/data/china/image_1905th/79399234.pdf","79399234")</f>
        <v>79399234</v>
      </c>
      <c r="F1512" s="13" t="s">
        <v>73</v>
      </c>
      <c r="G1512" s="13" t="s">
        <v>2735</v>
      </c>
      <c r="H1512" s="13" t="s">
        <v>5284</v>
      </c>
      <c r="I1512" s="12">
        <v>45467</v>
      </c>
    </row>
    <row r="1513" spans="1:9" x14ac:dyDescent="0.15">
      <c r="A1513" s="10">
        <v>1512</v>
      </c>
      <c r="B1513" s="9" t="s">
        <v>9</v>
      </c>
      <c r="C1513" s="11" t="s">
        <v>10</v>
      </c>
      <c r="D1513" s="12">
        <v>45562</v>
      </c>
      <c r="E1513" s="14" t="str">
        <f>+HYPERLINK("http://trademark.i-assist.jp/data/china/image_1905th/79409809.pdf","79409809")</f>
        <v>79409809</v>
      </c>
      <c r="F1513" s="13" t="s">
        <v>2736</v>
      </c>
      <c r="G1513" s="13" t="s">
        <v>486</v>
      </c>
      <c r="H1513" s="13" t="s">
        <v>5285</v>
      </c>
      <c r="I1513" s="12">
        <v>45467</v>
      </c>
    </row>
    <row r="1514" spans="1:9" x14ac:dyDescent="0.15">
      <c r="A1514" s="10">
        <v>1513</v>
      </c>
      <c r="B1514" s="9" t="s">
        <v>9</v>
      </c>
      <c r="C1514" s="11" t="s">
        <v>10</v>
      </c>
      <c r="D1514" s="12">
        <v>45562</v>
      </c>
      <c r="E1514" s="14" t="str">
        <f>+HYPERLINK("http://trademark.i-assist.jp/data/china/image_1905th/79421730.pdf","79421730")</f>
        <v>79421730</v>
      </c>
      <c r="F1514" s="13" t="s">
        <v>2737</v>
      </c>
      <c r="G1514" s="13" t="s">
        <v>213</v>
      </c>
      <c r="H1514" s="13" t="s">
        <v>4244</v>
      </c>
      <c r="I1514" s="12">
        <v>45468</v>
      </c>
    </row>
    <row r="1515" spans="1:9" x14ac:dyDescent="0.15">
      <c r="A1515" s="10">
        <v>1514</v>
      </c>
      <c r="B1515" s="9" t="s">
        <v>9</v>
      </c>
      <c r="C1515" s="11" t="s">
        <v>10</v>
      </c>
      <c r="D1515" s="12">
        <v>45562</v>
      </c>
      <c r="E1515" s="14" t="str">
        <f>+HYPERLINK("http://trademark.i-assist.jp/data/china/image_1905th/79429119.pdf","79429119")</f>
        <v>79429119</v>
      </c>
      <c r="F1515" s="13" t="s">
        <v>2739</v>
      </c>
      <c r="G1515" s="13" t="s">
        <v>2738</v>
      </c>
      <c r="H1515" s="13" t="s">
        <v>4245</v>
      </c>
      <c r="I1515" s="12">
        <v>45468</v>
      </c>
    </row>
    <row r="1516" spans="1:9" x14ac:dyDescent="0.15">
      <c r="A1516" s="10">
        <v>1515</v>
      </c>
      <c r="B1516" s="9" t="s">
        <v>9</v>
      </c>
      <c r="C1516" s="11" t="s">
        <v>10</v>
      </c>
      <c r="D1516" s="12">
        <v>45562</v>
      </c>
      <c r="E1516" s="14" t="str">
        <f>+HYPERLINK("http://trademark.i-assist.jp/data/china/image_1905th/79447243.pdf","79447243")</f>
        <v>79447243</v>
      </c>
      <c r="F1516" s="13" t="s">
        <v>2741</v>
      </c>
      <c r="G1516" s="13" t="s">
        <v>2740</v>
      </c>
      <c r="H1516" s="13" t="s">
        <v>5286</v>
      </c>
      <c r="I1516" s="12">
        <v>45469</v>
      </c>
    </row>
    <row r="1517" spans="1:9" x14ac:dyDescent="0.15">
      <c r="A1517" s="10">
        <v>1516</v>
      </c>
      <c r="B1517" s="9" t="s">
        <v>9</v>
      </c>
      <c r="C1517" s="11" t="s">
        <v>10</v>
      </c>
      <c r="D1517" s="12">
        <v>45562</v>
      </c>
      <c r="E1517" s="14" t="str">
        <f>+HYPERLINK("http://trademark.i-assist.jp/data/china/image_1905th/79457344.pdf","79457344")</f>
        <v>79457344</v>
      </c>
      <c r="F1517" s="13" t="s">
        <v>2743</v>
      </c>
      <c r="G1517" s="13" t="s">
        <v>2742</v>
      </c>
      <c r="H1517" s="13" t="s">
        <v>5287</v>
      </c>
      <c r="I1517" s="12">
        <v>45469</v>
      </c>
    </row>
    <row r="1518" spans="1:9" x14ac:dyDescent="0.15">
      <c r="A1518" s="10">
        <v>1517</v>
      </c>
      <c r="B1518" s="9" t="s">
        <v>9</v>
      </c>
      <c r="C1518" s="11" t="s">
        <v>10</v>
      </c>
      <c r="D1518" s="12">
        <v>45562</v>
      </c>
      <c r="E1518" s="14" t="str">
        <f>+HYPERLINK("http://trademark.i-assist.jp/data/china/image_1905th/79459185.pdf","79459185")</f>
        <v>79459185</v>
      </c>
      <c r="F1518" s="13" t="s">
        <v>2744</v>
      </c>
      <c r="G1518" s="13" t="s">
        <v>224</v>
      </c>
      <c r="H1518" s="13" t="s">
        <v>4227</v>
      </c>
      <c r="I1518" s="12">
        <v>45469</v>
      </c>
    </row>
    <row r="1519" spans="1:9" x14ac:dyDescent="0.15">
      <c r="A1519" s="10">
        <v>1518</v>
      </c>
      <c r="B1519" s="9" t="s">
        <v>9</v>
      </c>
      <c r="C1519" s="11" t="s">
        <v>10</v>
      </c>
      <c r="D1519" s="12">
        <v>45562</v>
      </c>
      <c r="E1519" s="14" t="str">
        <f>+HYPERLINK("http://trademark.i-assist.jp/data/china/image_1905th/79459591.pdf","79459591")</f>
        <v>79459591</v>
      </c>
      <c r="F1519" s="13" t="s">
        <v>2746</v>
      </c>
      <c r="G1519" s="13" t="s">
        <v>2745</v>
      </c>
      <c r="H1519" s="13" t="s">
        <v>5288</v>
      </c>
      <c r="I1519" s="12">
        <v>45469</v>
      </c>
    </row>
    <row r="1520" spans="1:9" x14ac:dyDescent="0.15">
      <c r="A1520" s="10">
        <v>1519</v>
      </c>
      <c r="B1520" s="9" t="s">
        <v>9</v>
      </c>
      <c r="C1520" s="11" t="s">
        <v>10</v>
      </c>
      <c r="D1520" s="12">
        <v>45562</v>
      </c>
      <c r="E1520" s="14" t="str">
        <f>+HYPERLINK("http://trademark.i-assist.jp/data/china/image_1905th/79460790.pdf","79460790")</f>
        <v>79460790</v>
      </c>
      <c r="F1520" s="13" t="s">
        <v>2748</v>
      </c>
      <c r="G1520" s="13" t="s">
        <v>2747</v>
      </c>
      <c r="H1520" s="13" t="s">
        <v>5289</v>
      </c>
      <c r="I1520" s="12">
        <v>45469</v>
      </c>
    </row>
    <row r="1521" spans="1:9" x14ac:dyDescent="0.15">
      <c r="A1521" s="10">
        <v>1520</v>
      </c>
      <c r="B1521" s="9" t="s">
        <v>9</v>
      </c>
      <c r="C1521" s="11" t="s">
        <v>10</v>
      </c>
      <c r="D1521" s="12">
        <v>45562</v>
      </c>
      <c r="E1521" s="14" t="str">
        <f>+HYPERLINK("http://trademark.i-assist.jp/data/china/image_1905th/79465085.pdf","79465085")</f>
        <v>79465085</v>
      </c>
      <c r="F1521" s="13" t="s">
        <v>2750</v>
      </c>
      <c r="G1521" s="13" t="s">
        <v>2749</v>
      </c>
      <c r="H1521" s="13" t="s">
        <v>4227</v>
      </c>
      <c r="I1521" s="12">
        <v>45470</v>
      </c>
    </row>
    <row r="1522" spans="1:9" x14ac:dyDescent="0.15">
      <c r="A1522" s="10">
        <v>1521</v>
      </c>
      <c r="B1522" s="9" t="s">
        <v>9</v>
      </c>
      <c r="C1522" s="11" t="s">
        <v>10</v>
      </c>
      <c r="D1522" s="12">
        <v>45562</v>
      </c>
      <c r="E1522" s="14" t="str">
        <f>+HYPERLINK("http://trademark.i-assist.jp/data/china/image_1905th/79620296.pdf","79620296")</f>
        <v>79620296</v>
      </c>
      <c r="F1522" s="13" t="s">
        <v>2752</v>
      </c>
      <c r="G1522" s="13" t="s">
        <v>2751</v>
      </c>
      <c r="H1522" s="13" t="s">
        <v>5290</v>
      </c>
      <c r="I1522" s="12">
        <v>45477</v>
      </c>
    </row>
    <row r="1523" spans="1:9" x14ac:dyDescent="0.15">
      <c r="A1523" s="10">
        <v>1522</v>
      </c>
      <c r="B1523" s="9" t="s">
        <v>9</v>
      </c>
      <c r="C1523" s="11" t="s">
        <v>10</v>
      </c>
      <c r="D1523" s="12">
        <v>45562</v>
      </c>
      <c r="E1523" s="14" t="str">
        <f>+HYPERLINK("http://trademark.i-assist.jp/data/china/image_1905th/79626626.pdf","79626626")</f>
        <v>79626626</v>
      </c>
      <c r="F1523" s="13" t="s">
        <v>2754</v>
      </c>
      <c r="G1523" s="13" t="s">
        <v>2753</v>
      </c>
      <c r="H1523" s="13" t="s">
        <v>5291</v>
      </c>
      <c r="I1523" s="12">
        <v>45478</v>
      </c>
    </row>
    <row r="1524" spans="1:9" x14ac:dyDescent="0.15">
      <c r="A1524" s="10">
        <v>1523</v>
      </c>
      <c r="B1524" s="9" t="s">
        <v>9</v>
      </c>
      <c r="C1524" s="11" t="s">
        <v>10</v>
      </c>
      <c r="D1524" s="12">
        <v>45562</v>
      </c>
      <c r="E1524" s="14" t="str">
        <f>+HYPERLINK("http://trademark.i-assist.jp/data/china/image_1905th/79630261.pdf","79630261")</f>
        <v>79630261</v>
      </c>
      <c r="F1524" s="13" t="s">
        <v>2756</v>
      </c>
      <c r="G1524" s="13" t="s">
        <v>2755</v>
      </c>
      <c r="H1524" s="13" t="s">
        <v>5292</v>
      </c>
      <c r="I1524" s="12">
        <v>45478</v>
      </c>
    </row>
    <row r="1525" spans="1:9" x14ac:dyDescent="0.15">
      <c r="A1525" s="10">
        <v>1524</v>
      </c>
      <c r="B1525" s="9" t="s">
        <v>9</v>
      </c>
      <c r="C1525" s="11" t="s">
        <v>10</v>
      </c>
      <c r="D1525" s="12">
        <v>45562</v>
      </c>
      <c r="E1525" s="14" t="str">
        <f>+HYPERLINK("http://trademark.i-assist.jp/data/china/image_1905th/79665672.pdf","79665672")</f>
        <v>79665672</v>
      </c>
      <c r="F1525" s="13" t="s">
        <v>2757</v>
      </c>
      <c r="G1525" s="13" t="s">
        <v>2369</v>
      </c>
      <c r="H1525" s="13" t="s">
        <v>5142</v>
      </c>
      <c r="I1525" s="12">
        <v>45481</v>
      </c>
    </row>
    <row r="1526" spans="1:9" x14ac:dyDescent="0.15">
      <c r="A1526" s="10">
        <v>1525</v>
      </c>
      <c r="B1526" s="9" t="s">
        <v>9</v>
      </c>
      <c r="C1526" s="11" t="s">
        <v>10</v>
      </c>
      <c r="D1526" s="12">
        <v>45562</v>
      </c>
      <c r="E1526" s="14" t="str">
        <f>+HYPERLINK("http://trademark.i-assist.jp/data/china/image_1905th/79668256.pdf","79668256")</f>
        <v>79668256</v>
      </c>
      <c r="F1526" s="13" t="s">
        <v>2759</v>
      </c>
      <c r="G1526" s="13" t="s">
        <v>2758</v>
      </c>
      <c r="H1526" s="13" t="s">
        <v>5293</v>
      </c>
      <c r="I1526" s="12">
        <v>45481</v>
      </c>
    </row>
    <row r="1527" spans="1:9" x14ac:dyDescent="0.15">
      <c r="A1527" s="10">
        <v>1526</v>
      </c>
      <c r="B1527" s="9" t="s">
        <v>9</v>
      </c>
      <c r="C1527" s="11" t="s">
        <v>10</v>
      </c>
      <c r="D1527" s="12">
        <v>45562</v>
      </c>
      <c r="E1527" s="14" t="str">
        <f>+HYPERLINK("http://trademark.i-assist.jp/data/china/image_1905th/79671861.pdf","79671861")</f>
        <v>79671861</v>
      </c>
      <c r="F1527" s="13" t="s">
        <v>2761</v>
      </c>
      <c r="G1527" s="13" t="s">
        <v>2760</v>
      </c>
      <c r="H1527" s="13" t="s">
        <v>5294</v>
      </c>
      <c r="I1527" s="12">
        <v>45481</v>
      </c>
    </row>
    <row r="1528" spans="1:9" x14ac:dyDescent="0.15">
      <c r="A1528" s="10">
        <v>1527</v>
      </c>
      <c r="B1528" s="9" t="s">
        <v>9</v>
      </c>
      <c r="C1528" s="11" t="s">
        <v>10</v>
      </c>
      <c r="D1528" s="12">
        <v>45562</v>
      </c>
      <c r="E1528" s="14" t="str">
        <f>+HYPERLINK("http://trademark.i-assist.jp/data/china/image_1905th/79682248.pdf","79682248")</f>
        <v>79682248</v>
      </c>
      <c r="F1528" s="13" t="s">
        <v>2763</v>
      </c>
      <c r="G1528" s="13" t="s">
        <v>2762</v>
      </c>
      <c r="H1528" s="13" t="s">
        <v>5295</v>
      </c>
      <c r="I1528" s="12">
        <v>45482</v>
      </c>
    </row>
    <row r="1529" spans="1:9" x14ac:dyDescent="0.15">
      <c r="A1529" s="10">
        <v>1528</v>
      </c>
      <c r="B1529" s="9" t="s">
        <v>9</v>
      </c>
      <c r="C1529" s="11" t="s">
        <v>10</v>
      </c>
      <c r="D1529" s="12">
        <v>45562</v>
      </c>
      <c r="E1529" s="14" t="str">
        <f>+HYPERLINK("http://trademark.i-assist.jp/data/china/image_1905th/66482427.pdf","66482427")</f>
        <v>66482427</v>
      </c>
      <c r="F1529" s="13" t="s">
        <v>2764</v>
      </c>
      <c r="G1529" s="13" t="s">
        <v>2375</v>
      </c>
      <c r="H1529" s="13" t="s">
        <v>5296</v>
      </c>
      <c r="I1529" s="12">
        <v>44782</v>
      </c>
    </row>
    <row r="1530" spans="1:9" x14ac:dyDescent="0.15">
      <c r="A1530" s="10">
        <v>1529</v>
      </c>
      <c r="B1530" s="9" t="s">
        <v>9</v>
      </c>
      <c r="C1530" s="11" t="s">
        <v>10</v>
      </c>
      <c r="D1530" s="12">
        <v>45562</v>
      </c>
      <c r="E1530" s="14" t="str">
        <f>+HYPERLINK("http://trademark.i-assist.jp/data/china/image_1905th/74293382.pdf","74293382")</f>
        <v>74293382</v>
      </c>
      <c r="F1530" s="13" t="s">
        <v>2766</v>
      </c>
      <c r="G1530" s="13" t="s">
        <v>2765</v>
      </c>
      <c r="H1530" s="13" t="s">
        <v>5262</v>
      </c>
      <c r="I1530" s="12">
        <v>45194</v>
      </c>
    </row>
    <row r="1531" spans="1:9" x14ac:dyDescent="0.15">
      <c r="A1531" s="10">
        <v>1530</v>
      </c>
      <c r="B1531" s="9" t="s">
        <v>9</v>
      </c>
      <c r="C1531" s="11" t="s">
        <v>10</v>
      </c>
      <c r="D1531" s="12">
        <v>45562</v>
      </c>
      <c r="E1531" s="14" t="str">
        <f>+HYPERLINK("http://trademark.i-assist.jp/data/china/image_1905th/77445142.pdf","77445142")</f>
        <v>77445142</v>
      </c>
      <c r="F1531" s="13" t="s">
        <v>2768</v>
      </c>
      <c r="G1531" s="13" t="s">
        <v>2767</v>
      </c>
      <c r="H1531" s="13" t="s">
        <v>5297</v>
      </c>
      <c r="I1531" s="12">
        <v>45372</v>
      </c>
    </row>
    <row r="1532" spans="1:9" x14ac:dyDescent="0.15">
      <c r="A1532" s="10">
        <v>1531</v>
      </c>
      <c r="B1532" s="9" t="s">
        <v>9</v>
      </c>
      <c r="C1532" s="11" t="s">
        <v>10</v>
      </c>
      <c r="D1532" s="12">
        <v>45562</v>
      </c>
      <c r="E1532" s="14" t="str">
        <f>+HYPERLINK("http://trademark.i-assist.jp/data/china/image_1905th/78899306.pdf","78899306")</f>
        <v>78899306</v>
      </c>
      <c r="F1532" s="13" t="s">
        <v>2769</v>
      </c>
      <c r="G1532" s="13" t="s">
        <v>2112</v>
      </c>
      <c r="H1532" s="13" t="s">
        <v>5039</v>
      </c>
      <c r="I1532" s="12">
        <v>45441</v>
      </c>
    </row>
    <row r="1533" spans="1:9" x14ac:dyDescent="0.15">
      <c r="A1533" s="10">
        <v>1532</v>
      </c>
      <c r="B1533" s="9" t="s">
        <v>9</v>
      </c>
      <c r="C1533" s="11" t="s">
        <v>10</v>
      </c>
      <c r="D1533" s="12">
        <v>45562</v>
      </c>
      <c r="E1533" s="14" t="str">
        <f>+HYPERLINK("http://trademark.i-assist.jp/data/china/image_1905th/78985566.pdf","78985566")</f>
        <v>78985566</v>
      </c>
      <c r="F1533" s="13" t="s">
        <v>2771</v>
      </c>
      <c r="G1533" s="13" t="s">
        <v>2770</v>
      </c>
      <c r="H1533" s="13" t="s">
        <v>5298</v>
      </c>
      <c r="I1533" s="12">
        <v>45446</v>
      </c>
    </row>
    <row r="1534" spans="1:9" x14ac:dyDescent="0.15">
      <c r="A1534" s="10">
        <v>1533</v>
      </c>
      <c r="B1534" s="9" t="s">
        <v>9</v>
      </c>
      <c r="C1534" s="11" t="s">
        <v>10</v>
      </c>
      <c r="D1534" s="12">
        <v>45562</v>
      </c>
      <c r="E1534" s="14" t="str">
        <f>+HYPERLINK("http://trademark.i-assist.jp/data/china/image_1905th/79046761.pdf","79046761")</f>
        <v>79046761</v>
      </c>
      <c r="F1534" s="13" t="s">
        <v>2772</v>
      </c>
      <c r="G1534" s="13" t="s">
        <v>1305</v>
      </c>
      <c r="H1534" s="13" t="s">
        <v>4696</v>
      </c>
      <c r="I1534" s="12">
        <v>45448</v>
      </c>
    </row>
    <row r="1535" spans="1:9" x14ac:dyDescent="0.15">
      <c r="A1535" s="10">
        <v>1534</v>
      </c>
      <c r="B1535" s="9" t="s">
        <v>9</v>
      </c>
      <c r="C1535" s="11" t="s">
        <v>10</v>
      </c>
      <c r="D1535" s="12">
        <v>45562</v>
      </c>
      <c r="E1535" s="14" t="str">
        <f>+HYPERLINK("http://trademark.i-assist.jp/data/china/image_1905th/79053549.pdf","79053549")</f>
        <v>79053549</v>
      </c>
      <c r="F1535" s="13" t="s">
        <v>2774</v>
      </c>
      <c r="G1535" s="13" t="s">
        <v>2773</v>
      </c>
      <c r="H1535" s="13" t="s">
        <v>5299</v>
      </c>
      <c r="I1535" s="12">
        <v>45448</v>
      </c>
    </row>
    <row r="1536" spans="1:9" x14ac:dyDescent="0.15">
      <c r="A1536" s="10">
        <v>1535</v>
      </c>
      <c r="B1536" s="9" t="s">
        <v>9</v>
      </c>
      <c r="C1536" s="11" t="s">
        <v>10</v>
      </c>
      <c r="D1536" s="12">
        <v>45562</v>
      </c>
      <c r="E1536" s="14" t="str">
        <f>+HYPERLINK("http://trademark.i-assist.jp/data/china/image_1905th/79122091.pdf","79122091")</f>
        <v>79122091</v>
      </c>
      <c r="F1536" s="13" t="s">
        <v>2776</v>
      </c>
      <c r="G1536" s="13" t="s">
        <v>2775</v>
      </c>
      <c r="H1536" s="13" t="s">
        <v>5300</v>
      </c>
      <c r="I1536" s="12">
        <v>45451</v>
      </c>
    </row>
    <row r="1537" spans="1:9" x14ac:dyDescent="0.15">
      <c r="A1537" s="10">
        <v>1536</v>
      </c>
      <c r="B1537" s="9" t="s">
        <v>9</v>
      </c>
      <c r="C1537" s="11" t="s">
        <v>10</v>
      </c>
      <c r="D1537" s="12">
        <v>45562</v>
      </c>
      <c r="E1537" s="14" t="str">
        <f>+HYPERLINK("http://trademark.i-assist.jp/data/china/image_1905th/79133887.pdf","79133887")</f>
        <v>79133887</v>
      </c>
      <c r="F1537" s="13" t="s">
        <v>2778</v>
      </c>
      <c r="G1537" s="13" t="s">
        <v>2777</v>
      </c>
      <c r="H1537" s="13" t="s">
        <v>5301</v>
      </c>
      <c r="I1537" s="12">
        <v>45454</v>
      </c>
    </row>
    <row r="1538" spans="1:9" x14ac:dyDescent="0.15">
      <c r="A1538" s="10">
        <v>1537</v>
      </c>
      <c r="B1538" s="9" t="s">
        <v>9</v>
      </c>
      <c r="C1538" s="11" t="s">
        <v>10</v>
      </c>
      <c r="D1538" s="12">
        <v>45562</v>
      </c>
      <c r="E1538" s="14" t="str">
        <f>+HYPERLINK("http://trademark.i-assist.jp/data/china/image_1905th/79146719.pdf","79146719")</f>
        <v>79146719</v>
      </c>
      <c r="F1538" s="13" t="s">
        <v>2780</v>
      </c>
      <c r="G1538" s="13" t="s">
        <v>2779</v>
      </c>
      <c r="H1538" s="13" t="s">
        <v>5302</v>
      </c>
      <c r="I1538" s="12">
        <v>45454</v>
      </c>
    </row>
    <row r="1539" spans="1:9" x14ac:dyDescent="0.15">
      <c r="A1539" s="10">
        <v>1538</v>
      </c>
      <c r="B1539" s="9" t="s">
        <v>9</v>
      </c>
      <c r="C1539" s="11" t="s">
        <v>10</v>
      </c>
      <c r="D1539" s="12">
        <v>45562</v>
      </c>
      <c r="E1539" s="14" t="str">
        <f>+HYPERLINK("http://trademark.i-assist.jp/data/china/image_1905th/79166645.pdf","79166645")</f>
        <v>79166645</v>
      </c>
      <c r="F1539" s="13" t="s">
        <v>2782</v>
      </c>
      <c r="G1539" s="13" t="s">
        <v>2781</v>
      </c>
      <c r="H1539" s="13" t="s">
        <v>5303</v>
      </c>
      <c r="I1539" s="12">
        <v>45455</v>
      </c>
    </row>
    <row r="1540" spans="1:9" x14ac:dyDescent="0.15">
      <c r="A1540" s="10">
        <v>1539</v>
      </c>
      <c r="B1540" s="9" t="s">
        <v>9</v>
      </c>
      <c r="C1540" s="11" t="s">
        <v>10</v>
      </c>
      <c r="D1540" s="12">
        <v>45562</v>
      </c>
      <c r="E1540" s="14" t="str">
        <f>+HYPERLINK("http://trademark.i-assist.jp/data/china/image_1905th/79490095.pdf","79490095")</f>
        <v>79490095</v>
      </c>
      <c r="F1540" s="13" t="s">
        <v>2784</v>
      </c>
      <c r="G1540" s="13" t="s">
        <v>2783</v>
      </c>
      <c r="H1540" s="13" t="s">
        <v>5304</v>
      </c>
      <c r="I1540" s="12">
        <v>45471</v>
      </c>
    </row>
    <row r="1541" spans="1:9" x14ac:dyDescent="0.15">
      <c r="A1541" s="10">
        <v>1540</v>
      </c>
      <c r="B1541" s="9" t="s">
        <v>9</v>
      </c>
      <c r="C1541" s="11" t="s">
        <v>10</v>
      </c>
      <c r="D1541" s="12">
        <v>45562</v>
      </c>
      <c r="E1541" s="14" t="str">
        <f>+HYPERLINK("http://trademark.i-assist.jp/data/china/image_1905th/79494434.pdf","79494434")</f>
        <v>79494434</v>
      </c>
      <c r="F1541" s="13" t="s">
        <v>2786</v>
      </c>
      <c r="G1541" s="13" t="s">
        <v>2785</v>
      </c>
      <c r="H1541" s="13" t="s">
        <v>5305</v>
      </c>
      <c r="I1541" s="12">
        <v>45471</v>
      </c>
    </row>
    <row r="1542" spans="1:9" x14ac:dyDescent="0.15">
      <c r="A1542" s="10">
        <v>1541</v>
      </c>
      <c r="B1542" s="9" t="s">
        <v>9</v>
      </c>
      <c r="C1542" s="11" t="s">
        <v>10</v>
      </c>
      <c r="D1542" s="12">
        <v>45562</v>
      </c>
      <c r="E1542" s="14" t="str">
        <f>+HYPERLINK("http://trademark.i-assist.jp/data/china/image_1905th/79495369.pdf","79495369")</f>
        <v>79495369</v>
      </c>
      <c r="F1542" s="13" t="s">
        <v>73</v>
      </c>
      <c r="G1542" s="13" t="s">
        <v>2787</v>
      </c>
      <c r="H1542" s="13" t="s">
        <v>5306</v>
      </c>
      <c r="I1542" s="12">
        <v>45471</v>
      </c>
    </row>
    <row r="1543" spans="1:9" x14ac:dyDescent="0.15">
      <c r="A1543" s="10">
        <v>1542</v>
      </c>
      <c r="B1543" s="9" t="s">
        <v>9</v>
      </c>
      <c r="C1543" s="11" t="s">
        <v>10</v>
      </c>
      <c r="D1543" s="12">
        <v>45562</v>
      </c>
      <c r="E1543" s="14" t="str">
        <f>+HYPERLINK("http://trademark.i-assist.jp/data/china/image_1905th/79496828.pdf","79496828")</f>
        <v>79496828</v>
      </c>
      <c r="F1543" s="13" t="s">
        <v>2789</v>
      </c>
      <c r="G1543" s="13" t="s">
        <v>2788</v>
      </c>
      <c r="H1543" s="13" t="s">
        <v>5307</v>
      </c>
      <c r="I1543" s="12">
        <v>45471</v>
      </c>
    </row>
    <row r="1544" spans="1:9" x14ac:dyDescent="0.15">
      <c r="A1544" s="10">
        <v>1543</v>
      </c>
      <c r="B1544" s="9" t="s">
        <v>9</v>
      </c>
      <c r="C1544" s="11" t="s">
        <v>10</v>
      </c>
      <c r="D1544" s="12">
        <v>45562</v>
      </c>
      <c r="E1544" s="14" t="str">
        <f>+HYPERLINK("http://trademark.i-assist.jp/data/china/image_1905th/79497429.pdf","79497429")</f>
        <v>79497429</v>
      </c>
      <c r="F1544" s="13" t="s">
        <v>2791</v>
      </c>
      <c r="G1544" s="13" t="s">
        <v>2790</v>
      </c>
      <c r="H1544" s="13" t="s">
        <v>5308</v>
      </c>
      <c r="I1544" s="12">
        <v>45471</v>
      </c>
    </row>
    <row r="1545" spans="1:9" x14ac:dyDescent="0.15">
      <c r="A1545" s="10">
        <v>1544</v>
      </c>
      <c r="B1545" s="9" t="s">
        <v>9</v>
      </c>
      <c r="C1545" s="11" t="s">
        <v>10</v>
      </c>
      <c r="D1545" s="12">
        <v>45562</v>
      </c>
      <c r="E1545" s="14" t="str">
        <f>+HYPERLINK("http://trademark.i-assist.jp/data/china/image_1905th/79501238.pdf","79501238")</f>
        <v>79501238</v>
      </c>
      <c r="F1545" s="13" t="s">
        <v>2793</v>
      </c>
      <c r="G1545" s="13" t="s">
        <v>2792</v>
      </c>
      <c r="H1545" s="13" t="s">
        <v>5309</v>
      </c>
      <c r="I1545" s="12">
        <v>45471</v>
      </c>
    </row>
    <row r="1546" spans="1:9" x14ac:dyDescent="0.15">
      <c r="A1546" s="10">
        <v>1545</v>
      </c>
      <c r="B1546" s="9" t="s">
        <v>9</v>
      </c>
      <c r="C1546" s="11" t="s">
        <v>10</v>
      </c>
      <c r="D1546" s="12">
        <v>45562</v>
      </c>
      <c r="E1546" s="14" t="str">
        <f>+HYPERLINK("http://trademark.i-assist.jp/data/china/image_1905th/79506500.pdf","79506500")</f>
        <v>79506500</v>
      </c>
      <c r="F1546" s="13" t="s">
        <v>2795</v>
      </c>
      <c r="G1546" s="13" t="s">
        <v>2794</v>
      </c>
      <c r="H1546" s="13" t="s">
        <v>5310</v>
      </c>
      <c r="I1546" s="12">
        <v>45471</v>
      </c>
    </row>
    <row r="1547" spans="1:9" x14ac:dyDescent="0.15">
      <c r="A1547" s="10">
        <v>1546</v>
      </c>
      <c r="B1547" s="9" t="s">
        <v>9</v>
      </c>
      <c r="C1547" s="11" t="s">
        <v>10</v>
      </c>
      <c r="D1547" s="12">
        <v>45562</v>
      </c>
      <c r="E1547" s="14" t="str">
        <f>+HYPERLINK("http://trademark.i-assist.jp/data/china/image_1905th/79511597.pdf","79511597")</f>
        <v>79511597</v>
      </c>
      <c r="F1547" s="13" t="s">
        <v>2797</v>
      </c>
      <c r="G1547" s="13" t="s">
        <v>2796</v>
      </c>
      <c r="H1547" s="13" t="s">
        <v>4278</v>
      </c>
      <c r="I1547" s="12">
        <v>45471</v>
      </c>
    </row>
    <row r="1548" spans="1:9" x14ac:dyDescent="0.15">
      <c r="A1548" s="10">
        <v>1547</v>
      </c>
      <c r="B1548" s="9" t="s">
        <v>9</v>
      </c>
      <c r="C1548" s="11" t="s">
        <v>10</v>
      </c>
      <c r="D1548" s="12">
        <v>45562</v>
      </c>
      <c r="E1548" s="14" t="str">
        <f>+HYPERLINK("http://trademark.i-assist.jp/data/china/image_1905th/79514446.pdf","79514446")</f>
        <v>79514446</v>
      </c>
      <c r="F1548" s="13" t="s">
        <v>2798</v>
      </c>
      <c r="G1548" s="13" t="s">
        <v>1571</v>
      </c>
      <c r="H1548" s="13" t="s">
        <v>4963</v>
      </c>
      <c r="I1548" s="12">
        <v>45471</v>
      </c>
    </row>
    <row r="1549" spans="1:9" x14ac:dyDescent="0.15">
      <c r="A1549" s="10">
        <v>1548</v>
      </c>
      <c r="B1549" s="9" t="s">
        <v>9</v>
      </c>
      <c r="C1549" s="11" t="s">
        <v>10</v>
      </c>
      <c r="D1549" s="12">
        <v>45562</v>
      </c>
      <c r="E1549" s="14" t="str">
        <f>+HYPERLINK("http://trademark.i-assist.jp/data/china/image_1905th/79515290.pdf","79515290")</f>
        <v>79515290</v>
      </c>
      <c r="F1549" s="13" t="s">
        <v>2800</v>
      </c>
      <c r="G1549" s="13" t="s">
        <v>2799</v>
      </c>
      <c r="H1549" s="13" t="s">
        <v>5311</v>
      </c>
      <c r="I1549" s="12">
        <v>45472</v>
      </c>
    </row>
    <row r="1550" spans="1:9" x14ac:dyDescent="0.15">
      <c r="A1550" s="10">
        <v>1549</v>
      </c>
      <c r="B1550" s="9" t="s">
        <v>9</v>
      </c>
      <c r="C1550" s="11" t="s">
        <v>10</v>
      </c>
      <c r="D1550" s="12">
        <v>45562</v>
      </c>
      <c r="E1550" s="14" t="str">
        <f>+HYPERLINK("http://trademark.i-assist.jp/data/china/image_1905th/79515322.pdf","79515322")</f>
        <v>79515322</v>
      </c>
      <c r="F1550" s="13" t="s">
        <v>2802</v>
      </c>
      <c r="G1550" s="13" t="s">
        <v>2801</v>
      </c>
      <c r="H1550" s="13" t="s">
        <v>5312</v>
      </c>
      <c r="I1550" s="12">
        <v>45472</v>
      </c>
    </row>
    <row r="1551" spans="1:9" x14ac:dyDescent="0.15">
      <c r="A1551" s="10">
        <v>1550</v>
      </c>
      <c r="B1551" s="9" t="s">
        <v>9</v>
      </c>
      <c r="C1551" s="11" t="s">
        <v>10</v>
      </c>
      <c r="D1551" s="12">
        <v>45562</v>
      </c>
      <c r="E1551" s="14" t="str">
        <f>+HYPERLINK("http://trademark.i-assist.jp/data/china/image_1905th/79570573.pdf","79570573")</f>
        <v>79570573</v>
      </c>
      <c r="F1551" s="13" t="s">
        <v>2804</v>
      </c>
      <c r="G1551" s="13" t="s">
        <v>2803</v>
      </c>
      <c r="H1551" s="13" t="s">
        <v>5313</v>
      </c>
      <c r="I1551" s="12">
        <v>45475</v>
      </c>
    </row>
    <row r="1552" spans="1:9" x14ac:dyDescent="0.15">
      <c r="A1552" s="10">
        <v>1551</v>
      </c>
      <c r="B1552" s="9" t="s">
        <v>9</v>
      </c>
      <c r="C1552" s="11" t="s">
        <v>10</v>
      </c>
      <c r="D1552" s="12">
        <v>45562</v>
      </c>
      <c r="E1552" s="14" t="str">
        <f>+HYPERLINK("http://trademark.i-assist.jp/data/china/image_1905th/79573046.pdf","79573046")</f>
        <v>79573046</v>
      </c>
      <c r="F1552" s="13" t="s">
        <v>2805</v>
      </c>
      <c r="G1552" s="13" t="s">
        <v>1218</v>
      </c>
      <c r="H1552" s="13" t="s">
        <v>4668</v>
      </c>
      <c r="I1552" s="12">
        <v>45475</v>
      </c>
    </row>
    <row r="1553" spans="1:9" x14ac:dyDescent="0.15">
      <c r="A1553" s="10">
        <v>1552</v>
      </c>
      <c r="B1553" s="9" t="s">
        <v>9</v>
      </c>
      <c r="C1553" s="11" t="s">
        <v>10</v>
      </c>
      <c r="D1553" s="12">
        <v>45562</v>
      </c>
      <c r="E1553" s="14" t="str">
        <f>+HYPERLINK("http://trademark.i-assist.jp/data/china/image_1905th/79583784.pdf","79583784")</f>
        <v>79583784</v>
      </c>
      <c r="F1553" s="13" t="s">
        <v>2807</v>
      </c>
      <c r="G1553" s="13" t="s">
        <v>2806</v>
      </c>
      <c r="H1553" s="13" t="s">
        <v>5314</v>
      </c>
      <c r="I1553" s="12">
        <v>45476</v>
      </c>
    </row>
    <row r="1554" spans="1:9" x14ac:dyDescent="0.15">
      <c r="A1554" s="10">
        <v>1553</v>
      </c>
      <c r="B1554" s="9" t="s">
        <v>9</v>
      </c>
      <c r="C1554" s="11" t="s">
        <v>10</v>
      </c>
      <c r="D1554" s="12">
        <v>45562</v>
      </c>
      <c r="E1554" s="14" t="str">
        <f>+HYPERLINK("http://trademark.i-assist.jp/data/china/image_1905th/79605163.pdf","79605163")</f>
        <v>79605163</v>
      </c>
      <c r="F1554" s="13" t="s">
        <v>2809</v>
      </c>
      <c r="G1554" s="13" t="s">
        <v>2808</v>
      </c>
      <c r="H1554" s="13" t="s">
        <v>4449</v>
      </c>
      <c r="I1554" s="12">
        <v>45477</v>
      </c>
    </row>
    <row r="1555" spans="1:9" x14ac:dyDescent="0.15">
      <c r="A1555" s="10">
        <v>1554</v>
      </c>
      <c r="B1555" s="9" t="s">
        <v>9</v>
      </c>
      <c r="C1555" s="11" t="s">
        <v>10</v>
      </c>
      <c r="D1555" s="12">
        <v>45562</v>
      </c>
      <c r="E1555" s="14" t="str">
        <f>+HYPERLINK("http://trademark.i-assist.jp/data/china/image_1905th/68130832.pdf","68130832")</f>
        <v>68130832</v>
      </c>
      <c r="F1555" s="13" t="s">
        <v>2811</v>
      </c>
      <c r="G1555" s="13" t="s">
        <v>2810</v>
      </c>
      <c r="H1555" s="13" t="s">
        <v>5315</v>
      </c>
      <c r="I1555" s="12">
        <v>44868</v>
      </c>
    </row>
    <row r="1556" spans="1:9" x14ac:dyDescent="0.15">
      <c r="A1556" s="10">
        <v>1555</v>
      </c>
      <c r="B1556" s="9" t="s">
        <v>9</v>
      </c>
      <c r="C1556" s="11" t="s">
        <v>10</v>
      </c>
      <c r="D1556" s="12">
        <v>45562</v>
      </c>
      <c r="E1556" s="14" t="str">
        <f>+HYPERLINK("http://trademark.i-assist.jp/data/china/image_1905th/68705474.pdf","68705474")</f>
        <v>68705474</v>
      </c>
      <c r="F1556" s="13" t="s">
        <v>2813</v>
      </c>
      <c r="G1556" s="13" t="s">
        <v>2812</v>
      </c>
      <c r="H1556" s="13" t="s">
        <v>5296</v>
      </c>
      <c r="I1556" s="12">
        <v>44900</v>
      </c>
    </row>
    <row r="1557" spans="1:9" x14ac:dyDescent="0.15">
      <c r="A1557" s="10">
        <v>1556</v>
      </c>
      <c r="B1557" s="9" t="s">
        <v>9</v>
      </c>
      <c r="C1557" s="11" t="s">
        <v>10</v>
      </c>
      <c r="D1557" s="12">
        <v>45562</v>
      </c>
      <c r="E1557" s="14" t="str">
        <f>+HYPERLINK("http://trademark.i-assist.jp/data/china/image_1905th/72660942.pdf","72660942")</f>
        <v>72660942</v>
      </c>
      <c r="F1557" s="13" t="s">
        <v>2815</v>
      </c>
      <c r="G1557" s="13" t="s">
        <v>2814</v>
      </c>
      <c r="H1557" s="13" t="s">
        <v>5316</v>
      </c>
      <c r="I1557" s="12">
        <v>45113</v>
      </c>
    </row>
    <row r="1558" spans="1:9" x14ac:dyDescent="0.15">
      <c r="A1558" s="10">
        <v>1557</v>
      </c>
      <c r="B1558" s="9" t="s">
        <v>9</v>
      </c>
      <c r="C1558" s="11" t="s">
        <v>10</v>
      </c>
      <c r="D1558" s="12">
        <v>45562</v>
      </c>
      <c r="E1558" s="14" t="str">
        <f>+HYPERLINK("http://trademark.i-assist.jp/data/china/image_1905th/77499182.pdf","77499182")</f>
        <v>77499182</v>
      </c>
      <c r="F1558" s="13" t="s">
        <v>2817</v>
      </c>
      <c r="G1558" s="13" t="s">
        <v>2816</v>
      </c>
      <c r="H1558" s="13" t="s">
        <v>5317</v>
      </c>
      <c r="I1558" s="12">
        <v>45376</v>
      </c>
    </row>
    <row r="1559" spans="1:9" x14ac:dyDescent="0.15">
      <c r="A1559" s="10">
        <v>1558</v>
      </c>
      <c r="B1559" s="9" t="s">
        <v>9</v>
      </c>
      <c r="C1559" s="11" t="s">
        <v>10</v>
      </c>
      <c r="D1559" s="12">
        <v>45562</v>
      </c>
      <c r="E1559" s="14" t="str">
        <f>+HYPERLINK("http://trademark.i-assist.jp/data/china/image_1905th/77522120.pdf","77522120")</f>
        <v>77522120</v>
      </c>
      <c r="F1559" s="13" t="s">
        <v>2819</v>
      </c>
      <c r="G1559" s="13" t="s">
        <v>2818</v>
      </c>
      <c r="H1559" s="13" t="s">
        <v>5318</v>
      </c>
      <c r="I1559" s="12">
        <v>45376</v>
      </c>
    </row>
    <row r="1560" spans="1:9" x14ac:dyDescent="0.15">
      <c r="A1560" s="10">
        <v>1559</v>
      </c>
      <c r="B1560" s="9" t="s">
        <v>9</v>
      </c>
      <c r="C1560" s="11" t="s">
        <v>10</v>
      </c>
      <c r="D1560" s="12">
        <v>45562</v>
      </c>
      <c r="E1560" s="14" t="str">
        <f>+HYPERLINK("http://trademark.i-assist.jp/data/china/image_1905th/78611733.pdf","78611733")</f>
        <v>78611733</v>
      </c>
      <c r="F1560" s="13" t="s">
        <v>2820</v>
      </c>
      <c r="G1560" s="13" t="s">
        <v>2381</v>
      </c>
      <c r="H1560" s="13" t="s">
        <v>5319</v>
      </c>
      <c r="I1560" s="12">
        <v>45427</v>
      </c>
    </row>
    <row r="1561" spans="1:9" x14ac:dyDescent="0.15">
      <c r="A1561" s="10">
        <v>1560</v>
      </c>
      <c r="B1561" s="9" t="s">
        <v>9</v>
      </c>
      <c r="C1561" s="11" t="s">
        <v>10</v>
      </c>
      <c r="D1561" s="12">
        <v>45562</v>
      </c>
      <c r="E1561" s="14" t="str">
        <f>+HYPERLINK("http://trademark.i-assist.jp/data/china/image_1905th/78623284.pdf","78623284")</f>
        <v>78623284</v>
      </c>
      <c r="F1561" s="13" t="s">
        <v>2822</v>
      </c>
      <c r="G1561" s="13" t="s">
        <v>2821</v>
      </c>
      <c r="H1561" s="13" t="s">
        <v>4937</v>
      </c>
      <c r="I1561" s="12">
        <v>45428</v>
      </c>
    </row>
    <row r="1562" spans="1:9" x14ac:dyDescent="0.15">
      <c r="A1562" s="10">
        <v>1561</v>
      </c>
      <c r="B1562" s="9" t="s">
        <v>9</v>
      </c>
      <c r="C1562" s="11" t="s">
        <v>10</v>
      </c>
      <c r="D1562" s="12">
        <v>45562</v>
      </c>
      <c r="E1562" s="14" t="str">
        <f>+HYPERLINK("http://trademark.i-assist.jp/data/china/image_1905th/78674581.pdf","78674581")</f>
        <v>78674581</v>
      </c>
      <c r="F1562" s="13" t="s">
        <v>73</v>
      </c>
      <c r="G1562" s="13" t="s">
        <v>2823</v>
      </c>
      <c r="H1562" s="13" t="s">
        <v>5320</v>
      </c>
      <c r="I1562" s="12">
        <v>45429</v>
      </c>
    </row>
    <row r="1563" spans="1:9" x14ac:dyDescent="0.15">
      <c r="A1563" s="10">
        <v>1562</v>
      </c>
      <c r="B1563" s="9" t="s">
        <v>9</v>
      </c>
      <c r="C1563" s="11" t="s">
        <v>10</v>
      </c>
      <c r="D1563" s="12">
        <v>45562</v>
      </c>
      <c r="E1563" s="14" t="str">
        <f>+HYPERLINK("http://trademark.i-assist.jp/data/china/image_1905th/79405273.pdf","79405273")</f>
        <v>79405273</v>
      </c>
      <c r="F1563" s="13" t="s">
        <v>2825</v>
      </c>
      <c r="G1563" s="13" t="s">
        <v>2824</v>
      </c>
      <c r="H1563" s="13" t="s">
        <v>5321</v>
      </c>
      <c r="I1563" s="12">
        <v>45467</v>
      </c>
    </row>
    <row r="1564" spans="1:9" x14ac:dyDescent="0.15">
      <c r="A1564" s="10">
        <v>1563</v>
      </c>
      <c r="B1564" s="9" t="s">
        <v>9</v>
      </c>
      <c r="C1564" s="11" t="s">
        <v>10</v>
      </c>
      <c r="D1564" s="12">
        <v>45562</v>
      </c>
      <c r="E1564" s="14" t="str">
        <f>+HYPERLINK("http://trademark.i-assist.jp/data/china/image_1905th/79406118.pdf","79406118")</f>
        <v>79406118</v>
      </c>
      <c r="F1564" s="13" t="s">
        <v>2826</v>
      </c>
      <c r="G1564" s="13" t="s">
        <v>2271</v>
      </c>
      <c r="H1564" s="13" t="s">
        <v>5102</v>
      </c>
      <c r="I1564" s="12">
        <v>45467</v>
      </c>
    </row>
    <row r="1565" spans="1:9" x14ac:dyDescent="0.15">
      <c r="A1565" s="10">
        <v>1564</v>
      </c>
      <c r="B1565" s="9" t="s">
        <v>9</v>
      </c>
      <c r="C1565" s="11" t="s">
        <v>10</v>
      </c>
      <c r="D1565" s="12">
        <v>45562</v>
      </c>
      <c r="E1565" s="14" t="str">
        <f>+HYPERLINK("http://trademark.i-assist.jp/data/china/image_1905th/79413868.pdf","79413868")</f>
        <v>79413868</v>
      </c>
      <c r="F1565" s="13" t="s">
        <v>2828</v>
      </c>
      <c r="G1565" s="13" t="s">
        <v>2827</v>
      </c>
      <c r="H1565" s="13" t="s">
        <v>5322</v>
      </c>
      <c r="I1565" s="12">
        <v>45468</v>
      </c>
    </row>
    <row r="1566" spans="1:9" x14ac:dyDescent="0.15">
      <c r="A1566" s="10">
        <v>1565</v>
      </c>
      <c r="B1566" s="9" t="s">
        <v>9</v>
      </c>
      <c r="C1566" s="11" t="s">
        <v>10</v>
      </c>
      <c r="D1566" s="12">
        <v>45562</v>
      </c>
      <c r="E1566" s="14" t="str">
        <f>+HYPERLINK("http://trademark.i-assist.jp/data/china/image_1905th/79418673.pdf","79418673")</f>
        <v>79418673</v>
      </c>
      <c r="F1566" s="13" t="s">
        <v>2829</v>
      </c>
      <c r="G1566" s="13" t="s">
        <v>2060</v>
      </c>
      <c r="H1566" s="13" t="s">
        <v>5017</v>
      </c>
      <c r="I1566" s="12">
        <v>45468</v>
      </c>
    </row>
    <row r="1567" spans="1:9" x14ac:dyDescent="0.15">
      <c r="A1567" s="10">
        <v>1566</v>
      </c>
      <c r="B1567" s="9" t="s">
        <v>9</v>
      </c>
      <c r="C1567" s="11" t="s">
        <v>10</v>
      </c>
      <c r="D1567" s="12">
        <v>45562</v>
      </c>
      <c r="E1567" s="14" t="str">
        <f>+HYPERLINK("http://trademark.i-assist.jp/data/china/image_1905th/79437181.pdf","79437181")</f>
        <v>79437181</v>
      </c>
      <c r="F1567" s="13" t="s">
        <v>2830</v>
      </c>
      <c r="G1567" s="13" t="s">
        <v>213</v>
      </c>
      <c r="H1567" s="13" t="s">
        <v>4244</v>
      </c>
      <c r="I1567" s="12">
        <v>45468</v>
      </c>
    </row>
    <row r="1568" spans="1:9" x14ac:dyDescent="0.15">
      <c r="A1568" s="10">
        <v>1567</v>
      </c>
      <c r="B1568" s="9" t="s">
        <v>9</v>
      </c>
      <c r="C1568" s="11" t="s">
        <v>10</v>
      </c>
      <c r="D1568" s="12">
        <v>45562</v>
      </c>
      <c r="E1568" s="14" t="str">
        <f>+HYPERLINK("http://trademark.i-assist.jp/data/china/image_1905th/79437489.pdf","79437489")</f>
        <v>79437489</v>
      </c>
      <c r="F1568" s="13" t="s">
        <v>2832</v>
      </c>
      <c r="G1568" s="13" t="s">
        <v>2831</v>
      </c>
      <c r="H1568" s="13" t="s">
        <v>5323</v>
      </c>
      <c r="I1568" s="12">
        <v>45468</v>
      </c>
    </row>
    <row r="1569" spans="1:9" x14ac:dyDescent="0.15">
      <c r="A1569" s="10">
        <v>1568</v>
      </c>
      <c r="B1569" s="9" t="s">
        <v>9</v>
      </c>
      <c r="C1569" s="11" t="s">
        <v>10</v>
      </c>
      <c r="D1569" s="12">
        <v>45562</v>
      </c>
      <c r="E1569" s="14" t="str">
        <f>+HYPERLINK("http://trademark.i-assist.jp/data/china/image_1905th/77955934.pdf","77955934")</f>
        <v>77955934</v>
      </c>
      <c r="F1569" s="13" t="s">
        <v>2834</v>
      </c>
      <c r="G1569" s="13" t="s">
        <v>2833</v>
      </c>
      <c r="H1569" s="13" t="s">
        <v>5324</v>
      </c>
      <c r="I1569" s="12">
        <v>45395</v>
      </c>
    </row>
    <row r="1570" spans="1:9" x14ac:dyDescent="0.15">
      <c r="A1570" s="10">
        <v>1569</v>
      </c>
      <c r="B1570" s="9" t="s">
        <v>9</v>
      </c>
      <c r="C1570" s="11" t="s">
        <v>10</v>
      </c>
      <c r="D1570" s="12">
        <v>45562</v>
      </c>
      <c r="E1570" s="14" t="str">
        <f>+HYPERLINK("http://trademark.i-assist.jp/data/china/image_1905th/78036285.pdf","78036285")</f>
        <v>78036285</v>
      </c>
      <c r="F1570" s="13" t="s">
        <v>2836</v>
      </c>
      <c r="G1570" s="13" t="s">
        <v>2835</v>
      </c>
      <c r="H1570" s="13" t="s">
        <v>5325</v>
      </c>
      <c r="I1570" s="12">
        <v>45399</v>
      </c>
    </row>
    <row r="1571" spans="1:9" x14ac:dyDescent="0.15">
      <c r="A1571" s="10">
        <v>1570</v>
      </c>
      <c r="B1571" s="9" t="s">
        <v>9</v>
      </c>
      <c r="C1571" s="11" t="s">
        <v>10</v>
      </c>
      <c r="D1571" s="12">
        <v>45562</v>
      </c>
      <c r="E1571" s="14" t="str">
        <f>+HYPERLINK("http://trademark.i-assist.jp/data/china/image_1905th/79531406.pdf","79531406")</f>
        <v>79531406</v>
      </c>
      <c r="F1571" s="13" t="s">
        <v>2838</v>
      </c>
      <c r="G1571" s="13" t="s">
        <v>2837</v>
      </c>
      <c r="H1571" s="13" t="s">
        <v>4328</v>
      </c>
      <c r="I1571" s="12">
        <v>45474</v>
      </c>
    </row>
    <row r="1572" spans="1:9" x14ac:dyDescent="0.15">
      <c r="A1572" s="10">
        <v>1571</v>
      </c>
      <c r="B1572" s="9" t="s">
        <v>9</v>
      </c>
      <c r="C1572" s="11" t="s">
        <v>10</v>
      </c>
      <c r="D1572" s="12">
        <v>45562</v>
      </c>
      <c r="E1572" s="14" t="str">
        <f>+HYPERLINK("http://trademark.i-assist.jp/data/china/image_1905th/79533312.pdf","79533312")</f>
        <v>79533312</v>
      </c>
      <c r="F1572" s="13" t="s">
        <v>2840</v>
      </c>
      <c r="G1572" s="13" t="s">
        <v>2839</v>
      </c>
      <c r="H1572" s="13" t="s">
        <v>5326</v>
      </c>
      <c r="I1572" s="12">
        <v>45474</v>
      </c>
    </row>
    <row r="1573" spans="1:9" x14ac:dyDescent="0.15">
      <c r="A1573" s="10">
        <v>1572</v>
      </c>
      <c r="B1573" s="9" t="s">
        <v>9</v>
      </c>
      <c r="C1573" s="11" t="s">
        <v>10</v>
      </c>
      <c r="D1573" s="12">
        <v>45562</v>
      </c>
      <c r="E1573" s="14" t="str">
        <f>+HYPERLINK("http://trademark.i-assist.jp/data/china/image_1905th/79535226.pdf","79535226")</f>
        <v>79535226</v>
      </c>
      <c r="F1573" s="13" t="s">
        <v>2841</v>
      </c>
      <c r="G1573" s="13" t="s">
        <v>801</v>
      </c>
      <c r="H1573" s="13" t="s">
        <v>4328</v>
      </c>
      <c r="I1573" s="12">
        <v>45474</v>
      </c>
    </row>
    <row r="1574" spans="1:9" x14ac:dyDescent="0.15">
      <c r="A1574" s="10">
        <v>1573</v>
      </c>
      <c r="B1574" s="9" t="s">
        <v>9</v>
      </c>
      <c r="C1574" s="11" t="s">
        <v>10</v>
      </c>
      <c r="D1574" s="12">
        <v>45562</v>
      </c>
      <c r="E1574" s="14" t="str">
        <f>+HYPERLINK("http://trademark.i-assist.jp/data/china/image_1905th/79550122.pdf","79550122")</f>
        <v>79550122</v>
      </c>
      <c r="F1574" s="13" t="s">
        <v>2842</v>
      </c>
      <c r="G1574" s="13" t="s">
        <v>436</v>
      </c>
      <c r="H1574" s="13" t="s">
        <v>4344</v>
      </c>
      <c r="I1574" s="12">
        <v>45474</v>
      </c>
    </row>
    <row r="1575" spans="1:9" x14ac:dyDescent="0.15">
      <c r="A1575" s="10">
        <v>1574</v>
      </c>
      <c r="B1575" s="9" t="s">
        <v>9</v>
      </c>
      <c r="C1575" s="11" t="s">
        <v>10</v>
      </c>
      <c r="D1575" s="12">
        <v>45562</v>
      </c>
      <c r="E1575" s="14" t="str">
        <f>+HYPERLINK("http://trademark.i-assist.jp/data/china/image_1905th/79558545.pdf","79558545")</f>
        <v>79558545</v>
      </c>
      <c r="F1575" s="13" t="s">
        <v>2844</v>
      </c>
      <c r="G1575" s="13" t="s">
        <v>2843</v>
      </c>
      <c r="H1575" s="13" t="s">
        <v>5327</v>
      </c>
      <c r="I1575" s="12">
        <v>45475</v>
      </c>
    </row>
    <row r="1576" spans="1:9" x14ac:dyDescent="0.15">
      <c r="A1576" s="10">
        <v>1575</v>
      </c>
      <c r="B1576" s="9" t="s">
        <v>9</v>
      </c>
      <c r="C1576" s="11" t="s">
        <v>10</v>
      </c>
      <c r="D1576" s="12">
        <v>45562</v>
      </c>
      <c r="E1576" s="14" t="str">
        <f>+HYPERLINK("http://trademark.i-assist.jp/data/china/image_1905th/79563055.pdf","79563055")</f>
        <v>79563055</v>
      </c>
      <c r="F1576" s="13" t="s">
        <v>2846</v>
      </c>
      <c r="G1576" s="13" t="s">
        <v>2845</v>
      </c>
      <c r="H1576" s="13" t="s">
        <v>5328</v>
      </c>
      <c r="I1576" s="12">
        <v>45475</v>
      </c>
    </row>
    <row r="1577" spans="1:9" x14ac:dyDescent="0.15">
      <c r="A1577" s="10">
        <v>1576</v>
      </c>
      <c r="B1577" s="9" t="s">
        <v>9</v>
      </c>
      <c r="C1577" s="11" t="s">
        <v>10</v>
      </c>
      <c r="D1577" s="12">
        <v>45562</v>
      </c>
      <c r="E1577" s="14" t="str">
        <f>+HYPERLINK("http://trademark.i-assist.jp/data/china/image_1905th/79471691.pdf","79471691")</f>
        <v>79471691</v>
      </c>
      <c r="F1577" s="13" t="s">
        <v>2848</v>
      </c>
      <c r="G1577" s="13" t="s">
        <v>2847</v>
      </c>
      <c r="H1577" s="13" t="s">
        <v>4212</v>
      </c>
      <c r="I1577" s="12">
        <v>45470</v>
      </c>
    </row>
    <row r="1578" spans="1:9" x14ac:dyDescent="0.15">
      <c r="A1578" s="10">
        <v>1577</v>
      </c>
      <c r="B1578" s="9" t="s">
        <v>9</v>
      </c>
      <c r="C1578" s="11" t="s">
        <v>10</v>
      </c>
      <c r="D1578" s="12">
        <v>45562</v>
      </c>
      <c r="E1578" s="14" t="str">
        <f>+HYPERLINK("http://trademark.i-assist.jp/data/china/image_1905th/79482308.pdf","79482308")</f>
        <v>79482308</v>
      </c>
      <c r="F1578" s="13" t="s">
        <v>2850</v>
      </c>
      <c r="G1578" s="13" t="s">
        <v>2849</v>
      </c>
      <c r="H1578" s="13" t="s">
        <v>5329</v>
      </c>
      <c r="I1578" s="12">
        <v>45470</v>
      </c>
    </row>
    <row r="1579" spans="1:9" x14ac:dyDescent="0.15">
      <c r="A1579" s="10">
        <v>1578</v>
      </c>
      <c r="B1579" s="9" t="s">
        <v>9</v>
      </c>
      <c r="C1579" s="11" t="s">
        <v>10</v>
      </c>
      <c r="D1579" s="12">
        <v>45562</v>
      </c>
      <c r="E1579" s="14" t="str">
        <f>+HYPERLINK("http://trademark.i-assist.jp/data/china/image_1905th/79493960.pdf","79493960")</f>
        <v>79493960</v>
      </c>
      <c r="F1579" s="13" t="s">
        <v>2852</v>
      </c>
      <c r="G1579" s="13" t="s">
        <v>2851</v>
      </c>
      <c r="H1579" s="13" t="s">
        <v>5330</v>
      </c>
      <c r="I1579" s="12">
        <v>45471</v>
      </c>
    </row>
    <row r="1580" spans="1:9" x14ac:dyDescent="0.15">
      <c r="A1580" s="10">
        <v>1579</v>
      </c>
      <c r="B1580" s="9" t="s">
        <v>9</v>
      </c>
      <c r="C1580" s="11" t="s">
        <v>10</v>
      </c>
      <c r="D1580" s="12">
        <v>45562</v>
      </c>
      <c r="E1580" s="14" t="str">
        <f>+HYPERLINK("http://trademark.i-assist.jp/data/china/image_1905th/79495759.pdf","79495759")</f>
        <v>79495759</v>
      </c>
      <c r="F1580" s="13" t="s">
        <v>2853</v>
      </c>
      <c r="G1580" s="13" t="s">
        <v>94</v>
      </c>
      <c r="H1580" s="13" t="s">
        <v>4188</v>
      </c>
      <c r="I1580" s="12">
        <v>45471</v>
      </c>
    </row>
    <row r="1581" spans="1:9" x14ac:dyDescent="0.15">
      <c r="A1581" s="10">
        <v>1580</v>
      </c>
      <c r="B1581" s="9" t="s">
        <v>9</v>
      </c>
      <c r="C1581" s="11" t="s">
        <v>10</v>
      </c>
      <c r="D1581" s="12">
        <v>45562</v>
      </c>
      <c r="E1581" s="14" t="str">
        <f>+HYPERLINK("http://trademark.i-assist.jp/data/china/image_1905th/79501591.pdf","79501591")</f>
        <v>79501591</v>
      </c>
      <c r="F1581" s="13" t="s">
        <v>2854</v>
      </c>
      <c r="G1581" s="13" t="s">
        <v>1571</v>
      </c>
      <c r="H1581" s="13" t="s">
        <v>4963</v>
      </c>
      <c r="I1581" s="12">
        <v>45471</v>
      </c>
    </row>
    <row r="1582" spans="1:9" x14ac:dyDescent="0.15">
      <c r="A1582" s="10">
        <v>1581</v>
      </c>
      <c r="B1582" s="9" t="s">
        <v>9</v>
      </c>
      <c r="C1582" s="11" t="s">
        <v>10</v>
      </c>
      <c r="D1582" s="12">
        <v>45562</v>
      </c>
      <c r="E1582" s="14" t="str">
        <f>+HYPERLINK("http://trademark.i-assist.jp/data/china/image_1905th/79507600.pdf","79507600")</f>
        <v>79507600</v>
      </c>
      <c r="F1582" s="13" t="s">
        <v>2855</v>
      </c>
      <c r="G1582" s="13" t="s">
        <v>2036</v>
      </c>
      <c r="H1582" s="13" t="s">
        <v>4162</v>
      </c>
      <c r="I1582" s="12">
        <v>45471</v>
      </c>
    </row>
    <row r="1583" spans="1:9" x14ac:dyDescent="0.15">
      <c r="A1583" s="10">
        <v>1582</v>
      </c>
      <c r="B1583" s="9" t="s">
        <v>9</v>
      </c>
      <c r="C1583" s="11" t="s">
        <v>10</v>
      </c>
      <c r="D1583" s="12">
        <v>45562</v>
      </c>
      <c r="E1583" s="14" t="str">
        <f>+HYPERLINK("http://trademark.i-assist.jp/data/china/image_1905th/79194257.pdf","79194257")</f>
        <v>79194257</v>
      </c>
      <c r="F1583" s="13" t="s">
        <v>2857</v>
      </c>
      <c r="G1583" s="13" t="s">
        <v>2856</v>
      </c>
      <c r="H1583" s="13" t="s">
        <v>5331</v>
      </c>
      <c r="I1583" s="12">
        <v>45456</v>
      </c>
    </row>
    <row r="1584" spans="1:9" x14ac:dyDescent="0.15">
      <c r="A1584" s="10">
        <v>1583</v>
      </c>
      <c r="B1584" s="9" t="s">
        <v>9</v>
      </c>
      <c r="C1584" s="11" t="s">
        <v>10</v>
      </c>
      <c r="D1584" s="12">
        <v>45562</v>
      </c>
      <c r="E1584" s="14" t="str">
        <f>+HYPERLINK("http://trademark.i-assist.jp/data/china/image_1905th/79230329.pdf","79230329")</f>
        <v>79230329</v>
      </c>
      <c r="F1584" s="13" t="s">
        <v>2859</v>
      </c>
      <c r="G1584" s="13" t="s">
        <v>2858</v>
      </c>
      <c r="H1584" s="13" t="s">
        <v>5332</v>
      </c>
      <c r="I1584" s="12">
        <v>45457</v>
      </c>
    </row>
    <row r="1585" spans="1:9" x14ac:dyDescent="0.15">
      <c r="A1585" s="10">
        <v>1584</v>
      </c>
      <c r="B1585" s="9" t="s">
        <v>9</v>
      </c>
      <c r="C1585" s="11" t="s">
        <v>10</v>
      </c>
      <c r="D1585" s="12">
        <v>45562</v>
      </c>
      <c r="E1585" s="14" t="str">
        <f>+HYPERLINK("http://trademark.i-assist.jp/data/china/image_1905th/79267642.pdf","79267642")</f>
        <v>79267642</v>
      </c>
      <c r="F1585" s="13" t="s">
        <v>2861</v>
      </c>
      <c r="G1585" s="13" t="s">
        <v>2860</v>
      </c>
      <c r="H1585" s="13" t="s">
        <v>5333</v>
      </c>
      <c r="I1585" s="12">
        <v>45460</v>
      </c>
    </row>
    <row r="1586" spans="1:9" x14ac:dyDescent="0.15">
      <c r="A1586" s="10">
        <v>1585</v>
      </c>
      <c r="B1586" s="9" t="s">
        <v>9</v>
      </c>
      <c r="C1586" s="11" t="s">
        <v>10</v>
      </c>
      <c r="D1586" s="12">
        <v>45562</v>
      </c>
      <c r="E1586" s="14" t="str">
        <f>+HYPERLINK("http://trademark.i-assist.jp/data/china/image_1905th/79288156.pdf","79288156")</f>
        <v>79288156</v>
      </c>
      <c r="F1586" s="13" t="s">
        <v>2863</v>
      </c>
      <c r="G1586" s="13" t="s">
        <v>2862</v>
      </c>
      <c r="H1586" s="13" t="s">
        <v>5334</v>
      </c>
      <c r="I1586" s="12">
        <v>45461</v>
      </c>
    </row>
    <row r="1587" spans="1:9" x14ac:dyDescent="0.15">
      <c r="A1587" s="10">
        <v>1586</v>
      </c>
      <c r="B1587" s="9" t="s">
        <v>9</v>
      </c>
      <c r="C1587" s="11" t="s">
        <v>10</v>
      </c>
      <c r="D1587" s="12">
        <v>45562</v>
      </c>
      <c r="E1587" s="14" t="str">
        <f>+HYPERLINK("http://trademark.i-assist.jp/data/china/image_1905th/79295351.pdf","79295351")</f>
        <v>79295351</v>
      </c>
      <c r="F1587" s="13" t="s">
        <v>2865</v>
      </c>
      <c r="G1587" s="13" t="s">
        <v>2864</v>
      </c>
      <c r="H1587" s="13" t="s">
        <v>5335</v>
      </c>
      <c r="I1587" s="12">
        <v>45461</v>
      </c>
    </row>
    <row r="1588" spans="1:9" x14ac:dyDescent="0.15">
      <c r="A1588" s="10">
        <v>1587</v>
      </c>
      <c r="B1588" s="9" t="s">
        <v>9</v>
      </c>
      <c r="C1588" s="11" t="s">
        <v>10</v>
      </c>
      <c r="D1588" s="12">
        <v>45562</v>
      </c>
      <c r="E1588" s="14" t="str">
        <f>+HYPERLINK("http://trademark.i-assist.jp/data/china/image_1905th/78913110.pdf","78913110")</f>
        <v>78913110</v>
      </c>
      <c r="F1588" s="13" t="s">
        <v>2867</v>
      </c>
      <c r="G1588" s="13" t="s">
        <v>2866</v>
      </c>
      <c r="H1588" s="13" t="s">
        <v>5336</v>
      </c>
      <c r="I1588" s="12">
        <v>45441</v>
      </c>
    </row>
    <row r="1589" spans="1:9" x14ac:dyDescent="0.15">
      <c r="A1589" s="10">
        <v>1588</v>
      </c>
      <c r="B1589" s="9" t="s">
        <v>9</v>
      </c>
      <c r="C1589" s="11" t="s">
        <v>10</v>
      </c>
      <c r="D1589" s="12">
        <v>45562</v>
      </c>
      <c r="E1589" s="14" t="str">
        <f>+HYPERLINK("http://trademark.i-assist.jp/data/china/image_1905th/79006949.pdf","79006949")</f>
        <v>79006949</v>
      </c>
      <c r="F1589" s="13" t="s">
        <v>2869</v>
      </c>
      <c r="G1589" s="13" t="s">
        <v>2868</v>
      </c>
      <c r="H1589" s="13" t="s">
        <v>5337</v>
      </c>
      <c r="I1589" s="12">
        <v>45446</v>
      </c>
    </row>
    <row r="1590" spans="1:9" x14ac:dyDescent="0.15">
      <c r="A1590" s="10">
        <v>1589</v>
      </c>
      <c r="B1590" s="9" t="s">
        <v>9</v>
      </c>
      <c r="C1590" s="11" t="s">
        <v>10</v>
      </c>
      <c r="D1590" s="12">
        <v>45562</v>
      </c>
      <c r="E1590" s="14" t="str">
        <f>+HYPERLINK("http://trademark.i-assist.jp/data/china/image_1905th/79067571.pdf","79067571")</f>
        <v>79067571</v>
      </c>
      <c r="F1590" s="13" t="s">
        <v>2871</v>
      </c>
      <c r="G1590" s="13" t="s">
        <v>2870</v>
      </c>
      <c r="H1590" s="13" t="s">
        <v>5338</v>
      </c>
      <c r="I1590" s="12">
        <v>45449</v>
      </c>
    </row>
    <row r="1591" spans="1:9" x14ac:dyDescent="0.15">
      <c r="A1591" s="10">
        <v>1590</v>
      </c>
      <c r="B1591" s="9" t="s">
        <v>9</v>
      </c>
      <c r="C1591" s="11" t="s">
        <v>10</v>
      </c>
      <c r="D1591" s="12">
        <v>45562</v>
      </c>
      <c r="E1591" s="14" t="str">
        <f>+HYPERLINK("http://trademark.i-assist.jp/data/china/image_1905th/79117222.pdf","79117222")</f>
        <v>79117222</v>
      </c>
      <c r="F1591" s="13" t="s">
        <v>2873</v>
      </c>
      <c r="G1591" s="13" t="s">
        <v>2872</v>
      </c>
      <c r="H1591" s="13" t="s">
        <v>5339</v>
      </c>
      <c r="I1591" s="12">
        <v>45450</v>
      </c>
    </row>
    <row r="1592" spans="1:9" x14ac:dyDescent="0.15">
      <c r="A1592" s="10">
        <v>1591</v>
      </c>
      <c r="B1592" s="9" t="s">
        <v>9</v>
      </c>
      <c r="C1592" s="11" t="s">
        <v>10</v>
      </c>
      <c r="D1592" s="12">
        <v>45562</v>
      </c>
      <c r="E1592" s="14" t="str">
        <f>+HYPERLINK("http://trademark.i-assist.jp/data/china/image_1905th/79136003.pdf","79136003")</f>
        <v>79136003</v>
      </c>
      <c r="F1592" s="13" t="s">
        <v>2875</v>
      </c>
      <c r="G1592" s="13" t="s">
        <v>2874</v>
      </c>
      <c r="H1592" s="13" t="s">
        <v>5340</v>
      </c>
      <c r="I1592" s="12">
        <v>45454</v>
      </c>
    </row>
    <row r="1593" spans="1:9" x14ac:dyDescent="0.15">
      <c r="A1593" s="10">
        <v>1592</v>
      </c>
      <c r="B1593" s="9" t="s">
        <v>9</v>
      </c>
      <c r="C1593" s="11" t="s">
        <v>10</v>
      </c>
      <c r="D1593" s="12">
        <v>45562</v>
      </c>
      <c r="E1593" s="14" t="str">
        <f>+HYPERLINK("http://trademark.i-assist.jp/data/china/image_1905th/79166057.pdf","79166057")</f>
        <v>79166057</v>
      </c>
      <c r="F1593" s="13" t="s">
        <v>2877</v>
      </c>
      <c r="G1593" s="13" t="s">
        <v>2876</v>
      </c>
      <c r="H1593" s="13" t="s">
        <v>4227</v>
      </c>
      <c r="I1593" s="12">
        <v>45455</v>
      </c>
    </row>
    <row r="1594" spans="1:9" x14ac:dyDescent="0.15">
      <c r="A1594" s="10">
        <v>1593</v>
      </c>
      <c r="B1594" s="9" t="s">
        <v>9</v>
      </c>
      <c r="C1594" s="11" t="s">
        <v>10</v>
      </c>
      <c r="D1594" s="12">
        <v>45562</v>
      </c>
      <c r="E1594" s="14" t="str">
        <f>+HYPERLINK("http://trademark.i-assist.jp/data/china/image_1905th/79351943.pdf","79351943")</f>
        <v>79351943</v>
      </c>
      <c r="F1594" s="13" t="s">
        <v>2879</v>
      </c>
      <c r="G1594" s="13" t="s">
        <v>2878</v>
      </c>
      <c r="H1594" s="13" t="s">
        <v>5341</v>
      </c>
      <c r="I1594" s="12">
        <v>45464</v>
      </c>
    </row>
    <row r="1595" spans="1:9" x14ac:dyDescent="0.15">
      <c r="A1595" s="10">
        <v>1594</v>
      </c>
      <c r="B1595" s="9" t="s">
        <v>9</v>
      </c>
      <c r="C1595" s="11" t="s">
        <v>10</v>
      </c>
      <c r="D1595" s="12">
        <v>45562</v>
      </c>
      <c r="E1595" s="14" t="str">
        <f>+HYPERLINK("http://trademark.i-assist.jp/data/china/image_1905th/79371238.pdf","79371238")</f>
        <v>79371238</v>
      </c>
      <c r="F1595" s="13" t="s">
        <v>2881</v>
      </c>
      <c r="G1595" s="13" t="s">
        <v>2880</v>
      </c>
      <c r="H1595" s="13" t="s">
        <v>5342</v>
      </c>
      <c r="I1595" s="12">
        <v>45464</v>
      </c>
    </row>
    <row r="1596" spans="1:9" x14ac:dyDescent="0.15">
      <c r="A1596" s="10">
        <v>1595</v>
      </c>
      <c r="B1596" s="9" t="s">
        <v>9</v>
      </c>
      <c r="C1596" s="11" t="s">
        <v>10</v>
      </c>
      <c r="D1596" s="12">
        <v>45562</v>
      </c>
      <c r="E1596" s="14" t="str">
        <f>+HYPERLINK("http://trademark.i-assist.jp/data/china/image_1905th/79385083.pdf","79385083")</f>
        <v>79385083</v>
      </c>
      <c r="F1596" s="13" t="s">
        <v>2882</v>
      </c>
      <c r="G1596" s="13" t="s">
        <v>1643</v>
      </c>
      <c r="H1596" s="13" t="s">
        <v>4841</v>
      </c>
      <c r="I1596" s="12">
        <v>45467</v>
      </c>
    </row>
    <row r="1597" spans="1:9" x14ac:dyDescent="0.15">
      <c r="A1597" s="10">
        <v>1596</v>
      </c>
      <c r="B1597" s="9" t="s">
        <v>9</v>
      </c>
      <c r="C1597" s="11" t="s">
        <v>10</v>
      </c>
      <c r="D1597" s="12">
        <v>45562</v>
      </c>
      <c r="E1597" s="14" t="str">
        <f>+HYPERLINK("http://trademark.i-assist.jp/data/china/image_1905th/79387941.pdf","79387941")</f>
        <v>79387941</v>
      </c>
      <c r="F1597" s="13" t="s">
        <v>2884</v>
      </c>
      <c r="G1597" s="13" t="s">
        <v>2883</v>
      </c>
      <c r="H1597" s="13" t="s">
        <v>5343</v>
      </c>
      <c r="I1597" s="12">
        <v>45467</v>
      </c>
    </row>
    <row r="1598" spans="1:9" x14ac:dyDescent="0.15">
      <c r="A1598" s="10">
        <v>1597</v>
      </c>
      <c r="B1598" s="9" t="s">
        <v>9</v>
      </c>
      <c r="C1598" s="11" t="s">
        <v>10</v>
      </c>
      <c r="D1598" s="12">
        <v>45562</v>
      </c>
      <c r="E1598" s="14" t="str">
        <f>+HYPERLINK("http://trademark.i-assist.jp/data/china/image_1905th/79739942.pdf","79739942")</f>
        <v>79739942</v>
      </c>
      <c r="F1598" s="13" t="s">
        <v>2885</v>
      </c>
      <c r="G1598" s="13" t="s">
        <v>2498</v>
      </c>
      <c r="H1598" s="13" t="s">
        <v>4379</v>
      </c>
      <c r="I1598" s="12">
        <v>45484</v>
      </c>
    </row>
    <row r="1599" spans="1:9" x14ac:dyDescent="0.15">
      <c r="A1599" s="10">
        <v>1598</v>
      </c>
      <c r="B1599" s="9" t="s">
        <v>9</v>
      </c>
      <c r="C1599" s="11" t="s">
        <v>10</v>
      </c>
      <c r="D1599" s="12">
        <v>45562</v>
      </c>
      <c r="E1599" s="14" t="str">
        <f>+HYPERLINK("http://trademark.i-assist.jp/data/china/image_1905th/79741237.pdf","79741237")</f>
        <v>79741237</v>
      </c>
      <c r="F1599" s="13" t="s">
        <v>2887</v>
      </c>
      <c r="G1599" s="13" t="s">
        <v>2886</v>
      </c>
      <c r="H1599" s="13" t="s">
        <v>4161</v>
      </c>
      <c r="I1599" s="12">
        <v>45484</v>
      </c>
    </row>
    <row r="1600" spans="1:9" x14ac:dyDescent="0.15">
      <c r="A1600" s="10">
        <v>1599</v>
      </c>
      <c r="B1600" s="9" t="s">
        <v>9</v>
      </c>
      <c r="C1600" s="11" t="s">
        <v>10</v>
      </c>
      <c r="D1600" s="12">
        <v>45562</v>
      </c>
      <c r="E1600" s="14" t="str">
        <f>+HYPERLINK("http://trademark.i-assist.jp/data/china/image_1905th/79741268.pdf","79741268")</f>
        <v>79741268</v>
      </c>
      <c r="F1600" s="13" t="s">
        <v>2889</v>
      </c>
      <c r="G1600" s="13" t="s">
        <v>2888</v>
      </c>
      <c r="H1600" s="13" t="s">
        <v>4161</v>
      </c>
      <c r="I1600" s="12">
        <v>45484</v>
      </c>
    </row>
    <row r="1601" spans="1:9" x14ac:dyDescent="0.15">
      <c r="A1601" s="10">
        <v>1600</v>
      </c>
      <c r="B1601" s="9" t="s">
        <v>9</v>
      </c>
      <c r="C1601" s="11" t="s">
        <v>10</v>
      </c>
      <c r="D1601" s="12">
        <v>45562</v>
      </c>
      <c r="E1601" s="14" t="str">
        <f>+HYPERLINK("http://trademark.i-assist.jp/data/china/image_1905th/79746660.pdf","79746660")</f>
        <v>79746660</v>
      </c>
      <c r="F1601" s="13" t="s">
        <v>2891</v>
      </c>
      <c r="G1601" s="13" t="s">
        <v>2890</v>
      </c>
      <c r="H1601" s="13" t="s">
        <v>5344</v>
      </c>
      <c r="I1601" s="12">
        <v>45484</v>
      </c>
    </row>
    <row r="1602" spans="1:9" x14ac:dyDescent="0.15">
      <c r="A1602" s="10">
        <v>1601</v>
      </c>
      <c r="B1602" s="9" t="s">
        <v>9</v>
      </c>
      <c r="C1602" s="11" t="s">
        <v>10</v>
      </c>
      <c r="D1602" s="12">
        <v>45562</v>
      </c>
      <c r="E1602" s="14" t="str">
        <f>+HYPERLINK("http://trademark.i-assist.jp/data/china/image_1905th/79751865.pdf","79751865")</f>
        <v>79751865</v>
      </c>
      <c r="F1602" s="13" t="s">
        <v>2893</v>
      </c>
      <c r="G1602" s="13" t="s">
        <v>2892</v>
      </c>
      <c r="H1602" s="13" t="s">
        <v>4260</v>
      </c>
      <c r="I1602" s="12">
        <v>45484</v>
      </c>
    </row>
    <row r="1603" spans="1:9" x14ac:dyDescent="0.15">
      <c r="A1603" s="10">
        <v>1602</v>
      </c>
      <c r="B1603" s="9" t="s">
        <v>9</v>
      </c>
      <c r="C1603" s="11" t="s">
        <v>10</v>
      </c>
      <c r="D1603" s="12">
        <v>45562</v>
      </c>
      <c r="E1603" s="14" t="str">
        <f>+HYPERLINK("http://trademark.i-assist.jp/data/china/image_1905th/79755226.pdf","79755226")</f>
        <v>79755226</v>
      </c>
      <c r="F1603" s="13" t="s">
        <v>73</v>
      </c>
      <c r="G1603" s="13" t="s">
        <v>2894</v>
      </c>
      <c r="H1603" s="13" t="s">
        <v>5345</v>
      </c>
      <c r="I1603" s="12">
        <v>45485</v>
      </c>
    </row>
    <row r="1604" spans="1:9" x14ac:dyDescent="0.15">
      <c r="A1604" s="10">
        <v>1603</v>
      </c>
      <c r="B1604" s="9" t="s">
        <v>9</v>
      </c>
      <c r="C1604" s="11" t="s">
        <v>10</v>
      </c>
      <c r="D1604" s="12">
        <v>45562</v>
      </c>
      <c r="E1604" s="14" t="str">
        <f>+HYPERLINK("http://trademark.i-assist.jp/data/china/image_1905th/79759256.pdf","79759256")</f>
        <v>79759256</v>
      </c>
      <c r="F1604" s="13" t="s">
        <v>2896</v>
      </c>
      <c r="G1604" s="13" t="s">
        <v>2895</v>
      </c>
      <c r="H1604" s="13" t="s">
        <v>5346</v>
      </c>
      <c r="I1604" s="12">
        <v>45485</v>
      </c>
    </row>
    <row r="1605" spans="1:9" x14ac:dyDescent="0.15">
      <c r="A1605" s="10">
        <v>1604</v>
      </c>
      <c r="B1605" s="9" t="s">
        <v>9</v>
      </c>
      <c r="C1605" s="11" t="s">
        <v>10</v>
      </c>
      <c r="D1605" s="12">
        <v>45562</v>
      </c>
      <c r="E1605" s="14" t="str">
        <f>+HYPERLINK("http://trademark.i-assist.jp/data/china/image_1905th/79764188.pdf","79764188")</f>
        <v>79764188</v>
      </c>
      <c r="F1605" s="13" t="s">
        <v>2898</v>
      </c>
      <c r="G1605" s="13" t="s">
        <v>2897</v>
      </c>
      <c r="H1605" s="13" t="s">
        <v>5347</v>
      </c>
      <c r="I1605" s="12">
        <v>45485</v>
      </c>
    </row>
    <row r="1606" spans="1:9" x14ac:dyDescent="0.15">
      <c r="A1606" s="10">
        <v>1605</v>
      </c>
      <c r="B1606" s="9" t="s">
        <v>9</v>
      </c>
      <c r="C1606" s="11" t="s">
        <v>10</v>
      </c>
      <c r="D1606" s="12">
        <v>45562</v>
      </c>
      <c r="E1606" s="14" t="str">
        <f>+HYPERLINK("http://trademark.i-assist.jp/data/china/image_1905th/79778299.pdf","79778299")</f>
        <v>79778299</v>
      </c>
      <c r="F1606" s="13" t="s">
        <v>2900</v>
      </c>
      <c r="G1606" s="13" t="s">
        <v>2899</v>
      </c>
      <c r="H1606" s="13" t="s">
        <v>5348</v>
      </c>
      <c r="I1606" s="12">
        <v>45486</v>
      </c>
    </row>
    <row r="1607" spans="1:9" x14ac:dyDescent="0.15">
      <c r="A1607" s="10">
        <v>1606</v>
      </c>
      <c r="B1607" s="9" t="s">
        <v>9</v>
      </c>
      <c r="C1607" s="11" t="s">
        <v>10</v>
      </c>
      <c r="D1607" s="12">
        <v>45562</v>
      </c>
      <c r="E1607" s="14" t="str">
        <f>+HYPERLINK("http://trademark.i-assist.jp/data/china/image_1905th/79789097.pdf","79789097")</f>
        <v>79789097</v>
      </c>
      <c r="F1607" s="13" t="s">
        <v>2902</v>
      </c>
      <c r="G1607" s="13" t="s">
        <v>2901</v>
      </c>
      <c r="H1607" s="13" t="s">
        <v>5349</v>
      </c>
      <c r="I1607" s="12">
        <v>45488</v>
      </c>
    </row>
    <row r="1608" spans="1:9" x14ac:dyDescent="0.15">
      <c r="A1608" s="10">
        <v>1607</v>
      </c>
      <c r="B1608" s="9" t="s">
        <v>9</v>
      </c>
      <c r="C1608" s="11" t="s">
        <v>10</v>
      </c>
      <c r="D1608" s="12">
        <v>45562</v>
      </c>
      <c r="E1608" s="14" t="str">
        <f>+HYPERLINK("http://trademark.i-assist.jp/data/china/image_1905th/79797097.pdf","79797097")</f>
        <v>79797097</v>
      </c>
      <c r="F1608" s="13" t="s">
        <v>2903</v>
      </c>
      <c r="G1608" s="13" t="s">
        <v>2901</v>
      </c>
      <c r="H1608" s="13" t="s">
        <v>5349</v>
      </c>
      <c r="I1608" s="12">
        <v>45488</v>
      </c>
    </row>
    <row r="1609" spans="1:9" x14ac:dyDescent="0.15">
      <c r="A1609" s="10">
        <v>1608</v>
      </c>
      <c r="B1609" s="9" t="s">
        <v>9</v>
      </c>
      <c r="C1609" s="11" t="s">
        <v>10</v>
      </c>
      <c r="D1609" s="12">
        <v>45562</v>
      </c>
      <c r="E1609" s="14" t="str">
        <f>+HYPERLINK("http://trademark.i-assist.jp/data/china/image_1905th/79802482.pdf","79802482")</f>
        <v>79802482</v>
      </c>
      <c r="F1609" s="13" t="s">
        <v>2905</v>
      </c>
      <c r="G1609" s="13" t="s">
        <v>2904</v>
      </c>
      <c r="H1609" s="13" t="s">
        <v>5350</v>
      </c>
      <c r="I1609" s="12">
        <v>45488</v>
      </c>
    </row>
    <row r="1610" spans="1:9" x14ac:dyDescent="0.15">
      <c r="A1610" s="10">
        <v>1609</v>
      </c>
      <c r="B1610" s="9" t="s">
        <v>9</v>
      </c>
      <c r="C1610" s="11" t="s">
        <v>10</v>
      </c>
      <c r="D1610" s="12">
        <v>45562</v>
      </c>
      <c r="E1610" s="14" t="str">
        <f>+HYPERLINK("http://trademark.i-assist.jp/data/china/image_1905th/79808169.pdf","79808169")</f>
        <v>79808169</v>
      </c>
      <c r="F1610" s="13" t="s">
        <v>2907</v>
      </c>
      <c r="G1610" s="13" t="s">
        <v>2906</v>
      </c>
      <c r="H1610" s="13" t="s">
        <v>5351</v>
      </c>
      <c r="I1610" s="12">
        <v>45489</v>
      </c>
    </row>
    <row r="1611" spans="1:9" x14ac:dyDescent="0.15">
      <c r="A1611" s="10">
        <v>1610</v>
      </c>
      <c r="B1611" s="9" t="s">
        <v>9</v>
      </c>
      <c r="C1611" s="11" t="s">
        <v>10</v>
      </c>
      <c r="D1611" s="12">
        <v>45562</v>
      </c>
      <c r="E1611" s="14" t="str">
        <f>+HYPERLINK("http://trademark.i-assist.jp/data/china/image_1905th/79637111.pdf","79637111")</f>
        <v>79637111</v>
      </c>
      <c r="F1611" s="13" t="s">
        <v>2909</v>
      </c>
      <c r="G1611" s="13" t="s">
        <v>2908</v>
      </c>
      <c r="H1611" s="13" t="s">
        <v>4245</v>
      </c>
      <c r="I1611" s="12">
        <v>45478</v>
      </c>
    </row>
    <row r="1612" spans="1:9" x14ac:dyDescent="0.15">
      <c r="A1612" s="10">
        <v>1611</v>
      </c>
      <c r="B1612" s="9" t="s">
        <v>9</v>
      </c>
      <c r="C1612" s="11" t="s">
        <v>10</v>
      </c>
      <c r="D1612" s="12">
        <v>45562</v>
      </c>
      <c r="E1612" s="14" t="str">
        <f>+HYPERLINK("http://trademark.i-assist.jp/data/china/image_1905th/79637492.pdf","79637492")</f>
        <v>79637492</v>
      </c>
      <c r="F1612" s="13" t="s">
        <v>2911</v>
      </c>
      <c r="G1612" s="13" t="s">
        <v>2910</v>
      </c>
      <c r="H1612" s="13" t="s">
        <v>5352</v>
      </c>
      <c r="I1612" s="12">
        <v>45478</v>
      </c>
    </row>
    <row r="1613" spans="1:9" x14ac:dyDescent="0.15">
      <c r="A1613" s="10">
        <v>1612</v>
      </c>
      <c r="B1613" s="9" t="s">
        <v>9</v>
      </c>
      <c r="C1613" s="11" t="s">
        <v>10</v>
      </c>
      <c r="D1613" s="12">
        <v>45562</v>
      </c>
      <c r="E1613" s="14" t="str">
        <f>+HYPERLINK("http://trademark.i-assist.jp/data/china/image_1905th/79638688.pdf","79638688")</f>
        <v>79638688</v>
      </c>
      <c r="F1613" s="13" t="s">
        <v>2913</v>
      </c>
      <c r="G1613" s="13" t="s">
        <v>2912</v>
      </c>
      <c r="H1613" s="13" t="s">
        <v>5050</v>
      </c>
      <c r="I1613" s="12">
        <v>45478</v>
      </c>
    </row>
    <row r="1614" spans="1:9" x14ac:dyDescent="0.15">
      <c r="A1614" s="10">
        <v>1613</v>
      </c>
      <c r="B1614" s="9" t="s">
        <v>9</v>
      </c>
      <c r="C1614" s="11" t="s">
        <v>10</v>
      </c>
      <c r="D1614" s="12">
        <v>45562</v>
      </c>
      <c r="E1614" s="14" t="str">
        <f>+HYPERLINK("http://trademark.i-assist.jp/data/china/image_1905th/79640760.pdf","79640760")</f>
        <v>79640760</v>
      </c>
      <c r="F1614" s="13" t="s">
        <v>2915</v>
      </c>
      <c r="G1614" s="13" t="s">
        <v>2914</v>
      </c>
      <c r="H1614" s="13" t="s">
        <v>5353</v>
      </c>
      <c r="I1614" s="12">
        <v>45478</v>
      </c>
    </row>
    <row r="1615" spans="1:9" x14ac:dyDescent="0.15">
      <c r="A1615" s="10">
        <v>1614</v>
      </c>
      <c r="B1615" s="9" t="s">
        <v>9</v>
      </c>
      <c r="C1615" s="11" t="s">
        <v>10</v>
      </c>
      <c r="D1615" s="12">
        <v>45562</v>
      </c>
      <c r="E1615" s="14" t="str">
        <f>+HYPERLINK("http://trademark.i-assist.jp/data/china/image_1905th/79644299.pdf","79644299")</f>
        <v>79644299</v>
      </c>
      <c r="F1615" s="13" t="s">
        <v>2917</v>
      </c>
      <c r="G1615" s="13" t="s">
        <v>2916</v>
      </c>
      <c r="H1615" s="13" t="s">
        <v>5354</v>
      </c>
      <c r="I1615" s="12">
        <v>45478</v>
      </c>
    </row>
    <row r="1616" spans="1:9" x14ac:dyDescent="0.15">
      <c r="A1616" s="10">
        <v>1615</v>
      </c>
      <c r="B1616" s="9" t="s">
        <v>9</v>
      </c>
      <c r="C1616" s="11" t="s">
        <v>10</v>
      </c>
      <c r="D1616" s="12">
        <v>45562</v>
      </c>
      <c r="E1616" s="14" t="str">
        <f>+HYPERLINK("http://trademark.i-assist.jp/data/china/image_1905th/79606733.pdf","79606733")</f>
        <v>79606733</v>
      </c>
      <c r="F1616" s="13" t="s">
        <v>2919</v>
      </c>
      <c r="G1616" s="13" t="s">
        <v>2918</v>
      </c>
      <c r="H1616" s="13" t="s">
        <v>5355</v>
      </c>
      <c r="I1616" s="12">
        <v>45477</v>
      </c>
    </row>
    <row r="1617" spans="1:9" x14ac:dyDescent="0.15">
      <c r="A1617" s="10">
        <v>1616</v>
      </c>
      <c r="B1617" s="9" t="s">
        <v>9</v>
      </c>
      <c r="C1617" s="11" t="s">
        <v>10</v>
      </c>
      <c r="D1617" s="12">
        <v>45562</v>
      </c>
      <c r="E1617" s="14" t="str">
        <f>+HYPERLINK("http://trademark.i-assist.jp/data/china/image_1905th/79614091.pdf","79614091")</f>
        <v>79614091</v>
      </c>
      <c r="F1617" s="13" t="s">
        <v>2920</v>
      </c>
      <c r="G1617" s="13" t="s">
        <v>82</v>
      </c>
      <c r="H1617" s="13" t="s">
        <v>4182</v>
      </c>
      <c r="I1617" s="12">
        <v>45477</v>
      </c>
    </row>
    <row r="1618" spans="1:9" x14ac:dyDescent="0.15">
      <c r="A1618" s="10">
        <v>1617</v>
      </c>
      <c r="B1618" s="9" t="s">
        <v>9</v>
      </c>
      <c r="C1618" s="11" t="s">
        <v>10</v>
      </c>
      <c r="D1618" s="12">
        <v>45562</v>
      </c>
      <c r="E1618" s="14" t="str">
        <f>+HYPERLINK("http://trademark.i-assist.jp/data/china/image_1905th/79616105.pdf","79616105")</f>
        <v>79616105</v>
      </c>
      <c r="F1618" s="13" t="s">
        <v>2922</v>
      </c>
      <c r="G1618" s="13" t="s">
        <v>2921</v>
      </c>
      <c r="H1618" s="13" t="s">
        <v>5356</v>
      </c>
      <c r="I1618" s="12">
        <v>45477</v>
      </c>
    </row>
    <row r="1619" spans="1:9" x14ac:dyDescent="0.15">
      <c r="A1619" s="10">
        <v>1618</v>
      </c>
      <c r="B1619" s="9" t="s">
        <v>9</v>
      </c>
      <c r="C1619" s="11" t="s">
        <v>10</v>
      </c>
      <c r="D1619" s="12">
        <v>45562</v>
      </c>
      <c r="E1619" s="14" t="str">
        <f>+HYPERLINK("http://trademark.i-assist.jp/data/china/image_1905th/79623286.pdf","79623286")</f>
        <v>79623286</v>
      </c>
      <c r="F1619" s="13" t="s">
        <v>2924</v>
      </c>
      <c r="G1619" s="13" t="s">
        <v>2923</v>
      </c>
      <c r="H1619" s="13" t="s">
        <v>5357</v>
      </c>
      <c r="I1619" s="12">
        <v>45478</v>
      </c>
    </row>
    <row r="1620" spans="1:9" x14ac:dyDescent="0.15">
      <c r="A1620" s="10">
        <v>1619</v>
      </c>
      <c r="B1620" s="9" t="s">
        <v>9</v>
      </c>
      <c r="C1620" s="11" t="s">
        <v>10</v>
      </c>
      <c r="D1620" s="12">
        <v>45562</v>
      </c>
      <c r="E1620" s="14" t="str">
        <f>+HYPERLINK("http://trademark.i-assist.jp/data/china/image_1905th/79627531.pdf","79627531")</f>
        <v>79627531</v>
      </c>
      <c r="F1620" s="13" t="s">
        <v>2926</v>
      </c>
      <c r="G1620" s="13" t="s">
        <v>2925</v>
      </c>
      <c r="H1620" s="13" t="s">
        <v>5358</v>
      </c>
      <c r="I1620" s="12">
        <v>45478</v>
      </c>
    </row>
    <row r="1621" spans="1:9" x14ac:dyDescent="0.15">
      <c r="A1621" s="10">
        <v>1620</v>
      </c>
      <c r="B1621" s="9" t="s">
        <v>9</v>
      </c>
      <c r="C1621" s="11" t="s">
        <v>10</v>
      </c>
      <c r="D1621" s="12">
        <v>45562</v>
      </c>
      <c r="E1621" s="14" t="str">
        <f>+HYPERLINK("http://trademark.i-assist.jp/data/china/image_1905th/79586152.pdf","79586152")</f>
        <v>79586152</v>
      </c>
      <c r="F1621" s="13" t="s">
        <v>2927</v>
      </c>
      <c r="G1621" s="13" t="s">
        <v>1633</v>
      </c>
      <c r="H1621" s="13" t="s">
        <v>4328</v>
      </c>
      <c r="I1621" s="12">
        <v>45476</v>
      </c>
    </row>
    <row r="1622" spans="1:9" x14ac:dyDescent="0.15">
      <c r="A1622" s="10">
        <v>1621</v>
      </c>
      <c r="B1622" s="9" t="s">
        <v>9</v>
      </c>
      <c r="C1622" s="11" t="s">
        <v>10</v>
      </c>
      <c r="D1622" s="12">
        <v>45562</v>
      </c>
      <c r="E1622" s="14" t="str">
        <f>+HYPERLINK("http://trademark.i-assist.jp/data/china/image_1905th/79588852.pdf","79588852")</f>
        <v>79588852</v>
      </c>
      <c r="F1622" s="13" t="s">
        <v>2929</v>
      </c>
      <c r="G1622" s="13" t="s">
        <v>2928</v>
      </c>
      <c r="H1622" s="13" t="s">
        <v>5359</v>
      </c>
      <c r="I1622" s="12">
        <v>45476</v>
      </c>
    </row>
    <row r="1623" spans="1:9" x14ac:dyDescent="0.15">
      <c r="A1623" s="10">
        <v>1622</v>
      </c>
      <c r="B1623" s="9" t="s">
        <v>9</v>
      </c>
      <c r="C1623" s="11" t="s">
        <v>10</v>
      </c>
      <c r="D1623" s="12">
        <v>45562</v>
      </c>
      <c r="E1623" s="14" t="str">
        <f>+HYPERLINK("http://trademark.i-assist.jp/data/china/image_1905th/79594842.pdf","79594842")</f>
        <v>79594842</v>
      </c>
      <c r="F1623" s="13" t="s">
        <v>2931</v>
      </c>
      <c r="G1623" s="13" t="s">
        <v>2930</v>
      </c>
      <c r="H1623" s="13" t="s">
        <v>4215</v>
      </c>
      <c r="I1623" s="12">
        <v>45476</v>
      </c>
    </row>
    <row r="1624" spans="1:9" x14ac:dyDescent="0.15">
      <c r="A1624" s="10">
        <v>1623</v>
      </c>
      <c r="B1624" s="9" t="s">
        <v>9</v>
      </c>
      <c r="C1624" s="11" t="s">
        <v>10</v>
      </c>
      <c r="D1624" s="12">
        <v>45562</v>
      </c>
      <c r="E1624" s="14" t="str">
        <f>+HYPERLINK("http://trademark.i-assist.jp/data/china/image_1905th/79598976.pdf","79598976")</f>
        <v>79598976</v>
      </c>
      <c r="F1624" s="13" t="s">
        <v>2933</v>
      </c>
      <c r="G1624" s="13" t="s">
        <v>2932</v>
      </c>
      <c r="H1624" s="13" t="s">
        <v>4278</v>
      </c>
      <c r="I1624" s="12">
        <v>45476</v>
      </c>
    </row>
    <row r="1625" spans="1:9" x14ac:dyDescent="0.15">
      <c r="A1625" s="10">
        <v>1624</v>
      </c>
      <c r="B1625" s="9" t="s">
        <v>9</v>
      </c>
      <c r="C1625" s="11" t="s">
        <v>10</v>
      </c>
      <c r="D1625" s="12">
        <v>45562</v>
      </c>
      <c r="E1625" s="14" t="str">
        <f>+HYPERLINK("http://trademark.i-assist.jp/data/china/image_1905th/79602747.pdf","79602747")</f>
        <v>79602747</v>
      </c>
      <c r="F1625" s="13" t="s">
        <v>2935</v>
      </c>
      <c r="G1625" s="13" t="s">
        <v>2934</v>
      </c>
      <c r="H1625" s="13" t="s">
        <v>4245</v>
      </c>
      <c r="I1625" s="12">
        <v>45477</v>
      </c>
    </row>
    <row r="1626" spans="1:9" x14ac:dyDescent="0.15">
      <c r="A1626" s="10">
        <v>1625</v>
      </c>
      <c r="B1626" s="9" t="s">
        <v>9</v>
      </c>
      <c r="C1626" s="11" t="s">
        <v>10</v>
      </c>
      <c r="D1626" s="12">
        <v>45562</v>
      </c>
      <c r="E1626" s="14" t="str">
        <f>+HYPERLINK("http://trademark.i-assist.jp/data/china/image_1905th/79605509.pdf","79605509")</f>
        <v>79605509</v>
      </c>
      <c r="F1626" s="13" t="s">
        <v>2937</v>
      </c>
      <c r="G1626" s="13" t="s">
        <v>2936</v>
      </c>
      <c r="H1626" s="13" t="s">
        <v>5360</v>
      </c>
      <c r="I1626" s="12">
        <v>45477</v>
      </c>
    </row>
    <row r="1627" spans="1:9" x14ac:dyDescent="0.15">
      <c r="A1627" s="10">
        <v>1626</v>
      </c>
      <c r="B1627" s="9" t="s">
        <v>9</v>
      </c>
      <c r="C1627" s="11" t="s">
        <v>10</v>
      </c>
      <c r="D1627" s="12">
        <v>45562</v>
      </c>
      <c r="E1627" s="14" t="str">
        <f>+HYPERLINK("http://trademark.i-assist.jp/data/china/image_1905th/79693241.pdf","79693241")</f>
        <v>79693241</v>
      </c>
      <c r="F1627" s="13" t="s">
        <v>73</v>
      </c>
      <c r="G1627" s="13" t="s">
        <v>2938</v>
      </c>
      <c r="H1627" s="13" t="s">
        <v>4239</v>
      </c>
      <c r="I1627" s="12">
        <v>45482</v>
      </c>
    </row>
    <row r="1628" spans="1:9" x14ac:dyDescent="0.15">
      <c r="A1628" s="10">
        <v>1627</v>
      </c>
      <c r="B1628" s="9" t="s">
        <v>9</v>
      </c>
      <c r="C1628" s="11" t="s">
        <v>10</v>
      </c>
      <c r="D1628" s="12">
        <v>45562</v>
      </c>
      <c r="E1628" s="14" t="str">
        <f>+HYPERLINK("http://trademark.i-assist.jp/data/china/image_1905th/79693562.pdf","79693562")</f>
        <v>79693562</v>
      </c>
      <c r="F1628" s="13" t="s">
        <v>2940</v>
      </c>
      <c r="G1628" s="13" t="s">
        <v>2939</v>
      </c>
      <c r="H1628" s="13" t="s">
        <v>5361</v>
      </c>
      <c r="I1628" s="12">
        <v>45482</v>
      </c>
    </row>
    <row r="1629" spans="1:9" x14ac:dyDescent="0.15">
      <c r="A1629" s="10">
        <v>1628</v>
      </c>
      <c r="B1629" s="9" t="s">
        <v>9</v>
      </c>
      <c r="C1629" s="11" t="s">
        <v>10</v>
      </c>
      <c r="D1629" s="12">
        <v>45562</v>
      </c>
      <c r="E1629" s="14" t="str">
        <f>+HYPERLINK("http://trademark.i-assist.jp/data/china/image_1905th/79694461.pdf","79694461")</f>
        <v>79694461</v>
      </c>
      <c r="F1629" s="13" t="s">
        <v>2941</v>
      </c>
      <c r="G1629" s="13" t="s">
        <v>770</v>
      </c>
      <c r="H1629" s="13" t="s">
        <v>4494</v>
      </c>
      <c r="I1629" s="12">
        <v>45482</v>
      </c>
    </row>
    <row r="1630" spans="1:9" x14ac:dyDescent="0.15">
      <c r="A1630" s="10">
        <v>1629</v>
      </c>
      <c r="B1630" s="9" t="s">
        <v>9</v>
      </c>
      <c r="C1630" s="11" t="s">
        <v>10</v>
      </c>
      <c r="D1630" s="12">
        <v>45562</v>
      </c>
      <c r="E1630" s="14" t="str">
        <f>+HYPERLINK("http://trademark.i-assist.jp/data/china/image_1905th/79694855.pdf","79694855")</f>
        <v>79694855</v>
      </c>
      <c r="F1630" s="13" t="s">
        <v>2943</v>
      </c>
      <c r="G1630" s="13" t="s">
        <v>2942</v>
      </c>
      <c r="H1630" s="13" t="s">
        <v>4206</v>
      </c>
      <c r="I1630" s="12">
        <v>45482</v>
      </c>
    </row>
    <row r="1631" spans="1:9" x14ac:dyDescent="0.15">
      <c r="A1631" s="10">
        <v>1630</v>
      </c>
      <c r="B1631" s="9" t="s">
        <v>9</v>
      </c>
      <c r="C1631" s="11" t="s">
        <v>10</v>
      </c>
      <c r="D1631" s="12">
        <v>45562</v>
      </c>
      <c r="E1631" s="14" t="str">
        <f>+HYPERLINK("http://trademark.i-assist.jp/data/china/image_1905th/79709634.pdf","79709634")</f>
        <v>79709634</v>
      </c>
      <c r="F1631" s="13" t="s">
        <v>2945</v>
      </c>
      <c r="G1631" s="13" t="s">
        <v>2944</v>
      </c>
      <c r="H1631" s="13" t="s">
        <v>5362</v>
      </c>
      <c r="I1631" s="12">
        <v>45483</v>
      </c>
    </row>
    <row r="1632" spans="1:9" x14ac:dyDescent="0.15">
      <c r="A1632" s="10">
        <v>1631</v>
      </c>
      <c r="B1632" s="9" t="s">
        <v>9</v>
      </c>
      <c r="C1632" s="11" t="s">
        <v>10</v>
      </c>
      <c r="D1632" s="12">
        <v>45562</v>
      </c>
      <c r="E1632" s="14" t="str">
        <f>+HYPERLINK("http://trademark.i-assist.jp/data/china/image_1905th/79719734.pdf","79719734")</f>
        <v>79719734</v>
      </c>
      <c r="F1632" s="13" t="s">
        <v>2947</v>
      </c>
      <c r="G1632" s="13" t="s">
        <v>2946</v>
      </c>
      <c r="H1632" s="13" t="s">
        <v>4200</v>
      </c>
      <c r="I1632" s="12">
        <v>45483</v>
      </c>
    </row>
    <row r="1633" spans="1:9" x14ac:dyDescent="0.15">
      <c r="A1633" s="10">
        <v>1632</v>
      </c>
      <c r="B1633" s="9" t="s">
        <v>9</v>
      </c>
      <c r="C1633" s="11" t="s">
        <v>10</v>
      </c>
      <c r="D1633" s="12">
        <v>45562</v>
      </c>
      <c r="E1633" s="14" t="str">
        <f>+HYPERLINK("http://trademark.i-assist.jp/data/china/image_1905th/79722603.pdf","79722603")</f>
        <v>79722603</v>
      </c>
      <c r="F1633" s="13" t="s">
        <v>2949</v>
      </c>
      <c r="G1633" s="13" t="s">
        <v>2948</v>
      </c>
      <c r="H1633" s="13" t="s">
        <v>5363</v>
      </c>
      <c r="I1633" s="12">
        <v>45483</v>
      </c>
    </row>
    <row r="1634" spans="1:9" x14ac:dyDescent="0.15">
      <c r="A1634" s="10">
        <v>1633</v>
      </c>
      <c r="B1634" s="9" t="s">
        <v>9</v>
      </c>
      <c r="C1634" s="11" t="s">
        <v>10</v>
      </c>
      <c r="D1634" s="12">
        <v>45562</v>
      </c>
      <c r="E1634" s="14" t="str">
        <f>+HYPERLINK("http://trademark.i-assist.jp/data/china/image_1905th/79732280.pdf","79732280")</f>
        <v>79732280</v>
      </c>
      <c r="F1634" s="13" t="s">
        <v>2951</v>
      </c>
      <c r="G1634" s="13" t="s">
        <v>2950</v>
      </c>
      <c r="H1634" s="13" t="s">
        <v>5364</v>
      </c>
      <c r="I1634" s="12">
        <v>45484</v>
      </c>
    </row>
    <row r="1635" spans="1:9" x14ac:dyDescent="0.15">
      <c r="A1635" s="10">
        <v>1634</v>
      </c>
      <c r="B1635" s="9" t="s">
        <v>9</v>
      </c>
      <c r="C1635" s="11" t="s">
        <v>10</v>
      </c>
      <c r="D1635" s="12">
        <v>45562</v>
      </c>
      <c r="E1635" s="14" t="str">
        <f>+HYPERLINK("http://trademark.i-assist.jp/data/china/image_1905th/79737528.pdf","79737528")</f>
        <v>79737528</v>
      </c>
      <c r="F1635" s="13" t="s">
        <v>2953</v>
      </c>
      <c r="G1635" s="13" t="s">
        <v>2952</v>
      </c>
      <c r="H1635" s="13" t="s">
        <v>5102</v>
      </c>
      <c r="I1635" s="12">
        <v>45484</v>
      </c>
    </row>
    <row r="1636" spans="1:9" x14ac:dyDescent="0.15">
      <c r="A1636" s="10">
        <v>1635</v>
      </c>
      <c r="B1636" s="9" t="s">
        <v>9</v>
      </c>
      <c r="C1636" s="11" t="s">
        <v>10</v>
      </c>
      <c r="D1636" s="12">
        <v>45562</v>
      </c>
      <c r="E1636" s="14" t="str">
        <f>+HYPERLINK("http://trademark.i-assist.jp/data/china/image_1905th/79663080.pdf","79663080")</f>
        <v>79663080</v>
      </c>
      <c r="F1636" s="13" t="s">
        <v>2955</v>
      </c>
      <c r="G1636" s="13" t="s">
        <v>2954</v>
      </c>
      <c r="H1636" s="13" t="s">
        <v>5365</v>
      </c>
      <c r="I1636" s="12">
        <v>45481</v>
      </c>
    </row>
    <row r="1637" spans="1:9" x14ac:dyDescent="0.15">
      <c r="A1637" s="10">
        <v>1636</v>
      </c>
      <c r="B1637" s="9" t="s">
        <v>9</v>
      </c>
      <c r="C1637" s="11" t="s">
        <v>10</v>
      </c>
      <c r="D1637" s="12">
        <v>45562</v>
      </c>
      <c r="E1637" s="14" t="str">
        <f>+HYPERLINK("http://trademark.i-assist.jp/data/china/image_1905th/79666943.pdf","79666943")</f>
        <v>79666943</v>
      </c>
      <c r="F1637" s="13" t="s">
        <v>2957</v>
      </c>
      <c r="G1637" s="13" t="s">
        <v>2956</v>
      </c>
      <c r="H1637" s="13" t="s">
        <v>5366</v>
      </c>
      <c r="I1637" s="12">
        <v>45481</v>
      </c>
    </row>
    <row r="1638" spans="1:9" x14ac:dyDescent="0.15">
      <c r="A1638" s="10">
        <v>1637</v>
      </c>
      <c r="B1638" s="9" t="s">
        <v>9</v>
      </c>
      <c r="C1638" s="11" t="s">
        <v>10</v>
      </c>
      <c r="D1638" s="12">
        <v>45562</v>
      </c>
      <c r="E1638" s="14" t="str">
        <f>+HYPERLINK("http://trademark.i-assist.jp/data/china/image_1905th/79666939.pdf","79666939")</f>
        <v>79666939</v>
      </c>
      <c r="F1638" s="13" t="s">
        <v>2958</v>
      </c>
      <c r="G1638" s="13" t="s">
        <v>2956</v>
      </c>
      <c r="H1638" s="13" t="s">
        <v>5366</v>
      </c>
      <c r="I1638" s="12">
        <v>45481</v>
      </c>
    </row>
    <row r="1639" spans="1:9" x14ac:dyDescent="0.15">
      <c r="A1639" s="10">
        <v>1638</v>
      </c>
      <c r="B1639" s="9" t="s">
        <v>9</v>
      </c>
      <c r="C1639" s="11" t="s">
        <v>10</v>
      </c>
      <c r="D1639" s="12">
        <v>45562</v>
      </c>
      <c r="E1639" s="14" t="str">
        <f>+HYPERLINK("http://trademark.i-assist.jp/data/china/image_1905th/79669161.pdf","79669161")</f>
        <v>79669161</v>
      </c>
      <c r="F1639" s="13" t="s">
        <v>2959</v>
      </c>
      <c r="G1639" s="13" t="s">
        <v>547</v>
      </c>
      <c r="H1639" s="13" t="s">
        <v>4278</v>
      </c>
      <c r="I1639" s="12">
        <v>45481</v>
      </c>
    </row>
    <row r="1640" spans="1:9" x14ac:dyDescent="0.15">
      <c r="A1640" s="10">
        <v>1639</v>
      </c>
      <c r="B1640" s="9" t="s">
        <v>9</v>
      </c>
      <c r="C1640" s="11" t="s">
        <v>10</v>
      </c>
      <c r="D1640" s="12">
        <v>45562</v>
      </c>
      <c r="E1640" s="14" t="str">
        <f>+HYPERLINK("http://trademark.i-assist.jp/data/china/image_1905th/79671362.pdf","79671362")</f>
        <v>79671362</v>
      </c>
      <c r="F1640" s="13" t="s">
        <v>2961</v>
      </c>
      <c r="G1640" s="13" t="s">
        <v>2960</v>
      </c>
      <c r="H1640" s="13" t="s">
        <v>5367</v>
      </c>
      <c r="I1640" s="12">
        <v>45481</v>
      </c>
    </row>
    <row r="1641" spans="1:9" x14ac:dyDescent="0.15">
      <c r="A1641" s="10">
        <v>1640</v>
      </c>
      <c r="B1641" s="9" t="s">
        <v>9</v>
      </c>
      <c r="C1641" s="11" t="s">
        <v>10</v>
      </c>
      <c r="D1641" s="12">
        <v>45562</v>
      </c>
      <c r="E1641" s="14" t="str">
        <f>+HYPERLINK("http://trademark.i-assist.jp/data/china/image_1905th/79672634.pdf","79672634")</f>
        <v>79672634</v>
      </c>
      <c r="F1641" s="13" t="s">
        <v>2963</v>
      </c>
      <c r="G1641" s="13" t="s">
        <v>2962</v>
      </c>
      <c r="H1641" s="13" t="s">
        <v>4227</v>
      </c>
      <c r="I1641" s="12">
        <v>45481</v>
      </c>
    </row>
    <row r="1642" spans="1:9" x14ac:dyDescent="0.15">
      <c r="A1642" s="10">
        <v>1641</v>
      </c>
      <c r="B1642" s="9" t="s">
        <v>9</v>
      </c>
      <c r="C1642" s="11" t="s">
        <v>10</v>
      </c>
      <c r="D1642" s="12">
        <v>45562</v>
      </c>
      <c r="E1642" s="14" t="str">
        <f>+HYPERLINK("http://trademark.i-assist.jp/data/china/image_1905th/79676050.pdf","79676050")</f>
        <v>79676050</v>
      </c>
      <c r="F1642" s="13" t="s">
        <v>2965</v>
      </c>
      <c r="G1642" s="13" t="s">
        <v>2964</v>
      </c>
      <c r="H1642" s="13" t="s">
        <v>5368</v>
      </c>
      <c r="I1642" s="12">
        <v>45481</v>
      </c>
    </row>
    <row r="1643" spans="1:9" x14ac:dyDescent="0.15">
      <c r="A1643" s="10">
        <v>1642</v>
      </c>
      <c r="B1643" s="9" t="s">
        <v>9</v>
      </c>
      <c r="C1643" s="11" t="s">
        <v>10</v>
      </c>
      <c r="D1643" s="12">
        <v>45562</v>
      </c>
      <c r="E1643" s="14" t="str">
        <f>+HYPERLINK("http://trademark.i-assist.jp/data/china/image_1905th/79681740.pdf","79681740")</f>
        <v>79681740</v>
      </c>
      <c r="F1643" s="13" t="s">
        <v>2967</v>
      </c>
      <c r="G1643" s="13" t="s">
        <v>2966</v>
      </c>
      <c r="H1643" s="13" t="s">
        <v>5369</v>
      </c>
      <c r="I1643" s="12">
        <v>45482</v>
      </c>
    </row>
    <row r="1644" spans="1:9" x14ac:dyDescent="0.15">
      <c r="A1644" s="10">
        <v>1643</v>
      </c>
      <c r="B1644" s="9" t="s">
        <v>9</v>
      </c>
      <c r="C1644" s="11" t="s">
        <v>10</v>
      </c>
      <c r="D1644" s="12">
        <v>45562</v>
      </c>
      <c r="E1644" s="14" t="str">
        <f>+HYPERLINK("http://trademark.i-assist.jp/data/china/image_1905th/79683930.pdf","79683930")</f>
        <v>79683930</v>
      </c>
      <c r="F1644" s="13" t="s">
        <v>2969</v>
      </c>
      <c r="G1644" s="13" t="s">
        <v>2968</v>
      </c>
      <c r="H1644" s="13" t="s">
        <v>5370</v>
      </c>
      <c r="I1644" s="12">
        <v>45482</v>
      </c>
    </row>
    <row r="1645" spans="1:9" x14ac:dyDescent="0.15">
      <c r="A1645" s="10">
        <v>1644</v>
      </c>
      <c r="B1645" s="9" t="s">
        <v>9</v>
      </c>
      <c r="C1645" s="11" t="s">
        <v>10</v>
      </c>
      <c r="D1645" s="12">
        <v>45562</v>
      </c>
      <c r="E1645" s="14" t="str">
        <f>+HYPERLINK("http://trademark.i-assist.jp/data/china/image_1905th/79837256.pdf","79837256")</f>
        <v>79837256</v>
      </c>
      <c r="F1645" s="13" t="s">
        <v>2971</v>
      </c>
      <c r="G1645" s="13" t="s">
        <v>2970</v>
      </c>
      <c r="H1645" s="13" t="s">
        <v>5371</v>
      </c>
      <c r="I1645" s="12">
        <v>45490</v>
      </c>
    </row>
    <row r="1646" spans="1:9" x14ac:dyDescent="0.15">
      <c r="A1646" s="10">
        <v>1645</v>
      </c>
      <c r="B1646" s="9" t="s">
        <v>9</v>
      </c>
      <c r="C1646" s="11" t="s">
        <v>10</v>
      </c>
      <c r="D1646" s="12">
        <v>45562</v>
      </c>
      <c r="E1646" s="14" t="str">
        <f>+HYPERLINK("http://trademark.i-assist.jp/data/china/image_1905th/79847851.pdf","79847851")</f>
        <v>79847851</v>
      </c>
      <c r="F1646" s="13" t="s">
        <v>2973</v>
      </c>
      <c r="G1646" s="13" t="s">
        <v>2972</v>
      </c>
      <c r="H1646" s="13" t="s">
        <v>5372</v>
      </c>
      <c r="I1646" s="12">
        <v>45490</v>
      </c>
    </row>
    <row r="1647" spans="1:9" x14ac:dyDescent="0.15">
      <c r="A1647" s="10">
        <v>1646</v>
      </c>
      <c r="B1647" s="9" t="s">
        <v>9</v>
      </c>
      <c r="C1647" s="11" t="s">
        <v>10</v>
      </c>
      <c r="D1647" s="12">
        <v>45562</v>
      </c>
      <c r="E1647" s="14" t="str">
        <f>+HYPERLINK("http://trademark.i-assist.jp/data/china/image_1905th/79863194.pdf","79863194")</f>
        <v>79863194</v>
      </c>
      <c r="F1647" s="13" t="s">
        <v>2974</v>
      </c>
      <c r="G1647" s="13" t="s">
        <v>721</v>
      </c>
      <c r="H1647" s="13" t="s">
        <v>4471</v>
      </c>
      <c r="I1647" s="12">
        <v>45491</v>
      </c>
    </row>
    <row r="1648" spans="1:9" x14ac:dyDescent="0.15">
      <c r="A1648" s="10">
        <v>1647</v>
      </c>
      <c r="B1648" s="9" t="s">
        <v>9</v>
      </c>
      <c r="C1648" s="11" t="s">
        <v>10</v>
      </c>
      <c r="D1648" s="12">
        <v>45562</v>
      </c>
      <c r="E1648" s="14" t="str">
        <f>+HYPERLINK("http://trademark.i-assist.jp/data/china/image_1905th/79871682.pdf","79871682")</f>
        <v>79871682</v>
      </c>
      <c r="F1648" s="13" t="s">
        <v>2976</v>
      </c>
      <c r="G1648" s="13" t="s">
        <v>2975</v>
      </c>
      <c r="H1648" s="13" t="s">
        <v>5373</v>
      </c>
      <c r="I1648" s="12">
        <v>45491</v>
      </c>
    </row>
    <row r="1649" spans="1:9" x14ac:dyDescent="0.15">
      <c r="A1649" s="10">
        <v>1648</v>
      </c>
      <c r="B1649" s="9" t="s">
        <v>9</v>
      </c>
      <c r="C1649" s="11" t="s">
        <v>10</v>
      </c>
      <c r="D1649" s="12">
        <v>45562</v>
      </c>
      <c r="E1649" s="14" t="str">
        <f>+HYPERLINK("http://trademark.i-assist.jp/data/china/image_1905th/79891083.pdf","79891083")</f>
        <v>79891083</v>
      </c>
      <c r="F1649" s="13" t="s">
        <v>2978</v>
      </c>
      <c r="G1649" s="13" t="s">
        <v>2977</v>
      </c>
      <c r="H1649" s="13" t="s">
        <v>5374</v>
      </c>
      <c r="I1649" s="12">
        <v>45492</v>
      </c>
    </row>
    <row r="1650" spans="1:9" x14ac:dyDescent="0.15">
      <c r="A1650" s="10">
        <v>1649</v>
      </c>
      <c r="B1650" s="9" t="s">
        <v>9</v>
      </c>
      <c r="C1650" s="11" t="s">
        <v>10</v>
      </c>
      <c r="D1650" s="12">
        <v>45562</v>
      </c>
      <c r="E1650" s="14" t="str">
        <f>+HYPERLINK("http://trademark.i-assist.jp/data/china/image_1905th/78384860.pdf","78384860")</f>
        <v>78384860</v>
      </c>
      <c r="F1650" s="13" t="s">
        <v>2980</v>
      </c>
      <c r="G1650" s="13" t="s">
        <v>2979</v>
      </c>
      <c r="H1650" s="13" t="s">
        <v>5375</v>
      </c>
      <c r="I1650" s="12">
        <v>45418</v>
      </c>
    </row>
    <row r="1651" spans="1:9" x14ac:dyDescent="0.15">
      <c r="A1651" s="10">
        <v>1650</v>
      </c>
      <c r="B1651" s="9" t="s">
        <v>9</v>
      </c>
      <c r="C1651" s="11" t="s">
        <v>10</v>
      </c>
      <c r="D1651" s="12">
        <v>45562</v>
      </c>
      <c r="E1651" s="14" t="str">
        <f>+HYPERLINK("http://trademark.i-assist.jp/data/china/image_1905th/78390627.pdf","78390627")</f>
        <v>78390627</v>
      </c>
      <c r="F1651" s="13" t="s">
        <v>2982</v>
      </c>
      <c r="G1651" s="13" t="s">
        <v>2981</v>
      </c>
      <c r="H1651" s="13" t="s">
        <v>5376</v>
      </c>
      <c r="I1651" s="12">
        <v>45419</v>
      </c>
    </row>
    <row r="1652" spans="1:9" x14ac:dyDescent="0.15">
      <c r="A1652" s="10">
        <v>1651</v>
      </c>
      <c r="B1652" s="9" t="s">
        <v>9</v>
      </c>
      <c r="C1652" s="11" t="s">
        <v>10</v>
      </c>
      <c r="D1652" s="12">
        <v>45562</v>
      </c>
      <c r="E1652" s="14" t="str">
        <f>+HYPERLINK("http://trademark.i-assist.jp/data/china/image_1905th/68773335.pdf","68773335")</f>
        <v>68773335</v>
      </c>
      <c r="F1652" s="13" t="s">
        <v>2984</v>
      </c>
      <c r="G1652" s="13" t="s">
        <v>2983</v>
      </c>
      <c r="H1652" s="13" t="s">
        <v>5377</v>
      </c>
      <c r="I1652" s="12">
        <v>44903</v>
      </c>
    </row>
    <row r="1653" spans="1:9" x14ac:dyDescent="0.15">
      <c r="A1653" s="10">
        <v>1652</v>
      </c>
      <c r="B1653" s="9" t="s">
        <v>9</v>
      </c>
      <c r="C1653" s="11" t="s">
        <v>10</v>
      </c>
      <c r="D1653" s="12">
        <v>45562</v>
      </c>
      <c r="E1653" s="14" t="str">
        <f>+HYPERLINK("http://trademark.i-assist.jp/data/china/image_1905th/72630364.pdf","72630364")</f>
        <v>72630364</v>
      </c>
      <c r="F1653" s="13" t="s">
        <v>2985</v>
      </c>
      <c r="G1653" s="13" t="s">
        <v>878</v>
      </c>
      <c r="H1653" s="13" t="s">
        <v>4540</v>
      </c>
      <c r="I1653" s="12">
        <v>45111</v>
      </c>
    </row>
    <row r="1654" spans="1:9" x14ac:dyDescent="0.15">
      <c r="A1654" s="10">
        <v>1653</v>
      </c>
      <c r="B1654" s="9" t="s">
        <v>9</v>
      </c>
      <c r="C1654" s="11" t="s">
        <v>10</v>
      </c>
      <c r="D1654" s="12">
        <v>45562</v>
      </c>
      <c r="E1654" s="14" t="str">
        <f>+HYPERLINK("http://trademark.i-assist.jp/data/china/image_1905th/72941151.pdf","72941151")</f>
        <v>72941151</v>
      </c>
      <c r="F1654" s="13" t="s">
        <v>882</v>
      </c>
      <c r="G1654" s="13" t="s">
        <v>881</v>
      </c>
      <c r="H1654" s="13" t="s">
        <v>4541</v>
      </c>
      <c r="I1654" s="12">
        <v>45126</v>
      </c>
    </row>
    <row r="1655" spans="1:9" x14ac:dyDescent="0.15">
      <c r="A1655" s="10">
        <v>1654</v>
      </c>
      <c r="B1655" s="9" t="s">
        <v>9</v>
      </c>
      <c r="C1655" s="11" t="s">
        <v>10</v>
      </c>
      <c r="D1655" s="12">
        <v>45562</v>
      </c>
      <c r="E1655" s="14" t="str">
        <f>+HYPERLINK("http://trademark.i-assist.jp/data/china/image_1905th/73361427.pdf","73361427")</f>
        <v>73361427</v>
      </c>
      <c r="F1655" s="13" t="s">
        <v>2987</v>
      </c>
      <c r="G1655" s="13" t="s">
        <v>2986</v>
      </c>
      <c r="H1655" s="13" t="s">
        <v>5378</v>
      </c>
      <c r="I1655" s="12">
        <v>45147</v>
      </c>
    </row>
    <row r="1656" spans="1:9" x14ac:dyDescent="0.15">
      <c r="A1656" s="10">
        <v>1655</v>
      </c>
      <c r="B1656" s="9" t="s">
        <v>9</v>
      </c>
      <c r="C1656" s="11" t="s">
        <v>10</v>
      </c>
      <c r="D1656" s="12">
        <v>45562</v>
      </c>
      <c r="E1656" s="14" t="str">
        <f>+HYPERLINK("http://trademark.i-assist.jp/data/china/image_1905th/73402607.pdf","73402607")</f>
        <v>73402607</v>
      </c>
      <c r="F1656" s="13" t="s">
        <v>2989</v>
      </c>
      <c r="G1656" s="13" t="s">
        <v>2988</v>
      </c>
      <c r="H1656" s="13" t="s">
        <v>5379</v>
      </c>
      <c r="I1656" s="12">
        <v>45148</v>
      </c>
    </row>
    <row r="1657" spans="1:9" x14ac:dyDescent="0.15">
      <c r="A1657" s="10">
        <v>1656</v>
      </c>
      <c r="B1657" s="9" t="s">
        <v>9</v>
      </c>
      <c r="C1657" s="11" t="s">
        <v>10</v>
      </c>
      <c r="D1657" s="12">
        <v>45562</v>
      </c>
      <c r="E1657" s="14" t="str">
        <f>+HYPERLINK("http://trademark.i-assist.jp/data/china/image_1905th/73705564.pdf","73705564")</f>
        <v>73705564</v>
      </c>
      <c r="F1657" s="13" t="s">
        <v>2991</v>
      </c>
      <c r="G1657" s="13" t="s">
        <v>2990</v>
      </c>
      <c r="H1657" s="13" t="s">
        <v>5380</v>
      </c>
      <c r="I1657" s="12">
        <v>45163</v>
      </c>
    </row>
    <row r="1658" spans="1:9" x14ac:dyDescent="0.15">
      <c r="A1658" s="10">
        <v>1657</v>
      </c>
      <c r="B1658" s="9" t="s">
        <v>9</v>
      </c>
      <c r="C1658" s="11" t="s">
        <v>10</v>
      </c>
      <c r="D1658" s="12">
        <v>45562</v>
      </c>
      <c r="E1658" s="14" t="str">
        <f>+HYPERLINK("http://trademark.i-assist.jp/data/china/image_1905th/79325759.pdf","79325759")</f>
        <v>79325759</v>
      </c>
      <c r="F1658" s="13" t="s">
        <v>2993</v>
      </c>
      <c r="G1658" s="13" t="s">
        <v>2992</v>
      </c>
      <c r="H1658" s="13" t="s">
        <v>4691</v>
      </c>
      <c r="I1658" s="12">
        <v>45463</v>
      </c>
    </row>
    <row r="1659" spans="1:9" x14ac:dyDescent="0.15">
      <c r="A1659" s="10">
        <v>1658</v>
      </c>
      <c r="B1659" s="9" t="s">
        <v>9</v>
      </c>
      <c r="C1659" s="11" t="s">
        <v>10</v>
      </c>
      <c r="D1659" s="12">
        <v>45562</v>
      </c>
      <c r="E1659" s="14" t="str">
        <f>+HYPERLINK("http://trademark.i-assist.jp/data/china/image_1905th/79330577.pdf","79330577")</f>
        <v>79330577</v>
      </c>
      <c r="F1659" s="13" t="s">
        <v>2995</v>
      </c>
      <c r="G1659" s="13" t="s">
        <v>2994</v>
      </c>
      <c r="H1659" s="13" t="s">
        <v>5381</v>
      </c>
      <c r="I1659" s="12">
        <v>45463</v>
      </c>
    </row>
    <row r="1660" spans="1:9" x14ac:dyDescent="0.15">
      <c r="A1660" s="10">
        <v>1659</v>
      </c>
      <c r="B1660" s="9" t="s">
        <v>9</v>
      </c>
      <c r="C1660" s="11" t="s">
        <v>10</v>
      </c>
      <c r="D1660" s="12">
        <v>45562</v>
      </c>
      <c r="E1660" s="14" t="str">
        <f>+HYPERLINK("http://trademark.i-assist.jp/data/china/image_1905th/79334114.pdf","79334114")</f>
        <v>79334114</v>
      </c>
      <c r="F1660" s="13" t="s">
        <v>2996</v>
      </c>
      <c r="G1660" s="13" t="s">
        <v>2227</v>
      </c>
      <c r="H1660" s="13" t="s">
        <v>5083</v>
      </c>
      <c r="I1660" s="12">
        <v>45463</v>
      </c>
    </row>
    <row r="1661" spans="1:9" x14ac:dyDescent="0.15">
      <c r="A1661" s="10">
        <v>1660</v>
      </c>
      <c r="B1661" s="9" t="s">
        <v>9</v>
      </c>
      <c r="C1661" s="11" t="s">
        <v>10</v>
      </c>
      <c r="D1661" s="12">
        <v>45562</v>
      </c>
      <c r="E1661" s="14" t="str">
        <f>+HYPERLINK("http://trademark.i-assist.jp/data/china/image_1905th/79363270.pdf","79363270")</f>
        <v>79363270</v>
      </c>
      <c r="F1661" s="13" t="s">
        <v>2998</v>
      </c>
      <c r="G1661" s="13" t="s">
        <v>2997</v>
      </c>
      <c r="H1661" s="13" t="s">
        <v>5382</v>
      </c>
      <c r="I1661" s="12">
        <v>45464</v>
      </c>
    </row>
    <row r="1662" spans="1:9" x14ac:dyDescent="0.15">
      <c r="A1662" s="10">
        <v>1661</v>
      </c>
      <c r="B1662" s="9" t="s">
        <v>9</v>
      </c>
      <c r="C1662" s="11" t="s">
        <v>10</v>
      </c>
      <c r="D1662" s="12">
        <v>45562</v>
      </c>
      <c r="E1662" s="14" t="str">
        <f>+HYPERLINK("http://trademark.i-assist.jp/data/china/image_1905th/79374625.pdf","79374625")</f>
        <v>79374625</v>
      </c>
      <c r="F1662" s="13" t="s">
        <v>2999</v>
      </c>
      <c r="G1662" s="13" t="s">
        <v>2677</v>
      </c>
      <c r="H1662" s="13" t="s">
        <v>5261</v>
      </c>
      <c r="I1662" s="12">
        <v>45464</v>
      </c>
    </row>
    <row r="1663" spans="1:9" x14ac:dyDescent="0.15">
      <c r="A1663" s="10">
        <v>1662</v>
      </c>
      <c r="B1663" s="9" t="s">
        <v>9</v>
      </c>
      <c r="C1663" s="11" t="s">
        <v>10</v>
      </c>
      <c r="D1663" s="12">
        <v>45562</v>
      </c>
      <c r="E1663" s="14" t="str">
        <f>+HYPERLINK("http://trademark.i-assist.jp/data/china/image_1905th/79375119.pdf","79375119")</f>
        <v>79375119</v>
      </c>
      <c r="F1663" s="13" t="s">
        <v>3001</v>
      </c>
      <c r="G1663" s="13" t="s">
        <v>3000</v>
      </c>
      <c r="H1663" s="13" t="s">
        <v>5004</v>
      </c>
      <c r="I1663" s="12">
        <v>45464</v>
      </c>
    </row>
    <row r="1664" spans="1:9" x14ac:dyDescent="0.15">
      <c r="A1664" s="10">
        <v>1663</v>
      </c>
      <c r="B1664" s="9" t="s">
        <v>9</v>
      </c>
      <c r="C1664" s="11" t="s">
        <v>10</v>
      </c>
      <c r="D1664" s="12">
        <v>45562</v>
      </c>
      <c r="E1664" s="14" t="str">
        <f>+HYPERLINK("http://trademark.i-assist.jp/data/china/image_1905th/78402938.pdf","78402938")</f>
        <v>78402938</v>
      </c>
      <c r="F1664" s="13" t="s">
        <v>3003</v>
      </c>
      <c r="G1664" s="13" t="s">
        <v>3002</v>
      </c>
      <c r="H1664" s="13" t="s">
        <v>5383</v>
      </c>
      <c r="I1664" s="12">
        <v>45419</v>
      </c>
    </row>
    <row r="1665" spans="1:9" x14ac:dyDescent="0.15">
      <c r="A1665" s="10">
        <v>1664</v>
      </c>
      <c r="B1665" s="9" t="s">
        <v>9</v>
      </c>
      <c r="C1665" s="11" t="s">
        <v>10</v>
      </c>
      <c r="D1665" s="12">
        <v>45562</v>
      </c>
      <c r="E1665" s="14" t="str">
        <f>+HYPERLINK("http://trademark.i-assist.jp/data/china/image_1905th/78464582.pdf","78464582")</f>
        <v>78464582</v>
      </c>
      <c r="F1665" s="13" t="s">
        <v>3005</v>
      </c>
      <c r="G1665" s="13" t="s">
        <v>3004</v>
      </c>
      <c r="H1665" s="13" t="s">
        <v>5384</v>
      </c>
      <c r="I1665" s="12">
        <v>45421</v>
      </c>
    </row>
    <row r="1666" spans="1:9" x14ac:dyDescent="0.15">
      <c r="A1666" s="10">
        <v>1665</v>
      </c>
      <c r="B1666" s="9" t="s">
        <v>9</v>
      </c>
      <c r="C1666" s="11" t="s">
        <v>10</v>
      </c>
      <c r="D1666" s="12">
        <v>45562</v>
      </c>
      <c r="E1666" s="14" t="str">
        <f>+HYPERLINK("http://trademark.i-assist.jp/data/china/image_1905th/78601920.pdf","78601920")</f>
        <v>78601920</v>
      </c>
      <c r="F1666" s="13" t="s">
        <v>3007</v>
      </c>
      <c r="G1666" s="13" t="s">
        <v>3006</v>
      </c>
      <c r="H1666" s="13" t="s">
        <v>5385</v>
      </c>
      <c r="I1666" s="12">
        <v>45427</v>
      </c>
    </row>
    <row r="1667" spans="1:9" x14ac:dyDescent="0.15">
      <c r="A1667" s="10">
        <v>1666</v>
      </c>
      <c r="B1667" s="9" t="s">
        <v>9</v>
      </c>
      <c r="C1667" s="11" t="s">
        <v>10</v>
      </c>
      <c r="D1667" s="12">
        <v>45562</v>
      </c>
      <c r="E1667" s="14" t="str">
        <f>+HYPERLINK("http://trademark.i-assist.jp/data/china/image_1905th/78637131.pdf","78637131")</f>
        <v>78637131</v>
      </c>
      <c r="F1667" s="13" t="s">
        <v>3008</v>
      </c>
      <c r="G1667" s="13" t="s">
        <v>2821</v>
      </c>
      <c r="H1667" s="13" t="s">
        <v>4937</v>
      </c>
      <c r="I1667" s="12">
        <v>45428</v>
      </c>
    </row>
    <row r="1668" spans="1:9" x14ac:dyDescent="0.15">
      <c r="A1668" s="10">
        <v>1667</v>
      </c>
      <c r="B1668" s="9" t="s">
        <v>9</v>
      </c>
      <c r="C1668" s="11" t="s">
        <v>10</v>
      </c>
      <c r="D1668" s="12">
        <v>45562</v>
      </c>
      <c r="E1668" s="14" t="str">
        <f>+HYPERLINK("http://trademark.i-assist.jp/data/china/image_1905th/78813813.pdf","78813813")</f>
        <v>78813813</v>
      </c>
      <c r="F1668" s="13" t="s">
        <v>3010</v>
      </c>
      <c r="G1668" s="13" t="s">
        <v>3009</v>
      </c>
      <c r="H1668" s="13" t="s">
        <v>5386</v>
      </c>
      <c r="I1668" s="12">
        <v>45436</v>
      </c>
    </row>
    <row r="1669" spans="1:9" x14ac:dyDescent="0.15">
      <c r="A1669" s="10">
        <v>1668</v>
      </c>
      <c r="B1669" s="9" t="s">
        <v>9</v>
      </c>
      <c r="C1669" s="11" t="s">
        <v>10</v>
      </c>
      <c r="D1669" s="12">
        <v>45562</v>
      </c>
      <c r="E1669" s="14" t="str">
        <f>+HYPERLINK("http://trademark.i-assist.jp/data/china/image_1905th/78884215.pdf","78884215")</f>
        <v>78884215</v>
      </c>
      <c r="F1669" s="13" t="s">
        <v>3012</v>
      </c>
      <c r="G1669" s="13" t="s">
        <v>3011</v>
      </c>
      <c r="H1669" s="13" t="s">
        <v>5387</v>
      </c>
      <c r="I1669" s="12">
        <v>45440</v>
      </c>
    </row>
    <row r="1670" spans="1:9" x14ac:dyDescent="0.15">
      <c r="A1670" s="10">
        <v>1669</v>
      </c>
      <c r="B1670" s="9" t="s">
        <v>9</v>
      </c>
      <c r="C1670" s="11" t="s">
        <v>10</v>
      </c>
      <c r="D1670" s="12">
        <v>45562</v>
      </c>
      <c r="E1670" s="14" t="str">
        <f>+HYPERLINK("http://trademark.i-assist.jp/data/china/image_1905th/78895630.pdf","78895630")</f>
        <v>78895630</v>
      </c>
      <c r="F1670" s="13" t="s">
        <v>3014</v>
      </c>
      <c r="G1670" s="13" t="s">
        <v>3013</v>
      </c>
      <c r="H1670" s="13" t="s">
        <v>4440</v>
      </c>
      <c r="I1670" s="12">
        <v>45441</v>
      </c>
    </row>
    <row r="1671" spans="1:9" x14ac:dyDescent="0.15">
      <c r="A1671" s="10">
        <v>1670</v>
      </c>
      <c r="B1671" s="9" t="s">
        <v>9</v>
      </c>
      <c r="C1671" s="11" t="s">
        <v>10</v>
      </c>
      <c r="D1671" s="12">
        <v>45562</v>
      </c>
      <c r="E1671" s="14" t="str">
        <f>+HYPERLINK("http://trademark.i-assist.jp/data/china/image_1905th/78978492.pdf","78978492")</f>
        <v>78978492</v>
      </c>
      <c r="F1671" s="13" t="s">
        <v>3016</v>
      </c>
      <c r="G1671" s="13" t="s">
        <v>3015</v>
      </c>
      <c r="H1671" s="13" t="s">
        <v>4227</v>
      </c>
      <c r="I1671" s="12">
        <v>45444</v>
      </c>
    </row>
    <row r="1672" spans="1:9" x14ac:dyDescent="0.15">
      <c r="A1672" s="10">
        <v>1671</v>
      </c>
      <c r="B1672" s="9" t="s">
        <v>9</v>
      </c>
      <c r="C1672" s="11" t="s">
        <v>10</v>
      </c>
      <c r="D1672" s="12">
        <v>45562</v>
      </c>
      <c r="E1672" s="14" t="str">
        <f>+HYPERLINK("http://trademark.i-assist.jp/data/china/image_1905th/79047674.pdf","79047674")</f>
        <v>79047674</v>
      </c>
      <c r="F1672" s="13" t="s">
        <v>3017</v>
      </c>
      <c r="G1672" s="13" t="s">
        <v>820</v>
      </c>
      <c r="H1672" s="13" t="s">
        <v>4514</v>
      </c>
      <c r="I1672" s="12">
        <v>45448</v>
      </c>
    </row>
    <row r="1673" spans="1:9" x14ac:dyDescent="0.15">
      <c r="A1673" s="10">
        <v>1672</v>
      </c>
      <c r="B1673" s="9" t="s">
        <v>9</v>
      </c>
      <c r="C1673" s="11" t="s">
        <v>10</v>
      </c>
      <c r="D1673" s="12">
        <v>45562</v>
      </c>
      <c r="E1673" s="14" t="str">
        <f>+HYPERLINK("http://trademark.i-assist.jp/data/china/image_1905th/79060944.pdf","79060944")</f>
        <v>79060944</v>
      </c>
      <c r="F1673" s="13" t="s">
        <v>3019</v>
      </c>
      <c r="G1673" s="13" t="s">
        <v>3018</v>
      </c>
      <c r="H1673" s="13" t="s">
        <v>5388</v>
      </c>
      <c r="I1673" s="12">
        <v>45448</v>
      </c>
    </row>
    <row r="1674" spans="1:9" x14ac:dyDescent="0.15">
      <c r="A1674" s="10">
        <v>1673</v>
      </c>
      <c r="B1674" s="9" t="s">
        <v>9</v>
      </c>
      <c r="C1674" s="11" t="s">
        <v>10</v>
      </c>
      <c r="D1674" s="12">
        <v>45562</v>
      </c>
      <c r="E1674" s="14" t="str">
        <f>+HYPERLINK("http://trademark.i-assist.jp/data/china/image_1905th/79074149.pdf","79074149")</f>
        <v>79074149</v>
      </c>
      <c r="F1674" s="13" t="s">
        <v>3021</v>
      </c>
      <c r="G1674" s="13" t="s">
        <v>3020</v>
      </c>
      <c r="H1674" s="13" t="s">
        <v>5389</v>
      </c>
      <c r="I1674" s="12">
        <v>45449</v>
      </c>
    </row>
    <row r="1675" spans="1:9" x14ac:dyDescent="0.15">
      <c r="A1675" s="10">
        <v>1674</v>
      </c>
      <c r="B1675" s="9" t="s">
        <v>9</v>
      </c>
      <c r="C1675" s="11" t="s">
        <v>10</v>
      </c>
      <c r="D1675" s="12">
        <v>45562</v>
      </c>
      <c r="E1675" s="14" t="str">
        <f>+HYPERLINK("http://trademark.i-assist.jp/data/china/image_1905th/79077374.pdf","79077374")</f>
        <v>79077374</v>
      </c>
      <c r="F1675" s="13" t="s">
        <v>3023</v>
      </c>
      <c r="G1675" s="13" t="s">
        <v>3022</v>
      </c>
      <c r="H1675" s="13" t="s">
        <v>5390</v>
      </c>
      <c r="I1675" s="12">
        <v>45449</v>
      </c>
    </row>
    <row r="1676" spans="1:9" x14ac:dyDescent="0.15">
      <c r="A1676" s="10">
        <v>1675</v>
      </c>
      <c r="B1676" s="9" t="s">
        <v>9</v>
      </c>
      <c r="C1676" s="11" t="s">
        <v>10</v>
      </c>
      <c r="D1676" s="12">
        <v>45562</v>
      </c>
      <c r="E1676" s="14" t="str">
        <f>+HYPERLINK("http://trademark.i-assist.jp/data/china/image_1905th/79153032.pdf","79153032")</f>
        <v>79153032</v>
      </c>
      <c r="F1676" s="13" t="s">
        <v>3025</v>
      </c>
      <c r="G1676" s="13" t="s">
        <v>3024</v>
      </c>
      <c r="H1676" s="13" t="s">
        <v>5391</v>
      </c>
      <c r="I1676" s="12">
        <v>45454</v>
      </c>
    </row>
    <row r="1677" spans="1:9" x14ac:dyDescent="0.15">
      <c r="A1677" s="10">
        <v>1676</v>
      </c>
      <c r="B1677" s="9" t="s">
        <v>9</v>
      </c>
      <c r="C1677" s="11" t="s">
        <v>10</v>
      </c>
      <c r="D1677" s="12">
        <v>45562</v>
      </c>
      <c r="E1677" s="14" t="str">
        <f>+HYPERLINK("http://trademark.i-assist.jp/data/china/image_1905th/79159317.pdf","79159317")</f>
        <v>79159317</v>
      </c>
      <c r="F1677" s="13" t="s">
        <v>3027</v>
      </c>
      <c r="G1677" s="13" t="s">
        <v>3026</v>
      </c>
      <c r="H1677" s="13" t="s">
        <v>5392</v>
      </c>
      <c r="I1677" s="12">
        <v>45455</v>
      </c>
    </row>
    <row r="1678" spans="1:9" x14ac:dyDescent="0.15">
      <c r="A1678" s="10">
        <v>1677</v>
      </c>
      <c r="B1678" s="9" t="s">
        <v>9</v>
      </c>
      <c r="C1678" s="11" t="s">
        <v>10</v>
      </c>
      <c r="D1678" s="12">
        <v>45562</v>
      </c>
      <c r="E1678" s="14" t="str">
        <f>+HYPERLINK("http://trademark.i-assist.jp/data/china/image_1905th/79198566.pdf","79198566")</f>
        <v>79198566</v>
      </c>
      <c r="F1678" s="13" t="s">
        <v>3028</v>
      </c>
      <c r="G1678" s="13" t="s">
        <v>969</v>
      </c>
      <c r="H1678" s="13" t="s">
        <v>4577</v>
      </c>
      <c r="I1678" s="12">
        <v>45456</v>
      </c>
    </row>
    <row r="1679" spans="1:9" x14ac:dyDescent="0.15">
      <c r="A1679" s="10">
        <v>1678</v>
      </c>
      <c r="B1679" s="9" t="s">
        <v>9</v>
      </c>
      <c r="C1679" s="11" t="s">
        <v>10</v>
      </c>
      <c r="D1679" s="12">
        <v>45562</v>
      </c>
      <c r="E1679" s="14" t="str">
        <f>+HYPERLINK("http://trademark.i-assist.jp/data/china/image_1905th/79204463.pdf","79204463")</f>
        <v>79204463</v>
      </c>
      <c r="F1679" s="13" t="s">
        <v>73</v>
      </c>
      <c r="G1679" s="13" t="s">
        <v>2665</v>
      </c>
      <c r="H1679" s="13" t="s">
        <v>4328</v>
      </c>
      <c r="I1679" s="12">
        <v>45456</v>
      </c>
    </row>
    <row r="1680" spans="1:9" x14ac:dyDescent="0.15">
      <c r="A1680" s="10">
        <v>1679</v>
      </c>
      <c r="B1680" s="9" t="s">
        <v>9</v>
      </c>
      <c r="C1680" s="11" t="s">
        <v>10</v>
      </c>
      <c r="D1680" s="12">
        <v>45562</v>
      </c>
      <c r="E1680" s="14" t="str">
        <f>+HYPERLINK("http://trademark.i-assist.jp/data/china/image_1905th/79219678.pdf","79219678")</f>
        <v>79219678</v>
      </c>
      <c r="F1680" s="13" t="s">
        <v>3030</v>
      </c>
      <c r="G1680" s="13" t="s">
        <v>3029</v>
      </c>
      <c r="H1680" s="13" t="s">
        <v>5393</v>
      </c>
      <c r="I1680" s="12">
        <v>45457</v>
      </c>
    </row>
    <row r="1681" spans="1:9" x14ac:dyDescent="0.15">
      <c r="A1681" s="10">
        <v>1680</v>
      </c>
      <c r="B1681" s="9" t="s">
        <v>9</v>
      </c>
      <c r="C1681" s="11" t="s">
        <v>10</v>
      </c>
      <c r="D1681" s="12">
        <v>45562</v>
      </c>
      <c r="E1681" s="14" t="str">
        <f>+HYPERLINK("http://trademark.i-assist.jp/data/china/image_1905th/79219602.pdf","79219602")</f>
        <v>79219602</v>
      </c>
      <c r="F1681" s="13" t="s">
        <v>3032</v>
      </c>
      <c r="G1681" s="13" t="s">
        <v>3031</v>
      </c>
      <c r="H1681" s="13" t="s">
        <v>5394</v>
      </c>
      <c r="I1681" s="12">
        <v>45457</v>
      </c>
    </row>
    <row r="1682" spans="1:9" x14ac:dyDescent="0.15">
      <c r="A1682" s="10">
        <v>1681</v>
      </c>
      <c r="B1682" s="9" t="s">
        <v>9</v>
      </c>
      <c r="C1682" s="11" t="s">
        <v>10</v>
      </c>
      <c r="D1682" s="12">
        <v>45562</v>
      </c>
      <c r="E1682" s="14" t="str">
        <f>+HYPERLINK("http://trademark.i-assist.jp/data/china/image_1905th/79241016.pdf","79241016")</f>
        <v>79241016</v>
      </c>
      <c r="F1682" s="13" t="s">
        <v>3034</v>
      </c>
      <c r="G1682" s="13" t="s">
        <v>3033</v>
      </c>
      <c r="H1682" s="13" t="s">
        <v>5395</v>
      </c>
      <c r="I1682" s="12">
        <v>45459</v>
      </c>
    </row>
    <row r="1683" spans="1:9" x14ac:dyDescent="0.15">
      <c r="A1683" s="10">
        <v>1682</v>
      </c>
      <c r="B1683" s="9" t="s">
        <v>9</v>
      </c>
      <c r="C1683" s="11" t="s">
        <v>10</v>
      </c>
      <c r="D1683" s="12">
        <v>45562</v>
      </c>
      <c r="E1683" s="14" t="str">
        <f>+HYPERLINK("http://trademark.i-assist.jp/data/china/image_1905th/79245924.pdf","79245924")</f>
        <v>79245924</v>
      </c>
      <c r="F1683" s="13" t="s">
        <v>3036</v>
      </c>
      <c r="G1683" s="13" t="s">
        <v>3035</v>
      </c>
      <c r="H1683" s="13" t="s">
        <v>5396</v>
      </c>
      <c r="I1683" s="12">
        <v>45460</v>
      </c>
    </row>
    <row r="1684" spans="1:9" x14ac:dyDescent="0.15">
      <c r="A1684" s="10">
        <v>1683</v>
      </c>
      <c r="B1684" s="9" t="s">
        <v>9</v>
      </c>
      <c r="C1684" s="11" t="s">
        <v>10</v>
      </c>
      <c r="D1684" s="12">
        <v>45562</v>
      </c>
      <c r="E1684" s="14" t="str">
        <f>+HYPERLINK("http://trademark.i-assist.jp/data/china/image_1905th/79249226.pdf","79249226")</f>
        <v>79249226</v>
      </c>
      <c r="F1684" s="13" t="s">
        <v>73</v>
      </c>
      <c r="G1684" s="13" t="s">
        <v>3037</v>
      </c>
      <c r="H1684" s="13" t="s">
        <v>5397</v>
      </c>
      <c r="I1684" s="12">
        <v>45460</v>
      </c>
    </row>
    <row r="1685" spans="1:9" x14ac:dyDescent="0.15">
      <c r="A1685" s="10">
        <v>1684</v>
      </c>
      <c r="B1685" s="9" t="s">
        <v>9</v>
      </c>
      <c r="C1685" s="11" t="s">
        <v>10</v>
      </c>
      <c r="D1685" s="12">
        <v>45562</v>
      </c>
      <c r="E1685" s="14" t="str">
        <f>+HYPERLINK("http://trademark.i-assist.jp/data/china/image_1905th/79283131.pdf","79283131")</f>
        <v>79283131</v>
      </c>
      <c r="F1685" s="13" t="s">
        <v>3039</v>
      </c>
      <c r="G1685" s="13" t="s">
        <v>3038</v>
      </c>
      <c r="H1685" s="13" t="s">
        <v>5398</v>
      </c>
      <c r="I1685" s="12">
        <v>45461</v>
      </c>
    </row>
    <row r="1686" spans="1:9" x14ac:dyDescent="0.15">
      <c r="A1686" s="10">
        <v>1685</v>
      </c>
      <c r="B1686" s="9" t="s">
        <v>9</v>
      </c>
      <c r="C1686" s="11" t="s">
        <v>10</v>
      </c>
      <c r="D1686" s="12">
        <v>45562</v>
      </c>
      <c r="E1686" s="14" t="str">
        <f>+HYPERLINK("http://trademark.i-assist.jp/data/china/image_1905th/79293865.pdf","79293865")</f>
        <v>79293865</v>
      </c>
      <c r="F1686" s="13" t="s">
        <v>3041</v>
      </c>
      <c r="G1686" s="13" t="s">
        <v>3040</v>
      </c>
      <c r="H1686" s="13" t="s">
        <v>5399</v>
      </c>
      <c r="I1686" s="12">
        <v>45461</v>
      </c>
    </row>
    <row r="1687" spans="1:9" x14ac:dyDescent="0.15">
      <c r="A1687" s="10">
        <v>1686</v>
      </c>
      <c r="B1687" s="9" t="s">
        <v>9</v>
      </c>
      <c r="C1687" s="11" t="s">
        <v>10</v>
      </c>
      <c r="D1687" s="12">
        <v>45562</v>
      </c>
      <c r="E1687" s="14" t="str">
        <f>+HYPERLINK("http://trademark.i-assist.jp/data/china/image_1905th/79301193.pdf","79301193")</f>
        <v>79301193</v>
      </c>
      <c r="F1687" s="13" t="s">
        <v>3043</v>
      </c>
      <c r="G1687" s="13" t="s">
        <v>3042</v>
      </c>
      <c r="H1687" s="13" t="s">
        <v>5400</v>
      </c>
      <c r="I1687" s="12">
        <v>45462</v>
      </c>
    </row>
    <row r="1688" spans="1:9" x14ac:dyDescent="0.15">
      <c r="A1688" s="10">
        <v>1687</v>
      </c>
      <c r="B1688" s="9" t="s">
        <v>9</v>
      </c>
      <c r="C1688" s="11" t="s">
        <v>10</v>
      </c>
      <c r="D1688" s="12">
        <v>45562</v>
      </c>
      <c r="E1688" s="14" t="str">
        <f>+HYPERLINK("http://trademark.i-assist.jp/data/china/image_1905th/79665504.pdf","79665504")</f>
        <v>79665504</v>
      </c>
      <c r="F1688" s="13" t="s">
        <v>3045</v>
      </c>
      <c r="G1688" s="13" t="s">
        <v>3044</v>
      </c>
      <c r="H1688" s="13" t="s">
        <v>5401</v>
      </c>
      <c r="I1688" s="12">
        <v>45481</v>
      </c>
    </row>
    <row r="1689" spans="1:9" x14ac:dyDescent="0.15">
      <c r="A1689" s="10">
        <v>1688</v>
      </c>
      <c r="B1689" s="9" t="s">
        <v>9</v>
      </c>
      <c r="C1689" s="11" t="s">
        <v>10</v>
      </c>
      <c r="D1689" s="12">
        <v>45562</v>
      </c>
      <c r="E1689" s="14" t="str">
        <f>+HYPERLINK("http://trademark.i-assist.jp/data/china/image_1905th/79668499.pdf","79668499")</f>
        <v>79668499</v>
      </c>
      <c r="F1689" s="13" t="s">
        <v>3047</v>
      </c>
      <c r="G1689" s="13" t="s">
        <v>3046</v>
      </c>
      <c r="H1689" s="13" t="s">
        <v>5402</v>
      </c>
      <c r="I1689" s="12">
        <v>45481</v>
      </c>
    </row>
    <row r="1690" spans="1:9" x14ac:dyDescent="0.15">
      <c r="A1690" s="10">
        <v>1689</v>
      </c>
      <c r="B1690" s="9" t="s">
        <v>9</v>
      </c>
      <c r="C1690" s="11" t="s">
        <v>10</v>
      </c>
      <c r="D1690" s="12">
        <v>45562</v>
      </c>
      <c r="E1690" s="14" t="str">
        <f>+HYPERLINK("http://trademark.i-assist.jp/data/china/image_1905th/79670380.pdf","79670380")</f>
        <v>79670380</v>
      </c>
      <c r="F1690" s="13" t="s">
        <v>3049</v>
      </c>
      <c r="G1690" s="13" t="s">
        <v>3048</v>
      </c>
      <c r="H1690" s="13" t="s">
        <v>5403</v>
      </c>
      <c r="I1690" s="12">
        <v>45481</v>
      </c>
    </row>
    <row r="1691" spans="1:9" x14ac:dyDescent="0.15">
      <c r="A1691" s="10">
        <v>1690</v>
      </c>
      <c r="B1691" s="9" t="s">
        <v>9</v>
      </c>
      <c r="C1691" s="11" t="s">
        <v>10</v>
      </c>
      <c r="D1691" s="12">
        <v>45562</v>
      </c>
      <c r="E1691" s="14" t="str">
        <f>+HYPERLINK("http://trademark.i-assist.jp/data/china/image_1905th/79675831.pdf","79675831")</f>
        <v>79675831</v>
      </c>
      <c r="F1691" s="13" t="s">
        <v>3051</v>
      </c>
      <c r="G1691" s="13" t="s">
        <v>3050</v>
      </c>
      <c r="H1691" s="13" t="s">
        <v>5404</v>
      </c>
      <c r="I1691" s="12">
        <v>45481</v>
      </c>
    </row>
    <row r="1692" spans="1:9" x14ac:dyDescent="0.15">
      <c r="A1692" s="10">
        <v>1691</v>
      </c>
      <c r="B1692" s="9" t="s">
        <v>9</v>
      </c>
      <c r="C1692" s="11" t="s">
        <v>10</v>
      </c>
      <c r="D1692" s="12">
        <v>45562</v>
      </c>
      <c r="E1692" s="14" t="str">
        <f>+HYPERLINK("http://trademark.i-assist.jp/data/china/image_1905th/79675531.pdf","79675531")</f>
        <v>79675531</v>
      </c>
      <c r="F1692" s="13" t="s">
        <v>3053</v>
      </c>
      <c r="G1692" s="13" t="s">
        <v>3052</v>
      </c>
      <c r="H1692" s="13" t="s">
        <v>5405</v>
      </c>
      <c r="I1692" s="12">
        <v>45481</v>
      </c>
    </row>
    <row r="1693" spans="1:9" x14ac:dyDescent="0.15">
      <c r="A1693" s="10">
        <v>1692</v>
      </c>
      <c r="B1693" s="9" t="s">
        <v>9</v>
      </c>
      <c r="C1693" s="11" t="s">
        <v>10</v>
      </c>
      <c r="D1693" s="12">
        <v>45562</v>
      </c>
      <c r="E1693" s="14" t="str">
        <f>+HYPERLINK("http://trademark.i-assist.jp/data/china/image_1905th/79677680.pdf","79677680")</f>
        <v>79677680</v>
      </c>
      <c r="F1693" s="13" t="s">
        <v>3055</v>
      </c>
      <c r="G1693" s="13" t="s">
        <v>3054</v>
      </c>
      <c r="H1693" s="13" t="s">
        <v>5406</v>
      </c>
      <c r="I1693" s="12">
        <v>45481</v>
      </c>
    </row>
    <row r="1694" spans="1:9" x14ac:dyDescent="0.15">
      <c r="A1694" s="10">
        <v>1693</v>
      </c>
      <c r="B1694" s="9" t="s">
        <v>9</v>
      </c>
      <c r="C1694" s="11" t="s">
        <v>10</v>
      </c>
      <c r="D1694" s="12">
        <v>45562</v>
      </c>
      <c r="E1694" s="14" t="str">
        <f>+HYPERLINK("http://trademark.i-assist.jp/data/china/image_1905th/79681345.pdf","79681345")</f>
        <v>79681345</v>
      </c>
      <c r="F1694" s="13" t="s">
        <v>3057</v>
      </c>
      <c r="G1694" s="13" t="s">
        <v>3056</v>
      </c>
      <c r="H1694" s="13" t="s">
        <v>5407</v>
      </c>
      <c r="I1694" s="12">
        <v>45482</v>
      </c>
    </row>
    <row r="1695" spans="1:9" x14ac:dyDescent="0.15">
      <c r="A1695" s="10">
        <v>1694</v>
      </c>
      <c r="B1695" s="9" t="s">
        <v>9</v>
      </c>
      <c r="C1695" s="11" t="s">
        <v>10</v>
      </c>
      <c r="D1695" s="12">
        <v>45562</v>
      </c>
      <c r="E1695" s="14" t="str">
        <f>+HYPERLINK("http://trademark.i-assist.jp/data/china/image_1905th/79681425.pdf","79681425")</f>
        <v>79681425</v>
      </c>
      <c r="F1695" s="13" t="s">
        <v>3059</v>
      </c>
      <c r="G1695" s="13" t="s">
        <v>3058</v>
      </c>
      <c r="H1695" s="13" t="s">
        <v>5408</v>
      </c>
      <c r="I1695" s="12">
        <v>45482</v>
      </c>
    </row>
    <row r="1696" spans="1:9" x14ac:dyDescent="0.15">
      <c r="A1696" s="10">
        <v>1695</v>
      </c>
      <c r="B1696" s="9" t="s">
        <v>9</v>
      </c>
      <c r="C1696" s="11" t="s">
        <v>10</v>
      </c>
      <c r="D1696" s="12">
        <v>45562</v>
      </c>
      <c r="E1696" s="14" t="str">
        <f>+HYPERLINK("http://trademark.i-assist.jp/data/china/image_1905th/79684030.pdf","79684030")</f>
        <v>79684030</v>
      </c>
      <c r="F1696" s="13" t="s">
        <v>73</v>
      </c>
      <c r="G1696" s="13" t="s">
        <v>2517</v>
      </c>
      <c r="H1696" s="13" t="s">
        <v>4328</v>
      </c>
      <c r="I1696" s="12">
        <v>45482</v>
      </c>
    </row>
    <row r="1697" spans="1:9" x14ac:dyDescent="0.15">
      <c r="A1697" s="10">
        <v>1696</v>
      </c>
      <c r="B1697" s="9" t="s">
        <v>9</v>
      </c>
      <c r="C1697" s="11" t="s">
        <v>10</v>
      </c>
      <c r="D1697" s="12">
        <v>45562</v>
      </c>
      <c r="E1697" s="14" t="str">
        <f>+HYPERLINK("http://trademark.i-assist.jp/data/china/image_1905th/79684051.pdf","79684051")</f>
        <v>79684051</v>
      </c>
      <c r="F1697" s="13" t="s">
        <v>3061</v>
      </c>
      <c r="G1697" s="13" t="s">
        <v>3060</v>
      </c>
      <c r="H1697" s="13" t="s">
        <v>5409</v>
      </c>
      <c r="I1697" s="12">
        <v>45482</v>
      </c>
    </row>
    <row r="1698" spans="1:9" x14ac:dyDescent="0.15">
      <c r="A1698" s="10">
        <v>1697</v>
      </c>
      <c r="B1698" s="9" t="s">
        <v>9</v>
      </c>
      <c r="C1698" s="11" t="s">
        <v>10</v>
      </c>
      <c r="D1698" s="12">
        <v>45562</v>
      </c>
      <c r="E1698" s="14" t="str">
        <f>+HYPERLINK("http://trademark.i-assist.jp/data/china/image_1905th/79685677.pdf","79685677")</f>
        <v>79685677</v>
      </c>
      <c r="F1698" s="13" t="s">
        <v>3063</v>
      </c>
      <c r="G1698" s="13" t="s">
        <v>3062</v>
      </c>
      <c r="H1698" s="13" t="s">
        <v>5410</v>
      </c>
      <c r="I1698" s="12">
        <v>45482</v>
      </c>
    </row>
    <row r="1699" spans="1:9" x14ac:dyDescent="0.15">
      <c r="A1699" s="10">
        <v>1698</v>
      </c>
      <c r="B1699" s="9" t="s">
        <v>9</v>
      </c>
      <c r="C1699" s="11" t="s">
        <v>10</v>
      </c>
      <c r="D1699" s="12">
        <v>45562</v>
      </c>
      <c r="E1699" s="14" t="str">
        <f>+HYPERLINK("http://trademark.i-assist.jp/data/china/image_1905th/79572591.pdf","79572591")</f>
        <v>79572591</v>
      </c>
      <c r="F1699" s="13" t="s">
        <v>3065</v>
      </c>
      <c r="G1699" s="13" t="s">
        <v>3064</v>
      </c>
      <c r="H1699" s="13" t="s">
        <v>5204</v>
      </c>
      <c r="I1699" s="12">
        <v>45475</v>
      </c>
    </row>
    <row r="1700" spans="1:9" x14ac:dyDescent="0.15">
      <c r="A1700" s="10">
        <v>1699</v>
      </c>
      <c r="B1700" s="9" t="s">
        <v>9</v>
      </c>
      <c r="C1700" s="11" t="s">
        <v>10</v>
      </c>
      <c r="D1700" s="12">
        <v>45562</v>
      </c>
      <c r="E1700" s="14" t="str">
        <f>+HYPERLINK("http://trademark.i-assist.jp/data/china/image_1905th/79573573.pdf","79573573")</f>
        <v>79573573</v>
      </c>
      <c r="F1700" s="13" t="s">
        <v>3066</v>
      </c>
      <c r="G1700" s="13" t="s">
        <v>2638</v>
      </c>
      <c r="H1700" s="13" t="s">
        <v>5243</v>
      </c>
      <c r="I1700" s="12">
        <v>45475</v>
      </c>
    </row>
    <row r="1701" spans="1:9" x14ac:dyDescent="0.15">
      <c r="A1701" s="10">
        <v>1700</v>
      </c>
      <c r="B1701" s="9" t="s">
        <v>9</v>
      </c>
      <c r="C1701" s="11" t="s">
        <v>10</v>
      </c>
      <c r="D1701" s="12">
        <v>45562</v>
      </c>
      <c r="E1701" s="14" t="str">
        <f>+HYPERLINK("http://trademark.i-assist.jp/data/china/image_1905th/79579424.pdf","79579424")</f>
        <v>79579424</v>
      </c>
      <c r="F1701" s="13" t="s">
        <v>3068</v>
      </c>
      <c r="G1701" s="13" t="s">
        <v>3067</v>
      </c>
      <c r="H1701" s="13" t="s">
        <v>5411</v>
      </c>
      <c r="I1701" s="12">
        <v>45476</v>
      </c>
    </row>
    <row r="1702" spans="1:9" x14ac:dyDescent="0.15">
      <c r="A1702" s="10">
        <v>1701</v>
      </c>
      <c r="B1702" s="9" t="s">
        <v>9</v>
      </c>
      <c r="C1702" s="11" t="s">
        <v>10</v>
      </c>
      <c r="D1702" s="12">
        <v>45562</v>
      </c>
      <c r="E1702" s="14" t="str">
        <f>+HYPERLINK("http://trademark.i-assist.jp/data/china/image_1905th/79600851.pdf","79600851")</f>
        <v>79600851</v>
      </c>
      <c r="F1702" s="13" t="s">
        <v>3070</v>
      </c>
      <c r="G1702" s="13" t="s">
        <v>3069</v>
      </c>
      <c r="H1702" s="13" t="s">
        <v>5412</v>
      </c>
      <c r="I1702" s="12">
        <v>45477</v>
      </c>
    </row>
    <row r="1703" spans="1:9" x14ac:dyDescent="0.15">
      <c r="A1703" s="10">
        <v>1702</v>
      </c>
      <c r="B1703" s="9" t="s">
        <v>9</v>
      </c>
      <c r="C1703" s="11" t="s">
        <v>10</v>
      </c>
      <c r="D1703" s="12">
        <v>45562</v>
      </c>
      <c r="E1703" s="14" t="str">
        <f>+HYPERLINK("http://trademark.i-assist.jp/data/china/image_1905th/79603482.pdf","79603482")</f>
        <v>79603482</v>
      </c>
      <c r="F1703" s="13" t="s">
        <v>3072</v>
      </c>
      <c r="G1703" s="13" t="s">
        <v>3071</v>
      </c>
      <c r="H1703" s="13" t="s">
        <v>5413</v>
      </c>
      <c r="I1703" s="12">
        <v>45477</v>
      </c>
    </row>
    <row r="1704" spans="1:9" x14ac:dyDescent="0.15">
      <c r="A1704" s="10">
        <v>1703</v>
      </c>
      <c r="B1704" s="9" t="s">
        <v>9</v>
      </c>
      <c r="C1704" s="11" t="s">
        <v>10</v>
      </c>
      <c r="D1704" s="12">
        <v>45562</v>
      </c>
      <c r="E1704" s="14" t="str">
        <f>+HYPERLINK("http://trademark.i-assist.jp/data/china/image_1905th/79604183.pdf","79604183")</f>
        <v>79604183</v>
      </c>
      <c r="F1704" s="13" t="s">
        <v>3073</v>
      </c>
      <c r="G1704" s="13" t="s">
        <v>466</v>
      </c>
      <c r="H1704" s="13" t="s">
        <v>4359</v>
      </c>
      <c r="I1704" s="12">
        <v>45477</v>
      </c>
    </row>
    <row r="1705" spans="1:9" x14ac:dyDescent="0.15">
      <c r="A1705" s="10">
        <v>1704</v>
      </c>
      <c r="B1705" s="9" t="s">
        <v>9</v>
      </c>
      <c r="C1705" s="11" t="s">
        <v>10</v>
      </c>
      <c r="D1705" s="12">
        <v>45562</v>
      </c>
      <c r="E1705" s="14" t="str">
        <f>+HYPERLINK("http://trademark.i-assist.jp/data/china/image_1905th/79604839.pdf","79604839")</f>
        <v>79604839</v>
      </c>
      <c r="F1705" s="13" t="s">
        <v>3074</v>
      </c>
      <c r="G1705" s="13" t="s">
        <v>2086</v>
      </c>
      <c r="H1705" s="13" t="s">
        <v>5029</v>
      </c>
      <c r="I1705" s="12">
        <v>45477</v>
      </c>
    </row>
    <row r="1706" spans="1:9" x14ac:dyDescent="0.15">
      <c r="A1706" s="10">
        <v>1705</v>
      </c>
      <c r="B1706" s="9" t="s">
        <v>9</v>
      </c>
      <c r="C1706" s="11" t="s">
        <v>10</v>
      </c>
      <c r="D1706" s="12">
        <v>45562</v>
      </c>
      <c r="E1706" s="14" t="str">
        <f>+HYPERLINK("http://trademark.i-assist.jp/data/china/image_1905th/79487955.pdf","79487955")</f>
        <v>79487955</v>
      </c>
      <c r="F1706" s="13" t="s">
        <v>3076</v>
      </c>
      <c r="G1706" s="13" t="s">
        <v>3075</v>
      </c>
      <c r="H1706" s="13" t="s">
        <v>5414</v>
      </c>
      <c r="I1706" s="12">
        <v>45470</v>
      </c>
    </row>
    <row r="1707" spans="1:9" x14ac:dyDescent="0.15">
      <c r="A1707" s="10">
        <v>1706</v>
      </c>
      <c r="B1707" s="9" t="s">
        <v>9</v>
      </c>
      <c r="C1707" s="11" t="s">
        <v>10</v>
      </c>
      <c r="D1707" s="12">
        <v>45562</v>
      </c>
      <c r="E1707" s="14" t="str">
        <f>+HYPERLINK("http://trademark.i-assist.jp/data/china/image_1905th/79498392.pdf","79498392")</f>
        <v>79498392</v>
      </c>
      <c r="F1707" s="13" t="s">
        <v>3078</v>
      </c>
      <c r="G1707" s="13" t="s">
        <v>3077</v>
      </c>
      <c r="H1707" s="13" t="s">
        <v>5415</v>
      </c>
      <c r="I1707" s="12">
        <v>45471</v>
      </c>
    </row>
    <row r="1708" spans="1:9" x14ac:dyDescent="0.15">
      <c r="A1708" s="10">
        <v>1707</v>
      </c>
      <c r="B1708" s="9" t="s">
        <v>9</v>
      </c>
      <c r="C1708" s="11" t="s">
        <v>10</v>
      </c>
      <c r="D1708" s="12">
        <v>45562</v>
      </c>
      <c r="E1708" s="14" t="str">
        <f>+HYPERLINK("http://trademark.i-assist.jp/data/china/image_1905th/79499143.pdf","79499143")</f>
        <v>79499143</v>
      </c>
      <c r="F1708" s="13" t="s">
        <v>3079</v>
      </c>
      <c r="G1708" s="13" t="s">
        <v>92</v>
      </c>
      <c r="H1708" s="13" t="s">
        <v>4187</v>
      </c>
      <c r="I1708" s="12">
        <v>45471</v>
      </c>
    </row>
    <row r="1709" spans="1:9" x14ac:dyDescent="0.15">
      <c r="A1709" s="10">
        <v>1708</v>
      </c>
      <c r="B1709" s="9" t="s">
        <v>9</v>
      </c>
      <c r="C1709" s="11" t="s">
        <v>10</v>
      </c>
      <c r="D1709" s="12">
        <v>45562</v>
      </c>
      <c r="E1709" s="14" t="str">
        <f>+HYPERLINK("http://trademark.i-assist.jp/data/china/image_1905th/79506678.pdf","79506678")</f>
        <v>79506678</v>
      </c>
      <c r="F1709" s="13" t="s">
        <v>3080</v>
      </c>
      <c r="G1709" s="13" t="s">
        <v>2288</v>
      </c>
      <c r="H1709" s="13" t="s">
        <v>5108</v>
      </c>
      <c r="I1709" s="12">
        <v>45471</v>
      </c>
    </row>
    <row r="1710" spans="1:9" x14ac:dyDescent="0.15">
      <c r="A1710" s="10">
        <v>1709</v>
      </c>
      <c r="B1710" s="9" t="s">
        <v>9</v>
      </c>
      <c r="C1710" s="11" t="s">
        <v>10</v>
      </c>
      <c r="D1710" s="12">
        <v>45562</v>
      </c>
      <c r="E1710" s="14" t="str">
        <f>+HYPERLINK("http://trademark.i-assist.jp/data/china/image_1905th/79513394.pdf","79513394")</f>
        <v>79513394</v>
      </c>
      <c r="F1710" s="13" t="s">
        <v>3082</v>
      </c>
      <c r="G1710" s="13" t="s">
        <v>3081</v>
      </c>
      <c r="H1710" s="13" t="s">
        <v>5416</v>
      </c>
      <c r="I1710" s="12">
        <v>45471</v>
      </c>
    </row>
    <row r="1711" spans="1:9" x14ac:dyDescent="0.15">
      <c r="A1711" s="10">
        <v>1710</v>
      </c>
      <c r="B1711" s="9" t="s">
        <v>9</v>
      </c>
      <c r="C1711" s="11" t="s">
        <v>10</v>
      </c>
      <c r="D1711" s="12">
        <v>45562</v>
      </c>
      <c r="E1711" s="14" t="str">
        <f>+HYPERLINK("http://trademark.i-assist.jp/data/china/image_1905th/79516348.pdf","79516348")</f>
        <v>79516348</v>
      </c>
      <c r="F1711" s="13" t="s">
        <v>3084</v>
      </c>
      <c r="G1711" s="13" t="s">
        <v>3083</v>
      </c>
      <c r="H1711" s="13" t="s">
        <v>5417</v>
      </c>
      <c r="I1711" s="12">
        <v>45472</v>
      </c>
    </row>
    <row r="1712" spans="1:9" x14ac:dyDescent="0.15">
      <c r="A1712" s="10">
        <v>1711</v>
      </c>
      <c r="B1712" s="9" t="s">
        <v>9</v>
      </c>
      <c r="C1712" s="11" t="s">
        <v>10</v>
      </c>
      <c r="D1712" s="12">
        <v>45562</v>
      </c>
      <c r="E1712" s="14" t="str">
        <f>+HYPERLINK("http://trademark.i-assist.jp/data/china/image_1905th/79400535.pdf","79400535")</f>
        <v>79400535</v>
      </c>
      <c r="F1712" s="13" t="s">
        <v>3086</v>
      </c>
      <c r="G1712" s="13" t="s">
        <v>3085</v>
      </c>
      <c r="H1712" s="13" t="s">
        <v>5418</v>
      </c>
      <c r="I1712" s="12">
        <v>45467</v>
      </c>
    </row>
    <row r="1713" spans="1:9" x14ac:dyDescent="0.15">
      <c r="A1713" s="10">
        <v>1712</v>
      </c>
      <c r="B1713" s="9" t="s">
        <v>9</v>
      </c>
      <c r="C1713" s="11" t="s">
        <v>10</v>
      </c>
      <c r="D1713" s="12">
        <v>45562</v>
      </c>
      <c r="E1713" s="14" t="str">
        <f>+HYPERLINK("http://trademark.i-assist.jp/data/china/image_1905th/79407210.pdf","79407210")</f>
        <v>79407210</v>
      </c>
      <c r="F1713" s="13" t="s">
        <v>3088</v>
      </c>
      <c r="G1713" s="13" t="s">
        <v>3087</v>
      </c>
      <c r="H1713" s="13" t="s">
        <v>5419</v>
      </c>
      <c r="I1713" s="12">
        <v>45467</v>
      </c>
    </row>
    <row r="1714" spans="1:9" x14ac:dyDescent="0.15">
      <c r="A1714" s="10">
        <v>1713</v>
      </c>
      <c r="B1714" s="9" t="s">
        <v>9</v>
      </c>
      <c r="C1714" s="11" t="s">
        <v>10</v>
      </c>
      <c r="D1714" s="12">
        <v>45562</v>
      </c>
      <c r="E1714" s="14" t="str">
        <f>+HYPERLINK("http://trademark.i-assist.jp/data/china/image_1905th/79410654.pdf","79410654")</f>
        <v>79410654</v>
      </c>
      <c r="F1714" s="13" t="s">
        <v>3090</v>
      </c>
      <c r="G1714" s="13" t="s">
        <v>3089</v>
      </c>
      <c r="H1714" s="13" t="s">
        <v>4620</v>
      </c>
      <c r="I1714" s="12">
        <v>45467</v>
      </c>
    </row>
    <row r="1715" spans="1:9" x14ac:dyDescent="0.15">
      <c r="A1715" s="10">
        <v>1714</v>
      </c>
      <c r="B1715" s="9" t="s">
        <v>9</v>
      </c>
      <c r="C1715" s="11" t="s">
        <v>10</v>
      </c>
      <c r="D1715" s="12">
        <v>45562</v>
      </c>
      <c r="E1715" s="14" t="str">
        <f>+HYPERLINK("http://trademark.i-assist.jp/data/china/image_1905th/79439497.pdf","79439497")</f>
        <v>79439497</v>
      </c>
      <c r="F1715" s="13" t="s">
        <v>3092</v>
      </c>
      <c r="G1715" s="13" t="s">
        <v>3091</v>
      </c>
      <c r="H1715" s="13" t="s">
        <v>5420</v>
      </c>
      <c r="I1715" s="12">
        <v>45469</v>
      </c>
    </row>
    <row r="1716" spans="1:9" x14ac:dyDescent="0.15">
      <c r="A1716" s="10">
        <v>1715</v>
      </c>
      <c r="B1716" s="9" t="s">
        <v>9</v>
      </c>
      <c r="C1716" s="11" t="s">
        <v>10</v>
      </c>
      <c r="D1716" s="12">
        <v>45562</v>
      </c>
      <c r="E1716" s="14" t="str">
        <f>+HYPERLINK("http://trademark.i-assist.jp/data/china/image_1905th/79448684.pdf","79448684")</f>
        <v>79448684</v>
      </c>
      <c r="F1716" s="13" t="s">
        <v>3094</v>
      </c>
      <c r="G1716" s="13" t="s">
        <v>3093</v>
      </c>
      <c r="H1716" s="13" t="s">
        <v>5421</v>
      </c>
      <c r="I1716" s="12">
        <v>45469</v>
      </c>
    </row>
    <row r="1717" spans="1:9" x14ac:dyDescent="0.15">
      <c r="A1717" s="10">
        <v>1716</v>
      </c>
      <c r="B1717" s="9" t="s">
        <v>9</v>
      </c>
      <c r="C1717" s="11" t="s">
        <v>10</v>
      </c>
      <c r="D1717" s="12">
        <v>45562</v>
      </c>
      <c r="E1717" s="14" t="str">
        <f>+HYPERLINK("http://trademark.i-assist.jp/data/china/image_1905th/79454182.pdf","79454182")</f>
        <v>79454182</v>
      </c>
      <c r="F1717" s="13" t="s">
        <v>3096</v>
      </c>
      <c r="G1717" s="13" t="s">
        <v>3095</v>
      </c>
      <c r="H1717" s="13" t="s">
        <v>5422</v>
      </c>
      <c r="I1717" s="12">
        <v>45469</v>
      </c>
    </row>
    <row r="1718" spans="1:9" x14ac:dyDescent="0.15">
      <c r="A1718" s="10">
        <v>1717</v>
      </c>
      <c r="B1718" s="9" t="s">
        <v>9</v>
      </c>
      <c r="C1718" s="11" t="s">
        <v>10</v>
      </c>
      <c r="D1718" s="12">
        <v>45562</v>
      </c>
      <c r="E1718" s="14" t="str">
        <f>+HYPERLINK("http://trademark.i-assist.jp/data/china/image_1905th/79456919.pdf","79456919")</f>
        <v>79456919</v>
      </c>
      <c r="F1718" s="13" t="s">
        <v>3098</v>
      </c>
      <c r="G1718" s="13" t="s">
        <v>3097</v>
      </c>
      <c r="H1718" s="13" t="s">
        <v>4162</v>
      </c>
      <c r="I1718" s="12">
        <v>45469</v>
      </c>
    </row>
    <row r="1719" spans="1:9" x14ac:dyDescent="0.15">
      <c r="A1719" s="10">
        <v>1718</v>
      </c>
      <c r="B1719" s="9" t="s">
        <v>9</v>
      </c>
      <c r="C1719" s="11" t="s">
        <v>10</v>
      </c>
      <c r="D1719" s="12">
        <v>45562</v>
      </c>
      <c r="E1719" s="14" t="str">
        <f>+HYPERLINK("http://trademark.i-assist.jp/data/china/image_1905th/79456980.pdf","79456980")</f>
        <v>79456980</v>
      </c>
      <c r="F1719" s="13" t="s">
        <v>3100</v>
      </c>
      <c r="G1719" s="13" t="s">
        <v>3099</v>
      </c>
      <c r="H1719" s="13" t="s">
        <v>5423</v>
      </c>
      <c r="I1719" s="12">
        <v>45469</v>
      </c>
    </row>
    <row r="1720" spans="1:9" x14ac:dyDescent="0.15">
      <c r="A1720" s="10">
        <v>1719</v>
      </c>
      <c r="B1720" s="9" t="s">
        <v>9</v>
      </c>
      <c r="C1720" s="11" t="s">
        <v>10</v>
      </c>
      <c r="D1720" s="12">
        <v>45562</v>
      </c>
      <c r="E1720" s="14" t="str">
        <f>+HYPERLINK("http://trademark.i-assist.jp/data/china/image_1905th/79460075.pdf","79460075")</f>
        <v>79460075</v>
      </c>
      <c r="F1720" s="13" t="s">
        <v>3102</v>
      </c>
      <c r="G1720" s="13" t="s">
        <v>3101</v>
      </c>
      <c r="H1720" s="13" t="s">
        <v>4179</v>
      </c>
      <c r="I1720" s="12">
        <v>45469</v>
      </c>
    </row>
    <row r="1721" spans="1:9" x14ac:dyDescent="0.15">
      <c r="A1721" s="10">
        <v>1720</v>
      </c>
      <c r="B1721" s="9" t="s">
        <v>9</v>
      </c>
      <c r="C1721" s="11" t="s">
        <v>10</v>
      </c>
      <c r="D1721" s="12">
        <v>45562</v>
      </c>
      <c r="E1721" s="14" t="str">
        <f>+HYPERLINK("http://trademark.i-assist.jp/data/china/image_1905th/79460159.pdf","79460159")</f>
        <v>79460159</v>
      </c>
      <c r="F1721" s="13" t="s">
        <v>3104</v>
      </c>
      <c r="G1721" s="13" t="s">
        <v>3103</v>
      </c>
      <c r="H1721" s="13" t="s">
        <v>5424</v>
      </c>
      <c r="I1721" s="12">
        <v>45469</v>
      </c>
    </row>
    <row r="1722" spans="1:9" x14ac:dyDescent="0.15">
      <c r="A1722" s="10">
        <v>1721</v>
      </c>
      <c r="B1722" s="9" t="s">
        <v>9</v>
      </c>
      <c r="C1722" s="11" t="s">
        <v>10</v>
      </c>
      <c r="D1722" s="12">
        <v>45562</v>
      </c>
      <c r="E1722" s="14" t="str">
        <f>+HYPERLINK("http://trademark.i-assist.jp/data/china/image_1905th/79460603.pdf","79460603")</f>
        <v>79460603</v>
      </c>
      <c r="F1722" s="13" t="s">
        <v>3106</v>
      </c>
      <c r="G1722" s="13" t="s">
        <v>3105</v>
      </c>
      <c r="H1722" s="13" t="s">
        <v>4227</v>
      </c>
      <c r="I1722" s="12">
        <v>45469</v>
      </c>
    </row>
    <row r="1723" spans="1:9" x14ac:dyDescent="0.15">
      <c r="A1723" s="10">
        <v>1722</v>
      </c>
      <c r="B1723" s="9" t="s">
        <v>9</v>
      </c>
      <c r="C1723" s="11" t="s">
        <v>10</v>
      </c>
      <c r="D1723" s="12">
        <v>45562</v>
      </c>
      <c r="E1723" s="14" t="str">
        <f>+HYPERLINK("http://trademark.i-assist.jp/data/china/image_1905th/79463809.pdf","79463809")</f>
        <v>79463809</v>
      </c>
      <c r="F1723" s="13" t="s">
        <v>3108</v>
      </c>
      <c r="G1723" s="13" t="s">
        <v>3107</v>
      </c>
      <c r="H1723" s="13" t="s">
        <v>5425</v>
      </c>
      <c r="I1723" s="12">
        <v>45470</v>
      </c>
    </row>
    <row r="1724" spans="1:9" x14ac:dyDescent="0.15">
      <c r="A1724" s="10">
        <v>1723</v>
      </c>
      <c r="B1724" s="9" t="s">
        <v>9</v>
      </c>
      <c r="C1724" s="11" t="s">
        <v>10</v>
      </c>
      <c r="D1724" s="12">
        <v>45562</v>
      </c>
      <c r="E1724" s="14" t="str">
        <f>+HYPERLINK("http://trademark.i-assist.jp/data/china/image_1905th/79713880.pdf","79713880")</f>
        <v>79713880</v>
      </c>
      <c r="F1724" s="13" t="s">
        <v>3110</v>
      </c>
      <c r="G1724" s="13" t="s">
        <v>3109</v>
      </c>
      <c r="H1724" s="13" t="s">
        <v>5426</v>
      </c>
      <c r="I1724" s="12">
        <v>45483</v>
      </c>
    </row>
    <row r="1725" spans="1:9" x14ac:dyDescent="0.15">
      <c r="A1725" s="10">
        <v>1724</v>
      </c>
      <c r="B1725" s="9" t="s">
        <v>9</v>
      </c>
      <c r="C1725" s="11" t="s">
        <v>10</v>
      </c>
      <c r="D1725" s="12">
        <v>45562</v>
      </c>
      <c r="E1725" s="14" t="str">
        <f>+HYPERLINK("http://trademark.i-assist.jp/data/china/image_1905th/79713964.pdf","79713964")</f>
        <v>79713964</v>
      </c>
      <c r="F1725" s="13" t="s">
        <v>3112</v>
      </c>
      <c r="G1725" s="13" t="s">
        <v>3111</v>
      </c>
      <c r="H1725" s="13" t="s">
        <v>4801</v>
      </c>
      <c r="I1725" s="12">
        <v>45483</v>
      </c>
    </row>
    <row r="1726" spans="1:9" x14ac:dyDescent="0.15">
      <c r="A1726" s="10">
        <v>1725</v>
      </c>
      <c r="B1726" s="9" t="s">
        <v>9</v>
      </c>
      <c r="C1726" s="11" t="s">
        <v>10</v>
      </c>
      <c r="D1726" s="12">
        <v>45562</v>
      </c>
      <c r="E1726" s="14" t="str">
        <f>+HYPERLINK("http://trademark.i-assist.jp/data/china/image_1905th/79716393.pdf","79716393")</f>
        <v>79716393</v>
      </c>
      <c r="F1726" s="13" t="s">
        <v>3113</v>
      </c>
      <c r="G1726" s="13" t="s">
        <v>774</v>
      </c>
      <c r="H1726" s="13" t="s">
        <v>4257</v>
      </c>
      <c r="I1726" s="12">
        <v>45483</v>
      </c>
    </row>
    <row r="1727" spans="1:9" x14ac:dyDescent="0.15">
      <c r="A1727" s="10">
        <v>1726</v>
      </c>
      <c r="B1727" s="9" t="s">
        <v>9</v>
      </c>
      <c r="C1727" s="11" t="s">
        <v>10</v>
      </c>
      <c r="D1727" s="12">
        <v>45562</v>
      </c>
      <c r="E1727" s="14" t="str">
        <f>+HYPERLINK("http://trademark.i-assist.jp/data/china/image_1905th/79716765.pdf","79716765")</f>
        <v>79716765</v>
      </c>
      <c r="F1727" s="13" t="s">
        <v>3114</v>
      </c>
      <c r="G1727" s="13" t="s">
        <v>1470</v>
      </c>
      <c r="H1727" s="13" t="s">
        <v>4767</v>
      </c>
      <c r="I1727" s="12">
        <v>45483</v>
      </c>
    </row>
    <row r="1728" spans="1:9" x14ac:dyDescent="0.15">
      <c r="A1728" s="10">
        <v>1727</v>
      </c>
      <c r="B1728" s="9" t="s">
        <v>9</v>
      </c>
      <c r="C1728" s="11" t="s">
        <v>10</v>
      </c>
      <c r="D1728" s="12">
        <v>45562</v>
      </c>
      <c r="E1728" s="14" t="str">
        <f>+HYPERLINK("http://trademark.i-assist.jp/data/china/image_1905th/79722003.pdf","79722003")</f>
        <v>79722003</v>
      </c>
      <c r="F1728" s="13" t="s">
        <v>3115</v>
      </c>
      <c r="G1728" s="13" t="s">
        <v>774</v>
      </c>
      <c r="H1728" s="13" t="s">
        <v>4257</v>
      </c>
      <c r="I1728" s="12">
        <v>45483</v>
      </c>
    </row>
    <row r="1729" spans="1:9" x14ac:dyDescent="0.15">
      <c r="A1729" s="10">
        <v>1728</v>
      </c>
      <c r="B1729" s="9" t="s">
        <v>9</v>
      </c>
      <c r="C1729" s="11" t="s">
        <v>10</v>
      </c>
      <c r="D1729" s="12">
        <v>45562</v>
      </c>
      <c r="E1729" s="14" t="str">
        <f>+HYPERLINK("http://trademark.i-assist.jp/data/china/image_1905th/79726693.pdf","79726693")</f>
        <v>79726693</v>
      </c>
      <c r="F1729" s="13" t="s">
        <v>3117</v>
      </c>
      <c r="G1729" s="13" t="s">
        <v>3116</v>
      </c>
      <c r="H1729" s="13" t="s">
        <v>5427</v>
      </c>
      <c r="I1729" s="12">
        <v>45483</v>
      </c>
    </row>
    <row r="1730" spans="1:9" x14ac:dyDescent="0.15">
      <c r="A1730" s="10">
        <v>1729</v>
      </c>
      <c r="B1730" s="9" t="s">
        <v>9</v>
      </c>
      <c r="C1730" s="11" t="s">
        <v>10</v>
      </c>
      <c r="D1730" s="12">
        <v>45562</v>
      </c>
      <c r="E1730" s="14" t="str">
        <f>+HYPERLINK("http://trademark.i-assist.jp/data/china/image_1905th/79729530.pdf","79729530")</f>
        <v>79729530</v>
      </c>
      <c r="F1730" s="13" t="s">
        <v>3119</v>
      </c>
      <c r="G1730" s="13" t="s">
        <v>3118</v>
      </c>
      <c r="H1730" s="13" t="s">
        <v>5428</v>
      </c>
      <c r="I1730" s="12">
        <v>45484</v>
      </c>
    </row>
    <row r="1731" spans="1:9" x14ac:dyDescent="0.15">
      <c r="A1731" s="10">
        <v>1730</v>
      </c>
      <c r="B1731" s="9" t="s">
        <v>9</v>
      </c>
      <c r="C1731" s="11" t="s">
        <v>10</v>
      </c>
      <c r="D1731" s="12">
        <v>45562</v>
      </c>
      <c r="E1731" s="14" t="str">
        <f>+HYPERLINK("http://trademark.i-assist.jp/data/china/image_1905th/79729996.pdf","79729996")</f>
        <v>79729996</v>
      </c>
      <c r="F1731" s="13" t="s">
        <v>3121</v>
      </c>
      <c r="G1731" s="13" t="s">
        <v>3120</v>
      </c>
      <c r="H1731" s="13" t="s">
        <v>5429</v>
      </c>
      <c r="I1731" s="12">
        <v>45484</v>
      </c>
    </row>
    <row r="1732" spans="1:9" x14ac:dyDescent="0.15">
      <c r="A1732" s="10">
        <v>1731</v>
      </c>
      <c r="B1732" s="9" t="s">
        <v>9</v>
      </c>
      <c r="C1732" s="11" t="s">
        <v>10</v>
      </c>
      <c r="D1732" s="12">
        <v>45562</v>
      </c>
      <c r="E1732" s="14" t="str">
        <f>+HYPERLINK("http://trademark.i-assist.jp/data/china/image_1905th/79730051.pdf","79730051")</f>
        <v>79730051</v>
      </c>
      <c r="F1732" s="13" t="s">
        <v>3123</v>
      </c>
      <c r="G1732" s="13" t="s">
        <v>3122</v>
      </c>
      <c r="H1732" s="13" t="s">
        <v>5430</v>
      </c>
      <c r="I1732" s="12">
        <v>45484</v>
      </c>
    </row>
    <row r="1733" spans="1:9" x14ac:dyDescent="0.15">
      <c r="A1733" s="10">
        <v>1732</v>
      </c>
      <c r="B1733" s="9" t="s">
        <v>9</v>
      </c>
      <c r="C1733" s="11" t="s">
        <v>10</v>
      </c>
      <c r="D1733" s="12">
        <v>45562</v>
      </c>
      <c r="E1733" s="14" t="str">
        <f>+HYPERLINK("http://trademark.i-assist.jp/data/china/image_1905th/79730935.pdf","79730935")</f>
        <v>79730935</v>
      </c>
      <c r="F1733" s="13" t="s">
        <v>73</v>
      </c>
      <c r="G1733" s="13" t="s">
        <v>3124</v>
      </c>
      <c r="H1733" s="13" t="s">
        <v>5431</v>
      </c>
      <c r="I1733" s="12">
        <v>45484</v>
      </c>
    </row>
    <row r="1734" spans="1:9" x14ac:dyDescent="0.15">
      <c r="A1734" s="10">
        <v>1733</v>
      </c>
      <c r="B1734" s="9" t="s">
        <v>9</v>
      </c>
      <c r="C1734" s="11" t="s">
        <v>10</v>
      </c>
      <c r="D1734" s="12">
        <v>45562</v>
      </c>
      <c r="E1734" s="14" t="str">
        <f>+HYPERLINK("http://trademark.i-assist.jp/data/china/image_1905th/79610526.pdf","79610526")</f>
        <v>79610526</v>
      </c>
      <c r="F1734" s="13" t="s">
        <v>3125</v>
      </c>
      <c r="G1734" s="13" t="s">
        <v>1122</v>
      </c>
      <c r="H1734" s="13" t="s">
        <v>4620</v>
      </c>
      <c r="I1734" s="12">
        <v>45477</v>
      </c>
    </row>
    <row r="1735" spans="1:9" x14ac:dyDescent="0.15">
      <c r="A1735" s="10">
        <v>1734</v>
      </c>
      <c r="B1735" s="9" t="s">
        <v>9</v>
      </c>
      <c r="C1735" s="11" t="s">
        <v>10</v>
      </c>
      <c r="D1735" s="12">
        <v>45562</v>
      </c>
      <c r="E1735" s="14" t="str">
        <f>+HYPERLINK("http://trademark.i-assist.jp/data/china/image_1905th/79613150.pdf","79613150")</f>
        <v>79613150</v>
      </c>
      <c r="F1735" s="13" t="s">
        <v>3127</v>
      </c>
      <c r="G1735" s="13" t="s">
        <v>3126</v>
      </c>
      <c r="H1735" s="13" t="s">
        <v>5432</v>
      </c>
      <c r="I1735" s="12">
        <v>45477</v>
      </c>
    </row>
    <row r="1736" spans="1:9" x14ac:dyDescent="0.15">
      <c r="A1736" s="10">
        <v>1735</v>
      </c>
      <c r="B1736" s="9" t="s">
        <v>9</v>
      </c>
      <c r="C1736" s="11" t="s">
        <v>10</v>
      </c>
      <c r="D1736" s="12">
        <v>45562</v>
      </c>
      <c r="E1736" s="14" t="str">
        <f>+HYPERLINK("http://trademark.i-assist.jp/data/china/image_1905th/79625021.pdf","79625021")</f>
        <v>79625021</v>
      </c>
      <c r="F1736" s="13" t="s">
        <v>3129</v>
      </c>
      <c r="G1736" s="13" t="s">
        <v>3128</v>
      </c>
      <c r="H1736" s="13" t="s">
        <v>5433</v>
      </c>
      <c r="I1736" s="12">
        <v>45478</v>
      </c>
    </row>
    <row r="1737" spans="1:9" x14ac:dyDescent="0.15">
      <c r="A1737" s="10">
        <v>1736</v>
      </c>
      <c r="B1737" s="9" t="s">
        <v>9</v>
      </c>
      <c r="C1737" s="11" t="s">
        <v>10</v>
      </c>
      <c r="D1737" s="12">
        <v>45562</v>
      </c>
      <c r="E1737" s="14" t="str">
        <f>+HYPERLINK("http://trademark.i-assist.jp/data/china/image_1905th/79625583.pdf","79625583")</f>
        <v>79625583</v>
      </c>
      <c r="F1737" s="13" t="s">
        <v>3130</v>
      </c>
      <c r="G1737" s="13" t="s">
        <v>417</v>
      </c>
      <c r="H1737" s="13" t="s">
        <v>4227</v>
      </c>
      <c r="I1737" s="12">
        <v>45478</v>
      </c>
    </row>
    <row r="1738" spans="1:9" x14ac:dyDescent="0.15">
      <c r="A1738" s="10">
        <v>1737</v>
      </c>
      <c r="B1738" s="9" t="s">
        <v>9</v>
      </c>
      <c r="C1738" s="11" t="s">
        <v>10</v>
      </c>
      <c r="D1738" s="12">
        <v>45562</v>
      </c>
      <c r="E1738" s="14" t="str">
        <f>+HYPERLINK("http://trademark.i-assist.jp/data/china/image_1905th/79628645.pdf","79628645")</f>
        <v>79628645</v>
      </c>
      <c r="F1738" s="13" t="s">
        <v>3132</v>
      </c>
      <c r="G1738" s="13" t="s">
        <v>3131</v>
      </c>
      <c r="H1738" s="13" t="s">
        <v>4605</v>
      </c>
      <c r="I1738" s="12">
        <v>45478</v>
      </c>
    </row>
    <row r="1739" spans="1:9" x14ac:dyDescent="0.15">
      <c r="A1739" s="10">
        <v>1738</v>
      </c>
      <c r="B1739" s="9" t="s">
        <v>9</v>
      </c>
      <c r="C1739" s="11" t="s">
        <v>10</v>
      </c>
      <c r="D1739" s="12">
        <v>45562</v>
      </c>
      <c r="E1739" s="14" t="str">
        <f>+HYPERLINK("http://trademark.i-assist.jp/data/china/image_1905th/79629113.pdf","79629113")</f>
        <v>79629113</v>
      </c>
      <c r="F1739" s="13" t="s">
        <v>73</v>
      </c>
      <c r="G1739" s="13" t="s">
        <v>3133</v>
      </c>
      <c r="H1739" s="13" t="s">
        <v>5434</v>
      </c>
      <c r="I1739" s="12">
        <v>45478</v>
      </c>
    </row>
    <row r="1740" spans="1:9" x14ac:dyDescent="0.15">
      <c r="A1740" s="10">
        <v>1739</v>
      </c>
      <c r="B1740" s="9" t="s">
        <v>9</v>
      </c>
      <c r="C1740" s="11" t="s">
        <v>10</v>
      </c>
      <c r="D1740" s="12">
        <v>45562</v>
      </c>
      <c r="E1740" s="14" t="str">
        <f>+HYPERLINK("http://trademark.i-assist.jp/data/china/image_1905th/79630454.pdf","79630454")</f>
        <v>79630454</v>
      </c>
      <c r="F1740" s="13" t="s">
        <v>3135</v>
      </c>
      <c r="G1740" s="13" t="s">
        <v>3134</v>
      </c>
      <c r="H1740" s="13" t="s">
        <v>4295</v>
      </c>
      <c r="I1740" s="12">
        <v>45478</v>
      </c>
    </row>
    <row r="1741" spans="1:9" x14ac:dyDescent="0.15">
      <c r="A1741" s="10">
        <v>1740</v>
      </c>
      <c r="B1741" s="9" t="s">
        <v>9</v>
      </c>
      <c r="C1741" s="11" t="s">
        <v>10</v>
      </c>
      <c r="D1741" s="12">
        <v>45562</v>
      </c>
      <c r="E1741" s="14" t="str">
        <f>+HYPERLINK("http://trademark.i-assist.jp/data/china/image_1905th/79630590.pdf","79630590")</f>
        <v>79630590</v>
      </c>
      <c r="F1741" s="13" t="s">
        <v>3137</v>
      </c>
      <c r="G1741" s="13" t="s">
        <v>3136</v>
      </c>
      <c r="H1741" s="13" t="s">
        <v>5435</v>
      </c>
      <c r="I1741" s="12">
        <v>45478</v>
      </c>
    </row>
    <row r="1742" spans="1:9" x14ac:dyDescent="0.15">
      <c r="A1742" s="10">
        <v>1741</v>
      </c>
      <c r="B1742" s="9" t="s">
        <v>9</v>
      </c>
      <c r="C1742" s="11" t="s">
        <v>10</v>
      </c>
      <c r="D1742" s="12">
        <v>45562</v>
      </c>
      <c r="E1742" s="14" t="str">
        <f>+HYPERLINK("http://trademark.i-assist.jp/data/china/image_1905th/79634698.pdf","79634698")</f>
        <v>79634698</v>
      </c>
      <c r="F1742" s="13" t="s">
        <v>3139</v>
      </c>
      <c r="G1742" s="13" t="s">
        <v>3138</v>
      </c>
      <c r="H1742" s="13" t="s">
        <v>5348</v>
      </c>
      <c r="I1742" s="12">
        <v>45478</v>
      </c>
    </row>
    <row r="1743" spans="1:9" x14ac:dyDescent="0.15">
      <c r="A1743" s="10">
        <v>1742</v>
      </c>
      <c r="B1743" s="9" t="s">
        <v>9</v>
      </c>
      <c r="C1743" s="11" t="s">
        <v>10</v>
      </c>
      <c r="D1743" s="12">
        <v>45562</v>
      </c>
      <c r="E1743" s="14" t="str">
        <f>+HYPERLINK("http://trademark.i-assist.jp/data/china/image_1905th/79521631.pdf","79521631")</f>
        <v>79521631</v>
      </c>
      <c r="F1743" s="13" t="s">
        <v>3141</v>
      </c>
      <c r="G1743" s="13" t="s">
        <v>3140</v>
      </c>
      <c r="H1743" s="13" t="s">
        <v>4203</v>
      </c>
      <c r="I1743" s="12">
        <v>45472</v>
      </c>
    </row>
    <row r="1744" spans="1:9" x14ac:dyDescent="0.15">
      <c r="A1744" s="10">
        <v>1743</v>
      </c>
      <c r="B1744" s="9" t="s">
        <v>9</v>
      </c>
      <c r="C1744" s="11" t="s">
        <v>10</v>
      </c>
      <c r="D1744" s="12">
        <v>45562</v>
      </c>
      <c r="E1744" s="14" t="str">
        <f>+HYPERLINK("http://trademark.i-assist.jp/data/china/image_1905th/79522122.pdf","79522122")</f>
        <v>79522122</v>
      </c>
      <c r="F1744" s="13" t="s">
        <v>3142</v>
      </c>
      <c r="G1744" s="13" t="s">
        <v>3083</v>
      </c>
      <c r="H1744" s="13" t="s">
        <v>5436</v>
      </c>
      <c r="I1744" s="12">
        <v>45472</v>
      </c>
    </row>
    <row r="1745" spans="1:9" x14ac:dyDescent="0.15">
      <c r="A1745" s="10">
        <v>1744</v>
      </c>
      <c r="B1745" s="9" t="s">
        <v>9</v>
      </c>
      <c r="C1745" s="11" t="s">
        <v>10</v>
      </c>
      <c r="D1745" s="12">
        <v>45562</v>
      </c>
      <c r="E1745" s="14" t="str">
        <f>+HYPERLINK("http://trademark.i-assist.jp/data/china/image_1905th/79526266.pdf","79526266")</f>
        <v>79526266</v>
      </c>
      <c r="F1745" s="13" t="s">
        <v>3144</v>
      </c>
      <c r="G1745" s="13" t="s">
        <v>3143</v>
      </c>
      <c r="H1745" s="13" t="s">
        <v>5437</v>
      </c>
      <c r="I1745" s="12">
        <v>45474</v>
      </c>
    </row>
    <row r="1746" spans="1:9" x14ac:dyDescent="0.15">
      <c r="A1746" s="10">
        <v>1745</v>
      </c>
      <c r="B1746" s="9" t="s">
        <v>9</v>
      </c>
      <c r="C1746" s="11" t="s">
        <v>10</v>
      </c>
      <c r="D1746" s="12">
        <v>45562</v>
      </c>
      <c r="E1746" s="14" t="str">
        <f>+HYPERLINK("http://trademark.i-assist.jp/data/china/image_1905th/79534293.pdf","79534293")</f>
        <v>79534293</v>
      </c>
      <c r="F1746" s="13" t="s">
        <v>3145</v>
      </c>
      <c r="G1746" s="13" t="s">
        <v>1751</v>
      </c>
      <c r="H1746" s="13" t="s">
        <v>4888</v>
      </c>
      <c r="I1746" s="12">
        <v>45474</v>
      </c>
    </row>
    <row r="1747" spans="1:9" x14ac:dyDescent="0.15">
      <c r="A1747" s="10">
        <v>1746</v>
      </c>
      <c r="B1747" s="9" t="s">
        <v>9</v>
      </c>
      <c r="C1747" s="11" t="s">
        <v>10</v>
      </c>
      <c r="D1747" s="12">
        <v>45562</v>
      </c>
      <c r="E1747" s="14" t="str">
        <f>+HYPERLINK("http://trademark.i-assist.jp/data/china/image_1905th/79535136.pdf","79535136")</f>
        <v>79535136</v>
      </c>
      <c r="F1747" s="13" t="s">
        <v>3147</v>
      </c>
      <c r="G1747" s="13" t="s">
        <v>3146</v>
      </c>
      <c r="H1747" s="13" t="s">
        <v>5438</v>
      </c>
      <c r="I1747" s="12">
        <v>45474</v>
      </c>
    </row>
    <row r="1748" spans="1:9" x14ac:dyDescent="0.15">
      <c r="A1748" s="10">
        <v>1747</v>
      </c>
      <c r="B1748" s="9" t="s">
        <v>9</v>
      </c>
      <c r="C1748" s="11" t="s">
        <v>10</v>
      </c>
      <c r="D1748" s="12">
        <v>45562</v>
      </c>
      <c r="E1748" s="14" t="str">
        <f>+HYPERLINK("http://trademark.i-assist.jp/data/china/image_1905th/79537225.pdf","79537225")</f>
        <v>79537225</v>
      </c>
      <c r="F1748" s="13" t="s">
        <v>3148</v>
      </c>
      <c r="G1748" s="13" t="s">
        <v>801</v>
      </c>
      <c r="H1748" s="13" t="s">
        <v>4328</v>
      </c>
      <c r="I1748" s="12">
        <v>45474</v>
      </c>
    </row>
    <row r="1749" spans="1:9" x14ac:dyDescent="0.15">
      <c r="A1749" s="10">
        <v>1748</v>
      </c>
      <c r="B1749" s="9" t="s">
        <v>9</v>
      </c>
      <c r="C1749" s="11" t="s">
        <v>10</v>
      </c>
      <c r="D1749" s="12">
        <v>45562</v>
      </c>
      <c r="E1749" s="14" t="str">
        <f>+HYPERLINK("http://trademark.i-assist.jp/data/china/image_1905th/79538606.pdf","79538606")</f>
        <v>79538606</v>
      </c>
      <c r="F1749" s="13" t="s">
        <v>3150</v>
      </c>
      <c r="G1749" s="13" t="s">
        <v>3149</v>
      </c>
      <c r="H1749" s="13" t="s">
        <v>5439</v>
      </c>
      <c r="I1749" s="12">
        <v>45474</v>
      </c>
    </row>
    <row r="1750" spans="1:9" x14ac:dyDescent="0.15">
      <c r="A1750" s="10">
        <v>1749</v>
      </c>
      <c r="B1750" s="9" t="s">
        <v>9</v>
      </c>
      <c r="C1750" s="11" t="s">
        <v>10</v>
      </c>
      <c r="D1750" s="12">
        <v>45562</v>
      </c>
      <c r="E1750" s="14" t="str">
        <f>+HYPERLINK("http://trademark.i-assist.jp/data/china/image_1905th/79540738.pdf","79540738")</f>
        <v>79540738</v>
      </c>
      <c r="F1750" s="13" t="s">
        <v>3152</v>
      </c>
      <c r="G1750" s="13" t="s">
        <v>3151</v>
      </c>
      <c r="H1750" s="13" t="s">
        <v>5440</v>
      </c>
      <c r="I1750" s="12">
        <v>45474</v>
      </c>
    </row>
    <row r="1751" spans="1:9" x14ac:dyDescent="0.15">
      <c r="A1751" s="10">
        <v>1750</v>
      </c>
      <c r="B1751" s="9" t="s">
        <v>9</v>
      </c>
      <c r="C1751" s="11" t="s">
        <v>10</v>
      </c>
      <c r="D1751" s="12">
        <v>45562</v>
      </c>
      <c r="E1751" s="14" t="str">
        <f>+HYPERLINK("http://trademark.i-assist.jp/data/china/image_1905th/79543208.pdf","79543208")</f>
        <v>79543208</v>
      </c>
      <c r="F1751" s="13" t="s">
        <v>3154</v>
      </c>
      <c r="G1751" s="13" t="s">
        <v>3153</v>
      </c>
      <c r="H1751" s="13" t="s">
        <v>5441</v>
      </c>
      <c r="I1751" s="12">
        <v>45474</v>
      </c>
    </row>
    <row r="1752" spans="1:9" x14ac:dyDescent="0.15">
      <c r="A1752" s="10">
        <v>1751</v>
      </c>
      <c r="B1752" s="9" t="s">
        <v>9</v>
      </c>
      <c r="C1752" s="11" t="s">
        <v>10</v>
      </c>
      <c r="D1752" s="12">
        <v>45562</v>
      </c>
      <c r="E1752" s="14" t="str">
        <f>+HYPERLINK("http://trademark.i-assist.jp/data/china/image_1905th/79557776.pdf","79557776")</f>
        <v>79557776</v>
      </c>
      <c r="F1752" s="13" t="s">
        <v>3156</v>
      </c>
      <c r="G1752" s="13" t="s">
        <v>3155</v>
      </c>
      <c r="H1752" s="13" t="s">
        <v>5442</v>
      </c>
      <c r="I1752" s="12">
        <v>45475</v>
      </c>
    </row>
    <row r="1753" spans="1:9" x14ac:dyDescent="0.15">
      <c r="A1753" s="10">
        <v>1752</v>
      </c>
      <c r="B1753" s="9" t="s">
        <v>9</v>
      </c>
      <c r="C1753" s="11" t="s">
        <v>10</v>
      </c>
      <c r="D1753" s="12">
        <v>45562</v>
      </c>
      <c r="E1753" s="14" t="str">
        <f>+HYPERLINK("http://trademark.i-assist.jp/data/china/image_1905th/79559686.pdf","79559686")</f>
        <v>79559686</v>
      </c>
      <c r="F1753" s="13" t="s">
        <v>73</v>
      </c>
      <c r="G1753" s="13" t="s">
        <v>3157</v>
      </c>
      <c r="H1753" s="13" t="s">
        <v>5443</v>
      </c>
      <c r="I1753" s="12">
        <v>45475</v>
      </c>
    </row>
    <row r="1754" spans="1:9" x14ac:dyDescent="0.15">
      <c r="A1754" s="10">
        <v>1753</v>
      </c>
      <c r="B1754" s="9" t="s">
        <v>9</v>
      </c>
      <c r="C1754" s="11" t="s">
        <v>10</v>
      </c>
      <c r="D1754" s="12">
        <v>45562</v>
      </c>
      <c r="E1754" s="14" t="str">
        <f>+HYPERLINK("http://trademark.i-assist.jp/data/china/image_1905th/79560203.pdf","79560203")</f>
        <v>79560203</v>
      </c>
      <c r="F1754" s="13" t="s">
        <v>3159</v>
      </c>
      <c r="G1754" s="13" t="s">
        <v>3158</v>
      </c>
      <c r="H1754" s="13" t="s">
        <v>5444</v>
      </c>
      <c r="I1754" s="12">
        <v>45475</v>
      </c>
    </row>
    <row r="1755" spans="1:9" x14ac:dyDescent="0.15">
      <c r="A1755" s="10">
        <v>1754</v>
      </c>
      <c r="B1755" s="9" t="s">
        <v>9</v>
      </c>
      <c r="C1755" s="11" t="s">
        <v>10</v>
      </c>
      <c r="D1755" s="12">
        <v>45562</v>
      </c>
      <c r="E1755" s="14" t="str">
        <f>+HYPERLINK("http://trademark.i-assist.jp/data/china/image_1905th/79686935.pdf","79686935")</f>
        <v>79686935</v>
      </c>
      <c r="F1755" s="13" t="s">
        <v>73</v>
      </c>
      <c r="G1755" s="13" t="s">
        <v>3160</v>
      </c>
      <c r="H1755" s="13" t="s">
        <v>5050</v>
      </c>
      <c r="I1755" s="12">
        <v>45482</v>
      </c>
    </row>
    <row r="1756" spans="1:9" x14ac:dyDescent="0.15">
      <c r="A1756" s="10">
        <v>1755</v>
      </c>
      <c r="B1756" s="9" t="s">
        <v>9</v>
      </c>
      <c r="C1756" s="11" t="s">
        <v>10</v>
      </c>
      <c r="D1756" s="12">
        <v>45562</v>
      </c>
      <c r="E1756" s="14" t="str">
        <f>+HYPERLINK("http://trademark.i-assist.jp/data/china/image_1905th/79688446.pdf","79688446")</f>
        <v>79688446</v>
      </c>
      <c r="F1756" s="13" t="s">
        <v>73</v>
      </c>
      <c r="G1756" s="13" t="s">
        <v>3161</v>
      </c>
      <c r="H1756" s="13" t="s">
        <v>5445</v>
      </c>
      <c r="I1756" s="12">
        <v>45482</v>
      </c>
    </row>
    <row r="1757" spans="1:9" x14ac:dyDescent="0.15">
      <c r="A1757" s="10">
        <v>1756</v>
      </c>
      <c r="B1757" s="9" t="s">
        <v>9</v>
      </c>
      <c r="C1757" s="11" t="s">
        <v>10</v>
      </c>
      <c r="D1757" s="12">
        <v>45562</v>
      </c>
      <c r="E1757" s="14" t="str">
        <f>+HYPERLINK("http://trademark.i-assist.jp/data/china/image_1905th/79689217.pdf","79689217")</f>
        <v>79689217</v>
      </c>
      <c r="F1757" s="13" t="s">
        <v>73</v>
      </c>
      <c r="G1757" s="13" t="s">
        <v>3162</v>
      </c>
      <c r="H1757" s="13" t="s">
        <v>5446</v>
      </c>
      <c r="I1757" s="12">
        <v>45482</v>
      </c>
    </row>
    <row r="1758" spans="1:9" x14ac:dyDescent="0.15">
      <c r="A1758" s="10">
        <v>1757</v>
      </c>
      <c r="B1758" s="9" t="s">
        <v>9</v>
      </c>
      <c r="C1758" s="11" t="s">
        <v>10</v>
      </c>
      <c r="D1758" s="12">
        <v>45562</v>
      </c>
      <c r="E1758" s="14" t="str">
        <f>+HYPERLINK("http://trademark.i-assist.jp/data/china/image_1905th/79689747.pdf","79689747")</f>
        <v>79689747</v>
      </c>
      <c r="F1758" s="13" t="s">
        <v>3164</v>
      </c>
      <c r="G1758" s="13" t="s">
        <v>3163</v>
      </c>
      <c r="H1758" s="13" t="s">
        <v>5447</v>
      </c>
      <c r="I1758" s="12">
        <v>45482</v>
      </c>
    </row>
    <row r="1759" spans="1:9" x14ac:dyDescent="0.15">
      <c r="A1759" s="10">
        <v>1758</v>
      </c>
      <c r="B1759" s="9" t="s">
        <v>9</v>
      </c>
      <c r="C1759" s="11" t="s">
        <v>10</v>
      </c>
      <c r="D1759" s="12">
        <v>45562</v>
      </c>
      <c r="E1759" s="14" t="str">
        <f>+HYPERLINK("http://trademark.i-assist.jp/data/china/image_1905th/79691382.pdf","79691382")</f>
        <v>79691382</v>
      </c>
      <c r="F1759" s="13" t="s">
        <v>3166</v>
      </c>
      <c r="G1759" s="13" t="s">
        <v>3165</v>
      </c>
      <c r="H1759" s="13" t="s">
        <v>4162</v>
      </c>
      <c r="I1759" s="12">
        <v>45482</v>
      </c>
    </row>
    <row r="1760" spans="1:9" x14ac:dyDescent="0.15">
      <c r="A1760" s="10">
        <v>1759</v>
      </c>
      <c r="B1760" s="9" t="s">
        <v>9</v>
      </c>
      <c r="C1760" s="11" t="s">
        <v>10</v>
      </c>
      <c r="D1760" s="12">
        <v>45562</v>
      </c>
      <c r="E1760" s="14" t="str">
        <f>+HYPERLINK("http://trademark.i-assist.jp/data/china/image_1905th/79698572.pdf","79698572")</f>
        <v>79698572</v>
      </c>
      <c r="F1760" s="13" t="s">
        <v>3168</v>
      </c>
      <c r="G1760" s="13" t="s">
        <v>3167</v>
      </c>
      <c r="H1760" s="13" t="s">
        <v>5448</v>
      </c>
      <c r="I1760" s="12">
        <v>45482</v>
      </c>
    </row>
    <row r="1761" spans="1:9" x14ac:dyDescent="0.15">
      <c r="A1761" s="10">
        <v>1760</v>
      </c>
      <c r="B1761" s="9" t="s">
        <v>9</v>
      </c>
      <c r="C1761" s="11" t="s">
        <v>10</v>
      </c>
      <c r="D1761" s="12">
        <v>45562</v>
      </c>
      <c r="E1761" s="14" t="str">
        <f>+HYPERLINK("http://trademark.i-assist.jp/data/china/image_1905th/79698777.pdf","79698777")</f>
        <v>79698777</v>
      </c>
      <c r="F1761" s="13" t="s">
        <v>3170</v>
      </c>
      <c r="G1761" s="13" t="s">
        <v>3169</v>
      </c>
      <c r="H1761" s="13" t="s">
        <v>5449</v>
      </c>
      <c r="I1761" s="12">
        <v>45482</v>
      </c>
    </row>
    <row r="1762" spans="1:9" x14ac:dyDescent="0.15">
      <c r="A1762" s="10">
        <v>1761</v>
      </c>
      <c r="B1762" s="9" t="s">
        <v>9</v>
      </c>
      <c r="C1762" s="11" t="s">
        <v>10</v>
      </c>
      <c r="D1762" s="12">
        <v>45562</v>
      </c>
      <c r="E1762" s="14" t="str">
        <f>+HYPERLINK("http://trademark.i-assist.jp/data/china/image_1905th/79709765.pdf","79709765")</f>
        <v>79709765</v>
      </c>
      <c r="F1762" s="13" t="s">
        <v>3171</v>
      </c>
      <c r="G1762" s="13" t="s">
        <v>619</v>
      </c>
      <c r="H1762" s="13" t="s">
        <v>4427</v>
      </c>
      <c r="I1762" s="12">
        <v>45483</v>
      </c>
    </row>
    <row r="1763" spans="1:9" x14ac:dyDescent="0.15">
      <c r="A1763" s="10">
        <v>1762</v>
      </c>
      <c r="B1763" s="9" t="s">
        <v>9</v>
      </c>
      <c r="C1763" s="11" t="s">
        <v>10</v>
      </c>
      <c r="D1763" s="12">
        <v>45562</v>
      </c>
      <c r="E1763" s="14" t="str">
        <f>+HYPERLINK("http://trademark.i-assist.jp/data/china/image_1905th/79710923.pdf","79710923")</f>
        <v>79710923</v>
      </c>
      <c r="F1763" s="13" t="s">
        <v>3172</v>
      </c>
      <c r="G1763" s="13" t="s">
        <v>2523</v>
      </c>
      <c r="H1763" s="13" t="s">
        <v>4257</v>
      </c>
      <c r="I1763" s="12">
        <v>45483</v>
      </c>
    </row>
    <row r="1764" spans="1:9" x14ac:dyDescent="0.15">
      <c r="A1764" s="10">
        <v>1763</v>
      </c>
      <c r="B1764" s="9" t="s">
        <v>9</v>
      </c>
      <c r="C1764" s="11" t="s">
        <v>10</v>
      </c>
      <c r="D1764" s="12">
        <v>45562</v>
      </c>
      <c r="E1764" s="14" t="str">
        <f>+HYPERLINK("http://trademark.i-assist.jp/data/china/image_1905th/79636100.pdf","79636100")</f>
        <v>79636100</v>
      </c>
      <c r="F1764" s="13" t="s">
        <v>73</v>
      </c>
      <c r="G1764" s="13" t="s">
        <v>3173</v>
      </c>
      <c r="H1764" s="13" t="s">
        <v>5450</v>
      </c>
      <c r="I1764" s="12">
        <v>45478</v>
      </c>
    </row>
    <row r="1765" spans="1:9" x14ac:dyDescent="0.15">
      <c r="A1765" s="10">
        <v>1764</v>
      </c>
      <c r="B1765" s="9" t="s">
        <v>9</v>
      </c>
      <c r="C1765" s="11" t="s">
        <v>10</v>
      </c>
      <c r="D1765" s="12">
        <v>45562</v>
      </c>
      <c r="E1765" s="14" t="str">
        <f>+HYPERLINK("http://trademark.i-assist.jp/data/china/image_1905th/79651161.pdf","79651161")</f>
        <v>79651161</v>
      </c>
      <c r="F1765" s="13" t="s">
        <v>3175</v>
      </c>
      <c r="G1765" s="13" t="s">
        <v>3174</v>
      </c>
      <c r="H1765" s="13" t="s">
        <v>5451</v>
      </c>
      <c r="I1765" s="12">
        <v>45479</v>
      </c>
    </row>
    <row r="1766" spans="1:9" x14ac:dyDescent="0.15">
      <c r="A1766" s="10">
        <v>1765</v>
      </c>
      <c r="B1766" s="9" t="s">
        <v>9</v>
      </c>
      <c r="C1766" s="11" t="s">
        <v>10</v>
      </c>
      <c r="D1766" s="12">
        <v>45562</v>
      </c>
      <c r="E1766" s="14" t="str">
        <f>+HYPERLINK("http://trademark.i-assist.jp/data/china/image_1905th/79653207.pdf","79653207")</f>
        <v>79653207</v>
      </c>
      <c r="F1766" s="13" t="s">
        <v>3176</v>
      </c>
      <c r="G1766" s="13" t="s">
        <v>631</v>
      </c>
      <c r="H1766" s="13" t="s">
        <v>4202</v>
      </c>
      <c r="I1766" s="12">
        <v>45480</v>
      </c>
    </row>
    <row r="1767" spans="1:9" x14ac:dyDescent="0.15">
      <c r="A1767" s="10">
        <v>1766</v>
      </c>
      <c r="B1767" s="9" t="s">
        <v>9</v>
      </c>
      <c r="C1767" s="11" t="s">
        <v>10</v>
      </c>
      <c r="D1767" s="12">
        <v>45562</v>
      </c>
      <c r="E1767" s="14" t="str">
        <f>+HYPERLINK("http://trademark.i-assist.jp/data/china/image_1905th/79653762.pdf","79653762")</f>
        <v>79653762</v>
      </c>
      <c r="F1767" s="13" t="s">
        <v>3178</v>
      </c>
      <c r="G1767" s="13" t="s">
        <v>3177</v>
      </c>
      <c r="H1767" s="13" t="s">
        <v>5452</v>
      </c>
      <c r="I1767" s="12">
        <v>45480</v>
      </c>
    </row>
    <row r="1768" spans="1:9" x14ac:dyDescent="0.15">
      <c r="A1768" s="10">
        <v>1767</v>
      </c>
      <c r="B1768" s="9" t="s">
        <v>9</v>
      </c>
      <c r="C1768" s="11" t="s">
        <v>10</v>
      </c>
      <c r="D1768" s="12">
        <v>45562</v>
      </c>
      <c r="E1768" s="14" t="str">
        <f>+HYPERLINK("http://trademark.i-assist.jp/data/china/image_1905th/79655621.pdf","79655621")</f>
        <v>79655621</v>
      </c>
      <c r="F1768" s="13" t="s">
        <v>3180</v>
      </c>
      <c r="G1768" s="13" t="s">
        <v>3179</v>
      </c>
      <c r="H1768" s="13" t="s">
        <v>5453</v>
      </c>
      <c r="I1768" s="12">
        <v>45480</v>
      </c>
    </row>
    <row r="1769" spans="1:9" x14ac:dyDescent="0.15">
      <c r="A1769" s="10">
        <v>1768</v>
      </c>
      <c r="B1769" s="9" t="s">
        <v>9</v>
      </c>
      <c r="C1769" s="11" t="s">
        <v>10</v>
      </c>
      <c r="D1769" s="12">
        <v>45562</v>
      </c>
      <c r="E1769" s="14" t="str">
        <f>+HYPERLINK("http://trademark.i-assist.jp/data/china/image_1905th/75294816.pdf","75294816")</f>
        <v>75294816</v>
      </c>
      <c r="F1769" s="13" t="s">
        <v>3182</v>
      </c>
      <c r="G1769" s="13" t="s">
        <v>3181</v>
      </c>
      <c r="H1769" s="13" t="s">
        <v>5454</v>
      </c>
      <c r="I1769" s="12">
        <v>45250</v>
      </c>
    </row>
    <row r="1770" spans="1:9" x14ac:dyDescent="0.15">
      <c r="A1770" s="10">
        <v>1769</v>
      </c>
      <c r="B1770" s="9" t="s">
        <v>9</v>
      </c>
      <c r="C1770" s="11" t="s">
        <v>10</v>
      </c>
      <c r="D1770" s="12">
        <v>45562</v>
      </c>
      <c r="E1770" s="14" t="str">
        <f>+HYPERLINK("http://trademark.i-assist.jp/data/china/image_1905th/75326491.pdf","75326491")</f>
        <v>75326491</v>
      </c>
      <c r="F1770" s="13" t="s">
        <v>3184</v>
      </c>
      <c r="G1770" s="13" t="s">
        <v>3183</v>
      </c>
      <c r="H1770" s="13" t="s">
        <v>5296</v>
      </c>
      <c r="I1770" s="12">
        <v>45252</v>
      </c>
    </row>
    <row r="1771" spans="1:9" x14ac:dyDescent="0.15">
      <c r="A1771" s="10">
        <v>1770</v>
      </c>
      <c r="B1771" s="9" t="s">
        <v>9</v>
      </c>
      <c r="C1771" s="11" t="s">
        <v>10</v>
      </c>
      <c r="D1771" s="12">
        <v>45562</v>
      </c>
      <c r="E1771" s="14" t="str">
        <f>+HYPERLINK("http://trademark.i-assist.jp/data/china/image_1905th/77622116.pdf","77622116")</f>
        <v>77622116</v>
      </c>
      <c r="F1771" s="13" t="s">
        <v>3186</v>
      </c>
      <c r="G1771" s="13" t="s">
        <v>3185</v>
      </c>
      <c r="H1771" s="13" t="s">
        <v>5455</v>
      </c>
      <c r="I1771" s="12">
        <v>45379</v>
      </c>
    </row>
    <row r="1772" spans="1:9" x14ac:dyDescent="0.15">
      <c r="A1772" s="10">
        <v>1771</v>
      </c>
      <c r="B1772" s="9" t="s">
        <v>9</v>
      </c>
      <c r="C1772" s="11" t="s">
        <v>10</v>
      </c>
      <c r="D1772" s="12">
        <v>45562</v>
      </c>
      <c r="E1772" s="14" t="str">
        <f>+HYPERLINK("http://trademark.i-assist.jp/data/china/image_1905th/79777369.pdf","79777369")</f>
        <v>79777369</v>
      </c>
      <c r="F1772" s="13" t="s">
        <v>3188</v>
      </c>
      <c r="G1772" s="13" t="s">
        <v>3187</v>
      </c>
      <c r="H1772" s="13" t="s">
        <v>5456</v>
      </c>
      <c r="I1772" s="12">
        <v>45486</v>
      </c>
    </row>
    <row r="1773" spans="1:9" x14ac:dyDescent="0.15">
      <c r="A1773" s="10">
        <v>1772</v>
      </c>
      <c r="B1773" s="9" t="s">
        <v>9</v>
      </c>
      <c r="C1773" s="11" t="s">
        <v>10</v>
      </c>
      <c r="D1773" s="12">
        <v>45562</v>
      </c>
      <c r="E1773" s="14" t="str">
        <f>+HYPERLINK("http://trademark.i-assist.jp/data/china/image_1905th/79778622.pdf","79778622")</f>
        <v>79778622</v>
      </c>
      <c r="F1773" s="13" t="s">
        <v>3190</v>
      </c>
      <c r="G1773" s="13" t="s">
        <v>3189</v>
      </c>
      <c r="H1773" s="13" t="s">
        <v>5457</v>
      </c>
      <c r="I1773" s="12">
        <v>45486</v>
      </c>
    </row>
    <row r="1774" spans="1:9" x14ac:dyDescent="0.15">
      <c r="A1774" s="10">
        <v>1773</v>
      </c>
      <c r="B1774" s="9" t="s">
        <v>9</v>
      </c>
      <c r="C1774" s="11" t="s">
        <v>10</v>
      </c>
      <c r="D1774" s="12">
        <v>45562</v>
      </c>
      <c r="E1774" s="14" t="str">
        <f>+HYPERLINK("http://trademark.i-assist.jp/data/china/image_1905th/79779140.pdf","79779140")</f>
        <v>79779140</v>
      </c>
      <c r="F1774" s="13" t="s">
        <v>3192</v>
      </c>
      <c r="G1774" s="13" t="s">
        <v>3191</v>
      </c>
      <c r="H1774" s="13" t="s">
        <v>5458</v>
      </c>
      <c r="I1774" s="12">
        <v>45486</v>
      </c>
    </row>
    <row r="1775" spans="1:9" x14ac:dyDescent="0.15">
      <c r="A1775" s="10">
        <v>1774</v>
      </c>
      <c r="B1775" s="9" t="s">
        <v>9</v>
      </c>
      <c r="C1775" s="11" t="s">
        <v>10</v>
      </c>
      <c r="D1775" s="12">
        <v>45562</v>
      </c>
      <c r="E1775" s="14" t="str">
        <f>+HYPERLINK("http://trademark.i-assist.jp/data/china/image_1905th/79782486.pdf","79782486")</f>
        <v>79782486</v>
      </c>
      <c r="F1775" s="13" t="s">
        <v>3193</v>
      </c>
      <c r="G1775" s="13" t="s">
        <v>1985</v>
      </c>
      <c r="H1775" s="13" t="s">
        <v>4990</v>
      </c>
      <c r="I1775" s="12">
        <v>45487</v>
      </c>
    </row>
    <row r="1776" spans="1:9" x14ac:dyDescent="0.15">
      <c r="A1776" s="10">
        <v>1775</v>
      </c>
      <c r="B1776" s="9" t="s">
        <v>9</v>
      </c>
      <c r="C1776" s="11" t="s">
        <v>10</v>
      </c>
      <c r="D1776" s="12">
        <v>45562</v>
      </c>
      <c r="E1776" s="14" t="str">
        <f>+HYPERLINK("http://trademark.i-assist.jp/data/china/image_1905th/79800941.pdf","79800941")</f>
        <v>79800941</v>
      </c>
      <c r="F1776" s="13" t="s">
        <v>3194</v>
      </c>
      <c r="G1776" s="13" t="s">
        <v>2352</v>
      </c>
      <c r="H1776" s="13" t="s">
        <v>5134</v>
      </c>
      <c r="I1776" s="12">
        <v>45488</v>
      </c>
    </row>
    <row r="1777" spans="1:9" x14ac:dyDescent="0.15">
      <c r="A1777" s="10">
        <v>1776</v>
      </c>
      <c r="B1777" s="9" t="s">
        <v>9</v>
      </c>
      <c r="C1777" s="11" t="s">
        <v>10</v>
      </c>
      <c r="D1777" s="12">
        <v>45562</v>
      </c>
      <c r="E1777" s="14" t="str">
        <f>+HYPERLINK("http://trademark.i-assist.jp/data/china/image_1905th/79808592.pdf","79808592")</f>
        <v>79808592</v>
      </c>
      <c r="F1777" s="13" t="s">
        <v>3196</v>
      </c>
      <c r="G1777" s="13" t="s">
        <v>3195</v>
      </c>
      <c r="H1777" s="13" t="s">
        <v>5459</v>
      </c>
      <c r="I1777" s="12">
        <v>45489</v>
      </c>
    </row>
    <row r="1778" spans="1:9" x14ac:dyDescent="0.15">
      <c r="A1778" s="10">
        <v>1777</v>
      </c>
      <c r="B1778" s="9" t="s">
        <v>9</v>
      </c>
      <c r="C1778" s="11" t="s">
        <v>10</v>
      </c>
      <c r="D1778" s="12">
        <v>45562</v>
      </c>
      <c r="E1778" s="14" t="str">
        <f>+HYPERLINK("http://trademark.i-assist.jp/data/china/image_1905th/79812998.pdf","79812998")</f>
        <v>79812998</v>
      </c>
      <c r="F1778" s="13" t="s">
        <v>3197</v>
      </c>
      <c r="G1778" s="13" t="s">
        <v>2577</v>
      </c>
      <c r="H1778" s="13" t="s">
        <v>5221</v>
      </c>
      <c r="I1778" s="12">
        <v>45489</v>
      </c>
    </row>
    <row r="1779" spans="1:9" x14ac:dyDescent="0.15">
      <c r="A1779" s="10">
        <v>1778</v>
      </c>
      <c r="B1779" s="9" t="s">
        <v>9</v>
      </c>
      <c r="C1779" s="11" t="s">
        <v>10</v>
      </c>
      <c r="D1779" s="12">
        <v>45562</v>
      </c>
      <c r="E1779" s="14" t="str">
        <f>+HYPERLINK("http://trademark.i-assist.jp/data/china/image_1905th/79818777.pdf","79818777")</f>
        <v>79818777</v>
      </c>
      <c r="F1779" s="13" t="s">
        <v>3198</v>
      </c>
      <c r="G1779" s="13" t="s">
        <v>1989</v>
      </c>
      <c r="H1779" s="13" t="s">
        <v>4991</v>
      </c>
      <c r="I1779" s="12">
        <v>45489</v>
      </c>
    </row>
    <row r="1780" spans="1:9" x14ac:dyDescent="0.15">
      <c r="A1780" s="10">
        <v>1779</v>
      </c>
      <c r="B1780" s="9" t="s">
        <v>9</v>
      </c>
      <c r="C1780" s="11" t="s">
        <v>10</v>
      </c>
      <c r="D1780" s="12">
        <v>45562</v>
      </c>
      <c r="E1780" s="14" t="str">
        <f>+HYPERLINK("http://trademark.i-assist.jp/data/china/image_1905th/79824857.pdf","79824857")</f>
        <v>79824857</v>
      </c>
      <c r="F1780" s="13" t="s">
        <v>3200</v>
      </c>
      <c r="G1780" s="13" t="s">
        <v>3199</v>
      </c>
      <c r="H1780" s="13" t="s">
        <v>5234</v>
      </c>
      <c r="I1780" s="12">
        <v>45489</v>
      </c>
    </row>
    <row r="1781" spans="1:9" x14ac:dyDescent="0.15">
      <c r="A1781" s="10">
        <v>1780</v>
      </c>
      <c r="B1781" s="9" t="s">
        <v>9</v>
      </c>
      <c r="C1781" s="11" t="s">
        <v>10</v>
      </c>
      <c r="D1781" s="12">
        <v>45562</v>
      </c>
      <c r="E1781" s="14" t="str">
        <f>+HYPERLINK("http://trademark.i-assist.jp/data/china/image_1905th/79827276.pdf","79827276")</f>
        <v>79827276</v>
      </c>
      <c r="F1781" s="13" t="s">
        <v>3202</v>
      </c>
      <c r="G1781" s="13" t="s">
        <v>3201</v>
      </c>
      <c r="H1781" s="13" t="s">
        <v>5460</v>
      </c>
      <c r="I1781" s="12">
        <v>45489</v>
      </c>
    </row>
    <row r="1782" spans="1:9" x14ac:dyDescent="0.15">
      <c r="A1782" s="10">
        <v>1781</v>
      </c>
      <c r="B1782" s="9" t="s">
        <v>9</v>
      </c>
      <c r="C1782" s="11" t="s">
        <v>10</v>
      </c>
      <c r="D1782" s="12">
        <v>45562</v>
      </c>
      <c r="E1782" s="14" t="str">
        <f>+HYPERLINK("http://trademark.i-assist.jp/data/china/image_1905th/79835281.pdf","79835281")</f>
        <v>79835281</v>
      </c>
      <c r="F1782" s="13" t="s">
        <v>3203</v>
      </c>
      <c r="G1782" s="13" t="s">
        <v>715</v>
      </c>
      <c r="H1782" s="13" t="s">
        <v>4469</v>
      </c>
      <c r="I1782" s="12">
        <v>45490</v>
      </c>
    </row>
    <row r="1783" spans="1:9" x14ac:dyDescent="0.15">
      <c r="A1783" s="10">
        <v>1782</v>
      </c>
      <c r="B1783" s="9" t="s">
        <v>9</v>
      </c>
      <c r="C1783" s="11" t="s">
        <v>10</v>
      </c>
      <c r="D1783" s="12">
        <v>45562</v>
      </c>
      <c r="E1783" s="14" t="str">
        <f>+HYPERLINK("http://trademark.i-assist.jp/data/china/image_1905th/79835760.pdf","79835760")</f>
        <v>79835760</v>
      </c>
      <c r="F1783" s="13" t="s">
        <v>3205</v>
      </c>
      <c r="G1783" s="13" t="s">
        <v>3204</v>
      </c>
      <c r="H1783" s="13" t="s">
        <v>5461</v>
      </c>
      <c r="I1783" s="12">
        <v>45490</v>
      </c>
    </row>
    <row r="1784" spans="1:9" x14ac:dyDescent="0.15">
      <c r="A1784" s="10">
        <v>1783</v>
      </c>
      <c r="B1784" s="9" t="s">
        <v>9</v>
      </c>
      <c r="C1784" s="11" t="s">
        <v>10</v>
      </c>
      <c r="D1784" s="12">
        <v>45562</v>
      </c>
      <c r="E1784" s="14" t="str">
        <f>+HYPERLINK("http://trademark.i-assist.jp/data/china/image_1905th/79841163.pdf","79841163")</f>
        <v>79841163</v>
      </c>
      <c r="F1784" s="13" t="s">
        <v>3207</v>
      </c>
      <c r="G1784" s="13" t="s">
        <v>3206</v>
      </c>
      <c r="H1784" s="13" t="s">
        <v>4245</v>
      </c>
      <c r="I1784" s="12">
        <v>45490</v>
      </c>
    </row>
    <row r="1785" spans="1:9" x14ac:dyDescent="0.15">
      <c r="A1785" s="10">
        <v>1784</v>
      </c>
      <c r="B1785" s="9" t="s">
        <v>9</v>
      </c>
      <c r="C1785" s="11" t="s">
        <v>10</v>
      </c>
      <c r="D1785" s="12">
        <v>45562</v>
      </c>
      <c r="E1785" s="14" t="str">
        <f>+HYPERLINK("http://trademark.i-assist.jp/data/china/image_1905th/79847627.pdf","79847627")</f>
        <v>79847627</v>
      </c>
      <c r="F1785" s="13" t="s">
        <v>73</v>
      </c>
      <c r="G1785" s="13" t="s">
        <v>3208</v>
      </c>
      <c r="H1785" s="13" t="s">
        <v>5462</v>
      </c>
      <c r="I1785" s="12">
        <v>45490</v>
      </c>
    </row>
    <row r="1786" spans="1:9" x14ac:dyDescent="0.15">
      <c r="A1786" s="10">
        <v>1785</v>
      </c>
      <c r="B1786" s="9" t="s">
        <v>9</v>
      </c>
      <c r="C1786" s="11" t="s">
        <v>10</v>
      </c>
      <c r="D1786" s="12">
        <v>45562</v>
      </c>
      <c r="E1786" s="14" t="str">
        <f>+HYPERLINK("http://trademark.i-assist.jp/data/china/image_1905th/79870149.pdf","79870149")</f>
        <v>79870149</v>
      </c>
      <c r="F1786" s="13" t="s">
        <v>3210</v>
      </c>
      <c r="G1786" s="13" t="s">
        <v>3209</v>
      </c>
      <c r="H1786" s="13" t="s">
        <v>5463</v>
      </c>
      <c r="I1786" s="12">
        <v>45491</v>
      </c>
    </row>
    <row r="1787" spans="1:9" x14ac:dyDescent="0.15">
      <c r="A1787" s="10">
        <v>1786</v>
      </c>
      <c r="B1787" s="9" t="s">
        <v>9</v>
      </c>
      <c r="C1787" s="11" t="s">
        <v>10</v>
      </c>
      <c r="D1787" s="12">
        <v>45562</v>
      </c>
      <c r="E1787" s="14" t="str">
        <f>+HYPERLINK("http://trademark.i-assist.jp/data/china/image_1905th/79746541.pdf","79746541")</f>
        <v>79746541</v>
      </c>
      <c r="F1787" s="13" t="s">
        <v>73</v>
      </c>
      <c r="G1787" s="13" t="s">
        <v>3211</v>
      </c>
      <c r="H1787" s="13" t="s">
        <v>4352</v>
      </c>
      <c r="I1787" s="12">
        <v>45484</v>
      </c>
    </row>
    <row r="1788" spans="1:9" x14ac:dyDescent="0.15">
      <c r="A1788" s="10">
        <v>1787</v>
      </c>
      <c r="B1788" s="9" t="s">
        <v>9</v>
      </c>
      <c r="C1788" s="11" t="s">
        <v>10</v>
      </c>
      <c r="D1788" s="12">
        <v>45562</v>
      </c>
      <c r="E1788" s="14" t="str">
        <f>+HYPERLINK("http://trademark.i-assist.jp/data/china/image_1905th/79753526.pdf","79753526")</f>
        <v>79753526</v>
      </c>
      <c r="F1788" s="13" t="s">
        <v>73</v>
      </c>
      <c r="G1788" s="13" t="s">
        <v>3212</v>
      </c>
      <c r="H1788" s="13" t="s">
        <v>5464</v>
      </c>
      <c r="I1788" s="12">
        <v>45485</v>
      </c>
    </row>
    <row r="1789" spans="1:9" x14ac:dyDescent="0.15">
      <c r="A1789" s="10">
        <v>1788</v>
      </c>
      <c r="B1789" s="9" t="s">
        <v>9</v>
      </c>
      <c r="C1789" s="11" t="s">
        <v>10</v>
      </c>
      <c r="D1789" s="12">
        <v>45562</v>
      </c>
      <c r="E1789" s="14" t="str">
        <f>+HYPERLINK("http://trademark.i-assist.jp/data/china/image_1905th/70839475.pdf","70839475")</f>
        <v>70839475</v>
      </c>
      <c r="F1789" s="13" t="s">
        <v>3214</v>
      </c>
      <c r="G1789" s="13" t="s">
        <v>3213</v>
      </c>
      <c r="H1789" s="13" t="s">
        <v>5465</v>
      </c>
      <c r="I1789" s="12">
        <v>45028</v>
      </c>
    </row>
    <row r="1790" spans="1:9" x14ac:dyDescent="0.15">
      <c r="A1790" s="10">
        <v>1789</v>
      </c>
      <c r="B1790" s="9" t="s">
        <v>9</v>
      </c>
      <c r="C1790" s="11" t="s">
        <v>10</v>
      </c>
      <c r="D1790" s="12">
        <v>45562</v>
      </c>
      <c r="E1790" s="14" t="str">
        <f>+HYPERLINK("http://trademark.i-assist.jp/data/china/image_1905th/71425674.pdf","71425674")</f>
        <v>71425674</v>
      </c>
      <c r="F1790" s="13" t="s">
        <v>2811</v>
      </c>
      <c r="G1790" s="13" t="s">
        <v>2810</v>
      </c>
      <c r="H1790" s="13" t="s">
        <v>5315</v>
      </c>
      <c r="I1790" s="12">
        <v>45055</v>
      </c>
    </row>
    <row r="1791" spans="1:9" x14ac:dyDescent="0.15">
      <c r="A1791" s="10">
        <v>1790</v>
      </c>
      <c r="B1791" s="9" t="s">
        <v>9</v>
      </c>
      <c r="C1791" s="11" t="s">
        <v>10</v>
      </c>
      <c r="D1791" s="12">
        <v>45562</v>
      </c>
      <c r="E1791" s="14" t="str">
        <f>+HYPERLINK("http://trademark.i-assist.jp/data/china/image_1905th/76111587.pdf","76111587")</f>
        <v>76111587</v>
      </c>
      <c r="F1791" s="13" t="s">
        <v>3216</v>
      </c>
      <c r="G1791" s="13" t="s">
        <v>3215</v>
      </c>
      <c r="H1791" s="13" t="s">
        <v>4328</v>
      </c>
      <c r="I1791" s="12">
        <v>45289</v>
      </c>
    </row>
    <row r="1792" spans="1:9" x14ac:dyDescent="0.15">
      <c r="A1792" s="10">
        <v>1791</v>
      </c>
      <c r="B1792" s="9" t="s">
        <v>9</v>
      </c>
      <c r="C1792" s="11" t="s">
        <v>10</v>
      </c>
      <c r="D1792" s="12">
        <v>45562</v>
      </c>
      <c r="E1792" s="14" t="str">
        <f>+HYPERLINK("http://trademark.i-assist.jp/data/china/image_1905th/79391362.pdf","79391362")</f>
        <v>79391362</v>
      </c>
      <c r="F1792" s="13" t="s">
        <v>3218</v>
      </c>
      <c r="G1792" s="13" t="s">
        <v>3217</v>
      </c>
      <c r="H1792" s="13" t="s">
        <v>4620</v>
      </c>
      <c r="I1792" s="12">
        <v>45467</v>
      </c>
    </row>
    <row r="1793" spans="1:9" x14ac:dyDescent="0.15">
      <c r="A1793" s="10">
        <v>1792</v>
      </c>
      <c r="B1793" s="9" t="s">
        <v>9</v>
      </c>
      <c r="C1793" s="11" t="s">
        <v>10</v>
      </c>
      <c r="D1793" s="12">
        <v>45562</v>
      </c>
      <c r="E1793" s="14" t="str">
        <f>+HYPERLINK("http://trademark.i-assist.jp/data/china/image_1905th/79395839.pdf","79395839")</f>
        <v>79395839</v>
      </c>
      <c r="F1793" s="13" t="s">
        <v>3220</v>
      </c>
      <c r="G1793" s="13" t="s">
        <v>3219</v>
      </c>
      <c r="H1793" s="13" t="s">
        <v>5466</v>
      </c>
      <c r="I1793" s="12">
        <v>45467</v>
      </c>
    </row>
    <row r="1794" spans="1:9" x14ac:dyDescent="0.15">
      <c r="A1794" s="10">
        <v>1793</v>
      </c>
      <c r="B1794" s="9" t="s">
        <v>9</v>
      </c>
      <c r="C1794" s="11" t="s">
        <v>10</v>
      </c>
      <c r="D1794" s="12">
        <v>45562</v>
      </c>
      <c r="E1794" s="14" t="str">
        <f>+HYPERLINK("http://trademark.i-assist.jp/data/china/image_1905th/79407529.pdf","79407529")</f>
        <v>79407529</v>
      </c>
      <c r="F1794" s="13" t="s">
        <v>3221</v>
      </c>
      <c r="G1794" s="13" t="s">
        <v>215</v>
      </c>
      <c r="H1794" s="13" t="s">
        <v>4245</v>
      </c>
      <c r="I1794" s="12">
        <v>45467</v>
      </c>
    </row>
    <row r="1795" spans="1:9" x14ac:dyDescent="0.15">
      <c r="A1795" s="10">
        <v>1794</v>
      </c>
      <c r="B1795" s="9" t="s">
        <v>9</v>
      </c>
      <c r="C1795" s="11" t="s">
        <v>10</v>
      </c>
      <c r="D1795" s="12">
        <v>45562</v>
      </c>
      <c r="E1795" s="14" t="str">
        <f>+HYPERLINK("http://trademark.i-assist.jp/data/china/image_1905th/79439221.pdf","79439221")</f>
        <v>79439221</v>
      </c>
      <c r="F1795" s="13" t="s">
        <v>3223</v>
      </c>
      <c r="G1795" s="13" t="s">
        <v>3222</v>
      </c>
      <c r="H1795" s="13" t="s">
        <v>4489</v>
      </c>
      <c r="I1795" s="12">
        <v>45469</v>
      </c>
    </row>
    <row r="1796" spans="1:9" x14ac:dyDescent="0.15">
      <c r="A1796" s="10">
        <v>1795</v>
      </c>
      <c r="B1796" s="9" t="s">
        <v>9</v>
      </c>
      <c r="C1796" s="11" t="s">
        <v>10</v>
      </c>
      <c r="D1796" s="12">
        <v>45562</v>
      </c>
      <c r="E1796" s="14" t="str">
        <f>+HYPERLINK("http://trademark.i-assist.jp/data/china/image_1905th/79444286.pdf","79444286")</f>
        <v>79444286</v>
      </c>
      <c r="F1796" s="13" t="s">
        <v>3225</v>
      </c>
      <c r="G1796" s="13" t="s">
        <v>3224</v>
      </c>
      <c r="H1796" s="13" t="s">
        <v>4206</v>
      </c>
      <c r="I1796" s="12">
        <v>45469</v>
      </c>
    </row>
    <row r="1797" spans="1:9" x14ac:dyDescent="0.15">
      <c r="A1797" s="10">
        <v>1796</v>
      </c>
      <c r="B1797" s="9" t="s">
        <v>9</v>
      </c>
      <c r="C1797" s="11" t="s">
        <v>10</v>
      </c>
      <c r="D1797" s="12">
        <v>45562</v>
      </c>
      <c r="E1797" s="14" t="str">
        <f>+HYPERLINK("http://trademark.i-assist.jp/data/china/image_1905th/79460622.pdf","79460622")</f>
        <v>79460622</v>
      </c>
      <c r="F1797" s="13" t="s">
        <v>3226</v>
      </c>
      <c r="G1797" s="13" t="s">
        <v>940</v>
      </c>
      <c r="H1797" s="13" t="s">
        <v>4566</v>
      </c>
      <c r="I1797" s="12">
        <v>45469</v>
      </c>
    </row>
    <row r="1798" spans="1:9" x14ac:dyDescent="0.15">
      <c r="A1798" s="10">
        <v>1797</v>
      </c>
      <c r="B1798" s="9" t="s">
        <v>9</v>
      </c>
      <c r="C1798" s="11" t="s">
        <v>10</v>
      </c>
      <c r="D1798" s="12">
        <v>45562</v>
      </c>
      <c r="E1798" s="14" t="str">
        <f>+HYPERLINK("http://trademark.i-assist.jp/data/china/image_1905th/79657760.pdf","79657760")</f>
        <v>79657760</v>
      </c>
      <c r="F1798" s="13" t="s">
        <v>3228</v>
      </c>
      <c r="G1798" s="13" t="s">
        <v>3227</v>
      </c>
      <c r="H1798" s="13" t="s">
        <v>5467</v>
      </c>
      <c r="I1798" s="12">
        <v>45481</v>
      </c>
    </row>
    <row r="1799" spans="1:9" x14ac:dyDescent="0.15">
      <c r="A1799" s="10">
        <v>1798</v>
      </c>
      <c r="B1799" s="9" t="s">
        <v>9</v>
      </c>
      <c r="C1799" s="11" t="s">
        <v>10</v>
      </c>
      <c r="D1799" s="12">
        <v>45562</v>
      </c>
      <c r="E1799" s="14" t="str">
        <f>+HYPERLINK("http://trademark.i-assist.jp/data/china/image_1905th/79661183.pdf","79661183")</f>
        <v>79661183</v>
      </c>
      <c r="F1799" s="13" t="s">
        <v>3230</v>
      </c>
      <c r="G1799" s="13" t="s">
        <v>3229</v>
      </c>
      <c r="H1799" s="13" t="s">
        <v>5468</v>
      </c>
      <c r="I1799" s="12">
        <v>45481</v>
      </c>
    </row>
    <row r="1800" spans="1:9" x14ac:dyDescent="0.15">
      <c r="A1800" s="10">
        <v>1799</v>
      </c>
      <c r="B1800" s="9" t="s">
        <v>9</v>
      </c>
      <c r="C1800" s="11" t="s">
        <v>10</v>
      </c>
      <c r="D1800" s="12">
        <v>45562</v>
      </c>
      <c r="E1800" s="14" t="str">
        <f>+HYPERLINK("http://trademark.i-assist.jp/data/china/image_1905th/79611367.pdf","79611367")</f>
        <v>79611367</v>
      </c>
      <c r="F1800" s="13" t="s">
        <v>3232</v>
      </c>
      <c r="G1800" s="13" t="s">
        <v>3231</v>
      </c>
      <c r="H1800" s="13" t="s">
        <v>5469</v>
      </c>
      <c r="I1800" s="12">
        <v>45477</v>
      </c>
    </row>
    <row r="1801" spans="1:9" x14ac:dyDescent="0.15">
      <c r="A1801" s="10">
        <v>1800</v>
      </c>
      <c r="B1801" s="9" t="s">
        <v>9</v>
      </c>
      <c r="C1801" s="11" t="s">
        <v>10</v>
      </c>
      <c r="D1801" s="12">
        <v>45562</v>
      </c>
      <c r="E1801" s="14" t="str">
        <f>+HYPERLINK("http://trademark.i-assist.jp/data/china/image_1905th/79611555.pdf","79611555")</f>
        <v>79611555</v>
      </c>
      <c r="F1801" s="13" t="s">
        <v>3233</v>
      </c>
      <c r="G1801" s="13" t="s">
        <v>1712</v>
      </c>
      <c r="H1801" s="13" t="s">
        <v>4874</v>
      </c>
      <c r="I1801" s="12">
        <v>45477</v>
      </c>
    </row>
    <row r="1802" spans="1:9" x14ac:dyDescent="0.15">
      <c r="A1802" s="10">
        <v>1801</v>
      </c>
      <c r="B1802" s="9" t="s">
        <v>9</v>
      </c>
      <c r="C1802" s="11" t="s">
        <v>10</v>
      </c>
      <c r="D1802" s="12">
        <v>45562</v>
      </c>
      <c r="E1802" s="14" t="str">
        <f>+HYPERLINK("http://trademark.i-assist.jp/data/china/image_1905th/79613787.pdf","79613787")</f>
        <v>79613787</v>
      </c>
      <c r="F1802" s="13" t="s">
        <v>3235</v>
      </c>
      <c r="G1802" s="13" t="s">
        <v>3234</v>
      </c>
      <c r="H1802" s="13" t="s">
        <v>5470</v>
      </c>
      <c r="I1802" s="12">
        <v>45477</v>
      </c>
    </row>
    <row r="1803" spans="1:9" x14ac:dyDescent="0.15">
      <c r="A1803" s="10">
        <v>1802</v>
      </c>
      <c r="B1803" s="9" t="s">
        <v>9</v>
      </c>
      <c r="C1803" s="11" t="s">
        <v>10</v>
      </c>
      <c r="D1803" s="12">
        <v>45562</v>
      </c>
      <c r="E1803" s="14" t="str">
        <f>+HYPERLINK("http://trademark.i-assist.jp/data/china/image_1905th/79616620.pdf","79616620")</f>
        <v>79616620</v>
      </c>
      <c r="F1803" s="13" t="s">
        <v>3236</v>
      </c>
      <c r="G1803" s="13" t="s">
        <v>3236</v>
      </c>
      <c r="H1803" s="13" t="s">
        <v>5471</v>
      </c>
      <c r="I1803" s="12">
        <v>45477</v>
      </c>
    </row>
    <row r="1804" spans="1:9" x14ac:dyDescent="0.15">
      <c r="A1804" s="10">
        <v>1803</v>
      </c>
      <c r="B1804" s="9" t="s">
        <v>9</v>
      </c>
      <c r="C1804" s="11" t="s">
        <v>10</v>
      </c>
      <c r="D1804" s="12">
        <v>45562</v>
      </c>
      <c r="E1804" s="14" t="str">
        <f>+HYPERLINK("http://trademark.i-assist.jp/data/china/image_1905th/79619775.pdf","79619775")</f>
        <v>79619775</v>
      </c>
      <c r="F1804" s="13" t="s">
        <v>3238</v>
      </c>
      <c r="G1804" s="13" t="s">
        <v>3237</v>
      </c>
      <c r="H1804" s="13" t="s">
        <v>5472</v>
      </c>
      <c r="I1804" s="12">
        <v>45477</v>
      </c>
    </row>
    <row r="1805" spans="1:9" x14ac:dyDescent="0.15">
      <c r="A1805" s="10">
        <v>1804</v>
      </c>
      <c r="B1805" s="9" t="s">
        <v>9</v>
      </c>
      <c r="C1805" s="11" t="s">
        <v>10</v>
      </c>
      <c r="D1805" s="12">
        <v>45562</v>
      </c>
      <c r="E1805" s="14" t="str">
        <f>+HYPERLINK("http://trademark.i-assist.jp/data/china/image_1905th/79624437.pdf","79624437")</f>
        <v>79624437</v>
      </c>
      <c r="F1805" s="13" t="s">
        <v>3240</v>
      </c>
      <c r="G1805" s="13" t="s">
        <v>3239</v>
      </c>
      <c r="H1805" s="13" t="s">
        <v>5473</v>
      </c>
      <c r="I1805" s="12">
        <v>45478</v>
      </c>
    </row>
    <row r="1806" spans="1:9" x14ac:dyDescent="0.15">
      <c r="A1806" s="10">
        <v>1805</v>
      </c>
      <c r="B1806" s="9" t="s">
        <v>9</v>
      </c>
      <c r="C1806" s="11" t="s">
        <v>10</v>
      </c>
      <c r="D1806" s="12">
        <v>45562</v>
      </c>
      <c r="E1806" s="14" t="str">
        <f>+HYPERLINK("http://trademark.i-assist.jp/data/china/image_1905th/79630177.pdf","79630177")</f>
        <v>79630177</v>
      </c>
      <c r="F1806" s="13" t="s">
        <v>73</v>
      </c>
      <c r="G1806" s="13" t="s">
        <v>3241</v>
      </c>
      <c r="H1806" s="13" t="s">
        <v>4462</v>
      </c>
      <c r="I1806" s="12">
        <v>45478</v>
      </c>
    </row>
    <row r="1807" spans="1:9" x14ac:dyDescent="0.15">
      <c r="A1807" s="10">
        <v>1806</v>
      </c>
      <c r="B1807" s="9" t="s">
        <v>9</v>
      </c>
      <c r="C1807" s="11" t="s">
        <v>10</v>
      </c>
      <c r="D1807" s="12">
        <v>45562</v>
      </c>
      <c r="E1807" s="14" t="str">
        <f>+HYPERLINK("http://trademark.i-assist.jp/data/china/image_1905th/79633216.pdf","79633216")</f>
        <v>79633216</v>
      </c>
      <c r="F1807" s="13" t="s">
        <v>3243</v>
      </c>
      <c r="G1807" s="13" t="s">
        <v>3242</v>
      </c>
      <c r="H1807" s="13" t="s">
        <v>5474</v>
      </c>
      <c r="I1807" s="12">
        <v>45478</v>
      </c>
    </row>
    <row r="1808" spans="1:9" x14ac:dyDescent="0.15">
      <c r="A1808" s="10">
        <v>1807</v>
      </c>
      <c r="B1808" s="9" t="s">
        <v>9</v>
      </c>
      <c r="C1808" s="11" t="s">
        <v>10</v>
      </c>
      <c r="D1808" s="12">
        <v>45562</v>
      </c>
      <c r="E1808" s="14" t="str">
        <f>+HYPERLINK("http://trademark.i-assist.jp/data/china/image_1905th/79776993.pdf","79776993")</f>
        <v>79776993</v>
      </c>
      <c r="F1808" s="13" t="s">
        <v>3245</v>
      </c>
      <c r="G1808" s="13" t="s">
        <v>3244</v>
      </c>
      <c r="H1808" s="13" t="s">
        <v>5475</v>
      </c>
      <c r="I1808" s="12">
        <v>45486</v>
      </c>
    </row>
    <row r="1809" spans="1:9" x14ac:dyDescent="0.15">
      <c r="A1809" s="10">
        <v>1808</v>
      </c>
      <c r="B1809" s="9" t="s">
        <v>9</v>
      </c>
      <c r="C1809" s="11" t="s">
        <v>10</v>
      </c>
      <c r="D1809" s="12">
        <v>45562</v>
      </c>
      <c r="E1809" s="14" t="str">
        <f>+HYPERLINK("http://trademark.i-assist.jp/data/china/image_1905th/79777069.pdf","79777069")</f>
        <v>79777069</v>
      </c>
      <c r="F1809" s="13" t="s">
        <v>3246</v>
      </c>
      <c r="G1809" s="13" t="s">
        <v>576</v>
      </c>
      <c r="H1809" s="13" t="s">
        <v>4212</v>
      </c>
      <c r="I1809" s="12">
        <v>45486</v>
      </c>
    </row>
    <row r="1810" spans="1:9" x14ac:dyDescent="0.15">
      <c r="A1810" s="10">
        <v>1809</v>
      </c>
      <c r="B1810" s="9" t="s">
        <v>9</v>
      </c>
      <c r="C1810" s="11" t="s">
        <v>10</v>
      </c>
      <c r="D1810" s="12">
        <v>45562</v>
      </c>
      <c r="E1810" s="14" t="str">
        <f>+HYPERLINK("http://trademark.i-assist.jp/data/china/image_1905th/79777742.pdf","79777742")</f>
        <v>79777742</v>
      </c>
      <c r="F1810" s="13" t="s">
        <v>73</v>
      </c>
      <c r="G1810" s="13" t="s">
        <v>3247</v>
      </c>
      <c r="H1810" s="13" t="s">
        <v>5476</v>
      </c>
      <c r="I1810" s="12">
        <v>45486</v>
      </c>
    </row>
    <row r="1811" spans="1:9" x14ac:dyDescent="0.15">
      <c r="A1811" s="10">
        <v>1810</v>
      </c>
      <c r="B1811" s="9" t="s">
        <v>9</v>
      </c>
      <c r="C1811" s="11" t="s">
        <v>10</v>
      </c>
      <c r="D1811" s="12">
        <v>45562</v>
      </c>
      <c r="E1811" s="14" t="str">
        <f>+HYPERLINK("http://trademark.i-assist.jp/data/china/image_1905th/79784763.pdf","79784763")</f>
        <v>79784763</v>
      </c>
      <c r="F1811" s="13" t="s">
        <v>3249</v>
      </c>
      <c r="G1811" s="13" t="s">
        <v>3248</v>
      </c>
      <c r="H1811" s="13" t="s">
        <v>5477</v>
      </c>
      <c r="I1811" s="12">
        <v>45487</v>
      </c>
    </row>
    <row r="1812" spans="1:9" x14ac:dyDescent="0.15">
      <c r="A1812" s="10">
        <v>1811</v>
      </c>
      <c r="B1812" s="9" t="s">
        <v>9</v>
      </c>
      <c r="C1812" s="11" t="s">
        <v>10</v>
      </c>
      <c r="D1812" s="12">
        <v>45562</v>
      </c>
      <c r="E1812" s="14" t="str">
        <f>+HYPERLINK("http://trademark.i-assist.jp/data/china/image_1905th/79794961.pdf","79794961")</f>
        <v>79794961</v>
      </c>
      <c r="F1812" s="13" t="s">
        <v>3250</v>
      </c>
      <c r="G1812" s="13" t="s">
        <v>1405</v>
      </c>
      <c r="H1812" s="13" t="s">
        <v>4741</v>
      </c>
      <c r="I1812" s="12">
        <v>45488</v>
      </c>
    </row>
    <row r="1813" spans="1:9" x14ac:dyDescent="0.15">
      <c r="A1813" s="10">
        <v>1812</v>
      </c>
      <c r="B1813" s="9" t="s">
        <v>9</v>
      </c>
      <c r="C1813" s="11" t="s">
        <v>10</v>
      </c>
      <c r="D1813" s="12">
        <v>45562</v>
      </c>
      <c r="E1813" s="14" t="str">
        <f>+HYPERLINK("http://trademark.i-assist.jp/data/china/image_1905th/79818051.pdf","79818051")</f>
        <v>79818051</v>
      </c>
      <c r="F1813" s="13" t="s">
        <v>3251</v>
      </c>
      <c r="G1813" s="13" t="s">
        <v>594</v>
      </c>
      <c r="H1813" s="13" t="s">
        <v>5478</v>
      </c>
      <c r="I1813" s="12">
        <v>45489</v>
      </c>
    </row>
    <row r="1814" spans="1:9" x14ac:dyDescent="0.15">
      <c r="A1814" s="10">
        <v>1813</v>
      </c>
      <c r="B1814" s="9" t="s">
        <v>9</v>
      </c>
      <c r="C1814" s="11" t="s">
        <v>10</v>
      </c>
      <c r="D1814" s="12">
        <v>45562</v>
      </c>
      <c r="E1814" s="14" t="str">
        <f>+HYPERLINK("http://trademark.i-assist.jp/data/china/image_1905th/79820755.pdf","79820755")</f>
        <v>79820755</v>
      </c>
      <c r="F1814" s="13" t="s">
        <v>3253</v>
      </c>
      <c r="G1814" s="13" t="s">
        <v>3252</v>
      </c>
      <c r="H1814" s="13" t="s">
        <v>5479</v>
      </c>
      <c r="I1814" s="12">
        <v>45489</v>
      </c>
    </row>
    <row r="1815" spans="1:9" x14ac:dyDescent="0.15">
      <c r="A1815" s="10">
        <v>1814</v>
      </c>
      <c r="B1815" s="9" t="s">
        <v>9</v>
      </c>
      <c r="C1815" s="11" t="s">
        <v>10</v>
      </c>
      <c r="D1815" s="12">
        <v>45562</v>
      </c>
      <c r="E1815" s="14" t="str">
        <f>+HYPERLINK("http://trademark.i-assist.jp/data/china/image_1905th/79664891.pdf","79664891")</f>
        <v>79664891</v>
      </c>
      <c r="F1815" s="13" t="s">
        <v>3255</v>
      </c>
      <c r="G1815" s="13" t="s">
        <v>3254</v>
      </c>
      <c r="H1815" s="13" t="s">
        <v>5480</v>
      </c>
      <c r="I1815" s="12">
        <v>45481</v>
      </c>
    </row>
    <row r="1816" spans="1:9" x14ac:dyDescent="0.15">
      <c r="A1816" s="10">
        <v>1815</v>
      </c>
      <c r="B1816" s="9" t="s">
        <v>9</v>
      </c>
      <c r="C1816" s="11" t="s">
        <v>10</v>
      </c>
      <c r="D1816" s="12">
        <v>45562</v>
      </c>
      <c r="E1816" s="14" t="str">
        <f>+HYPERLINK("http://trademark.i-assist.jp/data/china/image_1905th/79672985.pdf","79672985")</f>
        <v>79672985</v>
      </c>
      <c r="F1816" s="13" t="s">
        <v>3257</v>
      </c>
      <c r="G1816" s="13" t="s">
        <v>3256</v>
      </c>
      <c r="H1816" s="13" t="s">
        <v>4245</v>
      </c>
      <c r="I1816" s="12">
        <v>45481</v>
      </c>
    </row>
    <row r="1817" spans="1:9" x14ac:dyDescent="0.15">
      <c r="A1817" s="10">
        <v>1816</v>
      </c>
      <c r="B1817" s="9" t="s">
        <v>9</v>
      </c>
      <c r="C1817" s="11" t="s">
        <v>10</v>
      </c>
      <c r="D1817" s="12">
        <v>45562</v>
      </c>
      <c r="E1817" s="14" t="str">
        <f>+HYPERLINK("http://trademark.i-assist.jp/data/china/image_1905th/79674243.pdf","79674243")</f>
        <v>79674243</v>
      </c>
      <c r="F1817" s="13" t="s">
        <v>3258</v>
      </c>
      <c r="G1817" s="13" t="s">
        <v>2954</v>
      </c>
      <c r="H1817" s="13" t="s">
        <v>5365</v>
      </c>
      <c r="I1817" s="12">
        <v>45481</v>
      </c>
    </row>
    <row r="1818" spans="1:9" x14ac:dyDescent="0.15">
      <c r="A1818" s="10">
        <v>1817</v>
      </c>
      <c r="B1818" s="9" t="s">
        <v>9</v>
      </c>
      <c r="C1818" s="11" t="s">
        <v>10</v>
      </c>
      <c r="D1818" s="12">
        <v>45562</v>
      </c>
      <c r="E1818" s="14" t="str">
        <f>+HYPERLINK("http://trademark.i-assist.jp/data/china/image_1905th/79674619.pdf","79674619")</f>
        <v>79674619</v>
      </c>
      <c r="F1818" s="13" t="s">
        <v>3259</v>
      </c>
      <c r="G1818" s="13" t="s">
        <v>1048</v>
      </c>
      <c r="H1818" s="13" t="s">
        <v>4607</v>
      </c>
      <c r="I1818" s="12">
        <v>45481</v>
      </c>
    </row>
    <row r="1819" spans="1:9" x14ac:dyDescent="0.15">
      <c r="A1819" s="10">
        <v>1818</v>
      </c>
      <c r="B1819" s="9" t="s">
        <v>9</v>
      </c>
      <c r="C1819" s="11" t="s">
        <v>10</v>
      </c>
      <c r="D1819" s="12">
        <v>45562</v>
      </c>
      <c r="E1819" s="14" t="str">
        <f>+HYPERLINK("http://trademark.i-assist.jp/data/china/image_1905th/79675675.pdf","79675675")</f>
        <v>79675675</v>
      </c>
      <c r="F1819" s="13" t="s">
        <v>3260</v>
      </c>
      <c r="G1819" s="13" t="s">
        <v>3227</v>
      </c>
      <c r="H1819" s="13" t="s">
        <v>5467</v>
      </c>
      <c r="I1819" s="12">
        <v>45481</v>
      </c>
    </row>
    <row r="1820" spans="1:9" x14ac:dyDescent="0.15">
      <c r="A1820" s="10">
        <v>1819</v>
      </c>
      <c r="B1820" s="9" t="s">
        <v>9</v>
      </c>
      <c r="C1820" s="11" t="s">
        <v>10</v>
      </c>
      <c r="D1820" s="12">
        <v>45562</v>
      </c>
      <c r="E1820" s="14" t="str">
        <f>+HYPERLINK("http://trademark.i-assist.jp/data/china/image_1905th/79676051.pdf","79676051")</f>
        <v>79676051</v>
      </c>
      <c r="F1820" s="13" t="s">
        <v>73</v>
      </c>
      <c r="G1820" s="13" t="s">
        <v>3261</v>
      </c>
      <c r="H1820" s="13" t="s">
        <v>5481</v>
      </c>
      <c r="I1820" s="12">
        <v>45481</v>
      </c>
    </row>
    <row r="1821" spans="1:9" x14ac:dyDescent="0.15">
      <c r="A1821" s="10">
        <v>1820</v>
      </c>
      <c r="B1821" s="9" t="s">
        <v>9</v>
      </c>
      <c r="C1821" s="11" t="s">
        <v>10</v>
      </c>
      <c r="D1821" s="12">
        <v>45562</v>
      </c>
      <c r="E1821" s="14" t="str">
        <f>+HYPERLINK("http://trademark.i-assist.jp/data/china/image_1905th/79682615.pdf","79682615")</f>
        <v>79682615</v>
      </c>
      <c r="F1821" s="13" t="s">
        <v>73</v>
      </c>
      <c r="G1821" s="13" t="s">
        <v>3262</v>
      </c>
      <c r="H1821" s="13" t="s">
        <v>4278</v>
      </c>
      <c r="I1821" s="12">
        <v>45482</v>
      </c>
    </row>
    <row r="1822" spans="1:9" x14ac:dyDescent="0.15">
      <c r="A1822" s="10">
        <v>1821</v>
      </c>
      <c r="B1822" s="9" t="s">
        <v>9</v>
      </c>
      <c r="C1822" s="11" t="s">
        <v>10</v>
      </c>
      <c r="D1822" s="12">
        <v>45562</v>
      </c>
      <c r="E1822" s="14" t="str">
        <f>+HYPERLINK("http://trademark.i-assist.jp/data/china/image_1905th/79690391.pdf","79690391")</f>
        <v>79690391</v>
      </c>
      <c r="F1822" s="13" t="s">
        <v>3264</v>
      </c>
      <c r="G1822" s="13" t="s">
        <v>3263</v>
      </c>
      <c r="H1822" s="13" t="s">
        <v>4358</v>
      </c>
      <c r="I1822" s="12">
        <v>45482</v>
      </c>
    </row>
    <row r="1823" spans="1:9" x14ac:dyDescent="0.15">
      <c r="A1823" s="10">
        <v>1822</v>
      </c>
      <c r="B1823" s="9" t="s">
        <v>9</v>
      </c>
      <c r="C1823" s="11" t="s">
        <v>10</v>
      </c>
      <c r="D1823" s="12">
        <v>45562</v>
      </c>
      <c r="E1823" s="14" t="str">
        <f>+HYPERLINK("http://trademark.i-assist.jp/data/china/image_1905th/79695768.pdf","79695768")</f>
        <v>79695768</v>
      </c>
      <c r="F1823" s="13" t="s">
        <v>3266</v>
      </c>
      <c r="G1823" s="13" t="s">
        <v>3265</v>
      </c>
      <c r="H1823" s="13" t="s">
        <v>5482</v>
      </c>
      <c r="I1823" s="12">
        <v>45482</v>
      </c>
    </row>
    <row r="1824" spans="1:9" x14ac:dyDescent="0.15">
      <c r="A1824" s="10">
        <v>1823</v>
      </c>
      <c r="B1824" s="9" t="s">
        <v>9</v>
      </c>
      <c r="C1824" s="11" t="s">
        <v>10</v>
      </c>
      <c r="D1824" s="12">
        <v>45562</v>
      </c>
      <c r="E1824" s="14" t="str">
        <f>+HYPERLINK("http://trademark.i-assist.jp/data/china/image_1905th/79700622.pdf","79700622")</f>
        <v>79700622</v>
      </c>
      <c r="F1824" s="13" t="s">
        <v>3268</v>
      </c>
      <c r="G1824" s="13" t="s">
        <v>3267</v>
      </c>
      <c r="H1824" s="13" t="s">
        <v>4379</v>
      </c>
      <c r="I1824" s="12">
        <v>45482</v>
      </c>
    </row>
    <row r="1825" spans="1:9" x14ac:dyDescent="0.15">
      <c r="A1825" s="10">
        <v>1824</v>
      </c>
      <c r="B1825" s="9" t="s">
        <v>9</v>
      </c>
      <c r="C1825" s="11" t="s">
        <v>10</v>
      </c>
      <c r="D1825" s="12">
        <v>45562</v>
      </c>
      <c r="E1825" s="14" t="str">
        <f>+HYPERLINK("http://trademark.i-assist.jp/data/china/image_1905th/79706613.pdf","79706613")</f>
        <v>79706613</v>
      </c>
      <c r="F1825" s="13" t="s">
        <v>3270</v>
      </c>
      <c r="G1825" s="13" t="s">
        <v>3269</v>
      </c>
      <c r="H1825" s="13" t="s">
        <v>4756</v>
      </c>
      <c r="I1825" s="12">
        <v>45483</v>
      </c>
    </row>
    <row r="1826" spans="1:9" x14ac:dyDescent="0.15">
      <c r="A1826" s="10">
        <v>1825</v>
      </c>
      <c r="B1826" s="9" t="s">
        <v>9</v>
      </c>
      <c r="C1826" s="11" t="s">
        <v>10</v>
      </c>
      <c r="D1826" s="12">
        <v>45562</v>
      </c>
      <c r="E1826" s="14" t="str">
        <f>+HYPERLINK("http://trademark.i-assist.jp/data/china/image_1905th/79706761.pdf","79706761")</f>
        <v>79706761</v>
      </c>
      <c r="F1826" s="13" t="s">
        <v>3271</v>
      </c>
      <c r="G1826" s="13" t="s">
        <v>1823</v>
      </c>
      <c r="H1826" s="13" t="s">
        <v>4438</v>
      </c>
      <c r="I1826" s="12">
        <v>45483</v>
      </c>
    </row>
    <row r="1827" spans="1:9" x14ac:dyDescent="0.15">
      <c r="A1827" s="10">
        <v>1826</v>
      </c>
      <c r="B1827" s="9" t="s">
        <v>9</v>
      </c>
      <c r="C1827" s="11" t="s">
        <v>10</v>
      </c>
      <c r="D1827" s="12">
        <v>45562</v>
      </c>
      <c r="E1827" s="14" t="str">
        <f>+HYPERLINK("http://trademark.i-assist.jp/data/china/image_1905th/79708527.pdf","79708527")</f>
        <v>79708527</v>
      </c>
      <c r="F1827" s="13" t="s">
        <v>3273</v>
      </c>
      <c r="G1827" s="13" t="s">
        <v>3272</v>
      </c>
      <c r="H1827" s="13" t="s">
        <v>5483</v>
      </c>
      <c r="I1827" s="12">
        <v>45483</v>
      </c>
    </row>
    <row r="1828" spans="1:9" x14ac:dyDescent="0.15">
      <c r="A1828" s="10">
        <v>1827</v>
      </c>
      <c r="B1828" s="9" t="s">
        <v>9</v>
      </c>
      <c r="C1828" s="11" t="s">
        <v>10</v>
      </c>
      <c r="D1828" s="12">
        <v>45562</v>
      </c>
      <c r="E1828" s="14" t="str">
        <f>+HYPERLINK("http://trademark.i-assist.jp/data/china/image_1905th/79563814.pdf","79563814")</f>
        <v>79563814</v>
      </c>
      <c r="F1828" s="13" t="s">
        <v>3275</v>
      </c>
      <c r="G1828" s="13" t="s">
        <v>3274</v>
      </c>
      <c r="H1828" s="13" t="s">
        <v>5484</v>
      </c>
      <c r="I1828" s="12">
        <v>45475</v>
      </c>
    </row>
    <row r="1829" spans="1:9" x14ac:dyDescent="0.15">
      <c r="A1829" s="10">
        <v>1828</v>
      </c>
      <c r="B1829" s="9" t="s">
        <v>9</v>
      </c>
      <c r="C1829" s="11" t="s">
        <v>10</v>
      </c>
      <c r="D1829" s="12">
        <v>45562</v>
      </c>
      <c r="E1829" s="14" t="str">
        <f>+HYPERLINK("http://trademark.i-assist.jp/data/china/image_1905th/79572563.pdf","79572563")</f>
        <v>79572563</v>
      </c>
      <c r="F1829" s="13" t="s">
        <v>3277</v>
      </c>
      <c r="G1829" s="13" t="s">
        <v>3276</v>
      </c>
      <c r="H1829" s="13" t="s">
        <v>5485</v>
      </c>
      <c r="I1829" s="12">
        <v>45475</v>
      </c>
    </row>
    <row r="1830" spans="1:9" x14ac:dyDescent="0.15">
      <c r="A1830" s="10">
        <v>1829</v>
      </c>
      <c r="B1830" s="9" t="s">
        <v>9</v>
      </c>
      <c r="C1830" s="11" t="s">
        <v>10</v>
      </c>
      <c r="D1830" s="12">
        <v>45562</v>
      </c>
      <c r="E1830" s="14" t="str">
        <f>+HYPERLINK("http://trademark.i-assist.jp/data/china/image_1905th/79580119.pdf","79580119")</f>
        <v>79580119</v>
      </c>
      <c r="F1830" s="13" t="s">
        <v>3279</v>
      </c>
      <c r="G1830" s="13" t="s">
        <v>3278</v>
      </c>
      <c r="H1830" s="13" t="s">
        <v>5486</v>
      </c>
      <c r="I1830" s="12">
        <v>45476</v>
      </c>
    </row>
    <row r="1831" spans="1:9" x14ac:dyDescent="0.15">
      <c r="A1831" s="10">
        <v>1830</v>
      </c>
      <c r="B1831" s="9" t="s">
        <v>9</v>
      </c>
      <c r="C1831" s="11" t="s">
        <v>10</v>
      </c>
      <c r="D1831" s="12">
        <v>45562</v>
      </c>
      <c r="E1831" s="14" t="str">
        <f>+HYPERLINK("http://trademark.i-assist.jp/data/china/image_1905th/79583425.pdf","79583425")</f>
        <v>79583425</v>
      </c>
      <c r="F1831" s="13" t="s">
        <v>3280</v>
      </c>
      <c r="G1831" s="13" t="s">
        <v>1633</v>
      </c>
      <c r="H1831" s="13" t="s">
        <v>4328</v>
      </c>
      <c r="I1831" s="12">
        <v>45476</v>
      </c>
    </row>
    <row r="1832" spans="1:9" x14ac:dyDescent="0.15">
      <c r="A1832" s="10">
        <v>1831</v>
      </c>
      <c r="B1832" s="9" t="s">
        <v>9</v>
      </c>
      <c r="C1832" s="11" t="s">
        <v>10</v>
      </c>
      <c r="D1832" s="12">
        <v>45562</v>
      </c>
      <c r="E1832" s="14" t="str">
        <f>+HYPERLINK("http://trademark.i-assist.jp/data/china/image_1905th/79590051.pdf","79590051")</f>
        <v>79590051</v>
      </c>
      <c r="F1832" s="13" t="s">
        <v>3282</v>
      </c>
      <c r="G1832" s="13" t="s">
        <v>3281</v>
      </c>
      <c r="H1832" s="13" t="s">
        <v>5487</v>
      </c>
      <c r="I1832" s="12">
        <v>45476</v>
      </c>
    </row>
    <row r="1833" spans="1:9" x14ac:dyDescent="0.15">
      <c r="A1833" s="10">
        <v>1832</v>
      </c>
      <c r="B1833" s="9" t="s">
        <v>9</v>
      </c>
      <c r="C1833" s="11" t="s">
        <v>10</v>
      </c>
      <c r="D1833" s="12">
        <v>45562</v>
      </c>
      <c r="E1833" s="14" t="str">
        <f>+HYPERLINK("http://trademark.i-assist.jp/data/china/image_1905th/79593366.pdf","79593366")</f>
        <v>79593366</v>
      </c>
      <c r="F1833" s="13" t="s">
        <v>3283</v>
      </c>
      <c r="G1833" s="13" t="s">
        <v>1230</v>
      </c>
      <c r="H1833" s="13" t="s">
        <v>5488</v>
      </c>
      <c r="I1833" s="12">
        <v>45476</v>
      </c>
    </row>
    <row r="1834" spans="1:9" x14ac:dyDescent="0.15">
      <c r="A1834" s="10">
        <v>1833</v>
      </c>
      <c r="B1834" s="9" t="s">
        <v>9</v>
      </c>
      <c r="C1834" s="11" t="s">
        <v>10</v>
      </c>
      <c r="D1834" s="12">
        <v>45562</v>
      </c>
      <c r="E1834" s="14" t="str">
        <f>+HYPERLINK("http://trademark.i-assist.jp/data/china/image_1905th/79596685.pdf","79596685")</f>
        <v>79596685</v>
      </c>
      <c r="F1834" s="13" t="s">
        <v>3284</v>
      </c>
      <c r="G1834" s="13" t="s">
        <v>456</v>
      </c>
      <c r="H1834" s="13" t="s">
        <v>4354</v>
      </c>
      <c r="I1834" s="12">
        <v>45476</v>
      </c>
    </row>
    <row r="1835" spans="1:9" x14ac:dyDescent="0.15">
      <c r="A1835" s="10">
        <v>1834</v>
      </c>
      <c r="B1835" s="9" t="s">
        <v>9</v>
      </c>
      <c r="C1835" s="11" t="s">
        <v>10</v>
      </c>
      <c r="D1835" s="12">
        <v>45562</v>
      </c>
      <c r="E1835" s="14" t="str">
        <f>+HYPERLINK("http://trademark.i-assist.jp/data/china/image_1905th/79599564.pdf","79599564")</f>
        <v>79599564</v>
      </c>
      <c r="F1835" s="13" t="s">
        <v>3286</v>
      </c>
      <c r="G1835" s="13" t="s">
        <v>3285</v>
      </c>
      <c r="H1835" s="13" t="s">
        <v>5489</v>
      </c>
      <c r="I1835" s="12">
        <v>45477</v>
      </c>
    </row>
    <row r="1836" spans="1:9" x14ac:dyDescent="0.15">
      <c r="A1836" s="10">
        <v>1835</v>
      </c>
      <c r="B1836" s="9" t="s">
        <v>9</v>
      </c>
      <c r="C1836" s="11" t="s">
        <v>10</v>
      </c>
      <c r="D1836" s="12">
        <v>45562</v>
      </c>
      <c r="E1836" s="14" t="str">
        <f>+HYPERLINK("http://trademark.i-assist.jp/data/china/image_1905th/79603337.pdf","79603337")</f>
        <v>79603337</v>
      </c>
      <c r="F1836" s="13" t="s">
        <v>3288</v>
      </c>
      <c r="G1836" s="13" t="s">
        <v>3287</v>
      </c>
      <c r="H1836" s="13" t="s">
        <v>5490</v>
      </c>
      <c r="I1836" s="12">
        <v>45477</v>
      </c>
    </row>
    <row r="1837" spans="1:9" x14ac:dyDescent="0.15">
      <c r="A1837" s="10">
        <v>1836</v>
      </c>
      <c r="B1837" s="9" t="s">
        <v>9</v>
      </c>
      <c r="C1837" s="11" t="s">
        <v>10</v>
      </c>
      <c r="D1837" s="12">
        <v>45562</v>
      </c>
      <c r="E1837" s="14" t="str">
        <f>+HYPERLINK("http://trademark.i-assist.jp/data/china/image_1905th/79605550.pdf","79605550")</f>
        <v>79605550</v>
      </c>
      <c r="F1837" s="13" t="s">
        <v>3289</v>
      </c>
      <c r="G1837" s="13" t="s">
        <v>1515</v>
      </c>
      <c r="H1837" s="13" t="s">
        <v>4786</v>
      </c>
      <c r="I1837" s="12">
        <v>45477</v>
      </c>
    </row>
    <row r="1838" spans="1:9" x14ac:dyDescent="0.15">
      <c r="A1838" s="10">
        <v>1837</v>
      </c>
      <c r="B1838" s="9" t="s">
        <v>9</v>
      </c>
      <c r="C1838" s="11" t="s">
        <v>10</v>
      </c>
      <c r="D1838" s="12">
        <v>45562</v>
      </c>
      <c r="E1838" s="14" t="str">
        <f>+HYPERLINK("http://trademark.i-assist.jp/data/china/image_1905th/79836112.pdf","79836112")</f>
        <v>79836112</v>
      </c>
      <c r="F1838" s="13" t="s">
        <v>3291</v>
      </c>
      <c r="G1838" s="13" t="s">
        <v>3290</v>
      </c>
      <c r="H1838" s="13" t="s">
        <v>5491</v>
      </c>
      <c r="I1838" s="12">
        <v>45490</v>
      </c>
    </row>
    <row r="1839" spans="1:9" x14ac:dyDescent="0.15">
      <c r="A1839" s="10">
        <v>1838</v>
      </c>
      <c r="B1839" s="9" t="s">
        <v>9</v>
      </c>
      <c r="C1839" s="11" t="s">
        <v>10</v>
      </c>
      <c r="D1839" s="12">
        <v>45562</v>
      </c>
      <c r="E1839" s="14" t="str">
        <f>+HYPERLINK("http://trademark.i-assist.jp/data/china/image_1905th/79840327.pdf","79840327")</f>
        <v>79840327</v>
      </c>
      <c r="F1839" s="13" t="s">
        <v>3292</v>
      </c>
      <c r="G1839" s="13" t="s">
        <v>1974</v>
      </c>
      <c r="H1839" s="13" t="s">
        <v>4985</v>
      </c>
      <c r="I1839" s="12">
        <v>45490</v>
      </c>
    </row>
    <row r="1840" spans="1:9" x14ac:dyDescent="0.15">
      <c r="A1840" s="10">
        <v>1839</v>
      </c>
      <c r="B1840" s="9" t="s">
        <v>9</v>
      </c>
      <c r="C1840" s="11" t="s">
        <v>10</v>
      </c>
      <c r="D1840" s="12">
        <v>45562</v>
      </c>
      <c r="E1840" s="14" t="str">
        <f>+HYPERLINK("http://trademark.i-assist.jp/data/china/image_1905th/79852947.pdf","79852947")</f>
        <v>79852947</v>
      </c>
      <c r="F1840" s="13" t="s">
        <v>3294</v>
      </c>
      <c r="G1840" s="13" t="s">
        <v>3293</v>
      </c>
      <c r="H1840" s="13" t="s">
        <v>5492</v>
      </c>
      <c r="I1840" s="12">
        <v>45490</v>
      </c>
    </row>
    <row r="1841" spans="1:9" x14ac:dyDescent="0.15">
      <c r="A1841" s="10">
        <v>1840</v>
      </c>
      <c r="B1841" s="9" t="s">
        <v>9</v>
      </c>
      <c r="C1841" s="11" t="s">
        <v>10</v>
      </c>
      <c r="D1841" s="12">
        <v>45562</v>
      </c>
      <c r="E1841" s="14" t="str">
        <f>+HYPERLINK("http://trademark.i-assist.jp/data/china/image_1905th/79857975.pdf","79857975")</f>
        <v>79857975</v>
      </c>
      <c r="F1841" s="13" t="s">
        <v>3295</v>
      </c>
      <c r="G1841" s="13" t="s">
        <v>2543</v>
      </c>
      <c r="H1841" s="13" t="s">
        <v>5493</v>
      </c>
      <c r="I1841" s="12">
        <v>45491</v>
      </c>
    </row>
    <row r="1842" spans="1:9" x14ac:dyDescent="0.15">
      <c r="A1842" s="10">
        <v>1841</v>
      </c>
      <c r="B1842" s="9" t="s">
        <v>9</v>
      </c>
      <c r="C1842" s="11" t="s">
        <v>10</v>
      </c>
      <c r="D1842" s="12">
        <v>45562</v>
      </c>
      <c r="E1842" s="14" t="str">
        <f>+HYPERLINK("http://trademark.i-assist.jp/data/china/image_1905th/79858902.pdf","79858902")</f>
        <v>79858902</v>
      </c>
      <c r="F1842" s="13" t="s">
        <v>3297</v>
      </c>
      <c r="G1842" s="13" t="s">
        <v>3296</v>
      </c>
      <c r="H1842" s="13" t="s">
        <v>5494</v>
      </c>
      <c r="I1842" s="12">
        <v>45491</v>
      </c>
    </row>
    <row r="1843" spans="1:9" x14ac:dyDescent="0.15">
      <c r="A1843" s="10">
        <v>1842</v>
      </c>
      <c r="B1843" s="9" t="s">
        <v>9</v>
      </c>
      <c r="C1843" s="11" t="s">
        <v>10</v>
      </c>
      <c r="D1843" s="12">
        <v>45562</v>
      </c>
      <c r="E1843" s="14" t="str">
        <f>+HYPERLINK("http://trademark.i-assist.jp/data/china/image_1905th/79870717.pdf","79870717")</f>
        <v>79870717</v>
      </c>
      <c r="F1843" s="13" t="s">
        <v>3299</v>
      </c>
      <c r="G1843" s="13" t="s">
        <v>3298</v>
      </c>
      <c r="H1843" s="13" t="s">
        <v>5495</v>
      </c>
      <c r="I1843" s="12">
        <v>45491</v>
      </c>
    </row>
    <row r="1844" spans="1:9" x14ac:dyDescent="0.15">
      <c r="A1844" s="10">
        <v>1843</v>
      </c>
      <c r="B1844" s="9" t="s">
        <v>9</v>
      </c>
      <c r="C1844" s="11" t="s">
        <v>10</v>
      </c>
      <c r="D1844" s="12">
        <v>45562</v>
      </c>
      <c r="E1844" s="14" t="str">
        <f>+HYPERLINK("http://trademark.i-assist.jp/data/china/image_1905th/79740351.pdf","79740351")</f>
        <v>79740351</v>
      </c>
      <c r="F1844" s="13" t="s">
        <v>3301</v>
      </c>
      <c r="G1844" s="13" t="s">
        <v>3300</v>
      </c>
      <c r="H1844" s="13" t="s">
        <v>5496</v>
      </c>
      <c r="I1844" s="12">
        <v>45484</v>
      </c>
    </row>
    <row r="1845" spans="1:9" x14ac:dyDescent="0.15">
      <c r="A1845" s="10">
        <v>1844</v>
      </c>
      <c r="B1845" s="9" t="s">
        <v>9</v>
      </c>
      <c r="C1845" s="11" t="s">
        <v>10</v>
      </c>
      <c r="D1845" s="12">
        <v>45562</v>
      </c>
      <c r="E1845" s="14" t="str">
        <f>+HYPERLINK("http://trademark.i-assist.jp/data/china/image_1905th/79755628.pdf","79755628")</f>
        <v>79755628</v>
      </c>
      <c r="F1845" s="13" t="s">
        <v>3303</v>
      </c>
      <c r="G1845" s="13" t="s">
        <v>3302</v>
      </c>
      <c r="H1845" s="13" t="s">
        <v>4215</v>
      </c>
      <c r="I1845" s="12">
        <v>45485</v>
      </c>
    </row>
    <row r="1846" spans="1:9" x14ac:dyDescent="0.15">
      <c r="A1846" s="10">
        <v>1845</v>
      </c>
      <c r="B1846" s="9" t="s">
        <v>9</v>
      </c>
      <c r="C1846" s="11" t="s">
        <v>10</v>
      </c>
      <c r="D1846" s="12">
        <v>45562</v>
      </c>
      <c r="E1846" s="14" t="str">
        <f>+HYPERLINK("http://trademark.i-assist.jp/data/china/image_1905th/79762228.pdf","79762228")</f>
        <v>79762228</v>
      </c>
      <c r="F1846" s="13" t="s">
        <v>3305</v>
      </c>
      <c r="G1846" s="13" t="s">
        <v>3304</v>
      </c>
      <c r="H1846" s="13" t="s">
        <v>5497</v>
      </c>
      <c r="I1846" s="12">
        <v>45485</v>
      </c>
    </row>
    <row r="1847" spans="1:9" x14ac:dyDescent="0.15">
      <c r="A1847" s="10">
        <v>1846</v>
      </c>
      <c r="B1847" s="9" t="s">
        <v>9</v>
      </c>
      <c r="C1847" s="11" t="s">
        <v>10</v>
      </c>
      <c r="D1847" s="12">
        <v>45562</v>
      </c>
      <c r="E1847" s="14" t="str">
        <f>+HYPERLINK("http://trademark.i-assist.jp/data/china/image_1905th/79762905.pdf","79762905")</f>
        <v>79762905</v>
      </c>
      <c r="F1847" s="13" t="s">
        <v>3306</v>
      </c>
      <c r="G1847" s="13" t="s">
        <v>3304</v>
      </c>
      <c r="H1847" s="13" t="s">
        <v>5497</v>
      </c>
      <c r="I1847" s="12">
        <v>45485</v>
      </c>
    </row>
    <row r="1848" spans="1:9" x14ac:dyDescent="0.15">
      <c r="A1848" s="10">
        <v>1847</v>
      </c>
      <c r="B1848" s="9" t="s">
        <v>9</v>
      </c>
      <c r="C1848" s="11" t="s">
        <v>10</v>
      </c>
      <c r="D1848" s="12">
        <v>45562</v>
      </c>
      <c r="E1848" s="14" t="str">
        <f>+HYPERLINK("http://trademark.i-assist.jp/data/china/image_1905th/79763902.pdf","79763902")</f>
        <v>79763902</v>
      </c>
      <c r="F1848" s="13" t="s">
        <v>3308</v>
      </c>
      <c r="G1848" s="13" t="s">
        <v>3307</v>
      </c>
      <c r="H1848" s="13" t="s">
        <v>4284</v>
      </c>
      <c r="I1848" s="12">
        <v>45485</v>
      </c>
    </row>
    <row r="1849" spans="1:9" x14ac:dyDescent="0.15">
      <c r="A1849" s="10">
        <v>1848</v>
      </c>
      <c r="B1849" s="9" t="s">
        <v>9</v>
      </c>
      <c r="C1849" s="11" t="s">
        <v>10</v>
      </c>
      <c r="D1849" s="12">
        <v>45562</v>
      </c>
      <c r="E1849" s="14" t="str">
        <f>+HYPERLINK("http://trademark.i-assist.jp/data/china/image_1905th/79770270.pdf","79770270")</f>
        <v>79770270</v>
      </c>
      <c r="F1849" s="13" t="s">
        <v>3310</v>
      </c>
      <c r="G1849" s="13" t="s">
        <v>3309</v>
      </c>
      <c r="H1849" s="13" t="s">
        <v>5050</v>
      </c>
      <c r="I1849" s="12">
        <v>45485</v>
      </c>
    </row>
    <row r="1850" spans="1:9" x14ac:dyDescent="0.15">
      <c r="A1850" s="10">
        <v>1849</v>
      </c>
      <c r="B1850" s="9" t="s">
        <v>9</v>
      </c>
      <c r="C1850" s="11" t="s">
        <v>10</v>
      </c>
      <c r="D1850" s="12">
        <v>45562</v>
      </c>
      <c r="E1850" s="14" t="str">
        <f>+HYPERLINK("http://trademark.i-assist.jp/data/china/image_1905th/79712367.pdf","79712367")</f>
        <v>79712367</v>
      </c>
      <c r="F1850" s="13" t="s">
        <v>73</v>
      </c>
      <c r="G1850" s="13" t="s">
        <v>3311</v>
      </c>
      <c r="H1850" s="13" t="s">
        <v>4154</v>
      </c>
      <c r="I1850" s="12">
        <v>45483</v>
      </c>
    </row>
    <row r="1851" spans="1:9" x14ac:dyDescent="0.15">
      <c r="A1851" s="10">
        <v>1850</v>
      </c>
      <c r="B1851" s="9" t="s">
        <v>9</v>
      </c>
      <c r="C1851" s="11" t="s">
        <v>10</v>
      </c>
      <c r="D1851" s="12">
        <v>45562</v>
      </c>
      <c r="E1851" s="14" t="str">
        <f>+HYPERLINK("http://trademark.i-assist.jp/data/china/image_1905th/79722490.pdf","79722490")</f>
        <v>79722490</v>
      </c>
      <c r="F1851" s="13" t="s">
        <v>3313</v>
      </c>
      <c r="G1851" s="13" t="s">
        <v>3312</v>
      </c>
      <c r="H1851" s="13" t="s">
        <v>4200</v>
      </c>
      <c r="I1851" s="12">
        <v>45483</v>
      </c>
    </row>
    <row r="1852" spans="1:9" x14ac:dyDescent="0.15">
      <c r="A1852" s="10">
        <v>1851</v>
      </c>
      <c r="B1852" s="9" t="s">
        <v>9</v>
      </c>
      <c r="C1852" s="11" t="s">
        <v>10</v>
      </c>
      <c r="D1852" s="12">
        <v>45562</v>
      </c>
      <c r="E1852" s="14" t="str">
        <f>+HYPERLINK("http://trademark.i-assist.jp/data/china/image_1905th/79722744.pdf","79722744")</f>
        <v>79722744</v>
      </c>
      <c r="F1852" s="13" t="s">
        <v>3315</v>
      </c>
      <c r="G1852" s="13" t="s">
        <v>3314</v>
      </c>
      <c r="H1852" s="13" t="s">
        <v>5498</v>
      </c>
      <c r="I1852" s="12">
        <v>45483</v>
      </c>
    </row>
    <row r="1853" spans="1:9" x14ac:dyDescent="0.15">
      <c r="A1853" s="10">
        <v>1852</v>
      </c>
      <c r="B1853" s="9" t="s">
        <v>9</v>
      </c>
      <c r="C1853" s="11" t="s">
        <v>10</v>
      </c>
      <c r="D1853" s="12">
        <v>45562</v>
      </c>
      <c r="E1853" s="14" t="str">
        <f>+HYPERLINK("http://trademark.i-assist.jp/data/china/image_1905th/79725357.pdf","79725357")</f>
        <v>79725357</v>
      </c>
      <c r="F1853" s="13" t="s">
        <v>3316</v>
      </c>
      <c r="G1853" s="13" t="s">
        <v>1470</v>
      </c>
      <c r="H1853" s="13" t="s">
        <v>4767</v>
      </c>
      <c r="I1853" s="12">
        <v>45483</v>
      </c>
    </row>
    <row r="1854" spans="1:9" x14ac:dyDescent="0.15">
      <c r="A1854" s="10">
        <v>1853</v>
      </c>
      <c r="B1854" s="9" t="s">
        <v>9</v>
      </c>
      <c r="C1854" s="11" t="s">
        <v>10</v>
      </c>
      <c r="D1854" s="12">
        <v>45562</v>
      </c>
      <c r="E1854" s="14" t="str">
        <f>+HYPERLINK("http://trademark.i-assist.jp/data/china/image_1905th/79728317.pdf","79728317")</f>
        <v>79728317</v>
      </c>
      <c r="F1854" s="13" t="s">
        <v>3318</v>
      </c>
      <c r="G1854" s="13" t="s">
        <v>3317</v>
      </c>
      <c r="H1854" s="13" t="s">
        <v>5499</v>
      </c>
      <c r="I1854" s="12">
        <v>45484</v>
      </c>
    </row>
    <row r="1855" spans="1:9" x14ac:dyDescent="0.15">
      <c r="A1855" s="10">
        <v>1854</v>
      </c>
      <c r="B1855" s="9" t="s">
        <v>9</v>
      </c>
      <c r="C1855" s="11" t="s">
        <v>10</v>
      </c>
      <c r="D1855" s="12">
        <v>45562</v>
      </c>
      <c r="E1855" s="14" t="str">
        <f>+HYPERLINK("http://trademark.i-assist.jp/data/china/image_1905th/79728835.pdf","79728835")</f>
        <v>79728835</v>
      </c>
      <c r="F1855" s="13" t="s">
        <v>3320</v>
      </c>
      <c r="G1855" s="13" t="s">
        <v>3319</v>
      </c>
      <c r="H1855" s="13" t="s">
        <v>5091</v>
      </c>
      <c r="I1855" s="12">
        <v>45484</v>
      </c>
    </row>
    <row r="1856" spans="1:9" x14ac:dyDescent="0.15">
      <c r="A1856" s="10">
        <v>1855</v>
      </c>
      <c r="B1856" s="9" t="s">
        <v>9</v>
      </c>
      <c r="C1856" s="11" t="s">
        <v>10</v>
      </c>
      <c r="D1856" s="12">
        <v>45562</v>
      </c>
      <c r="E1856" s="14" t="str">
        <f>+HYPERLINK("http://trademark.i-assist.jp/data/china/image_1905th/79736844.pdf","79736844")</f>
        <v>79736844</v>
      </c>
      <c r="F1856" s="13" t="s">
        <v>3322</v>
      </c>
      <c r="G1856" s="13" t="s">
        <v>3321</v>
      </c>
      <c r="H1856" s="13" t="s">
        <v>5500</v>
      </c>
      <c r="I1856" s="12">
        <v>45484</v>
      </c>
    </row>
    <row r="1857" spans="1:9" x14ac:dyDescent="0.15">
      <c r="A1857" s="10">
        <v>1856</v>
      </c>
      <c r="B1857" s="9" t="s">
        <v>9</v>
      </c>
      <c r="C1857" s="11" t="s">
        <v>10</v>
      </c>
      <c r="D1857" s="12">
        <v>45562</v>
      </c>
      <c r="E1857" s="14" t="str">
        <f>+HYPERLINK("http://trademark.i-assist.jp/data/china/image_1905th/77899538.pdf","77899538")</f>
        <v>77899538</v>
      </c>
      <c r="F1857" s="13" t="s">
        <v>3324</v>
      </c>
      <c r="G1857" s="13" t="s">
        <v>3323</v>
      </c>
      <c r="H1857" s="13" t="s">
        <v>5501</v>
      </c>
      <c r="I1857" s="12">
        <v>45393</v>
      </c>
    </row>
    <row r="1858" spans="1:9" x14ac:dyDescent="0.15">
      <c r="A1858" s="10">
        <v>1857</v>
      </c>
      <c r="B1858" s="9" t="s">
        <v>9</v>
      </c>
      <c r="C1858" s="11" t="s">
        <v>10</v>
      </c>
      <c r="D1858" s="12">
        <v>45562</v>
      </c>
      <c r="E1858" s="14" t="str">
        <f>+HYPERLINK("http://trademark.i-assist.jp/data/china/image_1905th/78023599.pdf","78023599")</f>
        <v>78023599</v>
      </c>
      <c r="F1858" s="13" t="s">
        <v>3326</v>
      </c>
      <c r="G1858" s="13" t="s">
        <v>3325</v>
      </c>
      <c r="H1858" s="13" t="s">
        <v>5502</v>
      </c>
      <c r="I1858" s="12">
        <v>45399</v>
      </c>
    </row>
    <row r="1859" spans="1:9" x14ac:dyDescent="0.15">
      <c r="A1859" s="10">
        <v>1858</v>
      </c>
      <c r="B1859" s="9" t="s">
        <v>9</v>
      </c>
      <c r="C1859" s="11" t="s">
        <v>10</v>
      </c>
      <c r="D1859" s="12">
        <v>45562</v>
      </c>
      <c r="E1859" s="14" t="str">
        <f>+HYPERLINK("http://trademark.i-assist.jp/data/china/image_1905th/78141451.pdf","78141451")</f>
        <v>78141451</v>
      </c>
      <c r="F1859" s="13" t="s">
        <v>3328</v>
      </c>
      <c r="G1859" s="13" t="s">
        <v>3327</v>
      </c>
      <c r="H1859" s="13" t="s">
        <v>5503</v>
      </c>
      <c r="I1859" s="12">
        <v>45404</v>
      </c>
    </row>
    <row r="1860" spans="1:9" x14ac:dyDescent="0.15">
      <c r="A1860" s="10">
        <v>1859</v>
      </c>
      <c r="B1860" s="9" t="s">
        <v>9</v>
      </c>
      <c r="C1860" s="11" t="s">
        <v>10</v>
      </c>
      <c r="D1860" s="12">
        <v>45562</v>
      </c>
      <c r="E1860" s="14" t="str">
        <f>+HYPERLINK("http://trademark.i-assist.jp/data/china/image_1905th/78960883.pdf","78960883")</f>
        <v>78960883</v>
      </c>
      <c r="F1860" s="13" t="s">
        <v>3329</v>
      </c>
      <c r="G1860" s="13" t="s">
        <v>1301</v>
      </c>
      <c r="H1860" s="13" t="s">
        <v>4694</v>
      </c>
      <c r="I1860" s="12">
        <v>45443</v>
      </c>
    </row>
    <row r="1861" spans="1:9" x14ac:dyDescent="0.15">
      <c r="A1861" s="10">
        <v>1860</v>
      </c>
      <c r="B1861" s="9" t="s">
        <v>9</v>
      </c>
      <c r="C1861" s="11" t="s">
        <v>10</v>
      </c>
      <c r="D1861" s="12">
        <v>45562</v>
      </c>
      <c r="E1861" s="14" t="str">
        <f>+HYPERLINK("http://trademark.i-assist.jp/data/china/image_1905th/79007823.pdf","79007823")</f>
        <v>79007823</v>
      </c>
      <c r="F1861" s="13" t="s">
        <v>3331</v>
      </c>
      <c r="G1861" s="13" t="s">
        <v>3330</v>
      </c>
      <c r="H1861" s="13" t="s">
        <v>5504</v>
      </c>
      <c r="I1861" s="12">
        <v>45446</v>
      </c>
    </row>
    <row r="1862" spans="1:9" x14ac:dyDescent="0.15">
      <c r="A1862" s="10">
        <v>1861</v>
      </c>
      <c r="B1862" s="9" t="s">
        <v>9</v>
      </c>
      <c r="C1862" s="11" t="s">
        <v>10</v>
      </c>
      <c r="D1862" s="12">
        <v>45562</v>
      </c>
      <c r="E1862" s="14" t="str">
        <f>+HYPERLINK("http://trademark.i-assist.jp/data/china/image_1905th/79032820.pdf","79032820")</f>
        <v>79032820</v>
      </c>
      <c r="F1862" s="13" t="s">
        <v>3333</v>
      </c>
      <c r="G1862" s="13" t="s">
        <v>3332</v>
      </c>
      <c r="H1862" s="13" t="s">
        <v>5074</v>
      </c>
      <c r="I1862" s="12">
        <v>45447</v>
      </c>
    </row>
    <row r="1863" spans="1:9" x14ac:dyDescent="0.15">
      <c r="A1863" s="10">
        <v>1862</v>
      </c>
      <c r="B1863" s="9" t="s">
        <v>9</v>
      </c>
      <c r="C1863" s="11" t="s">
        <v>10</v>
      </c>
      <c r="D1863" s="12">
        <v>45562</v>
      </c>
      <c r="E1863" s="14" t="str">
        <f>+HYPERLINK("http://trademark.i-assist.jp/data/china/image_1905th/79044591.pdf","79044591")</f>
        <v>79044591</v>
      </c>
      <c r="F1863" s="13" t="s">
        <v>3335</v>
      </c>
      <c r="G1863" s="13" t="s">
        <v>3334</v>
      </c>
      <c r="H1863" s="13" t="s">
        <v>5505</v>
      </c>
      <c r="I1863" s="12">
        <v>45448</v>
      </c>
    </row>
    <row r="1864" spans="1:9" x14ac:dyDescent="0.15">
      <c r="A1864" s="10">
        <v>1863</v>
      </c>
      <c r="B1864" s="9" t="s">
        <v>9</v>
      </c>
      <c r="C1864" s="11" t="s">
        <v>10</v>
      </c>
      <c r="D1864" s="12">
        <v>45562</v>
      </c>
      <c r="E1864" s="14" t="str">
        <f>+HYPERLINK("http://trademark.i-assist.jp/data/china/image_1905th/79090664.pdf","79090664")</f>
        <v>79090664</v>
      </c>
      <c r="F1864" s="13" t="s">
        <v>3337</v>
      </c>
      <c r="G1864" s="13" t="s">
        <v>3336</v>
      </c>
      <c r="H1864" s="13" t="s">
        <v>4212</v>
      </c>
      <c r="I1864" s="12">
        <v>45450</v>
      </c>
    </row>
    <row r="1865" spans="1:9" x14ac:dyDescent="0.15">
      <c r="A1865" s="10">
        <v>1864</v>
      </c>
      <c r="B1865" s="9" t="s">
        <v>9</v>
      </c>
      <c r="C1865" s="11" t="s">
        <v>10</v>
      </c>
      <c r="D1865" s="12">
        <v>45562</v>
      </c>
      <c r="E1865" s="14" t="str">
        <f>+HYPERLINK("http://trademark.i-assist.jp/data/china/image_1905th/79117707.pdf","79117707")</f>
        <v>79117707</v>
      </c>
      <c r="F1865" s="13" t="s">
        <v>3339</v>
      </c>
      <c r="G1865" s="13" t="s">
        <v>3338</v>
      </c>
      <c r="H1865" s="13" t="s">
        <v>5506</v>
      </c>
      <c r="I1865" s="12">
        <v>45450</v>
      </c>
    </row>
    <row r="1866" spans="1:9" x14ac:dyDescent="0.15">
      <c r="A1866" s="10">
        <v>1865</v>
      </c>
      <c r="B1866" s="9" t="s">
        <v>9</v>
      </c>
      <c r="C1866" s="11" t="s">
        <v>10</v>
      </c>
      <c r="D1866" s="12">
        <v>45562</v>
      </c>
      <c r="E1866" s="14" t="str">
        <f>+HYPERLINK("http://trademark.i-assist.jp/data/china/image_1905th/79139214.pdf","79139214")</f>
        <v>79139214</v>
      </c>
      <c r="F1866" s="13" t="s">
        <v>73</v>
      </c>
      <c r="G1866" s="13" t="s">
        <v>3340</v>
      </c>
      <c r="H1866" s="13" t="s">
        <v>5507</v>
      </c>
      <c r="I1866" s="12">
        <v>45454</v>
      </c>
    </row>
    <row r="1867" spans="1:9" x14ac:dyDescent="0.15">
      <c r="A1867" s="10">
        <v>1866</v>
      </c>
      <c r="B1867" s="9" t="s">
        <v>9</v>
      </c>
      <c r="C1867" s="11" t="s">
        <v>10</v>
      </c>
      <c r="D1867" s="12">
        <v>45562</v>
      </c>
      <c r="E1867" s="14" t="str">
        <f>+HYPERLINK("http://trademark.i-assist.jp/data/china/image_1905th/79466259.pdf","79466259")</f>
        <v>79466259</v>
      </c>
      <c r="F1867" s="13" t="s">
        <v>73</v>
      </c>
      <c r="G1867" s="13" t="s">
        <v>3341</v>
      </c>
      <c r="H1867" s="13" t="s">
        <v>5508</v>
      </c>
      <c r="I1867" s="12">
        <v>45470</v>
      </c>
    </row>
    <row r="1868" spans="1:9" x14ac:dyDescent="0.15">
      <c r="A1868" s="10">
        <v>1867</v>
      </c>
      <c r="B1868" s="9" t="s">
        <v>9</v>
      </c>
      <c r="C1868" s="11" t="s">
        <v>10</v>
      </c>
      <c r="D1868" s="12">
        <v>45562</v>
      </c>
      <c r="E1868" s="14" t="str">
        <f>+HYPERLINK("http://trademark.i-assist.jp/data/china/image_1905th/79468228.pdf","79468228")</f>
        <v>79468228</v>
      </c>
      <c r="F1868" s="13" t="s">
        <v>3343</v>
      </c>
      <c r="G1868" s="13" t="s">
        <v>3342</v>
      </c>
      <c r="H1868" s="13" t="s">
        <v>5509</v>
      </c>
      <c r="I1868" s="12">
        <v>45470</v>
      </c>
    </row>
    <row r="1869" spans="1:9" x14ac:dyDescent="0.15">
      <c r="A1869" s="10">
        <v>1868</v>
      </c>
      <c r="B1869" s="9" t="s">
        <v>9</v>
      </c>
      <c r="C1869" s="11" t="s">
        <v>10</v>
      </c>
      <c r="D1869" s="12">
        <v>45562</v>
      </c>
      <c r="E1869" s="14" t="str">
        <f>+HYPERLINK("http://trademark.i-assist.jp/data/china/image_1905th/79469025.pdf","79469025")</f>
        <v>79469025</v>
      </c>
      <c r="F1869" s="13" t="s">
        <v>3345</v>
      </c>
      <c r="G1869" s="13" t="s">
        <v>3344</v>
      </c>
      <c r="H1869" s="13" t="s">
        <v>5510</v>
      </c>
      <c r="I1869" s="12">
        <v>45470</v>
      </c>
    </row>
    <row r="1870" spans="1:9" x14ac:dyDescent="0.15">
      <c r="A1870" s="10">
        <v>1869</v>
      </c>
      <c r="B1870" s="9" t="s">
        <v>9</v>
      </c>
      <c r="C1870" s="11" t="s">
        <v>10</v>
      </c>
      <c r="D1870" s="12">
        <v>45562</v>
      </c>
      <c r="E1870" s="14" t="str">
        <f>+HYPERLINK("http://trademark.i-assist.jp/data/china/image_1905th/79470067.pdf","79470067")</f>
        <v>79470067</v>
      </c>
      <c r="F1870" s="13" t="s">
        <v>3347</v>
      </c>
      <c r="G1870" s="13" t="s">
        <v>3346</v>
      </c>
      <c r="H1870" s="13" t="s">
        <v>5511</v>
      </c>
      <c r="I1870" s="12">
        <v>45470</v>
      </c>
    </row>
    <row r="1871" spans="1:9" x14ac:dyDescent="0.15">
      <c r="A1871" s="10">
        <v>1870</v>
      </c>
      <c r="B1871" s="9" t="s">
        <v>9</v>
      </c>
      <c r="C1871" s="11" t="s">
        <v>10</v>
      </c>
      <c r="D1871" s="12">
        <v>45562</v>
      </c>
      <c r="E1871" s="14" t="str">
        <f>+HYPERLINK("http://trademark.i-assist.jp/data/china/image_1905th/79476843.pdf","79476843")</f>
        <v>79476843</v>
      </c>
      <c r="F1871" s="13" t="s">
        <v>3349</v>
      </c>
      <c r="G1871" s="13" t="s">
        <v>3348</v>
      </c>
      <c r="H1871" s="13" t="s">
        <v>5512</v>
      </c>
      <c r="I1871" s="12">
        <v>45470</v>
      </c>
    </row>
    <row r="1872" spans="1:9" x14ac:dyDescent="0.15">
      <c r="A1872" s="10">
        <v>1871</v>
      </c>
      <c r="B1872" s="9" t="s">
        <v>9</v>
      </c>
      <c r="C1872" s="11" t="s">
        <v>10</v>
      </c>
      <c r="D1872" s="12">
        <v>45562</v>
      </c>
      <c r="E1872" s="14" t="str">
        <f>+HYPERLINK("http://trademark.i-assist.jp/data/china/image_1905th/79480963.pdf","79480963")</f>
        <v>79480963</v>
      </c>
      <c r="F1872" s="13" t="s">
        <v>3351</v>
      </c>
      <c r="G1872" s="13" t="s">
        <v>3350</v>
      </c>
      <c r="H1872" s="13" t="s">
        <v>5513</v>
      </c>
      <c r="I1872" s="12">
        <v>45470</v>
      </c>
    </row>
    <row r="1873" spans="1:9" x14ac:dyDescent="0.15">
      <c r="A1873" s="10">
        <v>1872</v>
      </c>
      <c r="B1873" s="9" t="s">
        <v>9</v>
      </c>
      <c r="C1873" s="11" t="s">
        <v>10</v>
      </c>
      <c r="D1873" s="12">
        <v>45562</v>
      </c>
      <c r="E1873" s="14" t="str">
        <f>+HYPERLINK("http://trademark.i-assist.jp/data/china/image_1905th/79482875.pdf","79482875")</f>
        <v>79482875</v>
      </c>
      <c r="F1873" s="13" t="s">
        <v>3353</v>
      </c>
      <c r="G1873" s="13" t="s">
        <v>3352</v>
      </c>
      <c r="H1873" s="13" t="s">
        <v>5514</v>
      </c>
      <c r="I1873" s="12">
        <v>45470</v>
      </c>
    </row>
    <row r="1874" spans="1:9" x14ac:dyDescent="0.15">
      <c r="A1874" s="10">
        <v>1873</v>
      </c>
      <c r="B1874" s="9" t="s">
        <v>9</v>
      </c>
      <c r="C1874" s="11" t="s">
        <v>10</v>
      </c>
      <c r="D1874" s="12">
        <v>45562</v>
      </c>
      <c r="E1874" s="14" t="str">
        <f>+HYPERLINK("http://trademark.i-assist.jp/data/china/image_1905th/79494797.pdf","79494797")</f>
        <v>79494797</v>
      </c>
      <c r="F1874" s="13" t="s">
        <v>3355</v>
      </c>
      <c r="G1874" s="13" t="s">
        <v>3354</v>
      </c>
      <c r="H1874" s="13" t="s">
        <v>5515</v>
      </c>
      <c r="I1874" s="12">
        <v>45471</v>
      </c>
    </row>
    <row r="1875" spans="1:9" x14ac:dyDescent="0.15">
      <c r="A1875" s="10">
        <v>1874</v>
      </c>
      <c r="B1875" s="9" t="s">
        <v>9</v>
      </c>
      <c r="C1875" s="11" t="s">
        <v>10</v>
      </c>
      <c r="D1875" s="12">
        <v>45562</v>
      </c>
      <c r="E1875" s="14" t="str">
        <f>+HYPERLINK("http://trademark.i-assist.jp/data/china/image_1905th/79494998.pdf","79494998")</f>
        <v>79494998</v>
      </c>
      <c r="F1875" s="13" t="s">
        <v>3356</v>
      </c>
      <c r="G1875" s="13" t="s">
        <v>2483</v>
      </c>
      <c r="H1875" s="13" t="s">
        <v>5516</v>
      </c>
      <c r="I1875" s="12">
        <v>45471</v>
      </c>
    </row>
    <row r="1876" spans="1:9" x14ac:dyDescent="0.15">
      <c r="A1876" s="10">
        <v>1875</v>
      </c>
      <c r="B1876" s="9" t="s">
        <v>9</v>
      </c>
      <c r="C1876" s="11" t="s">
        <v>10</v>
      </c>
      <c r="D1876" s="12">
        <v>45562</v>
      </c>
      <c r="E1876" s="14" t="str">
        <f>+HYPERLINK("http://trademark.i-assist.jp/data/china/image_1905th/79495020.pdf","79495020")</f>
        <v>79495020</v>
      </c>
      <c r="F1876" s="13" t="s">
        <v>3358</v>
      </c>
      <c r="G1876" s="13" t="s">
        <v>3357</v>
      </c>
      <c r="H1876" s="13" t="s">
        <v>5517</v>
      </c>
      <c r="I1876" s="12">
        <v>45471</v>
      </c>
    </row>
    <row r="1877" spans="1:9" x14ac:dyDescent="0.15">
      <c r="A1877" s="10">
        <v>1876</v>
      </c>
      <c r="B1877" s="9" t="s">
        <v>9</v>
      </c>
      <c r="C1877" s="11" t="s">
        <v>10</v>
      </c>
      <c r="D1877" s="12">
        <v>45562</v>
      </c>
      <c r="E1877" s="14" t="str">
        <f>+HYPERLINK("http://trademark.i-assist.jp/data/china/image_1905th/79499741.pdf","79499741")</f>
        <v>79499741</v>
      </c>
      <c r="F1877" s="13" t="s">
        <v>3360</v>
      </c>
      <c r="G1877" s="13" t="s">
        <v>3359</v>
      </c>
      <c r="H1877" s="13" t="s">
        <v>4855</v>
      </c>
      <c r="I1877" s="12">
        <v>45471</v>
      </c>
    </row>
    <row r="1878" spans="1:9" x14ac:dyDescent="0.15">
      <c r="A1878" s="10">
        <v>1877</v>
      </c>
      <c r="B1878" s="9" t="s">
        <v>9</v>
      </c>
      <c r="C1878" s="11" t="s">
        <v>10</v>
      </c>
      <c r="D1878" s="12">
        <v>45562</v>
      </c>
      <c r="E1878" s="14" t="str">
        <f>+HYPERLINK("http://trademark.i-assist.jp/data/china/image_1905th/79500459.pdf","79500459")</f>
        <v>79500459</v>
      </c>
      <c r="F1878" s="13" t="s">
        <v>3362</v>
      </c>
      <c r="G1878" s="13" t="s">
        <v>3361</v>
      </c>
      <c r="H1878" s="13" t="s">
        <v>5518</v>
      </c>
      <c r="I1878" s="12">
        <v>45471</v>
      </c>
    </row>
    <row r="1879" spans="1:9" x14ac:dyDescent="0.15">
      <c r="A1879" s="10">
        <v>1878</v>
      </c>
      <c r="B1879" s="9" t="s">
        <v>9</v>
      </c>
      <c r="C1879" s="11" t="s">
        <v>10</v>
      </c>
      <c r="D1879" s="12">
        <v>45562</v>
      </c>
      <c r="E1879" s="14" t="str">
        <f>+HYPERLINK("http://trademark.i-assist.jp/data/china/image_1905th/79509447.pdf","79509447")</f>
        <v>79509447</v>
      </c>
      <c r="F1879" s="13" t="s">
        <v>3364</v>
      </c>
      <c r="G1879" s="13" t="s">
        <v>3363</v>
      </c>
      <c r="H1879" s="13" t="s">
        <v>4212</v>
      </c>
      <c r="I1879" s="12">
        <v>45471</v>
      </c>
    </row>
    <row r="1880" spans="1:9" x14ac:dyDescent="0.15">
      <c r="A1880" s="10">
        <v>1879</v>
      </c>
      <c r="B1880" s="9" t="s">
        <v>9</v>
      </c>
      <c r="C1880" s="11" t="s">
        <v>10</v>
      </c>
      <c r="D1880" s="12">
        <v>45562</v>
      </c>
      <c r="E1880" s="14" t="str">
        <f>+HYPERLINK("http://trademark.i-assist.jp/data/china/image_1905th/79510705.pdf","79510705")</f>
        <v>79510705</v>
      </c>
      <c r="F1880" s="13" t="s">
        <v>3366</v>
      </c>
      <c r="G1880" s="13" t="s">
        <v>3365</v>
      </c>
      <c r="H1880" s="13" t="s">
        <v>4162</v>
      </c>
      <c r="I1880" s="12">
        <v>45471</v>
      </c>
    </row>
    <row r="1881" spans="1:9" x14ac:dyDescent="0.15">
      <c r="A1881" s="10">
        <v>1880</v>
      </c>
      <c r="B1881" s="9" t="s">
        <v>9</v>
      </c>
      <c r="C1881" s="11" t="s">
        <v>10</v>
      </c>
      <c r="D1881" s="12">
        <v>45562</v>
      </c>
      <c r="E1881" s="14" t="str">
        <f>+HYPERLINK("http://trademark.i-assist.jp/data/china/image_1905th/79518601.pdf","79518601")</f>
        <v>79518601</v>
      </c>
      <c r="F1881" s="13" t="s">
        <v>3368</v>
      </c>
      <c r="G1881" s="13" t="s">
        <v>3367</v>
      </c>
      <c r="H1881" s="13" t="s">
        <v>5519</v>
      </c>
      <c r="I1881" s="12">
        <v>45472</v>
      </c>
    </row>
    <row r="1882" spans="1:9" x14ac:dyDescent="0.15">
      <c r="A1882" s="10">
        <v>1881</v>
      </c>
      <c r="B1882" s="9" t="s">
        <v>9</v>
      </c>
      <c r="C1882" s="11" t="s">
        <v>10</v>
      </c>
      <c r="D1882" s="12">
        <v>45562</v>
      </c>
      <c r="E1882" s="14" t="str">
        <f>+HYPERLINK("http://trademark.i-assist.jp/data/china/image_1905th/79527212.pdf","79527212")</f>
        <v>79527212</v>
      </c>
      <c r="F1882" s="13" t="s">
        <v>3370</v>
      </c>
      <c r="G1882" s="13" t="s">
        <v>3369</v>
      </c>
      <c r="H1882" s="13" t="s">
        <v>4502</v>
      </c>
      <c r="I1882" s="12">
        <v>45474</v>
      </c>
    </row>
    <row r="1883" spans="1:9" x14ac:dyDescent="0.15">
      <c r="A1883" s="10">
        <v>1882</v>
      </c>
      <c r="B1883" s="9" t="s">
        <v>9</v>
      </c>
      <c r="C1883" s="11" t="s">
        <v>10</v>
      </c>
      <c r="D1883" s="12">
        <v>45562</v>
      </c>
      <c r="E1883" s="14" t="str">
        <f>+HYPERLINK("http://trademark.i-assist.jp/data/china/image_1905th/79527551.pdf","79527551")</f>
        <v>79527551</v>
      </c>
      <c r="F1883" s="13" t="s">
        <v>3372</v>
      </c>
      <c r="G1883" s="13" t="s">
        <v>3371</v>
      </c>
      <c r="H1883" s="13" t="s">
        <v>4345</v>
      </c>
      <c r="I1883" s="12">
        <v>45474</v>
      </c>
    </row>
    <row r="1884" spans="1:9" x14ac:dyDescent="0.15">
      <c r="A1884" s="10">
        <v>1883</v>
      </c>
      <c r="B1884" s="9" t="s">
        <v>9</v>
      </c>
      <c r="C1884" s="11" t="s">
        <v>10</v>
      </c>
      <c r="D1884" s="12">
        <v>45562</v>
      </c>
      <c r="E1884" s="14" t="str">
        <f>+HYPERLINK("http://trademark.i-assist.jp/data/china/image_1905th/79527614.pdf","79527614")</f>
        <v>79527614</v>
      </c>
      <c r="F1884" s="13" t="s">
        <v>3374</v>
      </c>
      <c r="G1884" s="13" t="s">
        <v>3373</v>
      </c>
      <c r="H1884" s="13" t="s">
        <v>5520</v>
      </c>
      <c r="I1884" s="12">
        <v>45474</v>
      </c>
    </row>
    <row r="1885" spans="1:9" x14ac:dyDescent="0.15">
      <c r="A1885" s="10">
        <v>1884</v>
      </c>
      <c r="B1885" s="9" t="s">
        <v>9</v>
      </c>
      <c r="C1885" s="11" t="s">
        <v>10</v>
      </c>
      <c r="D1885" s="12">
        <v>45562</v>
      </c>
      <c r="E1885" s="14" t="str">
        <f>+HYPERLINK("http://trademark.i-assist.jp/data/china/image_1905th/79529100.pdf","79529100")</f>
        <v>79529100</v>
      </c>
      <c r="F1885" s="13" t="s">
        <v>3375</v>
      </c>
      <c r="G1885" s="13" t="s">
        <v>436</v>
      </c>
      <c r="H1885" s="13" t="s">
        <v>4344</v>
      </c>
      <c r="I1885" s="12">
        <v>45474</v>
      </c>
    </row>
    <row r="1886" spans="1:9" x14ac:dyDescent="0.15">
      <c r="A1886" s="10">
        <v>1885</v>
      </c>
      <c r="B1886" s="9" t="s">
        <v>9</v>
      </c>
      <c r="C1886" s="11" t="s">
        <v>10</v>
      </c>
      <c r="D1886" s="12">
        <v>45562</v>
      </c>
      <c r="E1886" s="14" t="str">
        <f>+HYPERLINK("http://trademark.i-assist.jp/data/china/image_1905th/79534466.pdf","79534466")</f>
        <v>79534466</v>
      </c>
      <c r="F1886" s="13" t="s">
        <v>3376</v>
      </c>
      <c r="G1886" s="13" t="s">
        <v>699</v>
      </c>
      <c r="H1886" s="13" t="s">
        <v>4150</v>
      </c>
      <c r="I1886" s="12">
        <v>45474</v>
      </c>
    </row>
    <row r="1887" spans="1:9" x14ac:dyDescent="0.15">
      <c r="A1887" s="10">
        <v>1886</v>
      </c>
      <c r="B1887" s="9" t="s">
        <v>9</v>
      </c>
      <c r="C1887" s="11" t="s">
        <v>10</v>
      </c>
      <c r="D1887" s="12">
        <v>45562</v>
      </c>
      <c r="E1887" s="14" t="str">
        <f>+HYPERLINK("http://trademark.i-assist.jp/data/china/image_1905th/79536042.pdf","79536042")</f>
        <v>79536042</v>
      </c>
      <c r="F1887" s="13" t="s">
        <v>655</v>
      </c>
      <c r="G1887" s="13" t="s">
        <v>654</v>
      </c>
      <c r="H1887" s="13" t="s">
        <v>4443</v>
      </c>
      <c r="I1887" s="12">
        <v>45474</v>
      </c>
    </row>
    <row r="1888" spans="1:9" x14ac:dyDescent="0.15">
      <c r="A1888" s="10">
        <v>1887</v>
      </c>
      <c r="B1888" s="9" t="s">
        <v>9</v>
      </c>
      <c r="C1888" s="11" t="s">
        <v>10</v>
      </c>
      <c r="D1888" s="12">
        <v>45562</v>
      </c>
      <c r="E1888" s="14" t="str">
        <f>+HYPERLINK("http://trademark.i-assist.jp/data/china/image_1905th/79538017.pdf","79538017")</f>
        <v>79538017</v>
      </c>
      <c r="F1888" s="13" t="s">
        <v>3377</v>
      </c>
      <c r="G1888" s="13" t="s">
        <v>1485</v>
      </c>
      <c r="H1888" s="13" t="s">
        <v>4773</v>
      </c>
      <c r="I1888" s="12">
        <v>45474</v>
      </c>
    </row>
    <row r="1889" spans="1:9" x14ac:dyDescent="0.15">
      <c r="A1889" s="10">
        <v>1888</v>
      </c>
      <c r="B1889" s="9" t="s">
        <v>9</v>
      </c>
      <c r="C1889" s="11" t="s">
        <v>10</v>
      </c>
      <c r="D1889" s="12">
        <v>45562</v>
      </c>
      <c r="E1889" s="14" t="str">
        <f>+HYPERLINK("http://trademark.i-assist.jp/data/china/image_1905th/79544534.pdf","79544534")</f>
        <v>79544534</v>
      </c>
      <c r="F1889" s="13" t="s">
        <v>3378</v>
      </c>
      <c r="G1889" s="13" t="s">
        <v>801</v>
      </c>
      <c r="H1889" s="13" t="s">
        <v>4328</v>
      </c>
      <c r="I1889" s="12">
        <v>45474</v>
      </c>
    </row>
    <row r="1890" spans="1:9" x14ac:dyDescent="0.15">
      <c r="A1890" s="10">
        <v>1889</v>
      </c>
      <c r="B1890" s="9" t="s">
        <v>9</v>
      </c>
      <c r="C1890" s="11" t="s">
        <v>10</v>
      </c>
      <c r="D1890" s="12">
        <v>45562</v>
      </c>
      <c r="E1890" s="14" t="str">
        <f>+HYPERLINK("http://trademark.i-assist.jp/data/china/image_1905th/79548760.pdf","79548760")</f>
        <v>79548760</v>
      </c>
      <c r="F1890" s="13" t="s">
        <v>3380</v>
      </c>
      <c r="G1890" s="13" t="s">
        <v>3379</v>
      </c>
      <c r="H1890" s="13" t="s">
        <v>5521</v>
      </c>
      <c r="I1890" s="12">
        <v>45474</v>
      </c>
    </row>
    <row r="1891" spans="1:9" x14ac:dyDescent="0.15">
      <c r="A1891" s="10">
        <v>1890</v>
      </c>
      <c r="B1891" s="9" t="s">
        <v>9</v>
      </c>
      <c r="C1891" s="11" t="s">
        <v>10</v>
      </c>
      <c r="D1891" s="12">
        <v>45562</v>
      </c>
      <c r="E1891" s="14" t="str">
        <f>+HYPERLINK("http://trademark.i-assist.jp/data/china/image_1905th/79549672.pdf","79549672")</f>
        <v>79549672</v>
      </c>
      <c r="F1891" s="13" t="s">
        <v>3381</v>
      </c>
      <c r="G1891" s="13" t="s">
        <v>1896</v>
      </c>
      <c r="H1891" s="13" t="s">
        <v>4947</v>
      </c>
      <c r="I1891" s="12">
        <v>45474</v>
      </c>
    </row>
    <row r="1892" spans="1:9" x14ac:dyDescent="0.15">
      <c r="A1892" s="10">
        <v>1891</v>
      </c>
      <c r="B1892" s="9" t="s">
        <v>9</v>
      </c>
      <c r="C1892" s="11" t="s">
        <v>10</v>
      </c>
      <c r="D1892" s="12">
        <v>45562</v>
      </c>
      <c r="E1892" s="14" t="str">
        <f>+HYPERLINK("http://trademark.i-assist.jp/data/china/image_1905th/79555445.pdf","79555445")</f>
        <v>79555445</v>
      </c>
      <c r="F1892" s="13" t="s">
        <v>3382</v>
      </c>
      <c r="G1892" s="13" t="s">
        <v>2638</v>
      </c>
      <c r="H1892" s="13" t="s">
        <v>5243</v>
      </c>
      <c r="I1892" s="12">
        <v>45475</v>
      </c>
    </row>
    <row r="1893" spans="1:9" x14ac:dyDescent="0.15">
      <c r="A1893" s="10">
        <v>1892</v>
      </c>
      <c r="B1893" s="9" t="s">
        <v>9</v>
      </c>
      <c r="C1893" s="11" t="s">
        <v>10</v>
      </c>
      <c r="D1893" s="12">
        <v>45562</v>
      </c>
      <c r="E1893" s="14" t="str">
        <f>+HYPERLINK("http://trademark.i-assist.jp/data/china/image_1905th/79311587.pdf","79311587")</f>
        <v>79311587</v>
      </c>
      <c r="F1893" s="13" t="s">
        <v>3383</v>
      </c>
      <c r="G1893" s="13" t="s">
        <v>1286</v>
      </c>
      <c r="H1893" s="13" t="s">
        <v>4690</v>
      </c>
      <c r="I1893" s="12">
        <v>45462</v>
      </c>
    </row>
    <row r="1894" spans="1:9" x14ac:dyDescent="0.15">
      <c r="A1894" s="10">
        <v>1893</v>
      </c>
      <c r="B1894" s="9" t="s">
        <v>9</v>
      </c>
      <c r="C1894" s="11" t="s">
        <v>10</v>
      </c>
      <c r="D1894" s="12">
        <v>45562</v>
      </c>
      <c r="E1894" s="14" t="str">
        <f>+HYPERLINK("http://trademark.i-assist.jp/data/china/image_1905th/79328967.pdf","79328967")</f>
        <v>79328967</v>
      </c>
      <c r="F1894" s="13" t="s">
        <v>3385</v>
      </c>
      <c r="G1894" s="13" t="s">
        <v>3384</v>
      </c>
      <c r="H1894" s="13" t="s">
        <v>5522</v>
      </c>
      <c r="I1894" s="12">
        <v>45463</v>
      </c>
    </row>
    <row r="1895" spans="1:9" x14ac:dyDescent="0.15">
      <c r="A1895" s="10">
        <v>1894</v>
      </c>
      <c r="B1895" s="9" t="s">
        <v>9</v>
      </c>
      <c r="C1895" s="11" t="s">
        <v>10</v>
      </c>
      <c r="D1895" s="12">
        <v>45562</v>
      </c>
      <c r="E1895" s="14" t="str">
        <f>+HYPERLINK("http://trademark.i-assist.jp/data/china/image_1905th/79333363.pdf","79333363")</f>
        <v>79333363</v>
      </c>
      <c r="F1895" s="13" t="s">
        <v>3387</v>
      </c>
      <c r="G1895" s="13" t="s">
        <v>3386</v>
      </c>
      <c r="H1895" s="13" t="s">
        <v>5523</v>
      </c>
      <c r="I1895" s="12">
        <v>45463</v>
      </c>
    </row>
    <row r="1896" spans="1:9" x14ac:dyDescent="0.15">
      <c r="A1896" s="10">
        <v>1895</v>
      </c>
      <c r="B1896" s="9" t="s">
        <v>9</v>
      </c>
      <c r="C1896" s="11" t="s">
        <v>10</v>
      </c>
      <c r="D1896" s="12">
        <v>45562</v>
      </c>
      <c r="E1896" s="14" t="str">
        <f>+HYPERLINK("http://trademark.i-assist.jp/data/china/image_1905th/79354629.pdf","79354629")</f>
        <v>79354629</v>
      </c>
      <c r="F1896" s="13" t="s">
        <v>3389</v>
      </c>
      <c r="G1896" s="13" t="s">
        <v>3388</v>
      </c>
      <c r="H1896" s="13" t="s">
        <v>5524</v>
      </c>
      <c r="I1896" s="12">
        <v>45464</v>
      </c>
    </row>
    <row r="1897" spans="1:9" x14ac:dyDescent="0.15">
      <c r="A1897" s="10">
        <v>1896</v>
      </c>
      <c r="B1897" s="9" t="s">
        <v>9</v>
      </c>
      <c r="C1897" s="11" t="s">
        <v>10</v>
      </c>
      <c r="D1897" s="12">
        <v>45562</v>
      </c>
      <c r="E1897" s="14" t="str">
        <f>+HYPERLINK("http://trademark.i-assist.jp/data/china/image_1905th/79385011.pdf","79385011")</f>
        <v>79385011</v>
      </c>
      <c r="F1897" s="13" t="s">
        <v>3390</v>
      </c>
      <c r="G1897" s="13" t="s">
        <v>1379</v>
      </c>
      <c r="H1897" s="13" t="s">
        <v>5525</v>
      </c>
      <c r="I1897" s="12">
        <v>45467</v>
      </c>
    </row>
    <row r="1898" spans="1:9" x14ac:dyDescent="0.15">
      <c r="A1898" s="10">
        <v>1897</v>
      </c>
      <c r="B1898" s="9" t="s">
        <v>9</v>
      </c>
      <c r="C1898" s="11" t="s">
        <v>10</v>
      </c>
      <c r="D1898" s="12">
        <v>45562</v>
      </c>
      <c r="E1898" s="14" t="str">
        <f>+HYPERLINK("http://trademark.i-assist.jp/data/china/image_1905th/79388238.pdf","79388238")</f>
        <v>79388238</v>
      </c>
      <c r="F1898" s="13" t="s">
        <v>3391</v>
      </c>
      <c r="G1898" s="13" t="s">
        <v>1647</v>
      </c>
      <c r="H1898" s="13" t="s">
        <v>4843</v>
      </c>
      <c r="I1898" s="12">
        <v>45467</v>
      </c>
    </row>
    <row r="1899" spans="1:9" x14ac:dyDescent="0.15">
      <c r="A1899" s="10">
        <v>1898</v>
      </c>
      <c r="B1899" s="9" t="s">
        <v>9</v>
      </c>
      <c r="C1899" s="11" t="s">
        <v>10</v>
      </c>
      <c r="D1899" s="12">
        <v>45562</v>
      </c>
      <c r="E1899" s="14" t="str">
        <f>+HYPERLINK("http://trademark.i-assist.jp/data/china/image_1905th/78693945.pdf","78693945")</f>
        <v>78693945</v>
      </c>
      <c r="F1899" s="13" t="s">
        <v>73</v>
      </c>
      <c r="G1899" s="13" t="s">
        <v>3392</v>
      </c>
      <c r="H1899" s="13" t="s">
        <v>5526</v>
      </c>
      <c r="I1899" s="12">
        <v>45432</v>
      </c>
    </row>
    <row r="1900" spans="1:9" x14ac:dyDescent="0.15">
      <c r="A1900" s="10">
        <v>1899</v>
      </c>
      <c r="B1900" s="9" t="s">
        <v>9</v>
      </c>
      <c r="C1900" s="11" t="s">
        <v>10</v>
      </c>
      <c r="D1900" s="12">
        <v>45562</v>
      </c>
      <c r="E1900" s="14" t="str">
        <f>+HYPERLINK("http://trademark.i-assist.jp/data/china/image_1905th/78769091.pdf","78769091")</f>
        <v>78769091</v>
      </c>
      <c r="F1900" s="13" t="s">
        <v>3393</v>
      </c>
      <c r="G1900" s="13" t="s">
        <v>314</v>
      </c>
      <c r="H1900" s="13" t="s">
        <v>4288</v>
      </c>
      <c r="I1900" s="12">
        <v>45434</v>
      </c>
    </row>
    <row r="1901" spans="1:9" x14ac:dyDescent="0.15">
      <c r="A1901" s="10">
        <v>1900</v>
      </c>
      <c r="B1901" s="9" t="s">
        <v>9</v>
      </c>
      <c r="C1901" s="11" t="s">
        <v>10</v>
      </c>
      <c r="D1901" s="12">
        <v>45562</v>
      </c>
      <c r="E1901" s="14" t="str">
        <f>+HYPERLINK("http://trademark.i-assist.jp/data/china/image_1905th/79213405.pdf","79213405")</f>
        <v>79213405</v>
      </c>
      <c r="F1901" s="13" t="s">
        <v>3395</v>
      </c>
      <c r="G1901" s="13" t="s">
        <v>3394</v>
      </c>
      <c r="H1901" s="13" t="s">
        <v>5050</v>
      </c>
      <c r="I1901" s="12">
        <v>45457</v>
      </c>
    </row>
    <row r="1902" spans="1:9" x14ac:dyDescent="0.15">
      <c r="A1902" s="10">
        <v>1901</v>
      </c>
      <c r="B1902" s="9" t="s">
        <v>9</v>
      </c>
      <c r="C1902" s="11" t="s">
        <v>10</v>
      </c>
      <c r="D1902" s="12">
        <v>45562</v>
      </c>
      <c r="E1902" s="14" t="str">
        <f>+HYPERLINK("http://trademark.i-assist.jp/data/china/image_1905th/79216450.pdf","79216450")</f>
        <v>79216450</v>
      </c>
      <c r="F1902" s="13" t="s">
        <v>3397</v>
      </c>
      <c r="G1902" s="13" t="s">
        <v>3396</v>
      </c>
      <c r="H1902" s="13" t="s">
        <v>5527</v>
      </c>
      <c r="I1902" s="12">
        <v>45457</v>
      </c>
    </row>
    <row r="1903" spans="1:9" x14ac:dyDescent="0.15">
      <c r="A1903" s="10">
        <v>1902</v>
      </c>
      <c r="B1903" s="9" t="s">
        <v>9</v>
      </c>
      <c r="C1903" s="11" t="s">
        <v>10</v>
      </c>
      <c r="D1903" s="12">
        <v>45562</v>
      </c>
      <c r="E1903" s="14" t="str">
        <f>+HYPERLINK("http://trademark.i-assist.jp/data/china/image_1905th/79236667.pdf","79236667")</f>
        <v>79236667</v>
      </c>
      <c r="F1903" s="13" t="s">
        <v>3398</v>
      </c>
      <c r="G1903" s="13" t="s">
        <v>360</v>
      </c>
      <c r="H1903" s="13" t="s">
        <v>4310</v>
      </c>
      <c r="I1903" s="12">
        <v>45458</v>
      </c>
    </row>
    <row r="1904" spans="1:9" x14ac:dyDescent="0.15">
      <c r="A1904" s="10">
        <v>1903</v>
      </c>
      <c r="B1904" s="9" t="s">
        <v>9</v>
      </c>
      <c r="C1904" s="11" t="s">
        <v>10</v>
      </c>
      <c r="D1904" s="12">
        <v>45562</v>
      </c>
      <c r="E1904" s="14" t="str">
        <f>+HYPERLINK("http://trademark.i-assist.jp/data/china/image_1905th/79239345.pdf","79239345")</f>
        <v>79239345</v>
      </c>
      <c r="F1904" s="13" t="s">
        <v>3400</v>
      </c>
      <c r="G1904" s="13" t="s">
        <v>3399</v>
      </c>
      <c r="H1904" s="13" t="s">
        <v>5528</v>
      </c>
      <c r="I1904" s="12">
        <v>45458</v>
      </c>
    </row>
    <row r="1905" spans="1:9" x14ac:dyDescent="0.15">
      <c r="A1905" s="10">
        <v>1904</v>
      </c>
      <c r="B1905" s="9" t="s">
        <v>9</v>
      </c>
      <c r="C1905" s="11" t="s">
        <v>10</v>
      </c>
      <c r="D1905" s="12">
        <v>45562</v>
      </c>
      <c r="E1905" s="14" t="str">
        <f>+HYPERLINK("http://trademark.i-assist.jp/data/china/image_1905th/79251075.pdf","79251075")</f>
        <v>79251075</v>
      </c>
      <c r="F1905" s="13" t="s">
        <v>3402</v>
      </c>
      <c r="G1905" s="13" t="s">
        <v>3401</v>
      </c>
      <c r="H1905" s="13" t="s">
        <v>5529</v>
      </c>
      <c r="I1905" s="12">
        <v>45460</v>
      </c>
    </row>
    <row r="1906" spans="1:9" x14ac:dyDescent="0.15">
      <c r="A1906" s="10">
        <v>1905</v>
      </c>
      <c r="B1906" s="9" t="s">
        <v>9</v>
      </c>
      <c r="C1906" s="11" t="s">
        <v>10</v>
      </c>
      <c r="D1906" s="12">
        <v>45562</v>
      </c>
      <c r="E1906" s="14" t="str">
        <f>+HYPERLINK("http://trademark.i-assist.jp/data/china/image_1905th/79266353.pdf","79266353")</f>
        <v>79266353</v>
      </c>
      <c r="F1906" s="13" t="s">
        <v>3404</v>
      </c>
      <c r="G1906" s="13" t="s">
        <v>3403</v>
      </c>
      <c r="H1906" s="13" t="s">
        <v>5530</v>
      </c>
      <c r="I1906" s="12">
        <v>45460</v>
      </c>
    </row>
    <row r="1907" spans="1:9" x14ac:dyDescent="0.15">
      <c r="A1907" s="10">
        <v>1906</v>
      </c>
      <c r="B1907" s="9" t="s">
        <v>9</v>
      </c>
      <c r="C1907" s="11" t="s">
        <v>10</v>
      </c>
      <c r="D1907" s="12">
        <v>45562</v>
      </c>
      <c r="E1907" s="14" t="str">
        <f>+HYPERLINK("http://trademark.i-assist.jp/data/china/image_1905th/79275764.pdf","79275764")</f>
        <v>79275764</v>
      </c>
      <c r="F1907" s="13" t="s">
        <v>3406</v>
      </c>
      <c r="G1907" s="13" t="s">
        <v>3405</v>
      </c>
      <c r="H1907" s="13" t="s">
        <v>5477</v>
      </c>
      <c r="I1907" s="12">
        <v>45461</v>
      </c>
    </row>
    <row r="1908" spans="1:9" x14ac:dyDescent="0.15">
      <c r="A1908" s="10">
        <v>1907</v>
      </c>
      <c r="B1908" s="9" t="s">
        <v>9</v>
      </c>
      <c r="C1908" s="11" t="s">
        <v>10</v>
      </c>
      <c r="D1908" s="12">
        <v>45562</v>
      </c>
      <c r="E1908" s="14" t="str">
        <f>+HYPERLINK("http://trademark.i-assist.jp/data/china/image_1905th/79284335.pdf","79284335")</f>
        <v>79284335</v>
      </c>
      <c r="F1908" s="13" t="s">
        <v>3407</v>
      </c>
      <c r="G1908" s="13" t="s">
        <v>2612</v>
      </c>
      <c r="H1908" s="13" t="s">
        <v>5234</v>
      </c>
      <c r="I1908" s="12">
        <v>45461</v>
      </c>
    </row>
    <row r="1909" spans="1:9" x14ac:dyDescent="0.15">
      <c r="A1909" s="10">
        <v>1908</v>
      </c>
      <c r="B1909" s="9" t="s">
        <v>9</v>
      </c>
      <c r="C1909" s="11" t="s">
        <v>10</v>
      </c>
      <c r="D1909" s="12">
        <v>45562</v>
      </c>
      <c r="E1909" s="14" t="str">
        <f>+HYPERLINK("http://trademark.i-assist.jp/data/china/image_1905th/78357586.pdf","78357586")</f>
        <v>78357586</v>
      </c>
      <c r="F1909" s="13" t="s">
        <v>3409</v>
      </c>
      <c r="G1909" s="13" t="s">
        <v>3408</v>
      </c>
      <c r="H1909" s="13" t="s">
        <v>5531</v>
      </c>
      <c r="I1909" s="12">
        <v>45418</v>
      </c>
    </row>
    <row r="1910" spans="1:9" x14ac:dyDescent="0.15">
      <c r="A1910" s="10">
        <v>1909</v>
      </c>
      <c r="B1910" s="9" t="s">
        <v>9</v>
      </c>
      <c r="C1910" s="11" t="s">
        <v>10</v>
      </c>
      <c r="D1910" s="12">
        <v>45562</v>
      </c>
      <c r="E1910" s="14" t="str">
        <f>+HYPERLINK("http://trademark.i-assist.jp/data/china/image_1905th/79749472.pdf","79749472")</f>
        <v>79749472</v>
      </c>
      <c r="F1910" s="13" t="s">
        <v>73</v>
      </c>
      <c r="G1910" s="13" t="s">
        <v>3410</v>
      </c>
      <c r="H1910" s="13" t="s">
        <v>5532</v>
      </c>
      <c r="I1910" s="12">
        <v>45484</v>
      </c>
    </row>
    <row r="1911" spans="1:9" x14ac:dyDescent="0.15">
      <c r="A1911" s="10">
        <v>1910</v>
      </c>
      <c r="B1911" s="9" t="s">
        <v>9</v>
      </c>
      <c r="C1911" s="11" t="s">
        <v>10</v>
      </c>
      <c r="D1911" s="12">
        <v>45562</v>
      </c>
      <c r="E1911" s="14" t="str">
        <f>+HYPERLINK("http://trademark.i-assist.jp/data/china/image_1905th/79750947.pdf","79750947")</f>
        <v>79750947</v>
      </c>
      <c r="F1911" s="13" t="s">
        <v>3411</v>
      </c>
      <c r="G1911" s="13" t="s">
        <v>1949</v>
      </c>
      <c r="H1911" s="13" t="s">
        <v>4379</v>
      </c>
      <c r="I1911" s="12">
        <v>45484</v>
      </c>
    </row>
    <row r="1912" spans="1:9" x14ac:dyDescent="0.15">
      <c r="A1912" s="10">
        <v>1911</v>
      </c>
      <c r="B1912" s="9" t="s">
        <v>9</v>
      </c>
      <c r="C1912" s="11" t="s">
        <v>10</v>
      </c>
      <c r="D1912" s="12">
        <v>45562</v>
      </c>
      <c r="E1912" s="14" t="str">
        <f>+HYPERLINK("http://trademark.i-assist.jp/data/china/image_1905th/79764756.pdf","79764756")</f>
        <v>79764756</v>
      </c>
      <c r="F1912" s="13" t="s">
        <v>3412</v>
      </c>
      <c r="G1912" s="13" t="s">
        <v>2320</v>
      </c>
      <c r="H1912" s="13" t="s">
        <v>5122</v>
      </c>
      <c r="I1912" s="12">
        <v>45485</v>
      </c>
    </row>
    <row r="1913" spans="1:9" x14ac:dyDescent="0.15">
      <c r="A1913" s="10">
        <v>1912</v>
      </c>
      <c r="B1913" s="9" t="s">
        <v>9</v>
      </c>
      <c r="C1913" s="11" t="s">
        <v>10</v>
      </c>
      <c r="D1913" s="12">
        <v>45562</v>
      </c>
      <c r="E1913" s="14" t="str">
        <f>+HYPERLINK("http://trademark.i-assist.jp/data/china/image_1905th/79695929.pdf","79695929")</f>
        <v>79695929</v>
      </c>
      <c r="F1913" s="13" t="s">
        <v>3414</v>
      </c>
      <c r="G1913" s="13" t="s">
        <v>3413</v>
      </c>
      <c r="H1913" s="13" t="s">
        <v>4154</v>
      </c>
      <c r="I1913" s="12">
        <v>45482</v>
      </c>
    </row>
    <row r="1914" spans="1:9" x14ac:dyDescent="0.15">
      <c r="A1914" s="10">
        <v>1913</v>
      </c>
      <c r="B1914" s="9" t="s">
        <v>9</v>
      </c>
      <c r="C1914" s="11" t="s">
        <v>10</v>
      </c>
      <c r="D1914" s="12">
        <v>45562</v>
      </c>
      <c r="E1914" s="14" t="str">
        <f>+HYPERLINK("http://trademark.i-assist.jp/data/china/image_1905th/79705489.pdf","79705489")</f>
        <v>79705489</v>
      </c>
      <c r="F1914" s="13" t="s">
        <v>3416</v>
      </c>
      <c r="G1914" s="13" t="s">
        <v>3415</v>
      </c>
      <c r="H1914" s="13" t="s">
        <v>4822</v>
      </c>
      <c r="I1914" s="12">
        <v>45483</v>
      </c>
    </row>
    <row r="1915" spans="1:9" x14ac:dyDescent="0.15">
      <c r="A1915" s="10">
        <v>1914</v>
      </c>
      <c r="B1915" s="9" t="s">
        <v>9</v>
      </c>
      <c r="C1915" s="11" t="s">
        <v>10</v>
      </c>
      <c r="D1915" s="12">
        <v>45562</v>
      </c>
      <c r="E1915" s="14" t="str">
        <f>+HYPERLINK("http://trademark.i-assist.jp/data/china/image_1905th/79719678.pdf","79719678")</f>
        <v>79719678</v>
      </c>
      <c r="F1915" s="13" t="s">
        <v>3417</v>
      </c>
      <c r="G1915" s="13" t="s">
        <v>2165</v>
      </c>
      <c r="H1915" s="13" t="s">
        <v>4227</v>
      </c>
      <c r="I1915" s="12">
        <v>45483</v>
      </c>
    </row>
    <row r="1916" spans="1:9" x14ac:dyDescent="0.15">
      <c r="A1916" s="10">
        <v>1915</v>
      </c>
      <c r="B1916" s="9" t="s">
        <v>9</v>
      </c>
      <c r="C1916" s="11" t="s">
        <v>10</v>
      </c>
      <c r="D1916" s="12">
        <v>45562</v>
      </c>
      <c r="E1916" s="14" t="str">
        <f>+HYPERLINK("http://trademark.i-assist.jp/data/china/image_1905th/79721832.pdf","79721832")</f>
        <v>79721832</v>
      </c>
      <c r="F1916" s="13" t="s">
        <v>3419</v>
      </c>
      <c r="G1916" s="13" t="s">
        <v>3418</v>
      </c>
      <c r="H1916" s="13" t="s">
        <v>4150</v>
      </c>
      <c r="I1916" s="12">
        <v>45483</v>
      </c>
    </row>
    <row r="1917" spans="1:9" x14ac:dyDescent="0.15">
      <c r="A1917" s="10">
        <v>1916</v>
      </c>
      <c r="B1917" s="9" t="s">
        <v>9</v>
      </c>
      <c r="C1917" s="11" t="s">
        <v>10</v>
      </c>
      <c r="D1917" s="12">
        <v>45562</v>
      </c>
      <c r="E1917" s="14" t="str">
        <f>+HYPERLINK("http://trademark.i-assist.jp/data/china/image_1905th/79725973.pdf","79725973")</f>
        <v>79725973</v>
      </c>
      <c r="F1917" s="13" t="s">
        <v>3421</v>
      </c>
      <c r="G1917" s="13" t="s">
        <v>3420</v>
      </c>
      <c r="H1917" s="13" t="s">
        <v>5533</v>
      </c>
      <c r="I1917" s="12">
        <v>45483</v>
      </c>
    </row>
    <row r="1918" spans="1:9" x14ac:dyDescent="0.15">
      <c r="A1918" s="10">
        <v>1917</v>
      </c>
      <c r="B1918" s="9" t="s">
        <v>9</v>
      </c>
      <c r="C1918" s="11" t="s">
        <v>10</v>
      </c>
      <c r="D1918" s="12">
        <v>45562</v>
      </c>
      <c r="E1918" s="14" t="str">
        <f>+HYPERLINK("http://trademark.i-assist.jp/data/china/image_1905th/79730591.pdf","79730591")</f>
        <v>79730591</v>
      </c>
      <c r="F1918" s="13" t="s">
        <v>3423</v>
      </c>
      <c r="G1918" s="13" t="s">
        <v>3422</v>
      </c>
      <c r="H1918" s="13" t="s">
        <v>5534</v>
      </c>
      <c r="I1918" s="12">
        <v>45484</v>
      </c>
    </row>
    <row r="1919" spans="1:9" x14ac:dyDescent="0.15">
      <c r="A1919" s="10">
        <v>1918</v>
      </c>
      <c r="B1919" s="9" t="s">
        <v>9</v>
      </c>
      <c r="C1919" s="11" t="s">
        <v>10</v>
      </c>
      <c r="D1919" s="12">
        <v>45562</v>
      </c>
      <c r="E1919" s="14" t="str">
        <f>+HYPERLINK("http://trademark.i-assist.jp/data/china/image_1905th/79730672.pdf","79730672")</f>
        <v>79730672</v>
      </c>
      <c r="F1919" s="13" t="s">
        <v>3425</v>
      </c>
      <c r="G1919" s="13" t="s">
        <v>3424</v>
      </c>
      <c r="H1919" s="13" t="s">
        <v>5535</v>
      </c>
      <c r="I1919" s="12">
        <v>45484</v>
      </c>
    </row>
    <row r="1920" spans="1:9" x14ac:dyDescent="0.15">
      <c r="A1920" s="10">
        <v>1919</v>
      </c>
      <c r="B1920" s="9" t="s">
        <v>9</v>
      </c>
      <c r="C1920" s="11" t="s">
        <v>10</v>
      </c>
      <c r="D1920" s="12">
        <v>45562</v>
      </c>
      <c r="E1920" s="14" t="str">
        <f>+HYPERLINK("http://trademark.i-assist.jp/data/china/image_1905th/79736930.pdf","79736930")</f>
        <v>79736930</v>
      </c>
      <c r="F1920" s="13" t="s">
        <v>3427</v>
      </c>
      <c r="G1920" s="13" t="s">
        <v>3426</v>
      </c>
      <c r="H1920" s="13" t="s">
        <v>5536</v>
      </c>
      <c r="I1920" s="12">
        <v>45484</v>
      </c>
    </row>
    <row r="1921" spans="1:9" x14ac:dyDescent="0.15">
      <c r="A1921" s="10">
        <v>1920</v>
      </c>
      <c r="B1921" s="9" t="s">
        <v>9</v>
      </c>
      <c r="C1921" s="11" t="s">
        <v>10</v>
      </c>
      <c r="D1921" s="12">
        <v>45562</v>
      </c>
      <c r="E1921" s="14" t="str">
        <f>+HYPERLINK("http://trademark.i-assist.jp/data/china/image_1905th/79739232.pdf","79739232")</f>
        <v>79739232</v>
      </c>
      <c r="F1921" s="13" t="s">
        <v>3429</v>
      </c>
      <c r="G1921" s="13" t="s">
        <v>3428</v>
      </c>
      <c r="H1921" s="13" t="s">
        <v>5537</v>
      </c>
      <c r="I1921" s="12">
        <v>45484</v>
      </c>
    </row>
    <row r="1922" spans="1:9" x14ac:dyDescent="0.15">
      <c r="A1922" s="10">
        <v>1921</v>
      </c>
      <c r="B1922" s="9" t="s">
        <v>9</v>
      </c>
      <c r="C1922" s="11" t="s">
        <v>10</v>
      </c>
      <c r="D1922" s="12">
        <v>45562</v>
      </c>
      <c r="E1922" s="14" t="str">
        <f>+HYPERLINK("http://trademark.i-assist.jp/data/china/image_1905th/79644222.pdf","79644222")</f>
        <v>79644222</v>
      </c>
      <c r="F1922" s="13" t="s">
        <v>3431</v>
      </c>
      <c r="G1922" s="13" t="s">
        <v>3430</v>
      </c>
      <c r="H1922" s="13" t="s">
        <v>5538</v>
      </c>
      <c r="I1922" s="12">
        <v>45478</v>
      </c>
    </row>
    <row r="1923" spans="1:9" x14ac:dyDescent="0.15">
      <c r="A1923" s="10">
        <v>1922</v>
      </c>
      <c r="B1923" s="9" t="s">
        <v>9</v>
      </c>
      <c r="C1923" s="11" t="s">
        <v>10</v>
      </c>
      <c r="D1923" s="12">
        <v>45562</v>
      </c>
      <c r="E1923" s="14" t="str">
        <f>+HYPERLINK("http://trademark.i-assist.jp/data/china/image_1905th/79653617.pdf","79653617")</f>
        <v>79653617</v>
      </c>
      <c r="F1923" s="13" t="s">
        <v>3432</v>
      </c>
      <c r="G1923" s="13" t="s">
        <v>425</v>
      </c>
      <c r="H1923" s="13" t="s">
        <v>5539</v>
      </c>
      <c r="I1923" s="12">
        <v>45480</v>
      </c>
    </row>
    <row r="1924" spans="1:9" x14ac:dyDescent="0.15">
      <c r="A1924" s="10">
        <v>1923</v>
      </c>
      <c r="B1924" s="9" t="s">
        <v>9</v>
      </c>
      <c r="C1924" s="11" t="s">
        <v>10</v>
      </c>
      <c r="D1924" s="12">
        <v>45562</v>
      </c>
      <c r="E1924" s="14" t="str">
        <f>+HYPERLINK("http://trademark.i-assist.jp/data/china/image_1905th/79608411.pdf","79608411")</f>
        <v>79608411</v>
      </c>
      <c r="F1924" s="13" t="s">
        <v>3434</v>
      </c>
      <c r="G1924" s="13" t="s">
        <v>3433</v>
      </c>
      <c r="H1924" s="13" t="s">
        <v>5540</v>
      </c>
      <c r="I1924" s="12">
        <v>45477</v>
      </c>
    </row>
    <row r="1925" spans="1:9" x14ac:dyDescent="0.15">
      <c r="A1925" s="10">
        <v>1924</v>
      </c>
      <c r="B1925" s="9" t="s">
        <v>9</v>
      </c>
      <c r="C1925" s="11" t="s">
        <v>10</v>
      </c>
      <c r="D1925" s="12">
        <v>45562</v>
      </c>
      <c r="E1925" s="14" t="str">
        <f>+HYPERLINK("http://trademark.i-assist.jp/data/china/image_1905th/79612563.pdf","79612563")</f>
        <v>79612563</v>
      </c>
      <c r="F1925" s="13" t="s">
        <v>3435</v>
      </c>
      <c r="G1925" s="13" t="s">
        <v>66</v>
      </c>
      <c r="H1925" s="13" t="s">
        <v>4174</v>
      </c>
      <c r="I1925" s="12">
        <v>45477</v>
      </c>
    </row>
    <row r="1926" spans="1:9" x14ac:dyDescent="0.15">
      <c r="A1926" s="10">
        <v>1925</v>
      </c>
      <c r="B1926" s="9" t="s">
        <v>9</v>
      </c>
      <c r="C1926" s="11" t="s">
        <v>10</v>
      </c>
      <c r="D1926" s="12">
        <v>45562</v>
      </c>
      <c r="E1926" s="14" t="str">
        <f>+HYPERLINK("http://trademark.i-assist.jp/data/china/image_1905th/79619864.pdf","79619864")</f>
        <v>79619864</v>
      </c>
      <c r="F1926" s="13" t="s">
        <v>3437</v>
      </c>
      <c r="G1926" s="13" t="s">
        <v>3436</v>
      </c>
      <c r="H1926" s="13" t="s">
        <v>5541</v>
      </c>
      <c r="I1926" s="12">
        <v>45477</v>
      </c>
    </row>
    <row r="1927" spans="1:9" x14ac:dyDescent="0.15">
      <c r="A1927" s="10">
        <v>1926</v>
      </c>
      <c r="B1927" s="9" t="s">
        <v>9</v>
      </c>
      <c r="C1927" s="11" t="s">
        <v>10</v>
      </c>
      <c r="D1927" s="12">
        <v>45562</v>
      </c>
      <c r="E1927" s="14" t="str">
        <f>+HYPERLINK("http://trademark.i-assist.jp/data/china/image_1905th/79623759.pdf","79623759")</f>
        <v>79623759</v>
      </c>
      <c r="F1927" s="13" t="s">
        <v>3439</v>
      </c>
      <c r="G1927" s="13" t="s">
        <v>3438</v>
      </c>
      <c r="H1927" s="13" t="s">
        <v>5542</v>
      </c>
      <c r="I1927" s="12">
        <v>45478</v>
      </c>
    </row>
    <row r="1928" spans="1:9" x14ac:dyDescent="0.15">
      <c r="A1928" s="10">
        <v>1927</v>
      </c>
      <c r="B1928" s="9" t="s">
        <v>9</v>
      </c>
      <c r="C1928" s="11" t="s">
        <v>10</v>
      </c>
      <c r="D1928" s="12">
        <v>45562</v>
      </c>
      <c r="E1928" s="14" t="str">
        <f>+HYPERLINK("http://trademark.i-assist.jp/data/china/image_1905th/79625967.pdf","79625967")</f>
        <v>79625967</v>
      </c>
      <c r="F1928" s="13" t="s">
        <v>3440</v>
      </c>
      <c r="G1928" s="13" t="s">
        <v>2923</v>
      </c>
      <c r="H1928" s="13" t="s">
        <v>5357</v>
      </c>
      <c r="I1928" s="12">
        <v>45478</v>
      </c>
    </row>
    <row r="1929" spans="1:9" x14ac:dyDescent="0.15">
      <c r="A1929" s="10">
        <v>1928</v>
      </c>
      <c r="B1929" s="9" t="s">
        <v>9</v>
      </c>
      <c r="C1929" s="11" t="s">
        <v>10</v>
      </c>
      <c r="D1929" s="12">
        <v>45562</v>
      </c>
      <c r="E1929" s="14" t="str">
        <f>+HYPERLINK("http://trademark.i-assist.jp/data/china/image_1905th/79631462.pdf","79631462")</f>
        <v>79631462</v>
      </c>
      <c r="F1929" s="13" t="s">
        <v>3442</v>
      </c>
      <c r="G1929" s="13" t="s">
        <v>3441</v>
      </c>
      <c r="H1929" s="13" t="s">
        <v>5543</v>
      </c>
      <c r="I1929" s="12">
        <v>45478</v>
      </c>
    </row>
    <row r="1930" spans="1:9" x14ac:dyDescent="0.15">
      <c r="A1930" s="10">
        <v>1929</v>
      </c>
      <c r="B1930" s="9" t="s">
        <v>9</v>
      </c>
      <c r="C1930" s="11" t="s">
        <v>10</v>
      </c>
      <c r="D1930" s="12">
        <v>45562</v>
      </c>
      <c r="E1930" s="14" t="str">
        <f>+HYPERLINK("http://trademark.i-assist.jp/data/china/image_1905th/79634827.pdf","79634827")</f>
        <v>79634827</v>
      </c>
      <c r="F1930" s="13" t="s">
        <v>3444</v>
      </c>
      <c r="G1930" s="13" t="s">
        <v>3443</v>
      </c>
      <c r="H1930" s="13" t="s">
        <v>5544</v>
      </c>
      <c r="I1930" s="12">
        <v>45478</v>
      </c>
    </row>
    <row r="1931" spans="1:9" x14ac:dyDescent="0.15">
      <c r="A1931" s="10">
        <v>1930</v>
      </c>
      <c r="B1931" s="9" t="s">
        <v>9</v>
      </c>
      <c r="C1931" s="11" t="s">
        <v>10</v>
      </c>
      <c r="D1931" s="12">
        <v>45562</v>
      </c>
      <c r="E1931" s="14" t="str">
        <f>+HYPERLINK("http://trademark.i-assist.jp/data/china/image_1905th/79661985.pdf","79661985")</f>
        <v>79661985</v>
      </c>
      <c r="F1931" s="13" t="s">
        <v>3445</v>
      </c>
      <c r="G1931" s="13" t="s">
        <v>3227</v>
      </c>
      <c r="H1931" s="13" t="s">
        <v>5467</v>
      </c>
      <c r="I1931" s="12">
        <v>45481</v>
      </c>
    </row>
    <row r="1932" spans="1:9" x14ac:dyDescent="0.15">
      <c r="A1932" s="10">
        <v>1931</v>
      </c>
      <c r="B1932" s="9" t="s">
        <v>9</v>
      </c>
      <c r="C1932" s="11" t="s">
        <v>10</v>
      </c>
      <c r="D1932" s="12">
        <v>45562</v>
      </c>
      <c r="E1932" s="14" t="str">
        <f>+HYPERLINK("http://trademark.i-assist.jp/data/china/image_1905th/79662322.pdf","79662322")</f>
        <v>79662322</v>
      </c>
      <c r="F1932" s="13" t="s">
        <v>3447</v>
      </c>
      <c r="G1932" s="13" t="s">
        <v>3446</v>
      </c>
      <c r="H1932" s="13" t="s">
        <v>5545</v>
      </c>
      <c r="I1932" s="12">
        <v>45481</v>
      </c>
    </row>
    <row r="1933" spans="1:9" x14ac:dyDescent="0.15">
      <c r="A1933" s="10">
        <v>1932</v>
      </c>
      <c r="B1933" s="9" t="s">
        <v>9</v>
      </c>
      <c r="C1933" s="11" t="s">
        <v>10</v>
      </c>
      <c r="D1933" s="12">
        <v>45562</v>
      </c>
      <c r="E1933" s="14" t="str">
        <f>+HYPERLINK("http://trademark.i-assist.jp/data/china/image_1905th/79662375.pdf","79662375")</f>
        <v>79662375</v>
      </c>
      <c r="F1933" s="13" t="s">
        <v>3449</v>
      </c>
      <c r="G1933" s="13" t="s">
        <v>3448</v>
      </c>
      <c r="H1933" s="13" t="s">
        <v>5546</v>
      </c>
      <c r="I1933" s="12">
        <v>45481</v>
      </c>
    </row>
    <row r="1934" spans="1:9" x14ac:dyDescent="0.15">
      <c r="A1934" s="10">
        <v>1933</v>
      </c>
      <c r="B1934" s="9" t="s">
        <v>9</v>
      </c>
      <c r="C1934" s="11" t="s">
        <v>10</v>
      </c>
      <c r="D1934" s="12">
        <v>45562</v>
      </c>
      <c r="E1934" s="14" t="str">
        <f>+HYPERLINK("http://trademark.i-assist.jp/data/china/image_1905th/79662643.pdf","79662643")</f>
        <v>79662643</v>
      </c>
      <c r="F1934" s="13" t="s">
        <v>3451</v>
      </c>
      <c r="G1934" s="13" t="s">
        <v>3450</v>
      </c>
      <c r="H1934" s="13" t="s">
        <v>5547</v>
      </c>
      <c r="I1934" s="12">
        <v>45481</v>
      </c>
    </row>
    <row r="1935" spans="1:9" x14ac:dyDescent="0.15">
      <c r="A1935" s="10">
        <v>1934</v>
      </c>
      <c r="B1935" s="9" t="s">
        <v>9</v>
      </c>
      <c r="C1935" s="11" t="s">
        <v>10</v>
      </c>
      <c r="D1935" s="12">
        <v>45562</v>
      </c>
      <c r="E1935" s="14" t="str">
        <f>+HYPERLINK("http://trademark.i-assist.jp/data/china/image_1905th/79665730.pdf","79665730")</f>
        <v>79665730</v>
      </c>
      <c r="F1935" s="13" t="s">
        <v>3453</v>
      </c>
      <c r="G1935" s="13" t="s">
        <v>3452</v>
      </c>
      <c r="H1935" s="13" t="s">
        <v>5548</v>
      </c>
      <c r="I1935" s="12">
        <v>45481</v>
      </c>
    </row>
    <row r="1936" spans="1:9" x14ac:dyDescent="0.15">
      <c r="A1936" s="10">
        <v>1935</v>
      </c>
      <c r="B1936" s="9" t="s">
        <v>9</v>
      </c>
      <c r="C1936" s="11" t="s">
        <v>10</v>
      </c>
      <c r="D1936" s="12">
        <v>45562</v>
      </c>
      <c r="E1936" s="14" t="str">
        <f>+HYPERLINK("http://trademark.i-assist.jp/data/china/image_1905th/79674638.pdf","79674638")</f>
        <v>79674638</v>
      </c>
      <c r="F1936" s="13" t="s">
        <v>3455</v>
      </c>
      <c r="G1936" s="13" t="s">
        <v>3454</v>
      </c>
      <c r="H1936" s="13" t="s">
        <v>4620</v>
      </c>
      <c r="I1936" s="12">
        <v>45481</v>
      </c>
    </row>
    <row r="1937" spans="1:9" x14ac:dyDescent="0.15">
      <c r="A1937" s="10">
        <v>1936</v>
      </c>
      <c r="B1937" s="9" t="s">
        <v>9</v>
      </c>
      <c r="C1937" s="11" t="s">
        <v>10</v>
      </c>
      <c r="D1937" s="12">
        <v>45562</v>
      </c>
      <c r="E1937" s="14" t="str">
        <f>+HYPERLINK("http://trademark.i-assist.jp/data/china/image_1905th/79676383.pdf","79676383")</f>
        <v>79676383</v>
      </c>
      <c r="F1937" s="13" t="s">
        <v>3456</v>
      </c>
      <c r="G1937" s="13" t="s">
        <v>815</v>
      </c>
      <c r="H1937" s="13" t="s">
        <v>4512</v>
      </c>
      <c r="I1937" s="12">
        <v>45481</v>
      </c>
    </row>
    <row r="1938" spans="1:9" x14ac:dyDescent="0.15">
      <c r="A1938" s="10">
        <v>1937</v>
      </c>
      <c r="B1938" s="9" t="s">
        <v>9</v>
      </c>
      <c r="C1938" s="11" t="s">
        <v>10</v>
      </c>
      <c r="D1938" s="12">
        <v>45562</v>
      </c>
      <c r="E1938" s="14" t="str">
        <f>+HYPERLINK("http://trademark.i-assist.jp/data/china/image_1905th/79585675.pdf","79585675")</f>
        <v>79585675</v>
      </c>
      <c r="F1938" s="13" t="s">
        <v>3458</v>
      </c>
      <c r="G1938" s="13" t="s">
        <v>3457</v>
      </c>
      <c r="H1938" s="13" t="s">
        <v>4549</v>
      </c>
      <c r="I1938" s="12">
        <v>45476</v>
      </c>
    </row>
    <row r="1939" spans="1:9" x14ac:dyDescent="0.15">
      <c r="A1939" s="10">
        <v>1938</v>
      </c>
      <c r="B1939" s="9" t="s">
        <v>9</v>
      </c>
      <c r="C1939" s="11" t="s">
        <v>10</v>
      </c>
      <c r="D1939" s="12">
        <v>45562</v>
      </c>
      <c r="E1939" s="14" t="str">
        <f>+HYPERLINK("http://trademark.i-assist.jp/data/china/image_1905th/79777053.pdf","79777053")</f>
        <v>79777053</v>
      </c>
      <c r="F1939" s="13" t="s">
        <v>3460</v>
      </c>
      <c r="G1939" s="13" t="s">
        <v>3459</v>
      </c>
      <c r="H1939" s="13" t="s">
        <v>4162</v>
      </c>
      <c r="I1939" s="12">
        <v>45486</v>
      </c>
    </row>
    <row r="1940" spans="1:9" x14ac:dyDescent="0.15">
      <c r="A1940" s="10">
        <v>1939</v>
      </c>
      <c r="B1940" s="9" t="s">
        <v>9</v>
      </c>
      <c r="C1940" s="11" t="s">
        <v>10</v>
      </c>
      <c r="D1940" s="12">
        <v>45562</v>
      </c>
      <c r="E1940" s="14" t="str">
        <f>+HYPERLINK("http://trademark.i-assist.jp/data/china/image_1905th/79778619.pdf","79778619")</f>
        <v>79778619</v>
      </c>
      <c r="F1940" s="13" t="s">
        <v>3461</v>
      </c>
      <c r="G1940" s="13" t="s">
        <v>2714</v>
      </c>
      <c r="H1940" s="13" t="s">
        <v>4162</v>
      </c>
      <c r="I1940" s="12">
        <v>45486</v>
      </c>
    </row>
    <row r="1941" spans="1:9" x14ac:dyDescent="0.15">
      <c r="A1941" s="10">
        <v>1940</v>
      </c>
      <c r="B1941" s="9" t="s">
        <v>9</v>
      </c>
      <c r="C1941" s="11" t="s">
        <v>10</v>
      </c>
      <c r="D1941" s="12">
        <v>45562</v>
      </c>
      <c r="E1941" s="14" t="str">
        <f>+HYPERLINK("http://trademark.i-assist.jp/data/china/image_1905th/79782169.pdf","79782169")</f>
        <v>79782169</v>
      </c>
      <c r="F1941" s="13" t="s">
        <v>3463</v>
      </c>
      <c r="G1941" s="13" t="s">
        <v>3462</v>
      </c>
      <c r="H1941" s="13" t="s">
        <v>4162</v>
      </c>
      <c r="I1941" s="12">
        <v>45486</v>
      </c>
    </row>
    <row r="1942" spans="1:9" x14ac:dyDescent="0.15">
      <c r="A1942" s="10">
        <v>1941</v>
      </c>
      <c r="B1942" s="9" t="s">
        <v>9</v>
      </c>
      <c r="C1942" s="11" t="s">
        <v>10</v>
      </c>
      <c r="D1942" s="12">
        <v>45562</v>
      </c>
      <c r="E1942" s="14" t="str">
        <f>+HYPERLINK("http://trademark.i-assist.jp/data/china/image_1905th/79792333.pdf","79792333")</f>
        <v>79792333</v>
      </c>
      <c r="F1942" s="13" t="s">
        <v>3465</v>
      </c>
      <c r="G1942" s="13" t="s">
        <v>3464</v>
      </c>
      <c r="H1942" s="13" t="s">
        <v>5549</v>
      </c>
      <c r="I1942" s="12">
        <v>45488</v>
      </c>
    </row>
    <row r="1943" spans="1:9" x14ac:dyDescent="0.15">
      <c r="A1943" s="10">
        <v>1942</v>
      </c>
      <c r="B1943" s="9" t="s">
        <v>9</v>
      </c>
      <c r="C1943" s="11" t="s">
        <v>10</v>
      </c>
      <c r="D1943" s="12">
        <v>45562</v>
      </c>
      <c r="E1943" s="14" t="str">
        <f>+HYPERLINK("http://trademark.i-assist.jp/data/china/image_1905th/79796723.pdf","79796723")</f>
        <v>79796723</v>
      </c>
      <c r="F1943" s="13" t="s">
        <v>3467</v>
      </c>
      <c r="G1943" s="13" t="s">
        <v>3466</v>
      </c>
      <c r="H1943" s="13" t="s">
        <v>5550</v>
      </c>
      <c r="I1943" s="12">
        <v>45488</v>
      </c>
    </row>
    <row r="1944" spans="1:9" x14ac:dyDescent="0.15">
      <c r="A1944" s="10">
        <v>1943</v>
      </c>
      <c r="B1944" s="9" t="s">
        <v>9</v>
      </c>
      <c r="C1944" s="11" t="s">
        <v>10</v>
      </c>
      <c r="D1944" s="12">
        <v>45562</v>
      </c>
      <c r="E1944" s="14" t="str">
        <f>+HYPERLINK("http://trademark.i-assist.jp/data/china/image_1905th/79810279.pdf","79810279")</f>
        <v>79810279</v>
      </c>
      <c r="F1944" s="13" t="s">
        <v>3468</v>
      </c>
      <c r="G1944" s="13" t="s">
        <v>1989</v>
      </c>
      <c r="H1944" s="13" t="s">
        <v>4991</v>
      </c>
      <c r="I1944" s="12">
        <v>45489</v>
      </c>
    </row>
    <row r="1945" spans="1:9" x14ac:dyDescent="0.15">
      <c r="A1945" s="10">
        <v>1944</v>
      </c>
      <c r="B1945" s="9" t="s">
        <v>9</v>
      </c>
      <c r="C1945" s="11" t="s">
        <v>10</v>
      </c>
      <c r="D1945" s="12">
        <v>45562</v>
      </c>
      <c r="E1945" s="14" t="str">
        <f>+HYPERLINK("http://trademark.i-assist.jp/data/china/image_1905th/79821082.pdf","79821082")</f>
        <v>79821082</v>
      </c>
      <c r="F1945" s="13" t="s">
        <v>3470</v>
      </c>
      <c r="G1945" s="13" t="s">
        <v>3469</v>
      </c>
      <c r="H1945" s="13" t="s">
        <v>5551</v>
      </c>
      <c r="I1945" s="12">
        <v>45489</v>
      </c>
    </row>
    <row r="1946" spans="1:9" x14ac:dyDescent="0.15">
      <c r="A1946" s="10">
        <v>1945</v>
      </c>
      <c r="B1946" s="9" t="s">
        <v>9</v>
      </c>
      <c r="C1946" s="11" t="s">
        <v>10</v>
      </c>
      <c r="D1946" s="12">
        <v>45562</v>
      </c>
      <c r="E1946" s="14" t="str">
        <f>+HYPERLINK("http://trademark.i-assist.jp/data/china/image_1905th/79532395.pdf","79532395")</f>
        <v>79532395</v>
      </c>
      <c r="F1946" s="13" t="s">
        <v>3471</v>
      </c>
      <c r="G1946" s="13" t="s">
        <v>2839</v>
      </c>
      <c r="H1946" s="13" t="s">
        <v>5326</v>
      </c>
      <c r="I1946" s="12">
        <v>45474</v>
      </c>
    </row>
    <row r="1947" spans="1:9" x14ac:dyDescent="0.15">
      <c r="A1947" s="10">
        <v>1946</v>
      </c>
      <c r="B1947" s="9" t="s">
        <v>9</v>
      </c>
      <c r="C1947" s="11" t="s">
        <v>10</v>
      </c>
      <c r="D1947" s="12">
        <v>45562</v>
      </c>
      <c r="E1947" s="14" t="str">
        <f>+HYPERLINK("http://trademark.i-assist.jp/data/china/image_1905th/79536705.pdf","79536705")</f>
        <v>79536705</v>
      </c>
      <c r="F1947" s="13" t="s">
        <v>3473</v>
      </c>
      <c r="G1947" s="13" t="s">
        <v>3472</v>
      </c>
      <c r="H1947" s="13" t="s">
        <v>5552</v>
      </c>
      <c r="I1947" s="12">
        <v>45474</v>
      </c>
    </row>
    <row r="1948" spans="1:9" x14ac:dyDescent="0.15">
      <c r="A1948" s="10">
        <v>1947</v>
      </c>
      <c r="B1948" s="9" t="s">
        <v>9</v>
      </c>
      <c r="C1948" s="11" t="s">
        <v>10</v>
      </c>
      <c r="D1948" s="12">
        <v>45562</v>
      </c>
      <c r="E1948" s="14" t="str">
        <f>+HYPERLINK("http://trademark.i-assist.jp/data/china/image_1905th/79542813.pdf","79542813")</f>
        <v>79542813</v>
      </c>
      <c r="F1948" s="13" t="s">
        <v>3475</v>
      </c>
      <c r="G1948" s="13" t="s">
        <v>3474</v>
      </c>
      <c r="H1948" s="13" t="s">
        <v>5553</v>
      </c>
      <c r="I1948" s="12">
        <v>45474</v>
      </c>
    </row>
    <row r="1949" spans="1:9" x14ac:dyDescent="0.15">
      <c r="A1949" s="10">
        <v>1948</v>
      </c>
      <c r="B1949" s="9" t="s">
        <v>9</v>
      </c>
      <c r="C1949" s="11" t="s">
        <v>10</v>
      </c>
      <c r="D1949" s="12">
        <v>45562</v>
      </c>
      <c r="E1949" s="14" t="str">
        <f>+HYPERLINK("http://trademark.i-assist.jp/data/china/image_1905th/79545416.pdf","79545416")</f>
        <v>79545416</v>
      </c>
      <c r="F1949" s="13" t="s">
        <v>3477</v>
      </c>
      <c r="G1949" s="13" t="s">
        <v>3476</v>
      </c>
      <c r="H1949" s="13" t="s">
        <v>4345</v>
      </c>
      <c r="I1949" s="12">
        <v>45474</v>
      </c>
    </row>
    <row r="1950" spans="1:9" x14ac:dyDescent="0.15">
      <c r="A1950" s="10">
        <v>1949</v>
      </c>
      <c r="B1950" s="9" t="s">
        <v>9</v>
      </c>
      <c r="C1950" s="11" t="s">
        <v>10</v>
      </c>
      <c r="D1950" s="12">
        <v>45562</v>
      </c>
      <c r="E1950" s="14" t="str">
        <f>+HYPERLINK("http://trademark.i-assist.jp/data/china/image_1905th/79546348.pdf","79546348")</f>
        <v>79546348</v>
      </c>
      <c r="F1950" s="13" t="s">
        <v>3478</v>
      </c>
      <c r="G1950" s="13" t="s">
        <v>2839</v>
      </c>
      <c r="H1950" s="13" t="s">
        <v>5326</v>
      </c>
      <c r="I1950" s="12">
        <v>45474</v>
      </c>
    </row>
    <row r="1951" spans="1:9" x14ac:dyDescent="0.15">
      <c r="A1951" s="10">
        <v>1950</v>
      </c>
      <c r="B1951" s="9" t="s">
        <v>9</v>
      </c>
      <c r="C1951" s="11" t="s">
        <v>10</v>
      </c>
      <c r="D1951" s="12">
        <v>45562</v>
      </c>
      <c r="E1951" s="14" t="str">
        <f>+HYPERLINK("http://trademark.i-assist.jp/data/china/image_1905th/79547845.pdf","79547845")</f>
        <v>79547845</v>
      </c>
      <c r="F1951" s="13" t="s">
        <v>3480</v>
      </c>
      <c r="G1951" s="13" t="s">
        <v>3479</v>
      </c>
      <c r="H1951" s="13" t="s">
        <v>5554</v>
      </c>
      <c r="I1951" s="12">
        <v>45474</v>
      </c>
    </row>
    <row r="1952" spans="1:9" x14ac:dyDescent="0.15">
      <c r="A1952" s="10">
        <v>1951</v>
      </c>
      <c r="B1952" s="9" t="s">
        <v>9</v>
      </c>
      <c r="C1952" s="11" t="s">
        <v>10</v>
      </c>
      <c r="D1952" s="12">
        <v>45562</v>
      </c>
      <c r="E1952" s="14" t="str">
        <f>+HYPERLINK("http://trademark.i-assist.jp/data/china/image_1905th/79560294.pdf","79560294")</f>
        <v>79560294</v>
      </c>
      <c r="F1952" s="13" t="s">
        <v>3482</v>
      </c>
      <c r="G1952" s="13" t="s">
        <v>3481</v>
      </c>
      <c r="H1952" s="13" t="s">
        <v>4328</v>
      </c>
      <c r="I1952" s="12">
        <v>45475</v>
      </c>
    </row>
    <row r="1953" spans="1:9" x14ac:dyDescent="0.15">
      <c r="A1953" s="10">
        <v>1952</v>
      </c>
      <c r="B1953" s="9" t="s">
        <v>9</v>
      </c>
      <c r="C1953" s="11" t="s">
        <v>10</v>
      </c>
      <c r="D1953" s="12">
        <v>45562</v>
      </c>
      <c r="E1953" s="14" t="str">
        <f>+HYPERLINK("http://trademark.i-assist.jp/data/china/image_1905th/79562530.pdf","79562530")</f>
        <v>79562530</v>
      </c>
      <c r="F1953" s="13" t="s">
        <v>3484</v>
      </c>
      <c r="G1953" s="13" t="s">
        <v>3483</v>
      </c>
      <c r="H1953" s="13" t="s">
        <v>5555</v>
      </c>
      <c r="I1953" s="12">
        <v>45475</v>
      </c>
    </row>
    <row r="1954" spans="1:9" x14ac:dyDescent="0.15">
      <c r="A1954" s="10">
        <v>1953</v>
      </c>
      <c r="B1954" s="9" t="s">
        <v>9</v>
      </c>
      <c r="C1954" s="11" t="s">
        <v>10</v>
      </c>
      <c r="D1954" s="12">
        <v>45562</v>
      </c>
      <c r="E1954" s="14" t="str">
        <f>+HYPERLINK("http://trademark.i-assist.jp/data/china/image_1905th/79349145.pdf","79349145")</f>
        <v>79349145</v>
      </c>
      <c r="F1954" s="13" t="s">
        <v>3486</v>
      </c>
      <c r="G1954" s="13" t="s">
        <v>3485</v>
      </c>
      <c r="H1954" s="13" t="s">
        <v>5556</v>
      </c>
      <c r="I1954" s="12">
        <v>45463</v>
      </c>
    </row>
    <row r="1955" spans="1:9" x14ac:dyDescent="0.15">
      <c r="A1955" s="10">
        <v>1954</v>
      </c>
      <c r="B1955" s="9" t="s">
        <v>9</v>
      </c>
      <c r="C1955" s="11" t="s">
        <v>10</v>
      </c>
      <c r="D1955" s="12">
        <v>45562</v>
      </c>
      <c r="E1955" s="14" t="str">
        <f>+HYPERLINK("http://trademark.i-assist.jp/data/china/image_1905th/79351728.pdf","79351728")</f>
        <v>79351728</v>
      </c>
      <c r="F1955" s="13" t="s">
        <v>3487</v>
      </c>
      <c r="G1955" s="13" t="s">
        <v>1001</v>
      </c>
      <c r="H1955" s="13" t="s">
        <v>4162</v>
      </c>
      <c r="I1955" s="12">
        <v>45464</v>
      </c>
    </row>
    <row r="1956" spans="1:9" x14ac:dyDescent="0.15">
      <c r="A1956" s="10">
        <v>1955</v>
      </c>
      <c r="B1956" s="9" t="s">
        <v>9</v>
      </c>
      <c r="C1956" s="11" t="s">
        <v>10</v>
      </c>
      <c r="D1956" s="12">
        <v>45562</v>
      </c>
      <c r="E1956" s="14" t="str">
        <f>+HYPERLINK("http://trademark.i-assist.jp/data/china/image_1905th/79358271.pdf","79358271")</f>
        <v>79358271</v>
      </c>
      <c r="F1956" s="13" t="s">
        <v>3488</v>
      </c>
      <c r="G1956" s="13" t="s">
        <v>846</v>
      </c>
      <c r="H1956" s="13" t="s">
        <v>4525</v>
      </c>
      <c r="I1956" s="12">
        <v>45464</v>
      </c>
    </row>
    <row r="1957" spans="1:9" x14ac:dyDescent="0.15">
      <c r="A1957" s="10">
        <v>1956</v>
      </c>
      <c r="B1957" s="9" t="s">
        <v>9</v>
      </c>
      <c r="C1957" s="11" t="s">
        <v>10</v>
      </c>
      <c r="D1957" s="12">
        <v>45562</v>
      </c>
      <c r="E1957" s="14" t="str">
        <f>+HYPERLINK("http://trademark.i-assist.jp/data/china/image_1905th/79364756.pdf","79364756")</f>
        <v>79364756</v>
      </c>
      <c r="F1957" s="13" t="s">
        <v>3489</v>
      </c>
      <c r="G1957" s="13" t="s">
        <v>891</v>
      </c>
      <c r="H1957" s="13" t="s">
        <v>5557</v>
      </c>
      <c r="I1957" s="12">
        <v>45464</v>
      </c>
    </row>
    <row r="1958" spans="1:9" x14ac:dyDescent="0.15">
      <c r="A1958" s="10">
        <v>1957</v>
      </c>
      <c r="B1958" s="9" t="s">
        <v>9</v>
      </c>
      <c r="C1958" s="11" t="s">
        <v>10</v>
      </c>
      <c r="D1958" s="12">
        <v>45562</v>
      </c>
      <c r="E1958" s="14" t="str">
        <f>+HYPERLINK("http://trademark.i-assist.jp/data/china/image_1905th/79376398.pdf","79376398")</f>
        <v>79376398</v>
      </c>
      <c r="F1958" s="13" t="s">
        <v>3491</v>
      </c>
      <c r="G1958" s="13" t="s">
        <v>3490</v>
      </c>
      <c r="H1958" s="13" t="s">
        <v>5558</v>
      </c>
      <c r="I1958" s="12">
        <v>45465</v>
      </c>
    </row>
    <row r="1959" spans="1:9" x14ac:dyDescent="0.15">
      <c r="A1959" s="10">
        <v>1958</v>
      </c>
      <c r="B1959" s="9" t="s">
        <v>9</v>
      </c>
      <c r="C1959" s="11" t="s">
        <v>10</v>
      </c>
      <c r="D1959" s="12">
        <v>45562</v>
      </c>
      <c r="E1959" s="14" t="str">
        <f>+HYPERLINK("http://trademark.i-assist.jp/data/china/image_1905th/79383650.pdf","79383650")</f>
        <v>79383650</v>
      </c>
      <c r="F1959" s="13" t="s">
        <v>3492</v>
      </c>
      <c r="G1959" s="13" t="s">
        <v>2622</v>
      </c>
      <c r="H1959" s="13" t="s">
        <v>5238</v>
      </c>
      <c r="I1959" s="12">
        <v>45466</v>
      </c>
    </row>
    <row r="1960" spans="1:9" x14ac:dyDescent="0.15">
      <c r="A1960" s="10">
        <v>1959</v>
      </c>
      <c r="B1960" s="9" t="s">
        <v>9</v>
      </c>
      <c r="C1960" s="11" t="s">
        <v>10</v>
      </c>
      <c r="D1960" s="12">
        <v>45562</v>
      </c>
      <c r="E1960" s="14" t="str">
        <f>+HYPERLINK("http://trademark.i-assist.jp/data/china/image_1905th/79384949.pdf","79384949")</f>
        <v>79384949</v>
      </c>
      <c r="F1960" s="13" t="s">
        <v>3494</v>
      </c>
      <c r="G1960" s="13" t="s">
        <v>3493</v>
      </c>
      <c r="H1960" s="13" t="s">
        <v>5559</v>
      </c>
      <c r="I1960" s="12">
        <v>45467</v>
      </c>
    </row>
    <row r="1961" spans="1:9" x14ac:dyDescent="0.15">
      <c r="A1961" s="10">
        <v>1960</v>
      </c>
      <c r="B1961" s="9" t="s">
        <v>9</v>
      </c>
      <c r="C1961" s="11" t="s">
        <v>10</v>
      </c>
      <c r="D1961" s="12">
        <v>45562</v>
      </c>
      <c r="E1961" s="14" t="str">
        <f>+HYPERLINK("http://trademark.i-assist.jp/data/china/image_1905th/79386306.pdf","79386306")</f>
        <v>79386306</v>
      </c>
      <c r="F1961" s="13" t="s">
        <v>3496</v>
      </c>
      <c r="G1961" s="13" t="s">
        <v>3495</v>
      </c>
      <c r="H1961" s="13" t="s">
        <v>4967</v>
      </c>
      <c r="I1961" s="12">
        <v>45467</v>
      </c>
    </row>
    <row r="1962" spans="1:9" x14ac:dyDescent="0.15">
      <c r="A1962" s="10">
        <v>1961</v>
      </c>
      <c r="B1962" s="9" t="s">
        <v>9</v>
      </c>
      <c r="C1962" s="11" t="s">
        <v>10</v>
      </c>
      <c r="D1962" s="12">
        <v>45562</v>
      </c>
      <c r="E1962" s="14" t="str">
        <f>+HYPERLINK("http://trademark.i-assist.jp/data/china/image_1905th/79191323.pdf","79191323")</f>
        <v>79191323</v>
      </c>
      <c r="F1962" s="13" t="s">
        <v>3498</v>
      </c>
      <c r="G1962" s="13" t="s">
        <v>3497</v>
      </c>
      <c r="H1962" s="13" t="s">
        <v>5560</v>
      </c>
      <c r="I1962" s="12">
        <v>45456</v>
      </c>
    </row>
    <row r="1963" spans="1:9" x14ac:dyDescent="0.15">
      <c r="A1963" s="10">
        <v>1962</v>
      </c>
      <c r="B1963" s="9" t="s">
        <v>9</v>
      </c>
      <c r="C1963" s="11" t="s">
        <v>10</v>
      </c>
      <c r="D1963" s="12">
        <v>45562</v>
      </c>
      <c r="E1963" s="14" t="str">
        <f>+HYPERLINK("http://trademark.i-assist.jp/data/china/image_1905th/79198179.pdf","79198179")</f>
        <v>79198179</v>
      </c>
      <c r="F1963" s="13" t="s">
        <v>3500</v>
      </c>
      <c r="G1963" s="13" t="s">
        <v>3499</v>
      </c>
      <c r="H1963" s="13" t="s">
        <v>5561</v>
      </c>
      <c r="I1963" s="12">
        <v>45456</v>
      </c>
    </row>
    <row r="1964" spans="1:9" x14ac:dyDescent="0.15">
      <c r="A1964" s="10">
        <v>1963</v>
      </c>
      <c r="B1964" s="9" t="s">
        <v>9</v>
      </c>
      <c r="C1964" s="11" t="s">
        <v>10</v>
      </c>
      <c r="D1964" s="12">
        <v>45562</v>
      </c>
      <c r="E1964" s="14" t="str">
        <f>+HYPERLINK("http://trademark.i-assist.jp/data/china/image_1905th/79202766.pdf","79202766")</f>
        <v>79202766</v>
      </c>
      <c r="F1964" s="13" t="s">
        <v>3502</v>
      </c>
      <c r="G1964" s="13" t="s">
        <v>3501</v>
      </c>
      <c r="H1964" s="13" t="s">
        <v>5562</v>
      </c>
      <c r="I1964" s="12">
        <v>45456</v>
      </c>
    </row>
    <row r="1965" spans="1:9" x14ac:dyDescent="0.15">
      <c r="A1965" s="10">
        <v>1964</v>
      </c>
      <c r="B1965" s="9" t="s">
        <v>9</v>
      </c>
      <c r="C1965" s="11" t="s">
        <v>10</v>
      </c>
      <c r="D1965" s="12">
        <v>45562</v>
      </c>
      <c r="E1965" s="14" t="str">
        <f>+HYPERLINK("http://trademark.i-assist.jp/data/china/image_1905th/79204963.pdf","79204963")</f>
        <v>79204963</v>
      </c>
      <c r="F1965" s="13" t="s">
        <v>3503</v>
      </c>
      <c r="G1965" s="13" t="s">
        <v>462</v>
      </c>
      <c r="H1965" s="13" t="s">
        <v>5563</v>
      </c>
      <c r="I1965" s="12">
        <v>45456</v>
      </c>
    </row>
    <row r="1966" spans="1:9" x14ac:dyDescent="0.15">
      <c r="A1966" s="10">
        <v>1965</v>
      </c>
      <c r="B1966" s="9" t="s">
        <v>9</v>
      </c>
      <c r="C1966" s="11" t="s">
        <v>10</v>
      </c>
      <c r="D1966" s="12">
        <v>45562</v>
      </c>
      <c r="E1966" s="14" t="str">
        <f>+HYPERLINK("http://trademark.i-assist.jp/data/china/image_1905th/79256170.pdf","79256170")</f>
        <v>79256170</v>
      </c>
      <c r="F1966" s="13" t="s">
        <v>3505</v>
      </c>
      <c r="G1966" s="13" t="s">
        <v>3504</v>
      </c>
      <c r="H1966" s="13" t="s">
        <v>5564</v>
      </c>
      <c r="I1966" s="12">
        <v>45460</v>
      </c>
    </row>
    <row r="1967" spans="1:9" x14ac:dyDescent="0.15">
      <c r="A1967" s="10">
        <v>1966</v>
      </c>
      <c r="B1967" s="9" t="s">
        <v>9</v>
      </c>
      <c r="C1967" s="11" t="s">
        <v>10</v>
      </c>
      <c r="D1967" s="12">
        <v>45562</v>
      </c>
      <c r="E1967" s="14" t="str">
        <f>+HYPERLINK("http://trademark.i-assist.jp/data/china/image_1905th/79258708.pdf","79258708")</f>
        <v>79258708</v>
      </c>
      <c r="F1967" s="13" t="s">
        <v>3507</v>
      </c>
      <c r="G1967" s="13" t="s">
        <v>3506</v>
      </c>
      <c r="H1967" s="13" t="s">
        <v>5565</v>
      </c>
      <c r="I1967" s="12">
        <v>45460</v>
      </c>
    </row>
    <row r="1968" spans="1:9" x14ac:dyDescent="0.15">
      <c r="A1968" s="10">
        <v>1967</v>
      </c>
      <c r="B1968" s="9" t="s">
        <v>9</v>
      </c>
      <c r="C1968" s="11" t="s">
        <v>10</v>
      </c>
      <c r="D1968" s="12">
        <v>45562</v>
      </c>
      <c r="E1968" s="14" t="str">
        <f>+HYPERLINK("http://trademark.i-assist.jp/data/china/image_1905th/79267184.pdf","79267184")</f>
        <v>79267184</v>
      </c>
      <c r="F1968" s="13" t="s">
        <v>3509</v>
      </c>
      <c r="G1968" s="13" t="s">
        <v>3508</v>
      </c>
      <c r="H1968" s="13" t="s">
        <v>5566</v>
      </c>
      <c r="I1968" s="12">
        <v>45460</v>
      </c>
    </row>
    <row r="1969" spans="1:9" x14ac:dyDescent="0.15">
      <c r="A1969" s="10">
        <v>1968</v>
      </c>
      <c r="B1969" s="9" t="s">
        <v>9</v>
      </c>
      <c r="C1969" s="11" t="s">
        <v>10</v>
      </c>
      <c r="D1969" s="12">
        <v>45562</v>
      </c>
      <c r="E1969" s="14" t="str">
        <f>+HYPERLINK("http://trademark.i-assist.jp/data/china/image_1905th/79269550.pdf","79269550")</f>
        <v>79269550</v>
      </c>
      <c r="F1969" s="13" t="s">
        <v>73</v>
      </c>
      <c r="G1969" s="13" t="s">
        <v>1583</v>
      </c>
      <c r="H1969" s="13" t="s">
        <v>4817</v>
      </c>
      <c r="I1969" s="12">
        <v>45460</v>
      </c>
    </row>
    <row r="1970" spans="1:9" x14ac:dyDescent="0.15">
      <c r="A1970" s="10">
        <v>1969</v>
      </c>
      <c r="B1970" s="9" t="s">
        <v>9</v>
      </c>
      <c r="C1970" s="11" t="s">
        <v>10</v>
      </c>
      <c r="D1970" s="12">
        <v>45562</v>
      </c>
      <c r="E1970" s="14" t="str">
        <f>+HYPERLINK("http://trademark.i-assist.jp/data/china/image_1905th/79274928.pdf","79274928")</f>
        <v>79274928</v>
      </c>
      <c r="F1970" s="13" t="s">
        <v>3511</v>
      </c>
      <c r="G1970" s="13" t="s">
        <v>3510</v>
      </c>
      <c r="H1970" s="13" t="s">
        <v>5567</v>
      </c>
      <c r="I1970" s="12">
        <v>45461</v>
      </c>
    </row>
    <row r="1971" spans="1:9" x14ac:dyDescent="0.15">
      <c r="A1971" s="10">
        <v>1970</v>
      </c>
      <c r="B1971" s="9" t="s">
        <v>9</v>
      </c>
      <c r="C1971" s="11" t="s">
        <v>10</v>
      </c>
      <c r="D1971" s="12">
        <v>45562</v>
      </c>
      <c r="E1971" s="14" t="str">
        <f>+HYPERLINK("http://trademark.i-assist.jp/data/china/image_1905th/79280800.pdf","79280800")</f>
        <v>79280800</v>
      </c>
      <c r="F1971" s="13" t="s">
        <v>3513</v>
      </c>
      <c r="G1971" s="13" t="s">
        <v>3512</v>
      </c>
      <c r="H1971" s="13" t="s">
        <v>5568</v>
      </c>
      <c r="I1971" s="12">
        <v>45461</v>
      </c>
    </row>
    <row r="1972" spans="1:9" x14ac:dyDescent="0.15">
      <c r="A1972" s="10">
        <v>1971</v>
      </c>
      <c r="B1972" s="9" t="s">
        <v>9</v>
      </c>
      <c r="C1972" s="11" t="s">
        <v>10</v>
      </c>
      <c r="D1972" s="12">
        <v>45562</v>
      </c>
      <c r="E1972" s="14" t="str">
        <f>+HYPERLINK("http://trademark.i-assist.jp/data/china/image_1905th/79281257.pdf","79281257")</f>
        <v>79281257</v>
      </c>
      <c r="F1972" s="13" t="s">
        <v>3515</v>
      </c>
      <c r="G1972" s="13" t="s">
        <v>3514</v>
      </c>
      <c r="H1972" s="13" t="s">
        <v>4440</v>
      </c>
      <c r="I1972" s="12">
        <v>45461</v>
      </c>
    </row>
    <row r="1973" spans="1:9" x14ac:dyDescent="0.15">
      <c r="A1973" s="10">
        <v>1972</v>
      </c>
      <c r="B1973" s="9" t="s">
        <v>9</v>
      </c>
      <c r="C1973" s="11" t="s">
        <v>10</v>
      </c>
      <c r="D1973" s="12">
        <v>45562</v>
      </c>
      <c r="E1973" s="14" t="str">
        <f>+HYPERLINK("http://trademark.i-assist.jp/data/china/image_1905th/79283578.pdf","79283578")</f>
        <v>79283578</v>
      </c>
      <c r="F1973" s="13" t="s">
        <v>3517</v>
      </c>
      <c r="G1973" s="13" t="s">
        <v>3516</v>
      </c>
      <c r="H1973" s="13" t="s">
        <v>5569</v>
      </c>
      <c r="I1973" s="12">
        <v>45461</v>
      </c>
    </row>
    <row r="1974" spans="1:9" x14ac:dyDescent="0.15">
      <c r="A1974" s="10">
        <v>1973</v>
      </c>
      <c r="B1974" s="9" t="s">
        <v>9</v>
      </c>
      <c r="C1974" s="11" t="s">
        <v>10</v>
      </c>
      <c r="D1974" s="12">
        <v>45562</v>
      </c>
      <c r="E1974" s="14" t="str">
        <f>+HYPERLINK("http://trademark.i-assist.jp/data/china/image_1905th/79291641.pdf","79291641")</f>
        <v>79291641</v>
      </c>
      <c r="F1974" s="13" t="s">
        <v>3519</v>
      </c>
      <c r="G1974" s="13" t="s">
        <v>3518</v>
      </c>
      <c r="H1974" s="13" t="s">
        <v>5570</v>
      </c>
      <c r="I1974" s="12">
        <v>45461</v>
      </c>
    </row>
    <row r="1975" spans="1:9" x14ac:dyDescent="0.15">
      <c r="A1975" s="10">
        <v>1974</v>
      </c>
      <c r="B1975" s="9" t="s">
        <v>9</v>
      </c>
      <c r="C1975" s="11" t="s">
        <v>10</v>
      </c>
      <c r="D1975" s="12">
        <v>45562</v>
      </c>
      <c r="E1975" s="14" t="str">
        <f>+HYPERLINK("http://trademark.i-assist.jp/data/china/image_1905th/79303583.pdf","79303583")</f>
        <v>79303583</v>
      </c>
      <c r="F1975" s="13" t="s">
        <v>3521</v>
      </c>
      <c r="G1975" s="13" t="s">
        <v>3520</v>
      </c>
      <c r="H1975" s="13" t="s">
        <v>4806</v>
      </c>
      <c r="I1975" s="12">
        <v>45462</v>
      </c>
    </row>
    <row r="1976" spans="1:9" x14ac:dyDescent="0.15">
      <c r="A1976" s="10">
        <v>1975</v>
      </c>
      <c r="B1976" s="9" t="s">
        <v>9</v>
      </c>
      <c r="C1976" s="11" t="s">
        <v>10</v>
      </c>
      <c r="D1976" s="12">
        <v>45562</v>
      </c>
      <c r="E1976" s="14" t="str">
        <f>+HYPERLINK("http://trademark.i-assist.jp/data/china/image_1905th/77973783.pdf","77973783")</f>
        <v>77973783</v>
      </c>
      <c r="F1976" s="13" t="s">
        <v>3523</v>
      </c>
      <c r="G1976" s="13" t="s">
        <v>3522</v>
      </c>
      <c r="H1976" s="13" t="s">
        <v>5571</v>
      </c>
      <c r="I1976" s="12">
        <v>45397</v>
      </c>
    </row>
    <row r="1977" spans="1:9" x14ac:dyDescent="0.15">
      <c r="A1977" s="10">
        <v>1976</v>
      </c>
      <c r="B1977" s="9" t="s">
        <v>9</v>
      </c>
      <c r="C1977" s="11" t="s">
        <v>10</v>
      </c>
      <c r="D1977" s="12">
        <v>45562</v>
      </c>
      <c r="E1977" s="14" t="str">
        <f>+HYPERLINK("http://trademark.i-assist.jp/data/china/image_1905th/78507247.pdf","78507247")</f>
        <v>78507247</v>
      </c>
      <c r="F1977" s="13" t="s">
        <v>3525</v>
      </c>
      <c r="G1977" s="13" t="s">
        <v>3524</v>
      </c>
      <c r="H1977" s="13" t="s">
        <v>5034</v>
      </c>
      <c r="I1977" s="12">
        <v>45422</v>
      </c>
    </row>
    <row r="1978" spans="1:9" x14ac:dyDescent="0.15">
      <c r="A1978" s="10">
        <v>1977</v>
      </c>
      <c r="B1978" s="9" t="s">
        <v>9</v>
      </c>
      <c r="C1978" s="11" t="s">
        <v>10</v>
      </c>
      <c r="D1978" s="12">
        <v>45562</v>
      </c>
      <c r="E1978" s="14" t="str">
        <f>+HYPERLINK("http://trademark.i-assist.jp/data/china/image_1905th/78820799.pdf","78820799")</f>
        <v>78820799</v>
      </c>
      <c r="F1978" s="13" t="s">
        <v>3527</v>
      </c>
      <c r="G1978" s="13" t="s">
        <v>3526</v>
      </c>
      <c r="H1978" s="13" t="s">
        <v>5572</v>
      </c>
      <c r="I1978" s="12">
        <v>45436</v>
      </c>
    </row>
    <row r="1979" spans="1:9" x14ac:dyDescent="0.15">
      <c r="A1979" s="10">
        <v>1978</v>
      </c>
      <c r="B1979" s="9" t="s">
        <v>9</v>
      </c>
      <c r="C1979" s="11" t="s">
        <v>10</v>
      </c>
      <c r="D1979" s="12">
        <v>45562</v>
      </c>
      <c r="E1979" s="14" t="str">
        <f>+HYPERLINK("http://trademark.i-assist.jp/data/china/image_1905th/78851337.pdf","78851337")</f>
        <v>78851337</v>
      </c>
      <c r="F1979" s="13" t="s">
        <v>3529</v>
      </c>
      <c r="G1979" s="13" t="s">
        <v>3528</v>
      </c>
      <c r="H1979" s="13" t="s">
        <v>5573</v>
      </c>
      <c r="I1979" s="12">
        <v>45439</v>
      </c>
    </row>
    <row r="1980" spans="1:9" x14ac:dyDescent="0.15">
      <c r="A1980" s="10">
        <v>1979</v>
      </c>
      <c r="B1980" s="9" t="s">
        <v>9</v>
      </c>
      <c r="C1980" s="11" t="s">
        <v>10</v>
      </c>
      <c r="D1980" s="12">
        <v>45562</v>
      </c>
      <c r="E1980" s="14" t="str">
        <f>+HYPERLINK("http://trademark.i-assist.jp/data/china/image_1905th/79403858.pdf","79403858")</f>
        <v>79403858</v>
      </c>
      <c r="F1980" s="13" t="s">
        <v>3531</v>
      </c>
      <c r="G1980" s="13" t="s">
        <v>3530</v>
      </c>
      <c r="H1980" s="13" t="s">
        <v>5574</v>
      </c>
      <c r="I1980" s="12">
        <v>45467</v>
      </c>
    </row>
    <row r="1981" spans="1:9" x14ac:dyDescent="0.15">
      <c r="A1981" s="10">
        <v>1980</v>
      </c>
      <c r="B1981" s="9" t="s">
        <v>9</v>
      </c>
      <c r="C1981" s="11" t="s">
        <v>10</v>
      </c>
      <c r="D1981" s="12">
        <v>45562</v>
      </c>
      <c r="E1981" s="14" t="str">
        <f>+HYPERLINK("http://trademark.i-assist.jp/data/china/image_1905th/79417871.pdf","79417871")</f>
        <v>79417871</v>
      </c>
      <c r="F1981" s="13" t="s">
        <v>3533</v>
      </c>
      <c r="G1981" s="13" t="s">
        <v>3532</v>
      </c>
      <c r="H1981" s="13" t="s">
        <v>4179</v>
      </c>
      <c r="I1981" s="12">
        <v>45468</v>
      </c>
    </row>
    <row r="1982" spans="1:9" x14ac:dyDescent="0.15">
      <c r="A1982" s="10">
        <v>1981</v>
      </c>
      <c r="B1982" s="9" t="s">
        <v>9</v>
      </c>
      <c r="C1982" s="11" t="s">
        <v>10</v>
      </c>
      <c r="D1982" s="12">
        <v>45562</v>
      </c>
      <c r="E1982" s="14" t="str">
        <f>+HYPERLINK("http://trademark.i-assist.jp/data/china/image_1905th/79427265.pdf","79427265")</f>
        <v>79427265</v>
      </c>
      <c r="F1982" s="13" t="s">
        <v>3535</v>
      </c>
      <c r="G1982" s="13" t="s">
        <v>3534</v>
      </c>
      <c r="H1982" s="13" t="s">
        <v>5332</v>
      </c>
      <c r="I1982" s="12">
        <v>45468</v>
      </c>
    </row>
    <row r="1983" spans="1:9" x14ac:dyDescent="0.15">
      <c r="A1983" s="10">
        <v>1982</v>
      </c>
      <c r="B1983" s="9" t="s">
        <v>9</v>
      </c>
      <c r="C1983" s="11" t="s">
        <v>10</v>
      </c>
      <c r="D1983" s="12">
        <v>45562</v>
      </c>
      <c r="E1983" s="14" t="str">
        <f>+HYPERLINK("http://trademark.i-assist.jp/data/china/image_1905th/79451451.pdf","79451451")</f>
        <v>79451451</v>
      </c>
      <c r="F1983" s="13" t="s">
        <v>3537</v>
      </c>
      <c r="G1983" s="13" t="s">
        <v>3536</v>
      </c>
      <c r="H1983" s="13" t="s">
        <v>4247</v>
      </c>
      <c r="I1983" s="12">
        <v>45469</v>
      </c>
    </row>
    <row r="1984" spans="1:9" x14ac:dyDescent="0.15">
      <c r="A1984" s="10">
        <v>1983</v>
      </c>
      <c r="B1984" s="9" t="s">
        <v>9</v>
      </c>
      <c r="C1984" s="11" t="s">
        <v>10</v>
      </c>
      <c r="D1984" s="12">
        <v>45562</v>
      </c>
      <c r="E1984" s="14" t="str">
        <f>+HYPERLINK("http://trademark.i-assist.jp/data/china/image_1905th/79456749.pdf","79456749")</f>
        <v>79456749</v>
      </c>
      <c r="F1984" s="13" t="s">
        <v>3539</v>
      </c>
      <c r="G1984" s="13" t="s">
        <v>3538</v>
      </c>
      <c r="H1984" s="13" t="s">
        <v>5575</v>
      </c>
      <c r="I1984" s="12">
        <v>45469</v>
      </c>
    </row>
    <row r="1985" spans="1:9" x14ac:dyDescent="0.15">
      <c r="A1985" s="10">
        <v>1984</v>
      </c>
      <c r="B1985" s="9" t="s">
        <v>9</v>
      </c>
      <c r="C1985" s="11" t="s">
        <v>10</v>
      </c>
      <c r="D1985" s="12">
        <v>45562</v>
      </c>
      <c r="E1985" s="14" t="str">
        <f>+HYPERLINK("http://trademark.i-assist.jp/data/china/image_1905th/79461036.pdf","79461036")</f>
        <v>79461036</v>
      </c>
      <c r="F1985" s="13" t="s">
        <v>3541</v>
      </c>
      <c r="G1985" s="13" t="s">
        <v>3540</v>
      </c>
      <c r="H1985" s="13" t="s">
        <v>5576</v>
      </c>
      <c r="I1985" s="12">
        <v>45469</v>
      </c>
    </row>
    <row r="1986" spans="1:9" x14ac:dyDescent="0.15">
      <c r="A1986" s="10">
        <v>1985</v>
      </c>
      <c r="B1986" s="9" t="s">
        <v>9</v>
      </c>
      <c r="C1986" s="11" t="s">
        <v>10</v>
      </c>
      <c r="D1986" s="12">
        <v>45562</v>
      </c>
      <c r="E1986" s="14" t="str">
        <f>+HYPERLINK("http://trademark.i-assist.jp/data/china/image_1905th/78371565.pdf","78371565")</f>
        <v>78371565</v>
      </c>
      <c r="F1986" s="13" t="s">
        <v>3543</v>
      </c>
      <c r="G1986" s="13" t="s">
        <v>3542</v>
      </c>
      <c r="H1986" s="13" t="s">
        <v>5577</v>
      </c>
      <c r="I1986" s="12">
        <v>45418</v>
      </c>
    </row>
    <row r="1987" spans="1:9" x14ac:dyDescent="0.15">
      <c r="A1987" s="10">
        <v>1986</v>
      </c>
      <c r="B1987" s="9" t="s">
        <v>9</v>
      </c>
      <c r="C1987" s="11" t="s">
        <v>10</v>
      </c>
      <c r="D1987" s="12">
        <v>45562</v>
      </c>
      <c r="E1987" s="14" t="str">
        <f>+HYPERLINK("http://trademark.i-assist.jp/data/china/image_1905th/79006728.pdf","79006728")</f>
        <v>79006728</v>
      </c>
      <c r="F1987" s="13" t="s">
        <v>3545</v>
      </c>
      <c r="G1987" s="13" t="s">
        <v>3544</v>
      </c>
      <c r="H1987" s="13" t="s">
        <v>5578</v>
      </c>
      <c r="I1987" s="12">
        <v>45446</v>
      </c>
    </row>
    <row r="1988" spans="1:9" x14ac:dyDescent="0.15">
      <c r="A1988" s="10">
        <v>1987</v>
      </c>
      <c r="B1988" s="9" t="s">
        <v>9</v>
      </c>
      <c r="C1988" s="11" t="s">
        <v>10</v>
      </c>
      <c r="D1988" s="12">
        <v>45562</v>
      </c>
      <c r="E1988" s="14" t="str">
        <f>+HYPERLINK("http://trademark.i-assist.jp/data/china/image_1905th/79015532.pdf","79015532")</f>
        <v>79015532</v>
      </c>
      <c r="F1988" s="13" t="s">
        <v>3547</v>
      </c>
      <c r="G1988" s="13" t="s">
        <v>3546</v>
      </c>
      <c r="H1988" s="13" t="s">
        <v>4174</v>
      </c>
      <c r="I1988" s="12">
        <v>45447</v>
      </c>
    </row>
    <row r="1989" spans="1:9" x14ac:dyDescent="0.15">
      <c r="A1989" s="10">
        <v>1988</v>
      </c>
      <c r="B1989" s="9" t="s">
        <v>9</v>
      </c>
      <c r="C1989" s="11" t="s">
        <v>10</v>
      </c>
      <c r="D1989" s="12">
        <v>45562</v>
      </c>
      <c r="E1989" s="14" t="str">
        <f>+HYPERLINK("http://trademark.i-assist.jp/data/china/image_1905th/79122723.pdf","79122723")</f>
        <v>79122723</v>
      </c>
      <c r="F1989" s="13" t="s">
        <v>3549</v>
      </c>
      <c r="G1989" s="13" t="s">
        <v>3548</v>
      </c>
      <c r="H1989" s="13" t="s">
        <v>5579</v>
      </c>
      <c r="I1989" s="12">
        <v>45452</v>
      </c>
    </row>
    <row r="1990" spans="1:9" x14ac:dyDescent="0.15">
      <c r="A1990" s="10">
        <v>1989</v>
      </c>
      <c r="B1990" s="9" t="s">
        <v>9</v>
      </c>
      <c r="C1990" s="11" t="s">
        <v>10</v>
      </c>
      <c r="D1990" s="12">
        <v>45562</v>
      </c>
      <c r="E1990" s="14" t="str">
        <f>+HYPERLINK("http://trademark.i-assist.jp/data/china/image_1905th/79132785.pdf","79132785")</f>
        <v>79132785</v>
      </c>
      <c r="F1990" s="13" t="s">
        <v>3551</v>
      </c>
      <c r="G1990" s="13" t="s">
        <v>3550</v>
      </c>
      <c r="H1990" s="13" t="s">
        <v>5580</v>
      </c>
      <c r="I1990" s="12">
        <v>45454</v>
      </c>
    </row>
    <row r="1991" spans="1:9" x14ac:dyDescent="0.15">
      <c r="A1991" s="10">
        <v>1990</v>
      </c>
      <c r="B1991" s="9" t="s">
        <v>9</v>
      </c>
      <c r="C1991" s="11" t="s">
        <v>10</v>
      </c>
      <c r="D1991" s="12">
        <v>45562</v>
      </c>
      <c r="E1991" s="14" t="str">
        <f>+HYPERLINK("http://trademark.i-assist.jp/data/china/image_1905th/79469985.pdf","79469985")</f>
        <v>79469985</v>
      </c>
      <c r="F1991" s="13" t="s">
        <v>3553</v>
      </c>
      <c r="G1991" s="13" t="s">
        <v>3552</v>
      </c>
      <c r="H1991" s="13" t="s">
        <v>5581</v>
      </c>
      <c r="I1991" s="12">
        <v>45470</v>
      </c>
    </row>
    <row r="1992" spans="1:9" x14ac:dyDescent="0.15">
      <c r="A1992" s="10">
        <v>1991</v>
      </c>
      <c r="B1992" s="9" t="s">
        <v>9</v>
      </c>
      <c r="C1992" s="11" t="s">
        <v>10</v>
      </c>
      <c r="D1992" s="12">
        <v>45562</v>
      </c>
      <c r="E1992" s="14" t="str">
        <f>+HYPERLINK("http://trademark.i-assist.jp/data/china/image_1905th/79476580.pdf","79476580")</f>
        <v>79476580</v>
      </c>
      <c r="F1992" s="13" t="s">
        <v>3554</v>
      </c>
      <c r="G1992" s="13" t="s">
        <v>2477</v>
      </c>
      <c r="H1992" s="13" t="s">
        <v>5152</v>
      </c>
      <c r="I1992" s="12">
        <v>45470</v>
      </c>
    </row>
    <row r="1993" spans="1:9" x14ac:dyDescent="0.15">
      <c r="A1993" s="10">
        <v>1992</v>
      </c>
      <c r="B1993" s="9" t="s">
        <v>9</v>
      </c>
      <c r="C1993" s="11" t="s">
        <v>10</v>
      </c>
      <c r="D1993" s="12">
        <v>45562</v>
      </c>
      <c r="E1993" s="14" t="str">
        <f>+HYPERLINK("http://trademark.i-assist.jp/data/china/image_1905th/79486315.pdf","79486315")</f>
        <v>79486315</v>
      </c>
      <c r="F1993" s="13" t="s">
        <v>3556</v>
      </c>
      <c r="G1993" s="13" t="s">
        <v>3555</v>
      </c>
      <c r="H1993" s="13" t="s">
        <v>5582</v>
      </c>
      <c r="I1993" s="12">
        <v>45470</v>
      </c>
    </row>
    <row r="1994" spans="1:9" x14ac:dyDescent="0.15">
      <c r="A1994" s="10">
        <v>1993</v>
      </c>
      <c r="B1994" s="9" t="s">
        <v>9</v>
      </c>
      <c r="C1994" s="11" t="s">
        <v>10</v>
      </c>
      <c r="D1994" s="12">
        <v>45562</v>
      </c>
      <c r="E1994" s="14" t="str">
        <f>+HYPERLINK("http://trademark.i-assist.jp/data/china/image_1905th/79512146.pdf","79512146")</f>
        <v>79512146</v>
      </c>
      <c r="F1994" s="13" t="s">
        <v>3558</v>
      </c>
      <c r="G1994" s="13" t="s">
        <v>3557</v>
      </c>
      <c r="H1994" s="13" t="s">
        <v>5583</v>
      </c>
      <c r="I1994" s="12">
        <v>45471</v>
      </c>
    </row>
    <row r="1995" spans="1:9" x14ac:dyDescent="0.15">
      <c r="A1995" s="10">
        <v>1994</v>
      </c>
      <c r="B1995" s="9" t="s">
        <v>9</v>
      </c>
      <c r="C1995" s="11" t="s">
        <v>10</v>
      </c>
      <c r="D1995" s="12">
        <v>45562</v>
      </c>
      <c r="E1995" s="14" t="str">
        <f>+HYPERLINK("http://trademark.i-assist.jp/data/china/image_1905th/79512484.pdf","79512484")</f>
        <v>79512484</v>
      </c>
      <c r="F1995" s="13" t="s">
        <v>3559</v>
      </c>
      <c r="G1995" s="13" t="s">
        <v>94</v>
      </c>
      <c r="H1995" s="13" t="s">
        <v>4188</v>
      </c>
      <c r="I1995" s="12">
        <v>45471</v>
      </c>
    </row>
    <row r="1996" spans="1:9" x14ac:dyDescent="0.15">
      <c r="A1996" s="10">
        <v>1995</v>
      </c>
      <c r="B1996" s="9" t="s">
        <v>9</v>
      </c>
      <c r="C1996" s="11" t="s">
        <v>10</v>
      </c>
      <c r="D1996" s="12">
        <v>45562</v>
      </c>
      <c r="E1996" s="14" t="str">
        <f>+HYPERLINK("http://trademark.i-assist.jp/data/china/image_1905th/72777992.pdf","72777992")</f>
        <v>72777992</v>
      </c>
      <c r="F1996" s="13" t="s">
        <v>3561</v>
      </c>
      <c r="G1996" s="13" t="s">
        <v>3560</v>
      </c>
      <c r="H1996" s="13" t="s">
        <v>5584</v>
      </c>
      <c r="I1996" s="12">
        <v>45118</v>
      </c>
    </row>
    <row r="1997" spans="1:9" x14ac:dyDescent="0.15">
      <c r="A1997" s="10">
        <v>1996</v>
      </c>
      <c r="B1997" s="9" t="s">
        <v>9</v>
      </c>
      <c r="C1997" s="11" t="s">
        <v>10</v>
      </c>
      <c r="D1997" s="12">
        <v>45562</v>
      </c>
      <c r="E1997" s="14" t="str">
        <f>+HYPERLINK("http://trademark.i-assist.jp/data/china/image_1905th/73245186.pdf","73245186")</f>
        <v>73245186</v>
      </c>
      <c r="F1997" s="13" t="s">
        <v>73</v>
      </c>
      <c r="G1997" s="13" t="s">
        <v>3562</v>
      </c>
      <c r="H1997" s="13" t="s">
        <v>5585</v>
      </c>
      <c r="I1997" s="12">
        <v>45141</v>
      </c>
    </row>
    <row r="1998" spans="1:9" x14ac:dyDescent="0.15">
      <c r="A1998" s="10">
        <v>1997</v>
      </c>
      <c r="B1998" s="9" t="s">
        <v>9</v>
      </c>
      <c r="C1998" s="11" t="s">
        <v>10</v>
      </c>
      <c r="D1998" s="12">
        <v>45562</v>
      </c>
      <c r="E1998" s="14" t="str">
        <f>+HYPERLINK("http://trademark.i-assist.jp/data/china/image_1905th/77545544.pdf","77545544")</f>
        <v>77545544</v>
      </c>
      <c r="F1998" s="13" t="s">
        <v>3564</v>
      </c>
      <c r="G1998" s="13" t="s">
        <v>3563</v>
      </c>
      <c r="H1998" s="13" t="s">
        <v>5586</v>
      </c>
      <c r="I1998" s="12">
        <v>45377</v>
      </c>
    </row>
    <row r="1999" spans="1:9" x14ac:dyDescent="0.15">
      <c r="A1999" s="10">
        <v>1998</v>
      </c>
      <c r="B1999" s="9" t="s">
        <v>9</v>
      </c>
      <c r="C1999" s="11" t="s">
        <v>10</v>
      </c>
      <c r="D1999" s="12">
        <v>45562</v>
      </c>
      <c r="E1999" s="14" t="str">
        <f>+HYPERLINK("http://trademark.i-assist.jp/data/china/image_1905th/79844317.pdf","79844317")</f>
        <v>79844317</v>
      </c>
      <c r="F1999" s="13" t="s">
        <v>3566</v>
      </c>
      <c r="G1999" s="13" t="s">
        <v>3565</v>
      </c>
      <c r="H1999" s="13" t="s">
        <v>5587</v>
      </c>
      <c r="I1999" s="12">
        <v>45490</v>
      </c>
    </row>
    <row r="2000" spans="1:9" x14ac:dyDescent="0.15">
      <c r="A2000" s="10">
        <v>1999</v>
      </c>
      <c r="B2000" s="9" t="s">
        <v>9</v>
      </c>
      <c r="C2000" s="11" t="s">
        <v>10</v>
      </c>
      <c r="D2000" s="12">
        <v>45562</v>
      </c>
      <c r="E2000" s="14" t="str">
        <f>+HYPERLINK("http://trademark.i-assist.jp/data/china/image_1905th/79845132.pdf","79845132")</f>
        <v>79845132</v>
      </c>
      <c r="F2000" s="13" t="s">
        <v>3567</v>
      </c>
      <c r="G2000" s="13" t="s">
        <v>266</v>
      </c>
      <c r="H2000" s="13" t="s">
        <v>4267</v>
      </c>
      <c r="I2000" s="12">
        <v>45490</v>
      </c>
    </row>
    <row r="2001" spans="1:9" x14ac:dyDescent="0.15">
      <c r="A2001" s="10">
        <v>2000</v>
      </c>
      <c r="B2001" s="9" t="s">
        <v>9</v>
      </c>
      <c r="C2001" s="11" t="s">
        <v>10</v>
      </c>
      <c r="D2001" s="12">
        <v>45562</v>
      </c>
      <c r="E2001" s="14" t="str">
        <f>+HYPERLINK("http://trademark.i-assist.jp/data/china/image_1905th/79851455.pdf","79851455")</f>
        <v>79851455</v>
      </c>
      <c r="F2001" s="13" t="s">
        <v>3568</v>
      </c>
      <c r="G2001" s="13" t="s">
        <v>715</v>
      </c>
      <c r="H2001" s="13" t="s">
        <v>4469</v>
      </c>
      <c r="I2001" s="12">
        <v>45490</v>
      </c>
    </row>
    <row r="2002" spans="1:9" x14ac:dyDescent="0.15">
      <c r="A2002" s="10">
        <v>2001</v>
      </c>
      <c r="B2002" s="9" t="s">
        <v>9</v>
      </c>
      <c r="C2002" s="11" t="s">
        <v>10</v>
      </c>
      <c r="D2002" s="12">
        <v>45562</v>
      </c>
      <c r="E2002" s="14" t="str">
        <f>+HYPERLINK("http://trademark.i-assist.jp/data/china/image_1905th/79853039.pdf","79853039")</f>
        <v>79853039</v>
      </c>
      <c r="F2002" s="13" t="s">
        <v>3570</v>
      </c>
      <c r="G2002" s="13" t="s">
        <v>3569</v>
      </c>
      <c r="H2002" s="13" t="s">
        <v>5588</v>
      </c>
      <c r="I2002" s="12">
        <v>45490</v>
      </c>
    </row>
    <row r="2003" spans="1:9" x14ac:dyDescent="0.15">
      <c r="A2003" s="10">
        <v>2002</v>
      </c>
      <c r="B2003" s="9" t="s">
        <v>9</v>
      </c>
      <c r="C2003" s="11" t="s">
        <v>10</v>
      </c>
      <c r="D2003" s="12">
        <v>45562</v>
      </c>
      <c r="E2003" s="14" t="str">
        <f>+HYPERLINK("http://trademark.i-assist.jp/data/china/image_1905th/79863080.pdf","79863080")</f>
        <v>79863080</v>
      </c>
      <c r="F2003" s="13" t="s">
        <v>3572</v>
      </c>
      <c r="G2003" s="13" t="s">
        <v>3571</v>
      </c>
      <c r="H2003" s="13" t="s">
        <v>5589</v>
      </c>
      <c r="I2003" s="12">
        <v>45491</v>
      </c>
    </row>
    <row r="2004" spans="1:9" x14ac:dyDescent="0.15">
      <c r="A2004" s="10">
        <v>2003</v>
      </c>
      <c r="B2004" s="9" t="s">
        <v>9</v>
      </c>
      <c r="C2004" s="11" t="s">
        <v>10</v>
      </c>
      <c r="D2004" s="12">
        <v>45562</v>
      </c>
      <c r="E2004" s="14" t="str">
        <f>+HYPERLINK("http://trademark.i-assist.jp/data/china/image_1905th/79880050.pdf","79880050")</f>
        <v>79880050</v>
      </c>
      <c r="F2004" s="13" t="s">
        <v>3574</v>
      </c>
      <c r="G2004" s="13" t="s">
        <v>3573</v>
      </c>
      <c r="H2004" s="13" t="s">
        <v>4150</v>
      </c>
      <c r="I2004" s="12">
        <v>45491</v>
      </c>
    </row>
    <row r="2005" spans="1:9" x14ac:dyDescent="0.15">
      <c r="A2005" s="10">
        <v>2004</v>
      </c>
      <c r="B2005" s="9" t="s">
        <v>9</v>
      </c>
      <c r="C2005" s="11" t="s">
        <v>10</v>
      </c>
      <c r="D2005" s="12">
        <v>45562</v>
      </c>
      <c r="E2005" s="14" t="str">
        <f>+HYPERLINK("http://trademark.i-assist.jp/data/china/image_1905th/79609371.pdf","79609371")</f>
        <v>79609371</v>
      </c>
      <c r="F2005" s="13" t="s">
        <v>3575</v>
      </c>
      <c r="G2005" s="13" t="s">
        <v>66</v>
      </c>
      <c r="H2005" s="13" t="s">
        <v>4174</v>
      </c>
      <c r="I2005" s="12">
        <v>45477</v>
      </c>
    </row>
    <row r="2006" spans="1:9" x14ac:dyDescent="0.15">
      <c r="A2006" s="10">
        <v>2005</v>
      </c>
      <c r="B2006" s="9" t="s">
        <v>9</v>
      </c>
      <c r="C2006" s="11" t="s">
        <v>10</v>
      </c>
      <c r="D2006" s="12">
        <v>45562</v>
      </c>
      <c r="E2006" s="14" t="str">
        <f>+HYPERLINK("http://trademark.i-assist.jp/data/china/image_1905th/79610797.pdf","79610797")</f>
        <v>79610797</v>
      </c>
      <c r="F2006" s="13" t="s">
        <v>3576</v>
      </c>
      <c r="G2006" s="13" t="s">
        <v>375</v>
      </c>
      <c r="H2006" s="13" t="s">
        <v>4227</v>
      </c>
      <c r="I2006" s="12">
        <v>45477</v>
      </c>
    </row>
    <row r="2007" spans="1:9" x14ac:dyDescent="0.15">
      <c r="A2007" s="10">
        <v>2006</v>
      </c>
      <c r="B2007" s="9" t="s">
        <v>9</v>
      </c>
      <c r="C2007" s="11" t="s">
        <v>10</v>
      </c>
      <c r="D2007" s="12">
        <v>45562</v>
      </c>
      <c r="E2007" s="14" t="str">
        <f>+HYPERLINK("http://trademark.i-assist.jp/data/china/image_1905th/79628353.pdf","79628353")</f>
        <v>79628353</v>
      </c>
      <c r="F2007" s="13" t="s">
        <v>3578</v>
      </c>
      <c r="G2007" s="13" t="s">
        <v>3577</v>
      </c>
      <c r="H2007" s="13" t="s">
        <v>5590</v>
      </c>
      <c r="I2007" s="12">
        <v>45478</v>
      </c>
    </row>
    <row r="2008" spans="1:9" x14ac:dyDescent="0.15">
      <c r="A2008" s="10">
        <v>2007</v>
      </c>
      <c r="B2008" s="9" t="s">
        <v>9</v>
      </c>
      <c r="C2008" s="11" t="s">
        <v>10</v>
      </c>
      <c r="D2008" s="12">
        <v>45562</v>
      </c>
      <c r="E2008" s="14" t="str">
        <f>+HYPERLINK("http://trademark.i-assist.jp/data/china/image_1905th/79630574.pdf","79630574")</f>
        <v>79630574</v>
      </c>
      <c r="F2008" s="13" t="s">
        <v>3580</v>
      </c>
      <c r="G2008" s="13" t="s">
        <v>3579</v>
      </c>
      <c r="H2008" s="13" t="s">
        <v>4622</v>
      </c>
      <c r="I2008" s="12">
        <v>45478</v>
      </c>
    </row>
    <row r="2009" spans="1:9" x14ac:dyDescent="0.15">
      <c r="A2009" s="10">
        <v>2008</v>
      </c>
      <c r="B2009" s="9" t="s">
        <v>9</v>
      </c>
      <c r="C2009" s="11" t="s">
        <v>10</v>
      </c>
      <c r="D2009" s="12">
        <v>45562</v>
      </c>
      <c r="E2009" s="14" t="str">
        <f>+HYPERLINK("http://trademark.i-assist.jp/data/china/image_1905th/79633069.pdf","79633069")</f>
        <v>79633069</v>
      </c>
      <c r="F2009" s="13" t="s">
        <v>3582</v>
      </c>
      <c r="G2009" s="13" t="s">
        <v>3581</v>
      </c>
      <c r="H2009" s="13" t="s">
        <v>5591</v>
      </c>
      <c r="I2009" s="12">
        <v>45478</v>
      </c>
    </row>
    <row r="2010" spans="1:9" x14ac:dyDescent="0.15">
      <c r="A2010" s="10">
        <v>2009</v>
      </c>
      <c r="B2010" s="9" t="s">
        <v>9</v>
      </c>
      <c r="C2010" s="11" t="s">
        <v>10</v>
      </c>
      <c r="D2010" s="12">
        <v>45562</v>
      </c>
      <c r="E2010" s="14" t="str">
        <f>+HYPERLINK("http://trademark.i-assist.jp/data/china/image_1905th/79633971.pdf","79633971")</f>
        <v>79633971</v>
      </c>
      <c r="F2010" s="13" t="s">
        <v>3584</v>
      </c>
      <c r="G2010" s="13" t="s">
        <v>3583</v>
      </c>
      <c r="H2010" s="13" t="s">
        <v>5592</v>
      </c>
      <c r="I2010" s="12">
        <v>45478</v>
      </c>
    </row>
    <row r="2011" spans="1:9" x14ac:dyDescent="0.15">
      <c r="A2011" s="10">
        <v>2010</v>
      </c>
      <c r="B2011" s="9" t="s">
        <v>9</v>
      </c>
      <c r="C2011" s="11" t="s">
        <v>10</v>
      </c>
      <c r="D2011" s="12">
        <v>45562</v>
      </c>
      <c r="E2011" s="14" t="str">
        <f>+HYPERLINK("http://trademark.i-assist.jp/data/china/image_1905th/79227159.pdf","79227159")</f>
        <v>79227159</v>
      </c>
      <c r="F2011" s="13" t="s">
        <v>3586</v>
      </c>
      <c r="G2011" s="13" t="s">
        <v>3585</v>
      </c>
      <c r="H2011" s="13" t="s">
        <v>5593</v>
      </c>
      <c r="I2011" s="12">
        <v>45457</v>
      </c>
    </row>
    <row r="2012" spans="1:9" x14ac:dyDescent="0.15">
      <c r="A2012" s="10">
        <v>2011</v>
      </c>
      <c r="B2012" s="9" t="s">
        <v>9</v>
      </c>
      <c r="C2012" s="11" t="s">
        <v>10</v>
      </c>
      <c r="D2012" s="12">
        <v>45562</v>
      </c>
      <c r="E2012" s="14" t="str">
        <f>+HYPERLINK("http://trademark.i-assist.jp/data/china/image_1905th/79228971.pdf","79228971")</f>
        <v>79228971</v>
      </c>
      <c r="F2012" s="13" t="s">
        <v>3588</v>
      </c>
      <c r="G2012" s="13" t="s">
        <v>3587</v>
      </c>
      <c r="H2012" s="13" t="s">
        <v>5594</v>
      </c>
      <c r="I2012" s="12">
        <v>45457</v>
      </c>
    </row>
    <row r="2013" spans="1:9" x14ac:dyDescent="0.15">
      <c r="A2013" s="10">
        <v>2012</v>
      </c>
      <c r="B2013" s="9" t="s">
        <v>9</v>
      </c>
      <c r="C2013" s="11" t="s">
        <v>10</v>
      </c>
      <c r="D2013" s="12">
        <v>45562</v>
      </c>
      <c r="E2013" s="14" t="str">
        <f>+HYPERLINK("http://trademark.i-assist.jp/data/china/image_1905th/79245888.pdf","79245888")</f>
        <v>79245888</v>
      </c>
      <c r="F2013" s="13" t="s">
        <v>3590</v>
      </c>
      <c r="G2013" s="13" t="s">
        <v>3589</v>
      </c>
      <c r="H2013" s="13" t="s">
        <v>5050</v>
      </c>
      <c r="I2013" s="12">
        <v>45460</v>
      </c>
    </row>
    <row r="2014" spans="1:9" x14ac:dyDescent="0.15">
      <c r="A2014" s="10">
        <v>2013</v>
      </c>
      <c r="B2014" s="9" t="s">
        <v>9</v>
      </c>
      <c r="C2014" s="11" t="s">
        <v>10</v>
      </c>
      <c r="D2014" s="12">
        <v>45562</v>
      </c>
      <c r="E2014" s="14" t="str">
        <f>+HYPERLINK("http://trademark.i-assist.jp/data/china/image_1905th/79249986.pdf","79249986")</f>
        <v>79249986</v>
      </c>
      <c r="F2014" s="13" t="s">
        <v>3592</v>
      </c>
      <c r="G2014" s="13" t="s">
        <v>3591</v>
      </c>
      <c r="H2014" s="13" t="s">
        <v>4328</v>
      </c>
      <c r="I2014" s="12">
        <v>45460</v>
      </c>
    </row>
    <row r="2015" spans="1:9" x14ac:dyDescent="0.15">
      <c r="A2015" s="10">
        <v>2014</v>
      </c>
      <c r="B2015" s="9" t="s">
        <v>9</v>
      </c>
      <c r="C2015" s="11" t="s">
        <v>10</v>
      </c>
      <c r="D2015" s="12">
        <v>45562</v>
      </c>
      <c r="E2015" s="14" t="str">
        <f>+HYPERLINK("http://trademark.i-assist.jp/data/china/image_1905th/79250769.pdf","79250769")</f>
        <v>79250769</v>
      </c>
      <c r="F2015" s="13" t="s">
        <v>3593</v>
      </c>
      <c r="G2015" s="13" t="s">
        <v>3508</v>
      </c>
      <c r="H2015" s="13" t="s">
        <v>5595</v>
      </c>
      <c r="I2015" s="12">
        <v>45460</v>
      </c>
    </row>
    <row r="2016" spans="1:9" x14ac:dyDescent="0.15">
      <c r="A2016" s="10">
        <v>2015</v>
      </c>
      <c r="B2016" s="9" t="s">
        <v>9</v>
      </c>
      <c r="C2016" s="11" t="s">
        <v>10</v>
      </c>
      <c r="D2016" s="12">
        <v>45562</v>
      </c>
      <c r="E2016" s="14" t="str">
        <f>+HYPERLINK("http://trademark.i-assist.jp/data/china/image_1905th/79252556.pdf","79252556")</f>
        <v>79252556</v>
      </c>
      <c r="F2016" s="13" t="s">
        <v>3595</v>
      </c>
      <c r="G2016" s="13" t="s">
        <v>3594</v>
      </c>
      <c r="H2016" s="13" t="s">
        <v>5596</v>
      </c>
      <c r="I2016" s="12">
        <v>45460</v>
      </c>
    </row>
    <row r="2017" spans="1:9" x14ac:dyDescent="0.15">
      <c r="A2017" s="10">
        <v>2016</v>
      </c>
      <c r="B2017" s="9" t="s">
        <v>9</v>
      </c>
      <c r="C2017" s="11" t="s">
        <v>10</v>
      </c>
      <c r="D2017" s="12">
        <v>45562</v>
      </c>
      <c r="E2017" s="14" t="str">
        <f>+HYPERLINK("http://trademark.i-assist.jp/data/china/image_1905th/79273710.pdf","79273710")</f>
        <v>79273710</v>
      </c>
      <c r="F2017" s="13" t="s">
        <v>73</v>
      </c>
      <c r="G2017" s="13" t="s">
        <v>3596</v>
      </c>
      <c r="H2017" s="13" t="s">
        <v>4895</v>
      </c>
      <c r="I2017" s="12">
        <v>45461</v>
      </c>
    </row>
    <row r="2018" spans="1:9" x14ac:dyDescent="0.15">
      <c r="A2018" s="10">
        <v>2017</v>
      </c>
      <c r="B2018" s="9" t="s">
        <v>9</v>
      </c>
      <c r="C2018" s="11" t="s">
        <v>10</v>
      </c>
      <c r="D2018" s="12">
        <v>45562</v>
      </c>
      <c r="E2018" s="14" t="str">
        <f>+HYPERLINK("http://trademark.i-assist.jp/data/china/image_1905th/79303839.pdf","79303839")</f>
        <v>79303839</v>
      </c>
      <c r="F2018" s="13" t="s">
        <v>3597</v>
      </c>
      <c r="G2018" s="13" t="s">
        <v>1284</v>
      </c>
      <c r="H2018" s="13" t="s">
        <v>4689</v>
      </c>
      <c r="I2018" s="12">
        <v>45462</v>
      </c>
    </row>
    <row r="2019" spans="1:9" x14ac:dyDescent="0.15">
      <c r="A2019" s="10">
        <v>2018</v>
      </c>
      <c r="B2019" s="9" t="s">
        <v>9</v>
      </c>
      <c r="C2019" s="11" t="s">
        <v>10</v>
      </c>
      <c r="D2019" s="12">
        <v>45562</v>
      </c>
      <c r="E2019" s="14" t="str">
        <f>+HYPERLINK("http://trademark.i-assist.jp/data/china/image_1905th/77415806.pdf","77415806")</f>
        <v>77415806</v>
      </c>
      <c r="F2019" s="13" t="s">
        <v>3599</v>
      </c>
      <c r="G2019" s="13" t="s">
        <v>3598</v>
      </c>
      <c r="H2019" s="13" t="s">
        <v>5597</v>
      </c>
      <c r="I2019" s="12">
        <v>45371</v>
      </c>
    </row>
    <row r="2020" spans="1:9" x14ac:dyDescent="0.15">
      <c r="A2020" s="10">
        <v>2019</v>
      </c>
      <c r="B2020" s="9" t="s">
        <v>9</v>
      </c>
      <c r="C2020" s="11" t="s">
        <v>10</v>
      </c>
      <c r="D2020" s="12">
        <v>45562</v>
      </c>
      <c r="E2020" s="14" t="str">
        <f>+HYPERLINK("http://trademark.i-assist.jp/data/china/image_1905th/78903695.pdf","78903695")</f>
        <v>78903695</v>
      </c>
      <c r="F2020" s="13" t="s">
        <v>3600</v>
      </c>
      <c r="G2020" s="13" t="s">
        <v>2114</v>
      </c>
      <c r="H2020" s="13" t="s">
        <v>5040</v>
      </c>
      <c r="I2020" s="12">
        <v>45441</v>
      </c>
    </row>
    <row r="2021" spans="1:9" x14ac:dyDescent="0.15">
      <c r="A2021" s="10">
        <v>2020</v>
      </c>
      <c r="B2021" s="9" t="s">
        <v>9</v>
      </c>
      <c r="C2021" s="11" t="s">
        <v>10</v>
      </c>
      <c r="D2021" s="12">
        <v>45562</v>
      </c>
      <c r="E2021" s="14" t="str">
        <f>+HYPERLINK("http://trademark.i-assist.jp/data/china/image_1905th/78926989.pdf","78926989")</f>
        <v>78926989</v>
      </c>
      <c r="F2021" s="13" t="s">
        <v>73</v>
      </c>
      <c r="G2021" s="13" t="s">
        <v>3601</v>
      </c>
      <c r="H2021" s="13" t="s">
        <v>4154</v>
      </c>
      <c r="I2021" s="12">
        <v>45442</v>
      </c>
    </row>
    <row r="2022" spans="1:9" x14ac:dyDescent="0.15">
      <c r="A2022" s="10">
        <v>2021</v>
      </c>
      <c r="B2022" s="9" t="s">
        <v>9</v>
      </c>
      <c r="C2022" s="11" t="s">
        <v>10</v>
      </c>
      <c r="D2022" s="12">
        <v>45562</v>
      </c>
      <c r="E2022" s="14" t="str">
        <f>+HYPERLINK("http://trademark.i-assist.jp/data/china/image_1905th/79058778.pdf","79058778")</f>
        <v>79058778</v>
      </c>
      <c r="F2022" s="13" t="s">
        <v>3602</v>
      </c>
      <c r="G2022" s="13" t="s">
        <v>1305</v>
      </c>
      <c r="H2022" s="13" t="s">
        <v>4696</v>
      </c>
      <c r="I2022" s="12">
        <v>45448</v>
      </c>
    </row>
    <row r="2023" spans="1:9" x14ac:dyDescent="0.15">
      <c r="A2023" s="10">
        <v>2022</v>
      </c>
      <c r="B2023" s="9" t="s">
        <v>9</v>
      </c>
      <c r="C2023" s="11" t="s">
        <v>10</v>
      </c>
      <c r="D2023" s="12">
        <v>45562</v>
      </c>
      <c r="E2023" s="14" t="str">
        <f>+HYPERLINK("http://trademark.i-assist.jp/data/china/image_1905th/79108087.pdf","79108087")</f>
        <v>79108087</v>
      </c>
      <c r="F2023" s="13" t="s">
        <v>3604</v>
      </c>
      <c r="G2023" s="13" t="s">
        <v>3603</v>
      </c>
      <c r="H2023" s="13" t="s">
        <v>5598</v>
      </c>
      <c r="I2023" s="12">
        <v>45450</v>
      </c>
    </row>
    <row r="2024" spans="1:9" x14ac:dyDescent="0.15">
      <c r="A2024" s="10">
        <v>2023</v>
      </c>
      <c r="B2024" s="9" t="s">
        <v>9</v>
      </c>
      <c r="C2024" s="11" t="s">
        <v>10</v>
      </c>
      <c r="D2024" s="12">
        <v>45562</v>
      </c>
      <c r="E2024" s="14" t="str">
        <f>+HYPERLINK("http://trademark.i-assist.jp/data/china/image_1905th/79167920.pdf","79167920")</f>
        <v>79167920</v>
      </c>
      <c r="F2024" s="13" t="s">
        <v>3605</v>
      </c>
      <c r="G2024" s="13" t="s">
        <v>2400</v>
      </c>
      <c r="H2024" s="13" t="s">
        <v>5599</v>
      </c>
      <c r="I2024" s="12">
        <v>45455</v>
      </c>
    </row>
    <row r="2025" spans="1:9" x14ac:dyDescent="0.15">
      <c r="A2025" s="10">
        <v>2024</v>
      </c>
      <c r="B2025" s="9" t="s">
        <v>9</v>
      </c>
      <c r="C2025" s="11" t="s">
        <v>10</v>
      </c>
      <c r="D2025" s="12">
        <v>45562</v>
      </c>
      <c r="E2025" s="14" t="str">
        <f>+HYPERLINK("http://trademark.i-assist.jp/data/china/image_1905th/79572870.pdf","79572870")</f>
        <v>79572870</v>
      </c>
      <c r="F2025" s="13" t="s">
        <v>3606</v>
      </c>
      <c r="G2025" s="13" t="s">
        <v>2845</v>
      </c>
      <c r="H2025" s="13" t="s">
        <v>5328</v>
      </c>
      <c r="I2025" s="12">
        <v>45475</v>
      </c>
    </row>
    <row r="2026" spans="1:9" x14ac:dyDescent="0.15">
      <c r="A2026" s="10">
        <v>2025</v>
      </c>
      <c r="B2026" s="9" t="s">
        <v>9</v>
      </c>
      <c r="C2026" s="11" t="s">
        <v>10</v>
      </c>
      <c r="D2026" s="12">
        <v>45562</v>
      </c>
      <c r="E2026" s="14" t="str">
        <f>+HYPERLINK("http://trademark.i-assist.jp/data/china/image_1905th/79582544.pdf","79582544")</f>
        <v>79582544</v>
      </c>
      <c r="F2026" s="13" t="s">
        <v>3608</v>
      </c>
      <c r="G2026" s="13" t="s">
        <v>3607</v>
      </c>
      <c r="H2026" s="13" t="s">
        <v>5600</v>
      </c>
      <c r="I2026" s="12">
        <v>45476</v>
      </c>
    </row>
    <row r="2027" spans="1:9" x14ac:dyDescent="0.15">
      <c r="A2027" s="10">
        <v>2026</v>
      </c>
      <c r="B2027" s="9" t="s">
        <v>9</v>
      </c>
      <c r="C2027" s="11" t="s">
        <v>10</v>
      </c>
      <c r="D2027" s="12">
        <v>45562</v>
      </c>
      <c r="E2027" s="14" t="str">
        <f>+HYPERLINK("http://trademark.i-assist.jp/data/china/image_1905th/79587586.pdf","79587586")</f>
        <v>79587586</v>
      </c>
      <c r="F2027" s="13" t="s">
        <v>3610</v>
      </c>
      <c r="G2027" s="13" t="s">
        <v>3609</v>
      </c>
      <c r="H2027" s="13" t="s">
        <v>4212</v>
      </c>
      <c r="I2027" s="12">
        <v>45476</v>
      </c>
    </row>
    <row r="2028" spans="1:9" x14ac:dyDescent="0.15">
      <c r="A2028" s="10">
        <v>2027</v>
      </c>
      <c r="B2028" s="9" t="s">
        <v>9</v>
      </c>
      <c r="C2028" s="11" t="s">
        <v>10</v>
      </c>
      <c r="D2028" s="12">
        <v>45562</v>
      </c>
      <c r="E2028" s="14" t="str">
        <f>+HYPERLINK("http://trademark.i-assist.jp/data/china/image_1905th/79592487.pdf","79592487")</f>
        <v>79592487</v>
      </c>
      <c r="F2028" s="13" t="s">
        <v>3612</v>
      </c>
      <c r="G2028" s="13" t="s">
        <v>3611</v>
      </c>
      <c r="H2028" s="13" t="s">
        <v>5601</v>
      </c>
      <c r="I2028" s="12">
        <v>45476</v>
      </c>
    </row>
    <row r="2029" spans="1:9" x14ac:dyDescent="0.15">
      <c r="A2029" s="10">
        <v>2028</v>
      </c>
      <c r="B2029" s="9" t="s">
        <v>9</v>
      </c>
      <c r="C2029" s="11" t="s">
        <v>10</v>
      </c>
      <c r="D2029" s="12">
        <v>45562</v>
      </c>
      <c r="E2029" s="14" t="str">
        <f>+HYPERLINK("http://trademark.i-assist.jp/data/china/image_1905th/79594491.pdf","79594491")</f>
        <v>79594491</v>
      </c>
      <c r="F2029" s="13" t="s">
        <v>3614</v>
      </c>
      <c r="G2029" s="13" t="s">
        <v>3613</v>
      </c>
      <c r="H2029" s="13" t="s">
        <v>5077</v>
      </c>
      <c r="I2029" s="12">
        <v>45476</v>
      </c>
    </row>
    <row r="2030" spans="1:9" x14ac:dyDescent="0.15">
      <c r="A2030" s="10">
        <v>2029</v>
      </c>
      <c r="B2030" s="9" t="s">
        <v>9</v>
      </c>
      <c r="C2030" s="11" t="s">
        <v>10</v>
      </c>
      <c r="D2030" s="12">
        <v>45562</v>
      </c>
      <c r="E2030" s="14" t="str">
        <f>+HYPERLINK("http://trademark.i-assist.jp/data/china/image_1905th/79604330.pdf","79604330")</f>
        <v>79604330</v>
      </c>
      <c r="F2030" s="13" t="s">
        <v>3616</v>
      </c>
      <c r="G2030" s="13" t="s">
        <v>3615</v>
      </c>
      <c r="H2030" s="13" t="s">
        <v>5602</v>
      </c>
      <c r="I2030" s="12">
        <v>45477</v>
      </c>
    </row>
    <row r="2031" spans="1:9" x14ac:dyDescent="0.15">
      <c r="A2031" s="10">
        <v>2030</v>
      </c>
      <c r="B2031" s="9" t="s">
        <v>9</v>
      </c>
      <c r="C2031" s="11" t="s">
        <v>10</v>
      </c>
      <c r="D2031" s="12">
        <v>45562</v>
      </c>
      <c r="E2031" s="14" t="str">
        <f>+HYPERLINK("http://trademark.i-assist.jp/data/china/image_1905th/79521314.pdf","79521314")</f>
        <v>79521314</v>
      </c>
      <c r="F2031" s="13" t="s">
        <v>73</v>
      </c>
      <c r="G2031" s="13" t="s">
        <v>3617</v>
      </c>
      <c r="H2031" s="13" t="s">
        <v>5603</v>
      </c>
      <c r="I2031" s="12">
        <v>45472</v>
      </c>
    </row>
    <row r="2032" spans="1:9" x14ac:dyDescent="0.15">
      <c r="A2032" s="10">
        <v>2031</v>
      </c>
      <c r="B2032" s="9" t="s">
        <v>9</v>
      </c>
      <c r="C2032" s="11" t="s">
        <v>10</v>
      </c>
      <c r="D2032" s="12">
        <v>45562</v>
      </c>
      <c r="E2032" s="14" t="str">
        <f>+HYPERLINK("http://trademark.i-assist.jp/data/china/image_1905th/79528217.pdf","79528217")</f>
        <v>79528217</v>
      </c>
      <c r="F2032" s="13" t="s">
        <v>3619</v>
      </c>
      <c r="G2032" s="13" t="s">
        <v>3618</v>
      </c>
      <c r="H2032" s="13" t="s">
        <v>5604</v>
      </c>
      <c r="I2032" s="12">
        <v>45474</v>
      </c>
    </row>
    <row r="2033" spans="1:9" x14ac:dyDescent="0.15">
      <c r="A2033" s="10">
        <v>2032</v>
      </c>
      <c r="B2033" s="9" t="s">
        <v>9</v>
      </c>
      <c r="C2033" s="11" t="s">
        <v>10</v>
      </c>
      <c r="D2033" s="12">
        <v>45562</v>
      </c>
      <c r="E2033" s="14" t="str">
        <f>+HYPERLINK("http://trademark.i-assist.jp/data/china/image_1905th/79531538.pdf","79531538")</f>
        <v>79531538</v>
      </c>
      <c r="F2033" s="13" t="s">
        <v>3621</v>
      </c>
      <c r="G2033" s="13" t="s">
        <v>3620</v>
      </c>
      <c r="H2033" s="13" t="s">
        <v>5605</v>
      </c>
      <c r="I2033" s="12">
        <v>45474</v>
      </c>
    </row>
    <row r="2034" spans="1:9" x14ac:dyDescent="0.15">
      <c r="A2034" s="10">
        <v>2033</v>
      </c>
      <c r="B2034" s="9" t="s">
        <v>9</v>
      </c>
      <c r="C2034" s="11" t="s">
        <v>10</v>
      </c>
      <c r="D2034" s="12">
        <v>45562</v>
      </c>
      <c r="E2034" s="14" t="str">
        <f>+HYPERLINK("http://trademark.i-assist.jp/data/china/image_1905th/79543149.pdf","79543149")</f>
        <v>79543149</v>
      </c>
      <c r="F2034" s="13" t="s">
        <v>3622</v>
      </c>
      <c r="G2034" s="13" t="s">
        <v>801</v>
      </c>
      <c r="H2034" s="13" t="s">
        <v>4328</v>
      </c>
      <c r="I2034" s="12">
        <v>45474</v>
      </c>
    </row>
    <row r="2035" spans="1:9" x14ac:dyDescent="0.15">
      <c r="A2035" s="10">
        <v>2034</v>
      </c>
      <c r="B2035" s="9" t="s">
        <v>9</v>
      </c>
      <c r="C2035" s="11" t="s">
        <v>10</v>
      </c>
      <c r="D2035" s="12">
        <v>45562</v>
      </c>
      <c r="E2035" s="14" t="str">
        <f>+HYPERLINK("http://trademark.i-assist.jp/data/china/image_1905th/79544528.pdf","79544528")</f>
        <v>79544528</v>
      </c>
      <c r="F2035" s="13" t="s">
        <v>3623</v>
      </c>
      <c r="G2035" s="13" t="s">
        <v>3620</v>
      </c>
      <c r="H2035" s="13" t="s">
        <v>5605</v>
      </c>
      <c r="I2035" s="12">
        <v>45474</v>
      </c>
    </row>
    <row r="2036" spans="1:9" x14ac:dyDescent="0.15">
      <c r="A2036" s="10">
        <v>2035</v>
      </c>
      <c r="B2036" s="9" t="s">
        <v>9</v>
      </c>
      <c r="C2036" s="11" t="s">
        <v>10</v>
      </c>
      <c r="D2036" s="12">
        <v>45562</v>
      </c>
      <c r="E2036" s="14" t="str">
        <f>+HYPERLINK("http://trademark.i-assist.jp/data/china/image_1905th/79548316.pdf","79548316")</f>
        <v>79548316</v>
      </c>
      <c r="F2036" s="13" t="s">
        <v>3624</v>
      </c>
      <c r="G2036" s="13" t="s">
        <v>2460</v>
      </c>
      <c r="H2036" s="13" t="s">
        <v>5180</v>
      </c>
      <c r="I2036" s="12">
        <v>45474</v>
      </c>
    </row>
    <row r="2037" spans="1:9" x14ac:dyDescent="0.15">
      <c r="A2037" s="10">
        <v>2036</v>
      </c>
      <c r="B2037" s="9" t="s">
        <v>9</v>
      </c>
      <c r="C2037" s="11" t="s">
        <v>10</v>
      </c>
      <c r="D2037" s="12">
        <v>45562</v>
      </c>
      <c r="E2037" s="14" t="str">
        <f>+HYPERLINK("http://trademark.i-assist.jp/data/china/image_1905th/79559507.pdf","79559507")</f>
        <v>79559507</v>
      </c>
      <c r="F2037" s="13" t="s">
        <v>3626</v>
      </c>
      <c r="G2037" s="13" t="s">
        <v>3625</v>
      </c>
      <c r="H2037" s="13" t="s">
        <v>5606</v>
      </c>
      <c r="I2037" s="12">
        <v>45475</v>
      </c>
    </row>
    <row r="2038" spans="1:9" x14ac:dyDescent="0.15">
      <c r="A2038" s="10">
        <v>2037</v>
      </c>
      <c r="B2038" s="9" t="s">
        <v>9</v>
      </c>
      <c r="C2038" s="11" t="s">
        <v>10</v>
      </c>
      <c r="D2038" s="12">
        <v>45562</v>
      </c>
      <c r="E2038" s="14" t="str">
        <f>+HYPERLINK("http://trademark.i-assist.jp/data/china/image_1905th/79469472.pdf","79469472")</f>
        <v>79469472</v>
      </c>
      <c r="F2038" s="13" t="s">
        <v>3627</v>
      </c>
      <c r="G2038" s="13" t="s">
        <v>1322</v>
      </c>
      <c r="H2038" s="13" t="s">
        <v>4704</v>
      </c>
      <c r="I2038" s="12">
        <v>45470</v>
      </c>
    </row>
    <row r="2039" spans="1:9" x14ac:dyDescent="0.15">
      <c r="A2039" s="10">
        <v>2038</v>
      </c>
      <c r="B2039" s="9" t="s">
        <v>9</v>
      </c>
      <c r="C2039" s="11" t="s">
        <v>10</v>
      </c>
      <c r="D2039" s="12">
        <v>45562</v>
      </c>
      <c r="E2039" s="14" t="str">
        <f>+HYPERLINK("http://trademark.i-assist.jp/data/china/image_1905th/79477916.pdf","79477916")</f>
        <v>79477916</v>
      </c>
      <c r="F2039" s="13" t="s">
        <v>3628</v>
      </c>
      <c r="G2039" s="13" t="s">
        <v>2012</v>
      </c>
      <c r="H2039" s="13" t="s">
        <v>4245</v>
      </c>
      <c r="I2039" s="12">
        <v>45470</v>
      </c>
    </row>
    <row r="2040" spans="1:9" x14ac:dyDescent="0.15">
      <c r="A2040" s="10">
        <v>2039</v>
      </c>
      <c r="B2040" s="9" t="s">
        <v>9</v>
      </c>
      <c r="C2040" s="11" t="s">
        <v>10</v>
      </c>
      <c r="D2040" s="12">
        <v>45562</v>
      </c>
      <c r="E2040" s="14" t="str">
        <f>+HYPERLINK("http://trademark.i-assist.jp/data/china/image_1905th/79480382.pdf","79480382")</f>
        <v>79480382</v>
      </c>
      <c r="F2040" s="13" t="s">
        <v>3343</v>
      </c>
      <c r="G2040" s="13" t="s">
        <v>3342</v>
      </c>
      <c r="H2040" s="13" t="s">
        <v>5509</v>
      </c>
      <c r="I2040" s="12">
        <v>45470</v>
      </c>
    </row>
    <row r="2041" spans="1:9" x14ac:dyDescent="0.15">
      <c r="A2041" s="10">
        <v>2040</v>
      </c>
      <c r="B2041" s="9" t="s">
        <v>9</v>
      </c>
      <c r="C2041" s="11" t="s">
        <v>10</v>
      </c>
      <c r="D2041" s="12">
        <v>45562</v>
      </c>
      <c r="E2041" s="14" t="str">
        <f>+HYPERLINK("http://trademark.i-assist.jp/data/china/image_1905th/79482239.pdf","79482239")</f>
        <v>79482239</v>
      </c>
      <c r="F2041" s="13" t="s">
        <v>3629</v>
      </c>
      <c r="G2041" s="13" t="s">
        <v>1322</v>
      </c>
      <c r="H2041" s="13" t="s">
        <v>4704</v>
      </c>
      <c r="I2041" s="12">
        <v>45470</v>
      </c>
    </row>
    <row r="2042" spans="1:9" x14ac:dyDescent="0.15">
      <c r="A2042" s="10">
        <v>2041</v>
      </c>
      <c r="B2042" s="9" t="s">
        <v>9</v>
      </c>
      <c r="C2042" s="11" t="s">
        <v>10</v>
      </c>
      <c r="D2042" s="12">
        <v>45562</v>
      </c>
      <c r="E2042" s="14" t="str">
        <f>+HYPERLINK("http://trademark.i-assist.jp/data/china/image_1905th/79495731.pdf","79495731")</f>
        <v>79495731</v>
      </c>
      <c r="F2042" s="13" t="s">
        <v>3631</v>
      </c>
      <c r="G2042" s="13" t="s">
        <v>3630</v>
      </c>
      <c r="H2042" s="13" t="s">
        <v>5000</v>
      </c>
      <c r="I2042" s="12">
        <v>45471</v>
      </c>
    </row>
    <row r="2043" spans="1:9" x14ac:dyDescent="0.15">
      <c r="A2043" s="10">
        <v>2042</v>
      </c>
      <c r="B2043" s="9" t="s">
        <v>9</v>
      </c>
      <c r="C2043" s="11" t="s">
        <v>10</v>
      </c>
      <c r="D2043" s="12">
        <v>45562</v>
      </c>
      <c r="E2043" s="14" t="str">
        <f>+HYPERLINK("http://trademark.i-assist.jp/data/china/image_1905th/79313339.pdf","79313339")</f>
        <v>79313339</v>
      </c>
      <c r="F2043" s="13" t="s">
        <v>3633</v>
      </c>
      <c r="G2043" s="13" t="s">
        <v>3632</v>
      </c>
      <c r="H2043" s="13" t="s">
        <v>5607</v>
      </c>
      <c r="I2043" s="12">
        <v>45462</v>
      </c>
    </row>
    <row r="2044" spans="1:9" x14ac:dyDescent="0.15">
      <c r="A2044" s="10">
        <v>2043</v>
      </c>
      <c r="B2044" s="9" t="s">
        <v>9</v>
      </c>
      <c r="C2044" s="11" t="s">
        <v>10</v>
      </c>
      <c r="D2044" s="12">
        <v>45562</v>
      </c>
      <c r="E2044" s="14" t="str">
        <f>+HYPERLINK("http://trademark.i-assist.jp/data/china/image_1905th/79318860.pdf","79318860")</f>
        <v>79318860</v>
      </c>
      <c r="F2044" s="13" t="s">
        <v>3635</v>
      </c>
      <c r="G2044" s="13" t="s">
        <v>3634</v>
      </c>
      <c r="H2044" s="13" t="s">
        <v>5608</v>
      </c>
      <c r="I2044" s="12">
        <v>45462</v>
      </c>
    </row>
    <row r="2045" spans="1:9" x14ac:dyDescent="0.15">
      <c r="A2045" s="10">
        <v>2044</v>
      </c>
      <c r="B2045" s="9" t="s">
        <v>9</v>
      </c>
      <c r="C2045" s="11" t="s">
        <v>10</v>
      </c>
      <c r="D2045" s="12">
        <v>45562</v>
      </c>
      <c r="E2045" s="14" t="str">
        <f>+HYPERLINK("http://trademark.i-assist.jp/data/china/image_1905th/79320279.pdf","79320279")</f>
        <v>79320279</v>
      </c>
      <c r="F2045" s="13" t="s">
        <v>3637</v>
      </c>
      <c r="G2045" s="13" t="s">
        <v>3636</v>
      </c>
      <c r="H2045" s="13" t="s">
        <v>5609</v>
      </c>
      <c r="I2045" s="12">
        <v>45462</v>
      </c>
    </row>
    <row r="2046" spans="1:9" x14ac:dyDescent="0.15">
      <c r="A2046" s="10">
        <v>2045</v>
      </c>
      <c r="B2046" s="9" t="s">
        <v>9</v>
      </c>
      <c r="C2046" s="11" t="s">
        <v>10</v>
      </c>
      <c r="D2046" s="12">
        <v>45562</v>
      </c>
      <c r="E2046" s="14" t="str">
        <f>+HYPERLINK("http://trademark.i-assist.jp/data/china/image_1905th/79360279.pdf","79360279")</f>
        <v>79360279</v>
      </c>
      <c r="F2046" s="13" t="s">
        <v>3639</v>
      </c>
      <c r="G2046" s="13" t="s">
        <v>3638</v>
      </c>
      <c r="H2046" s="13" t="s">
        <v>5610</v>
      </c>
      <c r="I2046" s="12">
        <v>45464</v>
      </c>
    </row>
    <row r="2047" spans="1:9" x14ac:dyDescent="0.15">
      <c r="A2047" s="10">
        <v>2046</v>
      </c>
      <c r="B2047" s="9" t="s">
        <v>9</v>
      </c>
      <c r="C2047" s="11" t="s">
        <v>10</v>
      </c>
      <c r="D2047" s="12">
        <v>45562</v>
      </c>
      <c r="E2047" s="14" t="str">
        <f>+HYPERLINK("http://trademark.i-assist.jp/data/china/image_1905th/79379359.pdf","79379359")</f>
        <v>79379359</v>
      </c>
      <c r="F2047" s="13" t="s">
        <v>3641</v>
      </c>
      <c r="G2047" s="13" t="s">
        <v>3640</v>
      </c>
      <c r="H2047" s="13" t="s">
        <v>5611</v>
      </c>
      <c r="I2047" s="12">
        <v>45465</v>
      </c>
    </row>
    <row r="2048" spans="1:9" x14ac:dyDescent="0.15">
      <c r="A2048" s="10">
        <v>2047</v>
      </c>
      <c r="B2048" s="9" t="s">
        <v>9</v>
      </c>
      <c r="C2048" s="11" t="s">
        <v>10</v>
      </c>
      <c r="D2048" s="12">
        <v>45562</v>
      </c>
      <c r="E2048" s="14" t="str">
        <f>+HYPERLINK("http://trademark.i-assist.jp/data/china/image_1905th/79410017.pdf","79410017")</f>
        <v>79410017</v>
      </c>
      <c r="F2048" s="13" t="s">
        <v>73</v>
      </c>
      <c r="G2048" s="13" t="s">
        <v>3642</v>
      </c>
      <c r="H2048" s="13" t="s">
        <v>5612</v>
      </c>
      <c r="I2048" s="12">
        <v>45467</v>
      </c>
    </row>
    <row r="2049" spans="1:9" x14ac:dyDescent="0.15">
      <c r="A2049" s="10">
        <v>2048</v>
      </c>
      <c r="B2049" s="9" t="s">
        <v>9</v>
      </c>
      <c r="C2049" s="11" t="s">
        <v>10</v>
      </c>
      <c r="D2049" s="12">
        <v>45562</v>
      </c>
      <c r="E2049" s="14" t="str">
        <f>+HYPERLINK("http://trademark.i-assist.jp/data/china/image_1905th/79413891.pdf","79413891")</f>
        <v>79413891</v>
      </c>
      <c r="F2049" s="13" t="s">
        <v>3644</v>
      </c>
      <c r="G2049" s="13" t="s">
        <v>3643</v>
      </c>
      <c r="H2049" s="13" t="s">
        <v>5613</v>
      </c>
      <c r="I2049" s="12">
        <v>45468</v>
      </c>
    </row>
    <row r="2050" spans="1:9" x14ac:dyDescent="0.15">
      <c r="A2050" s="10">
        <v>2049</v>
      </c>
      <c r="B2050" s="9" t="s">
        <v>9</v>
      </c>
      <c r="C2050" s="11" t="s">
        <v>10</v>
      </c>
      <c r="D2050" s="12">
        <v>45562</v>
      </c>
      <c r="E2050" s="14" t="str">
        <f>+HYPERLINK("http://trademark.i-assist.jp/data/china/image_1905th/79418007.pdf","79418007")</f>
        <v>79418007</v>
      </c>
      <c r="F2050" s="13" t="s">
        <v>3646</v>
      </c>
      <c r="G2050" s="13" t="s">
        <v>3645</v>
      </c>
      <c r="H2050" s="13" t="s">
        <v>5614</v>
      </c>
      <c r="I2050" s="12">
        <v>45468</v>
      </c>
    </row>
    <row r="2051" spans="1:9" x14ac:dyDescent="0.15">
      <c r="A2051" s="10">
        <v>2050</v>
      </c>
      <c r="B2051" s="9" t="s">
        <v>9</v>
      </c>
      <c r="C2051" s="11" t="s">
        <v>10</v>
      </c>
      <c r="D2051" s="12">
        <v>45562</v>
      </c>
      <c r="E2051" s="14" t="str">
        <f>+HYPERLINK("http://trademark.i-assist.jp/data/china/image_1905th/79418828.pdf","79418828")</f>
        <v>79418828</v>
      </c>
      <c r="F2051" s="13" t="s">
        <v>3648</v>
      </c>
      <c r="G2051" s="13" t="s">
        <v>3647</v>
      </c>
      <c r="H2051" s="13" t="s">
        <v>4760</v>
      </c>
      <c r="I2051" s="12">
        <v>45468</v>
      </c>
    </row>
    <row r="2052" spans="1:9" x14ac:dyDescent="0.15">
      <c r="A2052" s="10">
        <v>2051</v>
      </c>
      <c r="B2052" s="9" t="s">
        <v>9</v>
      </c>
      <c r="C2052" s="11" t="s">
        <v>10</v>
      </c>
      <c r="D2052" s="12">
        <v>45562</v>
      </c>
      <c r="E2052" s="14" t="str">
        <f>+HYPERLINK("http://trademark.i-assist.jp/data/china/image_1905th/79446146.pdf","79446146")</f>
        <v>79446146</v>
      </c>
      <c r="F2052" s="13" t="s">
        <v>3650</v>
      </c>
      <c r="G2052" s="13" t="s">
        <v>3649</v>
      </c>
      <c r="H2052" s="13" t="s">
        <v>5615</v>
      </c>
      <c r="I2052" s="12">
        <v>45469</v>
      </c>
    </row>
    <row r="2053" spans="1:9" x14ac:dyDescent="0.15">
      <c r="A2053" s="10">
        <v>2052</v>
      </c>
      <c r="B2053" s="9" t="s">
        <v>9</v>
      </c>
      <c r="C2053" s="11" t="s">
        <v>10</v>
      </c>
      <c r="D2053" s="12">
        <v>45562</v>
      </c>
      <c r="E2053" s="14" t="str">
        <f>+HYPERLINK("http://trademark.i-assist.jp/data/china/image_1905th/63897154.pdf","63897154")</f>
        <v>63897154</v>
      </c>
      <c r="F2053" s="13" t="s">
        <v>3652</v>
      </c>
      <c r="G2053" s="13" t="s">
        <v>3651</v>
      </c>
      <c r="H2053" s="13" t="s">
        <v>5616</v>
      </c>
      <c r="I2053" s="12">
        <v>44662</v>
      </c>
    </row>
    <row r="2054" spans="1:9" x14ac:dyDescent="0.15">
      <c r="A2054" s="10">
        <v>2053</v>
      </c>
      <c r="B2054" s="9" t="s">
        <v>9</v>
      </c>
      <c r="C2054" s="11" t="s">
        <v>10</v>
      </c>
      <c r="D2054" s="12">
        <v>45562</v>
      </c>
      <c r="E2054" s="14" t="str">
        <f>+HYPERLINK("http://trademark.i-assist.jp/data/china/image_1905th/78725154.pdf","78725154")</f>
        <v>78725154</v>
      </c>
      <c r="F2054" s="13" t="s">
        <v>3654</v>
      </c>
      <c r="G2054" s="13" t="s">
        <v>3653</v>
      </c>
      <c r="H2054" s="13" t="s">
        <v>5617</v>
      </c>
      <c r="I2054" s="12">
        <v>45433</v>
      </c>
    </row>
    <row r="2055" spans="1:9" x14ac:dyDescent="0.15">
      <c r="A2055" s="10">
        <v>2054</v>
      </c>
      <c r="B2055" s="9" t="s">
        <v>9</v>
      </c>
      <c r="C2055" s="11" t="s">
        <v>10</v>
      </c>
      <c r="D2055" s="12">
        <v>45562</v>
      </c>
      <c r="E2055" s="14" t="str">
        <f>+HYPERLINK("http://trademark.i-assist.jp/data/china/image_1905th/79712447.pdf","79712447")</f>
        <v>79712447</v>
      </c>
      <c r="F2055" s="13" t="s">
        <v>3655</v>
      </c>
      <c r="G2055" s="13" t="s">
        <v>13</v>
      </c>
      <c r="H2055" s="13" t="s">
        <v>4148</v>
      </c>
      <c r="I2055" s="12">
        <v>45483</v>
      </c>
    </row>
    <row r="2056" spans="1:9" x14ac:dyDescent="0.15">
      <c r="A2056" s="10">
        <v>2055</v>
      </c>
      <c r="B2056" s="9" t="s">
        <v>9</v>
      </c>
      <c r="C2056" s="11" t="s">
        <v>10</v>
      </c>
      <c r="D2056" s="12">
        <v>45562</v>
      </c>
      <c r="E2056" s="14" t="str">
        <f>+HYPERLINK("http://trademark.i-assist.jp/data/china/image_1905th/79715014.pdf","79715014")</f>
        <v>79715014</v>
      </c>
      <c r="F2056" s="13" t="s">
        <v>3657</v>
      </c>
      <c r="G2056" s="13" t="s">
        <v>3656</v>
      </c>
      <c r="H2056" s="13" t="s">
        <v>5618</v>
      </c>
      <c r="I2056" s="12">
        <v>45483</v>
      </c>
    </row>
    <row r="2057" spans="1:9" x14ac:dyDescent="0.15">
      <c r="A2057" s="10">
        <v>2056</v>
      </c>
      <c r="B2057" s="9" t="s">
        <v>9</v>
      </c>
      <c r="C2057" s="11" t="s">
        <v>10</v>
      </c>
      <c r="D2057" s="12">
        <v>45562</v>
      </c>
      <c r="E2057" s="14" t="str">
        <f>+HYPERLINK("http://trademark.i-assist.jp/data/china/image_1905th/79715148.pdf","79715148")</f>
        <v>79715148</v>
      </c>
      <c r="F2057" s="13" t="s">
        <v>3658</v>
      </c>
      <c r="G2057" s="13" t="s">
        <v>2163</v>
      </c>
      <c r="H2057" s="13" t="s">
        <v>5058</v>
      </c>
      <c r="I2057" s="12">
        <v>45483</v>
      </c>
    </row>
    <row r="2058" spans="1:9" x14ac:dyDescent="0.15">
      <c r="A2058" s="10">
        <v>2057</v>
      </c>
      <c r="B2058" s="9" t="s">
        <v>9</v>
      </c>
      <c r="C2058" s="11" t="s">
        <v>10</v>
      </c>
      <c r="D2058" s="12">
        <v>45562</v>
      </c>
      <c r="E2058" s="14" t="str">
        <f>+HYPERLINK("http://trademark.i-assist.jp/data/china/image_1905th/79717765.pdf","79717765")</f>
        <v>79717765</v>
      </c>
      <c r="F2058" s="13" t="s">
        <v>73</v>
      </c>
      <c r="G2058" s="13" t="s">
        <v>3659</v>
      </c>
      <c r="H2058" s="13" t="s">
        <v>5619</v>
      </c>
      <c r="I2058" s="12">
        <v>45483</v>
      </c>
    </row>
    <row r="2059" spans="1:9" x14ac:dyDescent="0.15">
      <c r="A2059" s="10">
        <v>2058</v>
      </c>
      <c r="B2059" s="9" t="s">
        <v>9</v>
      </c>
      <c r="C2059" s="11" t="s">
        <v>10</v>
      </c>
      <c r="D2059" s="12">
        <v>45562</v>
      </c>
      <c r="E2059" s="14" t="str">
        <f>+HYPERLINK("http://trademark.i-assist.jp/data/china/image_1905th/79729264.pdf","79729264")</f>
        <v>79729264</v>
      </c>
      <c r="F2059" s="13" t="s">
        <v>1952</v>
      </c>
      <c r="G2059" s="13" t="s">
        <v>1951</v>
      </c>
      <c r="H2059" s="13" t="s">
        <v>4973</v>
      </c>
      <c r="I2059" s="12">
        <v>45484</v>
      </c>
    </row>
    <row r="2060" spans="1:9" x14ac:dyDescent="0.15">
      <c r="A2060" s="10">
        <v>2059</v>
      </c>
      <c r="B2060" s="9" t="s">
        <v>9</v>
      </c>
      <c r="C2060" s="11" t="s">
        <v>10</v>
      </c>
      <c r="D2060" s="12">
        <v>45562</v>
      </c>
      <c r="E2060" s="14" t="str">
        <f>+HYPERLINK("http://trademark.i-assist.jp/data/china/image_1905th/79731800.pdf","79731800")</f>
        <v>79731800</v>
      </c>
      <c r="F2060" s="13" t="s">
        <v>3661</v>
      </c>
      <c r="G2060" s="13" t="s">
        <v>3660</v>
      </c>
      <c r="H2060" s="13" t="s">
        <v>5620</v>
      </c>
      <c r="I2060" s="12">
        <v>45484</v>
      </c>
    </row>
    <row r="2061" spans="1:9" x14ac:dyDescent="0.15">
      <c r="A2061" s="10">
        <v>2060</v>
      </c>
      <c r="B2061" s="9" t="s">
        <v>9</v>
      </c>
      <c r="C2061" s="11" t="s">
        <v>10</v>
      </c>
      <c r="D2061" s="12">
        <v>45562</v>
      </c>
      <c r="E2061" s="14" t="str">
        <f>+HYPERLINK("http://trademark.i-assist.jp/data/china/image_1905th/79732764.pdf","79732764")</f>
        <v>79732764</v>
      </c>
      <c r="F2061" s="13" t="s">
        <v>3662</v>
      </c>
      <c r="G2061" s="13" t="s">
        <v>252</v>
      </c>
      <c r="H2061" s="13" t="s">
        <v>4206</v>
      </c>
      <c r="I2061" s="12">
        <v>45484</v>
      </c>
    </row>
    <row r="2062" spans="1:9" x14ac:dyDescent="0.15">
      <c r="A2062" s="10">
        <v>2061</v>
      </c>
      <c r="B2062" s="9" t="s">
        <v>9</v>
      </c>
      <c r="C2062" s="11" t="s">
        <v>10</v>
      </c>
      <c r="D2062" s="12">
        <v>45562</v>
      </c>
      <c r="E2062" s="14" t="str">
        <f>+HYPERLINK("http://trademark.i-assist.jp/data/china/image_1905th/79733907.pdf","79733907")</f>
        <v>79733907</v>
      </c>
      <c r="F2062" s="13" t="s">
        <v>3664</v>
      </c>
      <c r="G2062" s="13" t="s">
        <v>3663</v>
      </c>
      <c r="H2062" s="13" t="s">
        <v>4227</v>
      </c>
      <c r="I2062" s="12">
        <v>45484</v>
      </c>
    </row>
    <row r="2063" spans="1:9" x14ac:dyDescent="0.15">
      <c r="A2063" s="10">
        <v>2062</v>
      </c>
      <c r="B2063" s="9" t="s">
        <v>9</v>
      </c>
      <c r="C2063" s="11" t="s">
        <v>10</v>
      </c>
      <c r="D2063" s="12">
        <v>45562</v>
      </c>
      <c r="E2063" s="14" t="str">
        <f>+HYPERLINK("http://trademark.i-assist.jp/data/china/image_1905th/79736970.pdf","79736970")</f>
        <v>79736970</v>
      </c>
      <c r="F2063" s="13" t="s">
        <v>3666</v>
      </c>
      <c r="G2063" s="13" t="s">
        <v>3665</v>
      </c>
      <c r="H2063" s="13" t="s">
        <v>5621</v>
      </c>
      <c r="I2063" s="12">
        <v>45484</v>
      </c>
    </row>
    <row r="2064" spans="1:9" x14ac:dyDescent="0.15">
      <c r="A2064" s="10">
        <v>2063</v>
      </c>
      <c r="B2064" s="9" t="s">
        <v>9</v>
      </c>
      <c r="C2064" s="11" t="s">
        <v>10</v>
      </c>
      <c r="D2064" s="12">
        <v>45562</v>
      </c>
      <c r="E2064" s="14" t="str">
        <f>+HYPERLINK("http://trademark.i-assist.jp/data/china/image_1905th/79737567.pdf","79737567")</f>
        <v>79737567</v>
      </c>
      <c r="F2064" s="13" t="s">
        <v>3668</v>
      </c>
      <c r="G2064" s="13" t="s">
        <v>3667</v>
      </c>
      <c r="H2064" s="13" t="s">
        <v>5622</v>
      </c>
      <c r="I2064" s="12">
        <v>45484</v>
      </c>
    </row>
    <row r="2065" spans="1:9" x14ac:dyDescent="0.15">
      <c r="A2065" s="10">
        <v>2064</v>
      </c>
      <c r="B2065" s="9" t="s">
        <v>9</v>
      </c>
      <c r="C2065" s="11" t="s">
        <v>10</v>
      </c>
      <c r="D2065" s="12">
        <v>45562</v>
      </c>
      <c r="E2065" s="14" t="str">
        <f>+HYPERLINK("http://trademark.i-assist.jp/data/china/image_1905th/79737687.pdf","79737687")</f>
        <v>79737687</v>
      </c>
      <c r="F2065" s="13" t="s">
        <v>3670</v>
      </c>
      <c r="G2065" s="13" t="s">
        <v>3669</v>
      </c>
      <c r="H2065" s="13" t="s">
        <v>4278</v>
      </c>
      <c r="I2065" s="12">
        <v>45484</v>
      </c>
    </row>
    <row r="2066" spans="1:9" x14ac:dyDescent="0.15">
      <c r="A2066" s="10">
        <v>2065</v>
      </c>
      <c r="B2066" s="9" t="s">
        <v>9</v>
      </c>
      <c r="C2066" s="11" t="s">
        <v>10</v>
      </c>
      <c r="D2066" s="12">
        <v>45562</v>
      </c>
      <c r="E2066" s="14" t="str">
        <f>+HYPERLINK("http://trademark.i-assist.jp/data/china/image_1905th/79673727.pdf","79673727")</f>
        <v>79673727</v>
      </c>
      <c r="F2066" s="13" t="s">
        <v>3671</v>
      </c>
      <c r="G2066" s="13" t="s">
        <v>2954</v>
      </c>
      <c r="H2066" s="13" t="s">
        <v>5365</v>
      </c>
      <c r="I2066" s="12">
        <v>45481</v>
      </c>
    </row>
    <row r="2067" spans="1:9" x14ac:dyDescent="0.15">
      <c r="A2067" s="10">
        <v>2066</v>
      </c>
      <c r="B2067" s="9" t="s">
        <v>9</v>
      </c>
      <c r="C2067" s="11" t="s">
        <v>10</v>
      </c>
      <c r="D2067" s="12">
        <v>45562</v>
      </c>
      <c r="E2067" s="14" t="str">
        <f>+HYPERLINK("http://trademark.i-assist.jp/data/china/image_1905th/79675573.pdf","79675573")</f>
        <v>79675573</v>
      </c>
      <c r="F2067" s="13" t="s">
        <v>3673</v>
      </c>
      <c r="G2067" s="13" t="s">
        <v>3672</v>
      </c>
      <c r="H2067" s="13" t="s">
        <v>5623</v>
      </c>
      <c r="I2067" s="12">
        <v>45481</v>
      </c>
    </row>
    <row r="2068" spans="1:9" x14ac:dyDescent="0.15">
      <c r="A2068" s="10">
        <v>2067</v>
      </c>
      <c r="B2068" s="9" t="s">
        <v>9</v>
      </c>
      <c r="C2068" s="11" t="s">
        <v>10</v>
      </c>
      <c r="D2068" s="12">
        <v>45562</v>
      </c>
      <c r="E2068" s="14" t="str">
        <f>+HYPERLINK("http://trademark.i-assist.jp/data/china/image_1905th/79676568.pdf","79676568")</f>
        <v>79676568</v>
      </c>
      <c r="F2068" s="13" t="s">
        <v>3674</v>
      </c>
      <c r="G2068" s="13" t="s">
        <v>3674</v>
      </c>
      <c r="H2068" s="13" t="s">
        <v>5624</v>
      </c>
      <c r="I2068" s="12">
        <v>45481</v>
      </c>
    </row>
    <row r="2069" spans="1:9" x14ac:dyDescent="0.15">
      <c r="A2069" s="10">
        <v>2068</v>
      </c>
      <c r="B2069" s="9" t="s">
        <v>9</v>
      </c>
      <c r="C2069" s="11" t="s">
        <v>10</v>
      </c>
      <c r="D2069" s="12">
        <v>45562</v>
      </c>
      <c r="E2069" s="14" t="str">
        <f>+HYPERLINK("http://trademark.i-assist.jp/data/china/image_1905th/79776368.pdf","79776368")</f>
        <v>79776368</v>
      </c>
      <c r="F2069" s="13" t="s">
        <v>3676</v>
      </c>
      <c r="G2069" s="13" t="s">
        <v>3675</v>
      </c>
      <c r="H2069" s="13" t="s">
        <v>5625</v>
      </c>
      <c r="I2069" s="12">
        <v>45486</v>
      </c>
    </row>
    <row r="2070" spans="1:9" x14ac:dyDescent="0.15">
      <c r="A2070" s="10">
        <v>2069</v>
      </c>
      <c r="B2070" s="9" t="s">
        <v>9</v>
      </c>
      <c r="C2070" s="11" t="s">
        <v>10</v>
      </c>
      <c r="D2070" s="12">
        <v>45562</v>
      </c>
      <c r="E2070" s="14" t="str">
        <f>+HYPERLINK("http://trademark.i-assist.jp/data/china/image_1905th/79807254.pdf","79807254")</f>
        <v>79807254</v>
      </c>
      <c r="F2070" s="13" t="s">
        <v>3677</v>
      </c>
      <c r="G2070" s="13" t="s">
        <v>584</v>
      </c>
      <c r="H2070" s="13" t="s">
        <v>4415</v>
      </c>
      <c r="I2070" s="12">
        <v>45488</v>
      </c>
    </row>
    <row r="2071" spans="1:9" x14ac:dyDescent="0.15">
      <c r="A2071" s="10">
        <v>2070</v>
      </c>
      <c r="B2071" s="9" t="s">
        <v>9</v>
      </c>
      <c r="C2071" s="11" t="s">
        <v>10</v>
      </c>
      <c r="D2071" s="12">
        <v>45562</v>
      </c>
      <c r="E2071" s="14" t="str">
        <f>+HYPERLINK("http://trademark.i-assist.jp/data/china/image_1905th/79815783.pdf","79815783")</f>
        <v>79815783</v>
      </c>
      <c r="F2071" s="13" t="s">
        <v>3678</v>
      </c>
      <c r="G2071" s="13" t="s">
        <v>1989</v>
      </c>
      <c r="H2071" s="13" t="s">
        <v>4991</v>
      </c>
      <c r="I2071" s="12">
        <v>45489</v>
      </c>
    </row>
    <row r="2072" spans="1:9" x14ac:dyDescent="0.15">
      <c r="A2072" s="10">
        <v>2071</v>
      </c>
      <c r="B2072" s="9" t="s">
        <v>9</v>
      </c>
      <c r="C2072" s="11" t="s">
        <v>10</v>
      </c>
      <c r="D2072" s="12">
        <v>45562</v>
      </c>
      <c r="E2072" s="14" t="str">
        <f>+HYPERLINK("http://trademark.i-assist.jp/data/china/image_1905th/79818118.pdf","79818118")</f>
        <v>79818118</v>
      </c>
      <c r="F2072" s="13" t="s">
        <v>3679</v>
      </c>
      <c r="G2072" s="13" t="s">
        <v>3199</v>
      </c>
      <c r="H2072" s="13" t="s">
        <v>5234</v>
      </c>
      <c r="I2072" s="12">
        <v>45489</v>
      </c>
    </row>
    <row r="2073" spans="1:9" x14ac:dyDescent="0.15">
      <c r="A2073" s="10">
        <v>2072</v>
      </c>
      <c r="B2073" s="9" t="s">
        <v>9</v>
      </c>
      <c r="C2073" s="11" t="s">
        <v>10</v>
      </c>
      <c r="D2073" s="12">
        <v>45562</v>
      </c>
      <c r="E2073" s="14" t="str">
        <f>+HYPERLINK("http://trademark.i-assist.jp/data/china/image_1905th/79827056.pdf","79827056")</f>
        <v>79827056</v>
      </c>
      <c r="F2073" s="13" t="s">
        <v>3681</v>
      </c>
      <c r="G2073" s="13" t="s">
        <v>3680</v>
      </c>
      <c r="H2073" s="13" t="s">
        <v>5626</v>
      </c>
      <c r="I2073" s="12">
        <v>45489</v>
      </c>
    </row>
    <row r="2074" spans="1:9" x14ac:dyDescent="0.15">
      <c r="A2074" s="10">
        <v>2073</v>
      </c>
      <c r="B2074" s="9" t="s">
        <v>9</v>
      </c>
      <c r="C2074" s="11" t="s">
        <v>10</v>
      </c>
      <c r="D2074" s="12">
        <v>45562</v>
      </c>
      <c r="E2074" s="14" t="str">
        <f>+HYPERLINK("http://trademark.i-assist.jp/data/china/image_1905th/79835779.pdf","79835779")</f>
        <v>79835779</v>
      </c>
      <c r="F2074" s="13" t="s">
        <v>3682</v>
      </c>
      <c r="G2074" s="13" t="s">
        <v>3204</v>
      </c>
      <c r="H2074" s="13" t="s">
        <v>5461</v>
      </c>
      <c r="I2074" s="12">
        <v>45490</v>
      </c>
    </row>
    <row r="2075" spans="1:9" x14ac:dyDescent="0.15">
      <c r="A2075" s="10">
        <v>2074</v>
      </c>
      <c r="B2075" s="9" t="s">
        <v>9</v>
      </c>
      <c r="C2075" s="11" t="s">
        <v>10</v>
      </c>
      <c r="D2075" s="12">
        <v>45562</v>
      </c>
      <c r="E2075" s="14" t="str">
        <f>+HYPERLINK("http://trademark.i-assist.jp/data/china/image_1905th/79837813.pdf","79837813")</f>
        <v>79837813</v>
      </c>
      <c r="F2075" s="13" t="s">
        <v>3684</v>
      </c>
      <c r="G2075" s="13" t="s">
        <v>3683</v>
      </c>
      <c r="H2075" s="13" t="s">
        <v>5627</v>
      </c>
      <c r="I2075" s="12">
        <v>45490</v>
      </c>
    </row>
    <row r="2076" spans="1:9" x14ac:dyDescent="0.15">
      <c r="A2076" s="10">
        <v>2075</v>
      </c>
      <c r="B2076" s="9" t="s">
        <v>9</v>
      </c>
      <c r="C2076" s="11" t="s">
        <v>10</v>
      </c>
      <c r="D2076" s="12">
        <v>45562</v>
      </c>
      <c r="E2076" s="14" t="str">
        <f>+HYPERLINK("http://trademark.i-assist.jp/data/china/image_1905th/79839593.pdf","79839593")</f>
        <v>79839593</v>
      </c>
      <c r="F2076" s="13" t="s">
        <v>3686</v>
      </c>
      <c r="G2076" s="13" t="s">
        <v>3685</v>
      </c>
      <c r="H2076" s="13" t="s">
        <v>5287</v>
      </c>
      <c r="I2076" s="12">
        <v>45490</v>
      </c>
    </row>
    <row r="2077" spans="1:9" x14ac:dyDescent="0.15">
      <c r="A2077" s="10">
        <v>2076</v>
      </c>
      <c r="B2077" s="9" t="s">
        <v>9</v>
      </c>
      <c r="C2077" s="11" t="s">
        <v>10</v>
      </c>
      <c r="D2077" s="12">
        <v>45562</v>
      </c>
      <c r="E2077" s="14" t="str">
        <f>+HYPERLINK("http://trademark.i-assist.jp/data/china/image_1905th/79871235.pdf","79871235")</f>
        <v>79871235</v>
      </c>
      <c r="F2077" s="13" t="s">
        <v>3687</v>
      </c>
      <c r="G2077" s="13" t="s">
        <v>264</v>
      </c>
      <c r="H2077" s="13" t="s">
        <v>4266</v>
      </c>
      <c r="I2077" s="12">
        <v>45491</v>
      </c>
    </row>
    <row r="2078" spans="1:9" x14ac:dyDescent="0.15">
      <c r="A2078" s="10">
        <v>2077</v>
      </c>
      <c r="B2078" s="9" t="s">
        <v>9</v>
      </c>
      <c r="C2078" s="11" t="s">
        <v>10</v>
      </c>
      <c r="D2078" s="12">
        <v>45562</v>
      </c>
      <c r="E2078" s="14" t="str">
        <f>+HYPERLINK("http://trademark.i-assist.jp/data/china/image_1905th/79874157.pdf","79874157")</f>
        <v>79874157</v>
      </c>
      <c r="F2078" s="13" t="s">
        <v>3689</v>
      </c>
      <c r="G2078" s="13" t="s">
        <v>3688</v>
      </c>
      <c r="H2078" s="13" t="s">
        <v>4200</v>
      </c>
      <c r="I2078" s="12">
        <v>45491</v>
      </c>
    </row>
    <row r="2079" spans="1:9" x14ac:dyDescent="0.15">
      <c r="A2079" s="10">
        <v>2078</v>
      </c>
      <c r="B2079" s="9" t="s">
        <v>9</v>
      </c>
      <c r="C2079" s="11" t="s">
        <v>10</v>
      </c>
      <c r="D2079" s="12">
        <v>45562</v>
      </c>
      <c r="E2079" s="14" t="str">
        <f>+HYPERLINK("http://trademark.i-assist.jp/data/china/image_1905th/79880541.pdf","79880541")</f>
        <v>79880541</v>
      </c>
      <c r="F2079" s="13" t="s">
        <v>73</v>
      </c>
      <c r="G2079" s="13" t="s">
        <v>3690</v>
      </c>
      <c r="H2079" s="13" t="s">
        <v>5628</v>
      </c>
      <c r="I2079" s="12">
        <v>45491</v>
      </c>
    </row>
    <row r="2080" spans="1:9" x14ac:dyDescent="0.15">
      <c r="A2080" s="10">
        <v>2079</v>
      </c>
      <c r="B2080" s="9" t="s">
        <v>9</v>
      </c>
      <c r="C2080" s="11" t="s">
        <v>10</v>
      </c>
      <c r="D2080" s="12">
        <v>45562</v>
      </c>
      <c r="E2080" s="14" t="str">
        <f>+HYPERLINK("http://trademark.i-assist.jp/data/china/image_1905th/79641615.pdf","79641615")</f>
        <v>79641615</v>
      </c>
      <c r="F2080" s="13" t="s">
        <v>3692</v>
      </c>
      <c r="G2080" s="13" t="s">
        <v>3691</v>
      </c>
      <c r="H2080" s="13" t="s">
        <v>4200</v>
      </c>
      <c r="I2080" s="12">
        <v>45478</v>
      </c>
    </row>
    <row r="2081" spans="1:9" x14ac:dyDescent="0.15">
      <c r="A2081" s="10">
        <v>2080</v>
      </c>
      <c r="B2081" s="9" t="s">
        <v>9</v>
      </c>
      <c r="C2081" s="11" t="s">
        <v>10</v>
      </c>
      <c r="D2081" s="12">
        <v>45562</v>
      </c>
      <c r="E2081" s="14" t="str">
        <f>+HYPERLINK("http://trademark.i-assist.jp/data/china/image_1905th/79652065.pdf","79652065")</f>
        <v>79652065</v>
      </c>
      <c r="F2081" s="13" t="s">
        <v>3693</v>
      </c>
      <c r="G2081" s="13" t="s">
        <v>1622</v>
      </c>
      <c r="H2081" s="13" t="s">
        <v>5629</v>
      </c>
      <c r="I2081" s="12">
        <v>45479</v>
      </c>
    </row>
    <row r="2082" spans="1:9" x14ac:dyDescent="0.15">
      <c r="A2082" s="10">
        <v>2081</v>
      </c>
      <c r="B2082" s="9" t="s">
        <v>9</v>
      </c>
      <c r="C2082" s="11" t="s">
        <v>10</v>
      </c>
      <c r="D2082" s="12">
        <v>45562</v>
      </c>
      <c r="E2082" s="14" t="str">
        <f>+HYPERLINK("http://trademark.i-assist.jp/data/china/image_1905th/79652953.pdf","79652953")</f>
        <v>79652953</v>
      </c>
      <c r="F2082" s="13" t="s">
        <v>3694</v>
      </c>
      <c r="G2082" s="13" t="s">
        <v>425</v>
      </c>
      <c r="H2082" s="13" t="s">
        <v>5630</v>
      </c>
      <c r="I2082" s="12">
        <v>45480</v>
      </c>
    </row>
    <row r="2083" spans="1:9" x14ac:dyDescent="0.15">
      <c r="A2083" s="10">
        <v>2082</v>
      </c>
      <c r="B2083" s="9" t="s">
        <v>9</v>
      </c>
      <c r="C2083" s="11" t="s">
        <v>10</v>
      </c>
      <c r="D2083" s="12">
        <v>45562</v>
      </c>
      <c r="E2083" s="14" t="str">
        <f>+HYPERLINK("http://trademark.i-assist.jp/data/china/image_1905th/79654379.pdf","79654379")</f>
        <v>79654379</v>
      </c>
      <c r="F2083" s="13" t="s">
        <v>3695</v>
      </c>
      <c r="G2083" s="13" t="s">
        <v>425</v>
      </c>
      <c r="H2083" s="13" t="s">
        <v>5631</v>
      </c>
      <c r="I2083" s="12">
        <v>45480</v>
      </c>
    </row>
    <row r="2084" spans="1:9" x14ac:dyDescent="0.15">
      <c r="A2084" s="10">
        <v>2083</v>
      </c>
      <c r="B2084" s="9" t="s">
        <v>9</v>
      </c>
      <c r="C2084" s="11" t="s">
        <v>10</v>
      </c>
      <c r="D2084" s="12">
        <v>45562</v>
      </c>
      <c r="E2084" s="14" t="str">
        <f>+HYPERLINK("http://trademark.i-assist.jp/data/china/image_1905th/79658740.pdf","79658740")</f>
        <v>79658740</v>
      </c>
      <c r="F2084" s="13" t="s">
        <v>3697</v>
      </c>
      <c r="G2084" s="13" t="s">
        <v>3696</v>
      </c>
      <c r="H2084" s="13" t="s">
        <v>5632</v>
      </c>
      <c r="I2084" s="12">
        <v>45481</v>
      </c>
    </row>
    <row r="2085" spans="1:9" x14ac:dyDescent="0.15">
      <c r="A2085" s="10">
        <v>2084</v>
      </c>
      <c r="B2085" s="9" t="s">
        <v>9</v>
      </c>
      <c r="C2085" s="11" t="s">
        <v>10</v>
      </c>
      <c r="D2085" s="12">
        <v>45562</v>
      </c>
      <c r="E2085" s="14" t="str">
        <f>+HYPERLINK("http://trademark.i-assist.jp/data/china/image_1905th/79659854.pdf","79659854")</f>
        <v>79659854</v>
      </c>
      <c r="F2085" s="13" t="s">
        <v>3699</v>
      </c>
      <c r="G2085" s="13" t="s">
        <v>3698</v>
      </c>
      <c r="H2085" s="13" t="s">
        <v>5633</v>
      </c>
      <c r="I2085" s="12">
        <v>45481</v>
      </c>
    </row>
    <row r="2086" spans="1:9" x14ac:dyDescent="0.15">
      <c r="A2086" s="10">
        <v>2085</v>
      </c>
      <c r="B2086" s="9" t="s">
        <v>9</v>
      </c>
      <c r="C2086" s="11" t="s">
        <v>10</v>
      </c>
      <c r="D2086" s="12">
        <v>45562</v>
      </c>
      <c r="E2086" s="14" t="str">
        <f>+HYPERLINK("http://trademark.i-assist.jp/data/china/image_1905th/79661177.pdf","79661177")</f>
        <v>79661177</v>
      </c>
      <c r="F2086" s="13" t="s">
        <v>3701</v>
      </c>
      <c r="G2086" s="13" t="s">
        <v>3700</v>
      </c>
      <c r="H2086" s="13" t="s">
        <v>4278</v>
      </c>
      <c r="I2086" s="12">
        <v>45481</v>
      </c>
    </row>
    <row r="2087" spans="1:9" x14ac:dyDescent="0.15">
      <c r="A2087" s="10">
        <v>2086</v>
      </c>
      <c r="B2087" s="9" t="s">
        <v>9</v>
      </c>
      <c r="C2087" s="11" t="s">
        <v>10</v>
      </c>
      <c r="D2087" s="12">
        <v>45562</v>
      </c>
      <c r="E2087" s="14" t="str">
        <f>+HYPERLINK("http://trademark.i-assist.jp/data/china/image_1905th/79740131.pdf","79740131")</f>
        <v>79740131</v>
      </c>
      <c r="F2087" s="13" t="s">
        <v>3703</v>
      </c>
      <c r="G2087" s="13" t="s">
        <v>3702</v>
      </c>
      <c r="H2087" s="13" t="s">
        <v>4760</v>
      </c>
      <c r="I2087" s="12">
        <v>45484</v>
      </c>
    </row>
    <row r="2088" spans="1:9" x14ac:dyDescent="0.15">
      <c r="A2088" s="10">
        <v>2087</v>
      </c>
      <c r="B2088" s="9" t="s">
        <v>9</v>
      </c>
      <c r="C2088" s="11" t="s">
        <v>10</v>
      </c>
      <c r="D2088" s="12">
        <v>45562</v>
      </c>
      <c r="E2088" s="14" t="str">
        <f>+HYPERLINK("http://trademark.i-assist.jp/data/china/image_1905th/79740833.pdf","79740833")</f>
        <v>79740833</v>
      </c>
      <c r="F2088" s="13" t="s">
        <v>3704</v>
      </c>
      <c r="G2088" s="13" t="s">
        <v>605</v>
      </c>
      <c r="H2088" s="13" t="s">
        <v>4394</v>
      </c>
      <c r="I2088" s="12">
        <v>45484</v>
      </c>
    </row>
    <row r="2089" spans="1:9" x14ac:dyDescent="0.15">
      <c r="A2089" s="10">
        <v>2088</v>
      </c>
      <c r="B2089" s="9" t="s">
        <v>9</v>
      </c>
      <c r="C2089" s="11" t="s">
        <v>10</v>
      </c>
      <c r="D2089" s="12">
        <v>45562</v>
      </c>
      <c r="E2089" s="14" t="str">
        <f>+HYPERLINK("http://trademark.i-assist.jp/data/china/image_1905th/79743579.pdf","79743579")</f>
        <v>79743579</v>
      </c>
      <c r="F2089" s="13" t="s">
        <v>3706</v>
      </c>
      <c r="G2089" s="13" t="s">
        <v>3705</v>
      </c>
      <c r="H2089" s="13" t="s">
        <v>5634</v>
      </c>
      <c r="I2089" s="12">
        <v>45484</v>
      </c>
    </row>
    <row r="2090" spans="1:9" x14ac:dyDescent="0.15">
      <c r="A2090" s="10">
        <v>2089</v>
      </c>
      <c r="B2090" s="9" t="s">
        <v>9</v>
      </c>
      <c r="C2090" s="11" t="s">
        <v>10</v>
      </c>
      <c r="D2090" s="12">
        <v>45562</v>
      </c>
      <c r="E2090" s="14" t="str">
        <f>+HYPERLINK("http://trademark.i-assist.jp/data/china/image_1905th/79745967.pdf","79745967")</f>
        <v>79745967</v>
      </c>
      <c r="F2090" s="13" t="s">
        <v>3708</v>
      </c>
      <c r="G2090" s="13" t="s">
        <v>3707</v>
      </c>
      <c r="H2090" s="13" t="s">
        <v>4180</v>
      </c>
      <c r="I2090" s="12">
        <v>45484</v>
      </c>
    </row>
    <row r="2091" spans="1:9" x14ac:dyDescent="0.15">
      <c r="A2091" s="10">
        <v>2090</v>
      </c>
      <c r="B2091" s="9" t="s">
        <v>9</v>
      </c>
      <c r="C2091" s="11" t="s">
        <v>10</v>
      </c>
      <c r="D2091" s="12">
        <v>45562</v>
      </c>
      <c r="E2091" s="14" t="str">
        <f>+HYPERLINK("http://trademark.i-assist.jp/data/china/image_1905th/79747707.pdf","79747707")</f>
        <v>79747707</v>
      </c>
      <c r="F2091" s="13" t="s">
        <v>3710</v>
      </c>
      <c r="G2091" s="13" t="s">
        <v>3709</v>
      </c>
      <c r="H2091" s="13" t="s">
        <v>4200</v>
      </c>
      <c r="I2091" s="12">
        <v>45484</v>
      </c>
    </row>
    <row r="2092" spans="1:9" x14ac:dyDescent="0.15">
      <c r="A2092" s="10">
        <v>2091</v>
      </c>
      <c r="B2092" s="9" t="s">
        <v>9</v>
      </c>
      <c r="C2092" s="11" t="s">
        <v>10</v>
      </c>
      <c r="D2092" s="12">
        <v>45562</v>
      </c>
      <c r="E2092" s="14" t="str">
        <f>+HYPERLINK("http://trademark.i-assist.jp/data/china/image_1905th/79760166.pdf","79760166")</f>
        <v>79760166</v>
      </c>
      <c r="F2092" s="13" t="s">
        <v>3711</v>
      </c>
      <c r="G2092" s="13" t="s">
        <v>3309</v>
      </c>
      <c r="H2092" s="13" t="s">
        <v>5050</v>
      </c>
      <c r="I2092" s="12">
        <v>45485</v>
      </c>
    </row>
    <row r="2093" spans="1:9" x14ac:dyDescent="0.15">
      <c r="A2093" s="10">
        <v>2092</v>
      </c>
      <c r="B2093" s="9" t="s">
        <v>9</v>
      </c>
      <c r="C2093" s="11" t="s">
        <v>10</v>
      </c>
      <c r="D2093" s="12">
        <v>45562</v>
      </c>
      <c r="E2093" s="14" t="str">
        <f>+HYPERLINK("http://trademark.i-assist.jp/data/china/image_1905th/79763288.pdf","79763288")</f>
        <v>79763288</v>
      </c>
      <c r="F2093" s="13" t="s">
        <v>3713</v>
      </c>
      <c r="G2093" s="13" t="s">
        <v>3712</v>
      </c>
      <c r="H2093" s="13" t="s">
        <v>5635</v>
      </c>
      <c r="I2093" s="12">
        <v>45485</v>
      </c>
    </row>
    <row r="2094" spans="1:9" x14ac:dyDescent="0.15">
      <c r="A2094" s="10">
        <v>2093</v>
      </c>
      <c r="B2094" s="9" t="s">
        <v>9</v>
      </c>
      <c r="C2094" s="11" t="s">
        <v>10</v>
      </c>
      <c r="D2094" s="12">
        <v>45562</v>
      </c>
      <c r="E2094" s="14" t="str">
        <f>+HYPERLINK("http://trademark.i-assist.jp/data/china/image_1905th/79764025.pdf","79764025")</f>
        <v>79764025</v>
      </c>
      <c r="F2094" s="13" t="s">
        <v>3714</v>
      </c>
      <c r="G2094" s="13" t="s">
        <v>54</v>
      </c>
      <c r="H2094" s="13" t="s">
        <v>4168</v>
      </c>
      <c r="I2094" s="12">
        <v>45485</v>
      </c>
    </row>
    <row r="2095" spans="1:9" x14ac:dyDescent="0.15">
      <c r="A2095" s="10">
        <v>2094</v>
      </c>
      <c r="B2095" s="9" t="s">
        <v>9</v>
      </c>
      <c r="C2095" s="11" t="s">
        <v>10</v>
      </c>
      <c r="D2095" s="12">
        <v>45562</v>
      </c>
      <c r="E2095" s="14" t="str">
        <f>+HYPERLINK("http://trademark.i-assist.jp/data/china/image_1905th/79766956.pdf","79766956")</f>
        <v>79766956</v>
      </c>
      <c r="F2095" s="13" t="s">
        <v>3716</v>
      </c>
      <c r="G2095" s="13" t="s">
        <v>3715</v>
      </c>
      <c r="H2095" s="13" t="s">
        <v>5636</v>
      </c>
      <c r="I2095" s="12">
        <v>45485</v>
      </c>
    </row>
    <row r="2096" spans="1:9" x14ac:dyDescent="0.15">
      <c r="A2096" s="10">
        <v>2095</v>
      </c>
      <c r="B2096" s="9" t="s">
        <v>9</v>
      </c>
      <c r="C2096" s="11" t="s">
        <v>10</v>
      </c>
      <c r="D2096" s="12">
        <v>45562</v>
      </c>
      <c r="E2096" s="14" t="str">
        <f>+HYPERLINK("http://trademark.i-assist.jp/data/china/image_1905th/79772300.pdf","79772300")</f>
        <v>79772300</v>
      </c>
      <c r="F2096" s="13" t="s">
        <v>3718</v>
      </c>
      <c r="G2096" s="13" t="s">
        <v>3717</v>
      </c>
      <c r="H2096" s="13" t="s">
        <v>5637</v>
      </c>
      <c r="I2096" s="12">
        <v>45485</v>
      </c>
    </row>
    <row r="2097" spans="1:9" x14ac:dyDescent="0.15">
      <c r="A2097" s="10">
        <v>2096</v>
      </c>
      <c r="B2097" s="9" t="s">
        <v>9</v>
      </c>
      <c r="C2097" s="11" t="s">
        <v>10</v>
      </c>
      <c r="D2097" s="12">
        <v>45562</v>
      </c>
      <c r="E2097" s="14" t="str">
        <f>+HYPERLINK("http://trademark.i-assist.jp/data/china/image_1905th/79694969.pdf","79694969")</f>
        <v>79694969</v>
      </c>
      <c r="F2097" s="13" t="s">
        <v>3720</v>
      </c>
      <c r="G2097" s="13" t="s">
        <v>3719</v>
      </c>
      <c r="H2097" s="13" t="s">
        <v>5574</v>
      </c>
      <c r="I2097" s="12">
        <v>45482</v>
      </c>
    </row>
    <row r="2098" spans="1:9" x14ac:dyDescent="0.15">
      <c r="A2098" s="10">
        <v>2097</v>
      </c>
      <c r="B2098" s="9" t="s">
        <v>9</v>
      </c>
      <c r="C2098" s="11" t="s">
        <v>10</v>
      </c>
      <c r="D2098" s="12">
        <v>45562</v>
      </c>
      <c r="E2098" s="14" t="str">
        <f>+HYPERLINK("http://trademark.i-assist.jp/data/china/image_1905th/79696865.pdf","79696865")</f>
        <v>79696865</v>
      </c>
      <c r="F2098" s="13" t="s">
        <v>3722</v>
      </c>
      <c r="G2098" s="13" t="s">
        <v>3721</v>
      </c>
      <c r="H2098" s="13" t="s">
        <v>5638</v>
      </c>
      <c r="I2098" s="12">
        <v>45482</v>
      </c>
    </row>
    <row r="2099" spans="1:9" x14ac:dyDescent="0.15">
      <c r="A2099" s="10">
        <v>2098</v>
      </c>
      <c r="B2099" s="9" t="s">
        <v>9</v>
      </c>
      <c r="C2099" s="11" t="s">
        <v>10</v>
      </c>
      <c r="D2099" s="12">
        <v>45562</v>
      </c>
      <c r="E2099" s="14" t="str">
        <f>+HYPERLINK("http://trademark.i-assist.jp/data/china/image_1905th/79703058.pdf","79703058")</f>
        <v>79703058</v>
      </c>
      <c r="F2099" s="13" t="s">
        <v>3724</v>
      </c>
      <c r="G2099" s="13" t="s">
        <v>3723</v>
      </c>
      <c r="H2099" s="13" t="s">
        <v>5639</v>
      </c>
      <c r="I2099" s="12">
        <v>45482</v>
      </c>
    </row>
    <row r="2100" spans="1:9" x14ac:dyDescent="0.15">
      <c r="A2100" s="10">
        <v>2099</v>
      </c>
      <c r="B2100" s="9" t="s">
        <v>9</v>
      </c>
      <c r="C2100" s="11" t="s">
        <v>10</v>
      </c>
      <c r="D2100" s="12">
        <v>45562</v>
      </c>
      <c r="E2100" s="14" t="str">
        <f>+HYPERLINK("http://trademark.i-assist.jp/data/china/image_1905th/79705775.pdf","79705775")</f>
        <v>79705775</v>
      </c>
      <c r="F2100" s="13" t="s">
        <v>3725</v>
      </c>
      <c r="G2100" s="13" t="s">
        <v>11</v>
      </c>
      <c r="H2100" s="13" t="s">
        <v>5640</v>
      </c>
      <c r="I2100" s="12">
        <v>45483</v>
      </c>
    </row>
    <row r="2101" spans="1:9" x14ac:dyDescent="0.15">
      <c r="A2101" s="10">
        <v>2100</v>
      </c>
      <c r="B2101" s="9" t="s">
        <v>9</v>
      </c>
      <c r="C2101" s="11" t="s">
        <v>10</v>
      </c>
      <c r="D2101" s="12">
        <v>45562</v>
      </c>
      <c r="E2101" s="14" t="str">
        <f>+HYPERLINK("http://trademark.i-assist.jp/data/china/image_1905th/79709282.pdf","79709282")</f>
        <v>79709282</v>
      </c>
      <c r="F2101" s="13" t="s">
        <v>3727</v>
      </c>
      <c r="G2101" s="13" t="s">
        <v>3726</v>
      </c>
      <c r="H2101" s="13" t="s">
        <v>5641</v>
      </c>
      <c r="I2101" s="12">
        <v>45483</v>
      </c>
    </row>
    <row r="2102" spans="1:9" x14ac:dyDescent="0.15">
      <c r="A2102" s="10">
        <v>2101</v>
      </c>
      <c r="B2102" s="9" t="s">
        <v>9</v>
      </c>
      <c r="C2102" s="11" t="s">
        <v>10</v>
      </c>
      <c r="D2102" s="12">
        <v>45562</v>
      </c>
      <c r="E2102" s="14" t="str">
        <f>+HYPERLINK("http://trademark.i-assist.jp/data/china/image_1905th/79774938.pdf","79774938")</f>
        <v>79774938</v>
      </c>
      <c r="F2102" s="13" t="s">
        <v>3729</v>
      </c>
      <c r="G2102" s="13" t="s">
        <v>3728</v>
      </c>
      <c r="H2102" s="13" t="s">
        <v>5642</v>
      </c>
      <c r="I2102" s="12">
        <v>45485</v>
      </c>
    </row>
    <row r="2103" spans="1:9" x14ac:dyDescent="0.15">
      <c r="A2103" s="10">
        <v>2102</v>
      </c>
      <c r="B2103" s="9" t="s">
        <v>9</v>
      </c>
      <c r="C2103" s="11" t="s">
        <v>10</v>
      </c>
      <c r="D2103" s="12">
        <v>45562</v>
      </c>
      <c r="E2103" s="14" t="str">
        <f>+HYPERLINK("http://trademark.i-assist.jp/data/china/image_1905th/79781001.pdf","79781001")</f>
        <v>79781001</v>
      </c>
      <c r="F2103" s="13" t="s">
        <v>3731</v>
      </c>
      <c r="G2103" s="13" t="s">
        <v>3730</v>
      </c>
      <c r="H2103" s="13" t="s">
        <v>4227</v>
      </c>
      <c r="I2103" s="12">
        <v>45486</v>
      </c>
    </row>
    <row r="2104" spans="1:9" x14ac:dyDescent="0.15">
      <c r="A2104" s="10">
        <v>2103</v>
      </c>
      <c r="B2104" s="9" t="s">
        <v>9</v>
      </c>
      <c r="C2104" s="11" t="s">
        <v>10</v>
      </c>
      <c r="D2104" s="12">
        <v>45562</v>
      </c>
      <c r="E2104" s="14" t="str">
        <f>+HYPERLINK("http://trademark.i-assist.jp/data/china/image_1905th/79781670.pdf","79781670")</f>
        <v>79781670</v>
      </c>
      <c r="F2104" s="13" t="s">
        <v>3733</v>
      </c>
      <c r="G2104" s="13" t="s">
        <v>3732</v>
      </c>
      <c r="H2104" s="13" t="s">
        <v>5643</v>
      </c>
      <c r="I2104" s="12">
        <v>45486</v>
      </c>
    </row>
    <row r="2105" spans="1:9" x14ac:dyDescent="0.15">
      <c r="A2105" s="10">
        <v>2104</v>
      </c>
      <c r="B2105" s="9" t="s">
        <v>9</v>
      </c>
      <c r="C2105" s="11" t="s">
        <v>10</v>
      </c>
      <c r="D2105" s="12">
        <v>45562</v>
      </c>
      <c r="E2105" s="14" t="str">
        <f>+HYPERLINK("http://trademark.i-assist.jp/data/china/image_1905th/79792497.pdf","79792497")</f>
        <v>79792497</v>
      </c>
      <c r="F2105" s="13" t="s">
        <v>3735</v>
      </c>
      <c r="G2105" s="13" t="s">
        <v>3734</v>
      </c>
      <c r="H2105" s="13" t="s">
        <v>5644</v>
      </c>
      <c r="I2105" s="12">
        <v>45488</v>
      </c>
    </row>
    <row r="2106" spans="1:9" x14ac:dyDescent="0.15">
      <c r="A2106" s="10">
        <v>2105</v>
      </c>
      <c r="B2106" s="9" t="s">
        <v>9</v>
      </c>
      <c r="C2106" s="11" t="s">
        <v>10</v>
      </c>
      <c r="D2106" s="12">
        <v>45562</v>
      </c>
      <c r="E2106" s="14" t="str">
        <f>+HYPERLINK("http://trademark.i-assist.jp/data/china/image_1905th/79800958.pdf","79800958")</f>
        <v>79800958</v>
      </c>
      <c r="F2106" s="13" t="s">
        <v>3737</v>
      </c>
      <c r="G2106" s="13" t="s">
        <v>3736</v>
      </c>
      <c r="H2106" s="13" t="s">
        <v>5645</v>
      </c>
      <c r="I2106" s="12">
        <v>45488</v>
      </c>
    </row>
    <row r="2107" spans="1:9" x14ac:dyDescent="0.15">
      <c r="A2107" s="10">
        <v>2106</v>
      </c>
      <c r="B2107" s="9" t="s">
        <v>9</v>
      </c>
      <c r="C2107" s="11" t="s">
        <v>10</v>
      </c>
      <c r="D2107" s="12">
        <v>45562</v>
      </c>
      <c r="E2107" s="14" t="str">
        <f>+HYPERLINK("http://trademark.i-assist.jp/data/china/image_1905th/79802948.pdf","79802948")</f>
        <v>79802948</v>
      </c>
      <c r="F2107" s="13" t="s">
        <v>73</v>
      </c>
      <c r="G2107" s="13" t="s">
        <v>3738</v>
      </c>
      <c r="H2107" s="13" t="s">
        <v>5646</v>
      </c>
      <c r="I2107" s="12">
        <v>45488</v>
      </c>
    </row>
    <row r="2108" spans="1:9" x14ac:dyDescent="0.15">
      <c r="A2108" s="10">
        <v>2107</v>
      </c>
      <c r="B2108" s="9" t="s">
        <v>9</v>
      </c>
      <c r="C2108" s="11" t="s">
        <v>10</v>
      </c>
      <c r="D2108" s="12">
        <v>45562</v>
      </c>
      <c r="E2108" s="14" t="str">
        <f>+HYPERLINK("http://trademark.i-assist.jp/data/china/image_1905th/79804026.pdf","79804026")</f>
        <v>79804026</v>
      </c>
      <c r="F2108" s="13" t="s">
        <v>3739</v>
      </c>
      <c r="G2108" s="13" t="s">
        <v>2352</v>
      </c>
      <c r="H2108" s="13" t="s">
        <v>5134</v>
      </c>
      <c r="I2108" s="12">
        <v>45488</v>
      </c>
    </row>
    <row r="2109" spans="1:9" x14ac:dyDescent="0.15">
      <c r="A2109" s="10">
        <v>2108</v>
      </c>
      <c r="B2109" s="9" t="s">
        <v>9</v>
      </c>
      <c r="C2109" s="11" t="s">
        <v>10</v>
      </c>
      <c r="D2109" s="12">
        <v>45562</v>
      </c>
      <c r="E2109" s="14" t="str">
        <f>+HYPERLINK("http://trademark.i-assist.jp/data/china/image_1905th/79809599.pdf","79809599")</f>
        <v>79809599</v>
      </c>
      <c r="F2109" s="13" t="s">
        <v>3740</v>
      </c>
      <c r="G2109" s="13" t="s">
        <v>586</v>
      </c>
      <c r="H2109" s="13" t="s">
        <v>4416</v>
      </c>
      <c r="I2109" s="12">
        <v>45489</v>
      </c>
    </row>
    <row r="2110" spans="1:9" x14ac:dyDescent="0.15">
      <c r="A2110" s="10">
        <v>2109</v>
      </c>
      <c r="B2110" s="9" t="s">
        <v>9</v>
      </c>
      <c r="C2110" s="11" t="s">
        <v>10</v>
      </c>
      <c r="D2110" s="12">
        <v>45562</v>
      </c>
      <c r="E2110" s="14" t="str">
        <f>+HYPERLINK("http://trademark.i-assist.jp/data/china/image_1905th/79810018.pdf","79810018")</f>
        <v>79810018</v>
      </c>
      <c r="F2110" s="13" t="s">
        <v>3742</v>
      </c>
      <c r="G2110" s="13" t="s">
        <v>3741</v>
      </c>
      <c r="H2110" s="13" t="s">
        <v>5647</v>
      </c>
      <c r="I2110" s="12">
        <v>45489</v>
      </c>
    </row>
    <row r="2111" spans="1:9" x14ac:dyDescent="0.15">
      <c r="A2111" s="10">
        <v>2110</v>
      </c>
      <c r="B2111" s="9" t="s">
        <v>9</v>
      </c>
      <c r="C2111" s="11" t="s">
        <v>10</v>
      </c>
      <c r="D2111" s="12">
        <v>45562</v>
      </c>
      <c r="E2111" s="14" t="str">
        <f>+HYPERLINK("http://trademark.i-assist.jp/data/china/image_1905th/79829716.pdf","79829716")</f>
        <v>79829716</v>
      </c>
      <c r="F2111" s="13" t="s">
        <v>3743</v>
      </c>
      <c r="G2111" s="13" t="s">
        <v>586</v>
      </c>
      <c r="H2111" s="13" t="s">
        <v>4416</v>
      </c>
      <c r="I2111" s="12">
        <v>45489</v>
      </c>
    </row>
    <row r="2112" spans="1:9" x14ac:dyDescent="0.15">
      <c r="A2112" s="10">
        <v>2111</v>
      </c>
      <c r="B2112" s="9" t="s">
        <v>9</v>
      </c>
      <c r="C2112" s="11" t="s">
        <v>10</v>
      </c>
      <c r="D2112" s="12">
        <v>45562</v>
      </c>
      <c r="E2112" s="14" t="str">
        <f>+HYPERLINK("http://trademark.i-assist.jp/data/china/image_1905th/79841578.pdf","79841578")</f>
        <v>79841578</v>
      </c>
      <c r="F2112" s="13" t="s">
        <v>3745</v>
      </c>
      <c r="G2112" s="13" t="s">
        <v>3744</v>
      </c>
      <c r="H2112" s="13" t="s">
        <v>5648</v>
      </c>
      <c r="I2112" s="12">
        <v>45490</v>
      </c>
    </row>
    <row r="2113" spans="1:9" x14ac:dyDescent="0.15">
      <c r="A2113" s="10">
        <v>2112</v>
      </c>
      <c r="B2113" s="9" t="s">
        <v>9</v>
      </c>
      <c r="C2113" s="11" t="s">
        <v>10</v>
      </c>
      <c r="D2113" s="12">
        <v>45562</v>
      </c>
      <c r="E2113" s="14" t="str">
        <f>+HYPERLINK("http://trademark.i-assist.jp/data/china/image_1905th/79844473.pdf","79844473")</f>
        <v>79844473</v>
      </c>
      <c r="F2113" s="13" t="s">
        <v>3747</v>
      </c>
      <c r="G2113" s="13" t="s">
        <v>3746</v>
      </c>
      <c r="H2113" s="13" t="s">
        <v>5649</v>
      </c>
      <c r="I2113" s="12">
        <v>45490</v>
      </c>
    </row>
    <row r="2114" spans="1:9" x14ac:dyDescent="0.15">
      <c r="A2114" s="10">
        <v>2113</v>
      </c>
      <c r="B2114" s="9" t="s">
        <v>9</v>
      </c>
      <c r="C2114" s="11" t="s">
        <v>10</v>
      </c>
      <c r="D2114" s="12">
        <v>45562</v>
      </c>
      <c r="E2114" s="14" t="str">
        <f>+HYPERLINK("http://trademark.i-assist.jp/data/china/image_1905th/79845371.pdf","79845371")</f>
        <v>79845371</v>
      </c>
      <c r="F2114" s="13" t="s">
        <v>3749</v>
      </c>
      <c r="G2114" s="13" t="s">
        <v>3748</v>
      </c>
      <c r="H2114" s="13" t="s">
        <v>5650</v>
      </c>
      <c r="I2114" s="12">
        <v>45490</v>
      </c>
    </row>
    <row r="2115" spans="1:9" x14ac:dyDescent="0.15">
      <c r="A2115" s="10">
        <v>2114</v>
      </c>
      <c r="B2115" s="9" t="s">
        <v>9</v>
      </c>
      <c r="C2115" s="11" t="s">
        <v>10</v>
      </c>
      <c r="D2115" s="12">
        <v>45562</v>
      </c>
      <c r="E2115" s="14" t="str">
        <f>+HYPERLINK("http://trademark.i-assist.jp/data/china/image_1905th/79857875.pdf","79857875")</f>
        <v>79857875</v>
      </c>
      <c r="F2115" s="13" t="s">
        <v>3751</v>
      </c>
      <c r="G2115" s="13" t="s">
        <v>3750</v>
      </c>
      <c r="H2115" s="13" t="s">
        <v>5651</v>
      </c>
      <c r="I2115" s="12">
        <v>45491</v>
      </c>
    </row>
    <row r="2116" spans="1:9" x14ac:dyDescent="0.15">
      <c r="A2116" s="10">
        <v>2115</v>
      </c>
      <c r="B2116" s="9" t="s">
        <v>9</v>
      </c>
      <c r="C2116" s="11" t="s">
        <v>10</v>
      </c>
      <c r="D2116" s="12">
        <v>45562</v>
      </c>
      <c r="E2116" s="14" t="str">
        <f>+HYPERLINK("http://trademark.i-assist.jp/data/china/image_1905th/79864057.pdf","79864057")</f>
        <v>79864057</v>
      </c>
      <c r="F2116" s="13" t="s">
        <v>3752</v>
      </c>
      <c r="G2116" s="13" t="s">
        <v>672</v>
      </c>
      <c r="H2116" s="13" t="s">
        <v>5652</v>
      </c>
      <c r="I2116" s="12">
        <v>45491</v>
      </c>
    </row>
    <row r="2117" spans="1:9" x14ac:dyDescent="0.15">
      <c r="A2117" s="10">
        <v>2116</v>
      </c>
      <c r="B2117" s="9" t="s">
        <v>9</v>
      </c>
      <c r="C2117" s="11" t="s">
        <v>10</v>
      </c>
      <c r="D2117" s="12">
        <v>45562</v>
      </c>
      <c r="E2117" s="14" t="str">
        <f>+HYPERLINK("http://trademark.i-assist.jp/data/china/image_1905th/79864214.pdf","79864214")</f>
        <v>79864214</v>
      </c>
      <c r="F2117" s="13" t="s">
        <v>3754</v>
      </c>
      <c r="G2117" s="13" t="s">
        <v>3753</v>
      </c>
      <c r="H2117" s="13" t="s">
        <v>4200</v>
      </c>
      <c r="I2117" s="12">
        <v>45491</v>
      </c>
    </row>
    <row r="2118" spans="1:9" x14ac:dyDescent="0.15">
      <c r="A2118" s="10">
        <v>2117</v>
      </c>
      <c r="B2118" s="9" t="s">
        <v>9</v>
      </c>
      <c r="C2118" s="11" t="s">
        <v>10</v>
      </c>
      <c r="D2118" s="12">
        <v>45562</v>
      </c>
      <c r="E2118" s="14" t="str">
        <f>+HYPERLINK("http://trademark.i-assist.jp/data/china/image_1905th/79712226.pdf","79712226")</f>
        <v>79712226</v>
      </c>
      <c r="F2118" s="13" t="s">
        <v>73</v>
      </c>
      <c r="G2118" s="13" t="s">
        <v>3755</v>
      </c>
      <c r="H2118" s="13" t="s">
        <v>5653</v>
      </c>
      <c r="I2118" s="12">
        <v>45483</v>
      </c>
    </row>
    <row r="2119" spans="1:9" x14ac:dyDescent="0.15">
      <c r="A2119" s="10">
        <v>2118</v>
      </c>
      <c r="B2119" s="9" t="s">
        <v>9</v>
      </c>
      <c r="C2119" s="11" t="s">
        <v>10</v>
      </c>
      <c r="D2119" s="12">
        <v>45562</v>
      </c>
      <c r="E2119" s="14" t="str">
        <f>+HYPERLINK("http://trademark.i-assist.jp/data/china/image_1905th/79713511.pdf","79713511")</f>
        <v>79713511</v>
      </c>
      <c r="F2119" s="13" t="s">
        <v>3757</v>
      </c>
      <c r="G2119" s="13" t="s">
        <v>3756</v>
      </c>
      <c r="H2119" s="13" t="s">
        <v>5654</v>
      </c>
      <c r="I2119" s="12">
        <v>45483</v>
      </c>
    </row>
    <row r="2120" spans="1:9" x14ac:dyDescent="0.15">
      <c r="A2120" s="10">
        <v>2119</v>
      </c>
      <c r="B2120" s="9" t="s">
        <v>9</v>
      </c>
      <c r="C2120" s="11" t="s">
        <v>10</v>
      </c>
      <c r="D2120" s="12">
        <v>45562</v>
      </c>
      <c r="E2120" s="14" t="str">
        <f>+HYPERLINK("http://trademark.i-assist.jp/data/china/image_1905th/79716095.pdf","79716095")</f>
        <v>79716095</v>
      </c>
      <c r="F2120" s="13" t="s">
        <v>3759</v>
      </c>
      <c r="G2120" s="13" t="s">
        <v>3758</v>
      </c>
      <c r="H2120" s="13" t="s">
        <v>4162</v>
      </c>
      <c r="I2120" s="12">
        <v>45483</v>
      </c>
    </row>
    <row r="2121" spans="1:9" x14ac:dyDescent="0.15">
      <c r="A2121" s="10">
        <v>2120</v>
      </c>
      <c r="B2121" s="9" t="s">
        <v>9</v>
      </c>
      <c r="C2121" s="11" t="s">
        <v>10</v>
      </c>
      <c r="D2121" s="12">
        <v>45562</v>
      </c>
      <c r="E2121" s="14" t="str">
        <f>+HYPERLINK("http://trademark.i-assist.jp/data/china/image_1905th/79716367.pdf","79716367")</f>
        <v>79716367</v>
      </c>
      <c r="F2121" s="13" t="s">
        <v>3760</v>
      </c>
      <c r="G2121" s="13" t="s">
        <v>244</v>
      </c>
      <c r="H2121" s="13" t="s">
        <v>4257</v>
      </c>
      <c r="I2121" s="12">
        <v>45483</v>
      </c>
    </row>
    <row r="2122" spans="1:9" x14ac:dyDescent="0.15">
      <c r="A2122" s="10">
        <v>2121</v>
      </c>
      <c r="B2122" s="9" t="s">
        <v>9</v>
      </c>
      <c r="C2122" s="11" t="s">
        <v>10</v>
      </c>
      <c r="D2122" s="12">
        <v>45562</v>
      </c>
      <c r="E2122" s="14" t="str">
        <f>+HYPERLINK("http://trademark.i-assist.jp/data/china/image_1905th/79728609.pdf","79728609")</f>
        <v>79728609</v>
      </c>
      <c r="F2122" s="13" t="s">
        <v>3761</v>
      </c>
      <c r="G2122" s="13" t="s">
        <v>3424</v>
      </c>
      <c r="H2122" s="13" t="s">
        <v>5535</v>
      </c>
      <c r="I2122" s="12">
        <v>45484</v>
      </c>
    </row>
    <row r="2123" spans="1:9" x14ac:dyDescent="0.15">
      <c r="A2123" s="10">
        <v>2122</v>
      </c>
      <c r="B2123" s="9" t="s">
        <v>9</v>
      </c>
      <c r="C2123" s="11" t="s">
        <v>10</v>
      </c>
      <c r="D2123" s="12">
        <v>45562</v>
      </c>
      <c r="E2123" s="14" t="str">
        <f>+HYPERLINK("http://trademark.i-assist.jp/data/china/image_1905th/79728901.pdf","79728901")</f>
        <v>79728901</v>
      </c>
      <c r="F2123" s="13" t="s">
        <v>3763</v>
      </c>
      <c r="G2123" s="13" t="s">
        <v>3762</v>
      </c>
      <c r="H2123" s="13" t="s">
        <v>5655</v>
      </c>
      <c r="I2123" s="12">
        <v>45484</v>
      </c>
    </row>
    <row r="2124" spans="1:9" x14ac:dyDescent="0.15">
      <c r="A2124" s="10">
        <v>2123</v>
      </c>
      <c r="B2124" s="9" t="s">
        <v>9</v>
      </c>
      <c r="C2124" s="11" t="s">
        <v>10</v>
      </c>
      <c r="D2124" s="12">
        <v>45562</v>
      </c>
      <c r="E2124" s="14" t="str">
        <f>+HYPERLINK("http://trademark.i-assist.jp/data/china/image_1905th/79734408.pdf","79734408")</f>
        <v>79734408</v>
      </c>
      <c r="F2124" s="13" t="s">
        <v>3765</v>
      </c>
      <c r="G2124" s="13" t="s">
        <v>3764</v>
      </c>
      <c r="H2124" s="13" t="s">
        <v>5574</v>
      </c>
      <c r="I2124" s="12">
        <v>45484</v>
      </c>
    </row>
    <row r="2125" spans="1:9" x14ac:dyDescent="0.15">
      <c r="A2125" s="10">
        <v>2124</v>
      </c>
      <c r="B2125" s="9" t="s">
        <v>9</v>
      </c>
      <c r="C2125" s="11" t="s">
        <v>10</v>
      </c>
      <c r="D2125" s="12">
        <v>45562</v>
      </c>
      <c r="E2125" s="14" t="str">
        <f>+HYPERLINK("http://trademark.i-assist.jp/data/china/image_1905th/79734488.pdf","79734488")</f>
        <v>79734488</v>
      </c>
      <c r="F2125" s="13" t="s">
        <v>3767</v>
      </c>
      <c r="G2125" s="13" t="s">
        <v>3766</v>
      </c>
      <c r="H2125" s="13" t="s">
        <v>5656</v>
      </c>
      <c r="I2125" s="12">
        <v>45484</v>
      </c>
    </row>
    <row r="2126" spans="1:9" x14ac:dyDescent="0.15">
      <c r="A2126" s="10">
        <v>2125</v>
      </c>
      <c r="B2126" s="9" t="s">
        <v>9</v>
      </c>
      <c r="C2126" s="11" t="s">
        <v>10</v>
      </c>
      <c r="D2126" s="12">
        <v>45562</v>
      </c>
      <c r="E2126" s="14" t="str">
        <f>+HYPERLINK("http://trademark.i-assist.jp/data/china/image_1905th/79737280.pdf","79737280")</f>
        <v>79737280</v>
      </c>
      <c r="F2126" s="13" t="s">
        <v>3769</v>
      </c>
      <c r="G2126" s="13" t="s">
        <v>3768</v>
      </c>
      <c r="H2126" s="13" t="s">
        <v>5657</v>
      </c>
      <c r="I2126" s="12">
        <v>45484</v>
      </c>
    </row>
    <row r="2127" spans="1:9" x14ac:dyDescent="0.15">
      <c r="A2127" s="10">
        <v>2126</v>
      </c>
      <c r="B2127" s="9" t="s">
        <v>9</v>
      </c>
      <c r="C2127" s="11" t="s">
        <v>10</v>
      </c>
      <c r="D2127" s="12">
        <v>45562</v>
      </c>
      <c r="E2127" s="14" t="str">
        <f>+HYPERLINK("http://trademark.i-assist.jp/data/china/image_1905th/79739194.pdf","79739194")</f>
        <v>79739194</v>
      </c>
      <c r="F2127" s="13" t="s">
        <v>3771</v>
      </c>
      <c r="G2127" s="13" t="s">
        <v>3770</v>
      </c>
      <c r="H2127" s="13" t="s">
        <v>5658</v>
      </c>
      <c r="I2127" s="12">
        <v>45484</v>
      </c>
    </row>
    <row r="2128" spans="1:9" x14ac:dyDescent="0.15">
      <c r="A2128" s="10">
        <v>2127</v>
      </c>
      <c r="B2128" s="9" t="s">
        <v>9</v>
      </c>
      <c r="C2128" s="11" t="s">
        <v>10</v>
      </c>
      <c r="D2128" s="12">
        <v>45562</v>
      </c>
      <c r="E2128" s="14" t="str">
        <f>+HYPERLINK("http://trademark.i-assist.jp/data/china/image_1905th/78517333.pdf","78517333")</f>
        <v>78517333</v>
      </c>
      <c r="F2128" s="13" t="s">
        <v>3773</v>
      </c>
      <c r="G2128" s="13" t="s">
        <v>3772</v>
      </c>
      <c r="H2128" s="13" t="s">
        <v>5659</v>
      </c>
      <c r="I2128" s="12">
        <v>45423</v>
      </c>
    </row>
    <row r="2129" spans="1:9" x14ac:dyDescent="0.15">
      <c r="A2129" s="10">
        <v>2128</v>
      </c>
      <c r="B2129" s="9" t="s">
        <v>9</v>
      </c>
      <c r="C2129" s="11" t="s">
        <v>10</v>
      </c>
      <c r="D2129" s="12">
        <v>45562</v>
      </c>
      <c r="E2129" s="14" t="str">
        <f>+HYPERLINK("http://trademark.i-assist.jp/data/china/image_1905th/78858214.pdf","78858214")</f>
        <v>78858214</v>
      </c>
      <c r="F2129" s="13" t="s">
        <v>3775</v>
      </c>
      <c r="G2129" s="13" t="s">
        <v>3774</v>
      </c>
      <c r="H2129" s="13" t="s">
        <v>5660</v>
      </c>
      <c r="I2129" s="12">
        <v>45439</v>
      </c>
    </row>
    <row r="2130" spans="1:9" x14ac:dyDescent="0.15">
      <c r="A2130" s="10">
        <v>2129</v>
      </c>
      <c r="B2130" s="9" t="s">
        <v>9</v>
      </c>
      <c r="C2130" s="11" t="s">
        <v>10</v>
      </c>
      <c r="D2130" s="12">
        <v>45562</v>
      </c>
      <c r="E2130" s="14" t="str">
        <f>+HYPERLINK("http://trademark.i-assist.jp/data/china/image_1905th/70592689.pdf","70592689")</f>
        <v>70592689</v>
      </c>
      <c r="F2130" s="13" t="s">
        <v>3777</v>
      </c>
      <c r="G2130" s="13" t="s">
        <v>3776</v>
      </c>
      <c r="H2130" s="13" t="s">
        <v>5661</v>
      </c>
      <c r="I2130" s="12">
        <v>45016</v>
      </c>
    </row>
    <row r="2131" spans="1:9" x14ac:dyDescent="0.15">
      <c r="A2131" s="10">
        <v>2130</v>
      </c>
      <c r="B2131" s="9" t="s">
        <v>9</v>
      </c>
      <c r="C2131" s="11" t="s">
        <v>10</v>
      </c>
      <c r="D2131" s="12">
        <v>45562</v>
      </c>
      <c r="E2131" s="14" t="str">
        <f>+HYPERLINK("http://trademark.i-assist.jp/data/china/image_1905th/71563276.pdf","71563276")</f>
        <v>71563276</v>
      </c>
      <c r="F2131" s="13" t="s">
        <v>3779</v>
      </c>
      <c r="G2131" s="13" t="s">
        <v>3778</v>
      </c>
      <c r="H2131" s="13" t="s">
        <v>5662</v>
      </c>
      <c r="I2131" s="12">
        <v>45061</v>
      </c>
    </row>
    <row r="2132" spans="1:9" x14ac:dyDescent="0.15">
      <c r="A2132" s="10">
        <v>2131</v>
      </c>
      <c r="B2132" s="9" t="s">
        <v>9</v>
      </c>
      <c r="C2132" s="11" t="s">
        <v>10</v>
      </c>
      <c r="D2132" s="12">
        <v>45562</v>
      </c>
      <c r="E2132" s="14" t="str">
        <f>+HYPERLINK("http://trademark.i-assist.jp/data/china/image_1905th/72988535.pdf","72988535")</f>
        <v>72988535</v>
      </c>
      <c r="F2132" s="13" t="s">
        <v>73</v>
      </c>
      <c r="G2132" s="13" t="s">
        <v>3780</v>
      </c>
      <c r="H2132" s="13" t="s">
        <v>4233</v>
      </c>
      <c r="I2132" s="12">
        <v>45128</v>
      </c>
    </row>
    <row r="2133" spans="1:9" x14ac:dyDescent="0.15">
      <c r="A2133" s="10">
        <v>2132</v>
      </c>
      <c r="B2133" s="9" t="s">
        <v>9</v>
      </c>
      <c r="C2133" s="11" t="s">
        <v>10</v>
      </c>
      <c r="D2133" s="12">
        <v>45562</v>
      </c>
      <c r="E2133" s="14" t="str">
        <f>+HYPERLINK("http://trademark.i-assist.jp/data/china/image_1905th/79207760.pdf","79207760")</f>
        <v>79207760</v>
      </c>
      <c r="F2133" s="13" t="s">
        <v>3782</v>
      </c>
      <c r="G2133" s="13" t="s">
        <v>3781</v>
      </c>
      <c r="H2133" s="13" t="s">
        <v>5663</v>
      </c>
      <c r="I2133" s="12">
        <v>45457</v>
      </c>
    </row>
    <row r="2134" spans="1:9" x14ac:dyDescent="0.15">
      <c r="A2134" s="10">
        <v>2133</v>
      </c>
      <c r="B2134" s="9" t="s">
        <v>9</v>
      </c>
      <c r="C2134" s="11" t="s">
        <v>10</v>
      </c>
      <c r="D2134" s="12">
        <v>45562</v>
      </c>
      <c r="E2134" s="14" t="str">
        <f>+HYPERLINK("http://trademark.i-assist.jp/data/china/image_1905th/79239396.pdf","79239396")</f>
        <v>79239396</v>
      </c>
      <c r="F2134" s="13" t="s">
        <v>3784</v>
      </c>
      <c r="G2134" s="13" t="s">
        <v>3783</v>
      </c>
      <c r="H2134" s="13" t="s">
        <v>4801</v>
      </c>
      <c r="I2134" s="12">
        <v>45458</v>
      </c>
    </row>
    <row r="2135" spans="1:9" x14ac:dyDescent="0.15">
      <c r="A2135" s="10">
        <v>2134</v>
      </c>
      <c r="B2135" s="9" t="s">
        <v>9</v>
      </c>
      <c r="C2135" s="11" t="s">
        <v>10</v>
      </c>
      <c r="D2135" s="12">
        <v>45562</v>
      </c>
      <c r="E2135" s="14" t="str">
        <f>+HYPERLINK("http://trademark.i-assist.jp/data/china/image_1905th/79240686.pdf","79240686")</f>
        <v>79240686</v>
      </c>
      <c r="F2135" s="13" t="s">
        <v>3786</v>
      </c>
      <c r="G2135" s="13" t="s">
        <v>3785</v>
      </c>
      <c r="H2135" s="13" t="s">
        <v>5664</v>
      </c>
      <c r="I2135" s="12">
        <v>45459</v>
      </c>
    </row>
    <row r="2136" spans="1:9" x14ac:dyDescent="0.15">
      <c r="A2136" s="10">
        <v>2135</v>
      </c>
      <c r="B2136" s="9" t="s">
        <v>9</v>
      </c>
      <c r="C2136" s="11" t="s">
        <v>10</v>
      </c>
      <c r="D2136" s="12">
        <v>45562</v>
      </c>
      <c r="E2136" s="14" t="str">
        <f>+HYPERLINK("http://trademark.i-assist.jp/data/china/image_1905th/79248250.pdf","79248250")</f>
        <v>79248250</v>
      </c>
      <c r="F2136" s="13" t="s">
        <v>3788</v>
      </c>
      <c r="G2136" s="13" t="s">
        <v>3787</v>
      </c>
      <c r="H2136" s="13" t="s">
        <v>5665</v>
      </c>
      <c r="I2136" s="12">
        <v>45460</v>
      </c>
    </row>
    <row r="2137" spans="1:9" x14ac:dyDescent="0.15">
      <c r="A2137" s="10">
        <v>2136</v>
      </c>
      <c r="B2137" s="9" t="s">
        <v>9</v>
      </c>
      <c r="C2137" s="11" t="s">
        <v>10</v>
      </c>
      <c r="D2137" s="12">
        <v>45562</v>
      </c>
      <c r="E2137" s="14" t="str">
        <f>+HYPERLINK("http://trademark.i-assist.jp/data/china/image_1905th/79258686.pdf","79258686")</f>
        <v>79258686</v>
      </c>
      <c r="F2137" s="13" t="s">
        <v>3789</v>
      </c>
      <c r="G2137" s="13" t="s">
        <v>973</v>
      </c>
      <c r="H2137" s="13" t="s">
        <v>4578</v>
      </c>
      <c r="I2137" s="12">
        <v>45460</v>
      </c>
    </row>
    <row r="2138" spans="1:9" x14ac:dyDescent="0.15">
      <c r="A2138" s="10">
        <v>2137</v>
      </c>
      <c r="B2138" s="9" t="s">
        <v>9</v>
      </c>
      <c r="C2138" s="11" t="s">
        <v>10</v>
      </c>
      <c r="D2138" s="12">
        <v>45562</v>
      </c>
      <c r="E2138" s="14" t="str">
        <f>+HYPERLINK("http://trademark.i-assist.jp/data/china/image_1905th/79258753.pdf","79258753")</f>
        <v>79258753</v>
      </c>
      <c r="F2138" s="13" t="s">
        <v>3791</v>
      </c>
      <c r="G2138" s="13" t="s">
        <v>3790</v>
      </c>
      <c r="H2138" s="13" t="s">
        <v>5666</v>
      </c>
      <c r="I2138" s="12">
        <v>45460</v>
      </c>
    </row>
    <row r="2139" spans="1:9" x14ac:dyDescent="0.15">
      <c r="A2139" s="10">
        <v>2138</v>
      </c>
      <c r="B2139" s="9" t="s">
        <v>9</v>
      </c>
      <c r="C2139" s="11" t="s">
        <v>10</v>
      </c>
      <c r="D2139" s="12">
        <v>45562</v>
      </c>
      <c r="E2139" s="14" t="str">
        <f>+HYPERLINK("http://trademark.i-assist.jp/data/china/image_1905th/79287328.pdf","79287328")</f>
        <v>79287328</v>
      </c>
      <c r="F2139" s="13" t="s">
        <v>3793</v>
      </c>
      <c r="G2139" s="13" t="s">
        <v>3792</v>
      </c>
      <c r="H2139" s="13" t="s">
        <v>5667</v>
      </c>
      <c r="I2139" s="12">
        <v>45461</v>
      </c>
    </row>
    <row r="2140" spans="1:9" x14ac:dyDescent="0.15">
      <c r="A2140" s="10">
        <v>2139</v>
      </c>
      <c r="B2140" s="9" t="s">
        <v>9</v>
      </c>
      <c r="C2140" s="11" t="s">
        <v>10</v>
      </c>
      <c r="D2140" s="12">
        <v>45562</v>
      </c>
      <c r="E2140" s="14" t="str">
        <f>+HYPERLINK("http://trademark.i-assist.jp/data/china/image_1905th/79288246.pdf","79288246")</f>
        <v>79288246</v>
      </c>
      <c r="F2140" s="13" t="s">
        <v>3795</v>
      </c>
      <c r="G2140" s="13" t="s">
        <v>3794</v>
      </c>
      <c r="H2140" s="13" t="s">
        <v>5668</v>
      </c>
      <c r="I2140" s="12">
        <v>45461</v>
      </c>
    </row>
    <row r="2141" spans="1:9" x14ac:dyDescent="0.15">
      <c r="A2141" s="10">
        <v>2140</v>
      </c>
      <c r="B2141" s="9" t="s">
        <v>9</v>
      </c>
      <c r="C2141" s="11" t="s">
        <v>10</v>
      </c>
      <c r="D2141" s="12">
        <v>45562</v>
      </c>
      <c r="E2141" s="14" t="str">
        <f>+HYPERLINK("http://trademark.i-assist.jp/data/china/image_1905th/79296320.pdf","79296320")</f>
        <v>79296320</v>
      </c>
      <c r="F2141" s="13" t="s">
        <v>3797</v>
      </c>
      <c r="G2141" s="13" t="s">
        <v>3796</v>
      </c>
      <c r="H2141" s="13" t="s">
        <v>5669</v>
      </c>
      <c r="I2141" s="12">
        <v>45461</v>
      </c>
    </row>
    <row r="2142" spans="1:9" x14ac:dyDescent="0.15">
      <c r="A2142" s="10">
        <v>2141</v>
      </c>
      <c r="B2142" s="9" t="s">
        <v>9</v>
      </c>
      <c r="C2142" s="11" t="s">
        <v>10</v>
      </c>
      <c r="D2142" s="12">
        <v>45562</v>
      </c>
      <c r="E2142" s="14" t="str">
        <f>+HYPERLINK("http://trademark.i-assist.jp/data/china/image_1905th/79301109.pdf","79301109")</f>
        <v>79301109</v>
      </c>
      <c r="F2142" s="13" t="s">
        <v>3798</v>
      </c>
      <c r="G2142" s="13" t="s">
        <v>1364</v>
      </c>
      <c r="H2142" s="13" t="s">
        <v>4722</v>
      </c>
      <c r="I2142" s="12">
        <v>45462</v>
      </c>
    </row>
    <row r="2143" spans="1:9" x14ac:dyDescent="0.15">
      <c r="A2143" s="10">
        <v>2142</v>
      </c>
      <c r="B2143" s="9" t="s">
        <v>9</v>
      </c>
      <c r="C2143" s="11" t="s">
        <v>10</v>
      </c>
      <c r="D2143" s="12">
        <v>45562</v>
      </c>
      <c r="E2143" s="14" t="str">
        <f>+HYPERLINK("http://trademark.i-assist.jp/data/china/image_1905th/78070196.pdf","78070196")</f>
        <v>78070196</v>
      </c>
      <c r="F2143" s="13" t="s">
        <v>2212</v>
      </c>
      <c r="G2143" s="13" t="s">
        <v>2211</v>
      </c>
      <c r="H2143" s="13" t="s">
        <v>5077</v>
      </c>
      <c r="I2143" s="12">
        <v>45400</v>
      </c>
    </row>
    <row r="2144" spans="1:9" x14ac:dyDescent="0.15">
      <c r="A2144" s="10">
        <v>2143</v>
      </c>
      <c r="B2144" s="9" t="s">
        <v>9</v>
      </c>
      <c r="C2144" s="11" t="s">
        <v>10</v>
      </c>
      <c r="D2144" s="12">
        <v>45562</v>
      </c>
      <c r="E2144" s="14" t="str">
        <f>+HYPERLINK("http://trademark.i-assist.jp/data/china/image_1905th/78943226.pdf","78943226")</f>
        <v>78943226</v>
      </c>
      <c r="F2144" s="13" t="s">
        <v>3800</v>
      </c>
      <c r="G2144" s="13" t="s">
        <v>3799</v>
      </c>
      <c r="H2144" s="13" t="s">
        <v>5670</v>
      </c>
      <c r="I2144" s="12">
        <v>45442</v>
      </c>
    </row>
    <row r="2145" spans="1:9" x14ac:dyDescent="0.15">
      <c r="A2145" s="10">
        <v>2144</v>
      </c>
      <c r="B2145" s="9" t="s">
        <v>9</v>
      </c>
      <c r="C2145" s="11" t="s">
        <v>10</v>
      </c>
      <c r="D2145" s="12">
        <v>45562</v>
      </c>
      <c r="E2145" s="14" t="str">
        <f>+HYPERLINK("http://trademark.i-assist.jp/data/china/image_1905th/79067292.pdf","79067292")</f>
        <v>79067292</v>
      </c>
      <c r="F2145" s="13" t="s">
        <v>3802</v>
      </c>
      <c r="G2145" s="13" t="s">
        <v>3801</v>
      </c>
      <c r="H2145" s="13" t="s">
        <v>5671</v>
      </c>
      <c r="I2145" s="12">
        <v>45449</v>
      </c>
    </row>
    <row r="2146" spans="1:9" x14ac:dyDescent="0.15">
      <c r="A2146" s="10">
        <v>2145</v>
      </c>
      <c r="B2146" s="9" t="s">
        <v>9</v>
      </c>
      <c r="C2146" s="11" t="s">
        <v>10</v>
      </c>
      <c r="D2146" s="12">
        <v>45562</v>
      </c>
      <c r="E2146" s="14" t="str">
        <f>+HYPERLINK("http://trademark.i-assist.jp/data/china/image_1905th/79114024.pdf","79114024")</f>
        <v>79114024</v>
      </c>
      <c r="F2146" s="13" t="s">
        <v>3804</v>
      </c>
      <c r="G2146" s="13" t="s">
        <v>3803</v>
      </c>
      <c r="H2146" s="13" t="s">
        <v>5061</v>
      </c>
      <c r="I2146" s="12">
        <v>45450</v>
      </c>
    </row>
    <row r="2147" spans="1:9" x14ac:dyDescent="0.15">
      <c r="A2147" s="10">
        <v>2146</v>
      </c>
      <c r="B2147" s="9" t="s">
        <v>9</v>
      </c>
      <c r="C2147" s="11" t="s">
        <v>10</v>
      </c>
      <c r="D2147" s="12">
        <v>45562</v>
      </c>
      <c r="E2147" s="14" t="str">
        <f>+HYPERLINK("http://trademark.i-assist.jp/data/china/image_1905th/79130334.pdf","79130334")</f>
        <v>79130334</v>
      </c>
      <c r="F2147" s="13" t="s">
        <v>3806</v>
      </c>
      <c r="G2147" s="13" t="s">
        <v>3805</v>
      </c>
      <c r="H2147" s="13" t="s">
        <v>5672</v>
      </c>
      <c r="I2147" s="12">
        <v>45454</v>
      </c>
    </row>
    <row r="2148" spans="1:9" x14ac:dyDescent="0.15">
      <c r="A2148" s="10">
        <v>2147</v>
      </c>
      <c r="B2148" s="9" t="s">
        <v>9</v>
      </c>
      <c r="C2148" s="11" t="s">
        <v>10</v>
      </c>
      <c r="D2148" s="12">
        <v>45562</v>
      </c>
      <c r="E2148" s="14" t="str">
        <f>+HYPERLINK("http://trademark.i-assist.jp/data/china/image_1905th/79173462.pdf","79173462")</f>
        <v>79173462</v>
      </c>
      <c r="F2148" s="13" t="s">
        <v>73</v>
      </c>
      <c r="G2148" s="13" t="s">
        <v>3807</v>
      </c>
      <c r="H2148" s="13" t="s">
        <v>5673</v>
      </c>
      <c r="I2148" s="12">
        <v>45455</v>
      </c>
    </row>
    <row r="2149" spans="1:9" x14ac:dyDescent="0.15">
      <c r="A2149" s="10">
        <v>2148</v>
      </c>
      <c r="B2149" s="9" t="s">
        <v>9</v>
      </c>
      <c r="C2149" s="11" t="s">
        <v>10</v>
      </c>
      <c r="D2149" s="12">
        <v>45562</v>
      </c>
      <c r="E2149" s="14" t="str">
        <f>+HYPERLINK("http://trademark.i-assist.jp/data/china/image_1905th/79177401.pdf","79177401")</f>
        <v>79177401</v>
      </c>
      <c r="F2149" s="13" t="s">
        <v>3809</v>
      </c>
      <c r="G2149" s="13" t="s">
        <v>3808</v>
      </c>
      <c r="H2149" s="13" t="s">
        <v>5674</v>
      </c>
      <c r="I2149" s="12">
        <v>45455</v>
      </c>
    </row>
    <row r="2150" spans="1:9" x14ac:dyDescent="0.15">
      <c r="A2150" s="10">
        <v>2149</v>
      </c>
      <c r="B2150" s="9" t="s">
        <v>9</v>
      </c>
      <c r="C2150" s="11" t="s">
        <v>10</v>
      </c>
      <c r="D2150" s="12">
        <v>45562</v>
      </c>
      <c r="E2150" s="14" t="str">
        <f>+HYPERLINK("http://trademark.i-assist.jp/data/china/image_1905th/79183469.pdf","79183469")</f>
        <v>79183469</v>
      </c>
      <c r="F2150" s="13" t="s">
        <v>3811</v>
      </c>
      <c r="G2150" s="13" t="s">
        <v>3810</v>
      </c>
      <c r="H2150" s="13" t="s">
        <v>5554</v>
      </c>
      <c r="I2150" s="12">
        <v>45456</v>
      </c>
    </row>
    <row r="2151" spans="1:9" x14ac:dyDescent="0.15">
      <c r="A2151" s="10">
        <v>2150</v>
      </c>
      <c r="B2151" s="9" t="s">
        <v>9</v>
      </c>
      <c r="C2151" s="11" t="s">
        <v>10</v>
      </c>
      <c r="D2151" s="12">
        <v>45562</v>
      </c>
      <c r="E2151" s="14" t="str">
        <f>+HYPERLINK("http://trademark.i-assist.jp/data/china/image_1905th/75221424.pdf","75221424")</f>
        <v>75221424</v>
      </c>
      <c r="F2151" s="13" t="s">
        <v>3813</v>
      </c>
      <c r="G2151" s="13" t="s">
        <v>3812</v>
      </c>
      <c r="H2151" s="13" t="s">
        <v>5675</v>
      </c>
      <c r="I2151" s="12">
        <v>45246</v>
      </c>
    </row>
    <row r="2152" spans="1:9" x14ac:dyDescent="0.15">
      <c r="A2152" s="10">
        <v>2151</v>
      </c>
      <c r="B2152" s="9" t="s">
        <v>9</v>
      </c>
      <c r="C2152" s="11" t="s">
        <v>10</v>
      </c>
      <c r="D2152" s="12">
        <v>45562</v>
      </c>
      <c r="E2152" s="14" t="str">
        <f>+HYPERLINK("http://trademark.i-assist.jp/data/china/image_1905th/75501543.pdf","75501543")</f>
        <v>75501543</v>
      </c>
      <c r="F2152" s="13" t="s">
        <v>3815</v>
      </c>
      <c r="G2152" s="13" t="s">
        <v>3814</v>
      </c>
      <c r="H2152" s="13" t="s">
        <v>5034</v>
      </c>
      <c r="I2152" s="12">
        <v>45260</v>
      </c>
    </row>
    <row r="2153" spans="1:9" x14ac:dyDescent="0.15">
      <c r="A2153" s="10">
        <v>2152</v>
      </c>
      <c r="B2153" s="9" t="s">
        <v>9</v>
      </c>
      <c r="C2153" s="11" t="s">
        <v>10</v>
      </c>
      <c r="D2153" s="12">
        <v>45562</v>
      </c>
      <c r="E2153" s="14" t="str">
        <f>+HYPERLINK("http://trademark.i-assist.jp/data/china/image_1905th/76886521.pdf","76886521")</f>
        <v>76886521</v>
      </c>
      <c r="F2153" s="13" t="s">
        <v>3817</v>
      </c>
      <c r="G2153" s="13" t="s">
        <v>3816</v>
      </c>
      <c r="H2153" s="13" t="s">
        <v>5676</v>
      </c>
      <c r="I2153" s="12">
        <v>45343</v>
      </c>
    </row>
    <row r="2154" spans="1:9" x14ac:dyDescent="0.15">
      <c r="A2154" s="10">
        <v>2153</v>
      </c>
      <c r="B2154" s="9" t="s">
        <v>9</v>
      </c>
      <c r="C2154" s="11" t="s">
        <v>10</v>
      </c>
      <c r="D2154" s="12">
        <v>45562</v>
      </c>
      <c r="E2154" s="14" t="str">
        <f>+HYPERLINK("http://trademark.i-assist.jp/data/china/image_1905th/79640549.pdf","79640549")</f>
        <v>79640549</v>
      </c>
      <c r="F2154" s="13" t="s">
        <v>3819</v>
      </c>
      <c r="G2154" s="13" t="s">
        <v>3818</v>
      </c>
      <c r="H2154" s="13" t="s">
        <v>4200</v>
      </c>
      <c r="I2154" s="12">
        <v>45478</v>
      </c>
    </row>
    <row r="2155" spans="1:9" x14ac:dyDescent="0.15">
      <c r="A2155" s="10">
        <v>2154</v>
      </c>
      <c r="B2155" s="9" t="s">
        <v>9</v>
      </c>
      <c r="C2155" s="11" t="s">
        <v>10</v>
      </c>
      <c r="D2155" s="12">
        <v>45562</v>
      </c>
      <c r="E2155" s="14" t="str">
        <f>+HYPERLINK("http://trademark.i-assist.jp/data/china/image_1905th/79644810.pdf","79644810")</f>
        <v>79644810</v>
      </c>
      <c r="F2155" s="13" t="s">
        <v>3821</v>
      </c>
      <c r="G2155" s="13" t="s">
        <v>3820</v>
      </c>
      <c r="H2155" s="13" t="s">
        <v>5677</v>
      </c>
      <c r="I2155" s="12">
        <v>45478</v>
      </c>
    </row>
    <row r="2156" spans="1:9" x14ac:dyDescent="0.15">
      <c r="A2156" s="10">
        <v>2155</v>
      </c>
      <c r="B2156" s="9" t="s">
        <v>9</v>
      </c>
      <c r="C2156" s="11" t="s">
        <v>10</v>
      </c>
      <c r="D2156" s="12">
        <v>45562</v>
      </c>
      <c r="E2156" s="14" t="str">
        <f>+HYPERLINK("http://trademark.i-assist.jp/data/china/image_1905th/79651415.pdf","79651415")</f>
        <v>79651415</v>
      </c>
      <c r="F2156" s="13" t="s">
        <v>3823</v>
      </c>
      <c r="G2156" s="13" t="s">
        <v>3822</v>
      </c>
      <c r="H2156" s="13" t="s">
        <v>5678</v>
      </c>
      <c r="I2156" s="12">
        <v>45479</v>
      </c>
    </row>
    <row r="2157" spans="1:9" x14ac:dyDescent="0.15">
      <c r="A2157" s="10">
        <v>2156</v>
      </c>
      <c r="B2157" s="9" t="s">
        <v>9</v>
      </c>
      <c r="C2157" s="11" t="s">
        <v>10</v>
      </c>
      <c r="D2157" s="12">
        <v>45562</v>
      </c>
      <c r="E2157" s="14" t="str">
        <f>+HYPERLINK("http://trademark.i-assist.jp/data/china/image_1905th/79652769.pdf","79652769")</f>
        <v>79652769</v>
      </c>
      <c r="F2157" s="13" t="s">
        <v>3825</v>
      </c>
      <c r="G2157" s="13" t="s">
        <v>3824</v>
      </c>
      <c r="H2157" s="13" t="s">
        <v>5679</v>
      </c>
      <c r="I2157" s="12">
        <v>45479</v>
      </c>
    </row>
    <row r="2158" spans="1:9" x14ac:dyDescent="0.15">
      <c r="A2158" s="10">
        <v>2157</v>
      </c>
      <c r="B2158" s="9" t="s">
        <v>9</v>
      </c>
      <c r="C2158" s="11" t="s">
        <v>10</v>
      </c>
      <c r="D2158" s="12">
        <v>45562</v>
      </c>
      <c r="E2158" s="14" t="str">
        <f>+HYPERLINK("http://trademark.i-assist.jp/data/china/image_1905th/79653573.pdf","79653573")</f>
        <v>79653573</v>
      </c>
      <c r="F2158" s="13" t="s">
        <v>3695</v>
      </c>
      <c r="G2158" s="13" t="s">
        <v>425</v>
      </c>
      <c r="H2158" s="13" t="s">
        <v>5680</v>
      </c>
      <c r="I2158" s="12">
        <v>45480</v>
      </c>
    </row>
    <row r="2159" spans="1:9" x14ac:dyDescent="0.15">
      <c r="A2159" s="10">
        <v>2158</v>
      </c>
      <c r="B2159" s="9" t="s">
        <v>9</v>
      </c>
      <c r="C2159" s="11" t="s">
        <v>10</v>
      </c>
      <c r="D2159" s="12">
        <v>45562</v>
      </c>
      <c r="E2159" s="14" t="str">
        <f>+HYPERLINK("http://trademark.i-assist.jp/data/china/image_1905th/79654792.pdf","79654792")</f>
        <v>79654792</v>
      </c>
      <c r="F2159" s="13" t="s">
        <v>3826</v>
      </c>
      <c r="G2159" s="13" t="s">
        <v>687</v>
      </c>
      <c r="H2159" s="13" t="s">
        <v>4456</v>
      </c>
      <c r="I2159" s="12">
        <v>45480</v>
      </c>
    </row>
    <row r="2160" spans="1:9" x14ac:dyDescent="0.15">
      <c r="A2160" s="10">
        <v>2159</v>
      </c>
      <c r="B2160" s="9" t="s">
        <v>9</v>
      </c>
      <c r="C2160" s="11" t="s">
        <v>10</v>
      </c>
      <c r="D2160" s="12">
        <v>45562</v>
      </c>
      <c r="E2160" s="14" t="str">
        <f>+HYPERLINK("http://trademark.i-assist.jp/data/china/image_1905th/79658113.pdf","79658113")</f>
        <v>79658113</v>
      </c>
      <c r="F2160" s="13" t="s">
        <v>3828</v>
      </c>
      <c r="G2160" s="13" t="s">
        <v>3827</v>
      </c>
      <c r="H2160" s="13" t="s">
        <v>5681</v>
      </c>
      <c r="I2160" s="12">
        <v>45481</v>
      </c>
    </row>
    <row r="2161" spans="1:9" x14ac:dyDescent="0.15">
      <c r="A2161" s="10">
        <v>2160</v>
      </c>
      <c r="B2161" s="9" t="s">
        <v>9</v>
      </c>
      <c r="C2161" s="11" t="s">
        <v>10</v>
      </c>
      <c r="D2161" s="12">
        <v>45562</v>
      </c>
      <c r="E2161" s="14" t="str">
        <f>+HYPERLINK("http://trademark.i-assist.jp/data/china/image_1905th/79660822.pdf","79660822")</f>
        <v>79660822</v>
      </c>
      <c r="F2161" s="13" t="s">
        <v>3830</v>
      </c>
      <c r="G2161" s="13" t="s">
        <v>3829</v>
      </c>
      <c r="H2161" s="13" t="s">
        <v>5682</v>
      </c>
      <c r="I2161" s="12">
        <v>45481</v>
      </c>
    </row>
    <row r="2162" spans="1:9" x14ac:dyDescent="0.15">
      <c r="A2162" s="10">
        <v>2161</v>
      </c>
      <c r="B2162" s="9" t="s">
        <v>9</v>
      </c>
      <c r="C2162" s="11" t="s">
        <v>10</v>
      </c>
      <c r="D2162" s="12">
        <v>45562</v>
      </c>
      <c r="E2162" s="14" t="str">
        <f>+HYPERLINK("http://trademark.i-assist.jp/data/china/image_1905th/79516984.pdf","79516984")</f>
        <v>79516984</v>
      </c>
      <c r="F2162" s="13" t="s">
        <v>3832</v>
      </c>
      <c r="G2162" s="13" t="s">
        <v>3831</v>
      </c>
      <c r="H2162" s="13" t="s">
        <v>5683</v>
      </c>
      <c r="I2162" s="12">
        <v>45472</v>
      </c>
    </row>
    <row r="2163" spans="1:9" x14ac:dyDescent="0.15">
      <c r="A2163" s="10">
        <v>2162</v>
      </c>
      <c r="B2163" s="9" t="s">
        <v>9</v>
      </c>
      <c r="C2163" s="11" t="s">
        <v>10</v>
      </c>
      <c r="D2163" s="12">
        <v>45562</v>
      </c>
      <c r="E2163" s="14" t="str">
        <f>+HYPERLINK("http://trademark.i-assist.jp/data/china/image_1905th/79518497.pdf","79518497")</f>
        <v>79518497</v>
      </c>
      <c r="F2163" s="13" t="s">
        <v>3834</v>
      </c>
      <c r="G2163" s="13" t="s">
        <v>3833</v>
      </c>
      <c r="H2163" s="13" t="s">
        <v>5684</v>
      </c>
      <c r="I2163" s="12">
        <v>45472</v>
      </c>
    </row>
    <row r="2164" spans="1:9" x14ac:dyDescent="0.15">
      <c r="A2164" s="10">
        <v>2163</v>
      </c>
      <c r="B2164" s="9" t="s">
        <v>9</v>
      </c>
      <c r="C2164" s="11" t="s">
        <v>10</v>
      </c>
      <c r="D2164" s="12">
        <v>45562</v>
      </c>
      <c r="E2164" s="14" t="str">
        <f>+HYPERLINK("http://trademark.i-assist.jp/data/china/image_1905th/79526888.pdf","79526888")</f>
        <v>79526888</v>
      </c>
      <c r="F2164" s="13" t="s">
        <v>3836</v>
      </c>
      <c r="G2164" s="13" t="s">
        <v>3835</v>
      </c>
      <c r="H2164" s="13" t="s">
        <v>5098</v>
      </c>
      <c r="I2164" s="12">
        <v>45474</v>
      </c>
    </row>
    <row r="2165" spans="1:9" x14ac:dyDescent="0.15">
      <c r="A2165" s="10">
        <v>2164</v>
      </c>
      <c r="B2165" s="9" t="s">
        <v>9</v>
      </c>
      <c r="C2165" s="11" t="s">
        <v>10</v>
      </c>
      <c r="D2165" s="12">
        <v>45562</v>
      </c>
      <c r="E2165" s="14" t="str">
        <f>+HYPERLINK("http://trademark.i-assist.jp/data/china/image_1905th/79527896.pdf","79527896")</f>
        <v>79527896</v>
      </c>
      <c r="F2165" s="13" t="s">
        <v>3837</v>
      </c>
      <c r="G2165" s="13" t="s">
        <v>801</v>
      </c>
      <c r="H2165" s="13" t="s">
        <v>4328</v>
      </c>
      <c r="I2165" s="12">
        <v>45474</v>
      </c>
    </row>
    <row r="2166" spans="1:9" x14ac:dyDescent="0.15">
      <c r="A2166" s="10">
        <v>2165</v>
      </c>
      <c r="B2166" s="9" t="s">
        <v>9</v>
      </c>
      <c r="C2166" s="11" t="s">
        <v>10</v>
      </c>
      <c r="D2166" s="12">
        <v>45562</v>
      </c>
      <c r="E2166" s="14" t="str">
        <f>+HYPERLINK("http://trademark.i-assist.jp/data/china/image_1905th/79532398.pdf","79532398")</f>
        <v>79532398</v>
      </c>
      <c r="F2166" s="13" t="s">
        <v>3838</v>
      </c>
      <c r="G2166" s="13" t="s">
        <v>2839</v>
      </c>
      <c r="H2166" s="13" t="s">
        <v>5326</v>
      </c>
      <c r="I2166" s="12">
        <v>45474</v>
      </c>
    </row>
    <row r="2167" spans="1:9" x14ac:dyDescent="0.15">
      <c r="A2167" s="10">
        <v>2166</v>
      </c>
      <c r="B2167" s="9" t="s">
        <v>9</v>
      </c>
      <c r="C2167" s="11" t="s">
        <v>10</v>
      </c>
      <c r="D2167" s="12">
        <v>45562</v>
      </c>
      <c r="E2167" s="14" t="str">
        <f>+HYPERLINK("http://trademark.i-assist.jp/data/china/image_1905th/79534690.pdf","79534690")</f>
        <v>79534690</v>
      </c>
      <c r="F2167" s="13" t="s">
        <v>3840</v>
      </c>
      <c r="G2167" s="13" t="s">
        <v>3839</v>
      </c>
      <c r="H2167" s="13" t="s">
        <v>5685</v>
      </c>
      <c r="I2167" s="12">
        <v>45474</v>
      </c>
    </row>
    <row r="2168" spans="1:9" x14ac:dyDescent="0.15">
      <c r="A2168" s="10">
        <v>2167</v>
      </c>
      <c r="B2168" s="9" t="s">
        <v>9</v>
      </c>
      <c r="C2168" s="11" t="s">
        <v>10</v>
      </c>
      <c r="D2168" s="12">
        <v>45562</v>
      </c>
      <c r="E2168" s="14" t="str">
        <f>+HYPERLINK("http://trademark.i-assist.jp/data/china/image_1905th/79544441.pdf","79544441")</f>
        <v>79544441</v>
      </c>
      <c r="F2168" s="13" t="s">
        <v>3842</v>
      </c>
      <c r="G2168" s="13" t="s">
        <v>3841</v>
      </c>
      <c r="H2168" s="13" t="s">
        <v>5686</v>
      </c>
      <c r="I2168" s="12">
        <v>45474</v>
      </c>
    </row>
    <row r="2169" spans="1:9" x14ac:dyDescent="0.15">
      <c r="A2169" s="10">
        <v>2168</v>
      </c>
      <c r="B2169" s="9" t="s">
        <v>9</v>
      </c>
      <c r="C2169" s="11" t="s">
        <v>10</v>
      </c>
      <c r="D2169" s="12">
        <v>45562</v>
      </c>
      <c r="E2169" s="14" t="str">
        <f>+HYPERLINK("http://trademark.i-assist.jp/data/china/image_1905th/79550399.pdf","79550399")</f>
        <v>79550399</v>
      </c>
      <c r="F2169" s="13" t="s">
        <v>3844</v>
      </c>
      <c r="G2169" s="13" t="s">
        <v>3843</v>
      </c>
      <c r="H2169" s="13" t="s">
        <v>5687</v>
      </c>
      <c r="I2169" s="12">
        <v>45474</v>
      </c>
    </row>
    <row r="2170" spans="1:9" x14ac:dyDescent="0.15">
      <c r="A2170" s="10">
        <v>2169</v>
      </c>
      <c r="B2170" s="9" t="s">
        <v>9</v>
      </c>
      <c r="C2170" s="11" t="s">
        <v>10</v>
      </c>
      <c r="D2170" s="12">
        <v>45562</v>
      </c>
      <c r="E2170" s="14" t="str">
        <f>+HYPERLINK("http://trademark.i-assist.jp/data/china/image_1905th/79394314.pdf","79394314")</f>
        <v>79394314</v>
      </c>
      <c r="F2170" s="13" t="s">
        <v>3846</v>
      </c>
      <c r="G2170" s="13" t="s">
        <v>3845</v>
      </c>
      <c r="H2170" s="13" t="s">
        <v>5688</v>
      </c>
      <c r="I2170" s="12">
        <v>45467</v>
      </c>
    </row>
    <row r="2171" spans="1:9" x14ac:dyDescent="0.15">
      <c r="A2171" s="10">
        <v>2170</v>
      </c>
      <c r="B2171" s="9" t="s">
        <v>9</v>
      </c>
      <c r="C2171" s="11" t="s">
        <v>10</v>
      </c>
      <c r="D2171" s="12">
        <v>45562</v>
      </c>
      <c r="E2171" s="14" t="str">
        <f>+HYPERLINK("http://trademark.i-assist.jp/data/china/image_1905th/79406020.pdf","79406020")</f>
        <v>79406020</v>
      </c>
      <c r="F2171" s="13" t="s">
        <v>3848</v>
      </c>
      <c r="G2171" s="13" t="s">
        <v>3847</v>
      </c>
      <c r="H2171" s="13" t="s">
        <v>5689</v>
      </c>
      <c r="I2171" s="12">
        <v>45467</v>
      </c>
    </row>
    <row r="2172" spans="1:9" x14ac:dyDescent="0.15">
      <c r="A2172" s="10">
        <v>2171</v>
      </c>
      <c r="B2172" s="9" t="s">
        <v>9</v>
      </c>
      <c r="C2172" s="11" t="s">
        <v>10</v>
      </c>
      <c r="D2172" s="12">
        <v>45562</v>
      </c>
      <c r="E2172" s="14" t="str">
        <f>+HYPERLINK("http://trademark.i-assist.jp/data/china/image_1905th/79445257.pdf","79445257")</f>
        <v>79445257</v>
      </c>
      <c r="F2172" s="13" t="s">
        <v>3849</v>
      </c>
      <c r="G2172" s="13" t="s">
        <v>2545</v>
      </c>
      <c r="H2172" s="13" t="s">
        <v>5211</v>
      </c>
      <c r="I2172" s="12">
        <v>45469</v>
      </c>
    </row>
    <row r="2173" spans="1:9" x14ac:dyDescent="0.15">
      <c r="A2173" s="10">
        <v>2172</v>
      </c>
      <c r="B2173" s="9" t="s">
        <v>9</v>
      </c>
      <c r="C2173" s="11" t="s">
        <v>10</v>
      </c>
      <c r="D2173" s="12">
        <v>45562</v>
      </c>
      <c r="E2173" s="14" t="str">
        <f>+HYPERLINK("http://trademark.i-assist.jp/data/china/image_1905th/79451090.pdf","79451090")</f>
        <v>79451090</v>
      </c>
      <c r="F2173" s="13" t="s">
        <v>3851</v>
      </c>
      <c r="G2173" s="13" t="s">
        <v>3850</v>
      </c>
      <c r="H2173" s="13" t="s">
        <v>5690</v>
      </c>
      <c r="I2173" s="12">
        <v>45469</v>
      </c>
    </row>
    <row r="2174" spans="1:9" x14ac:dyDescent="0.15">
      <c r="A2174" s="10">
        <v>2173</v>
      </c>
      <c r="B2174" s="9" t="s">
        <v>9</v>
      </c>
      <c r="C2174" s="11" t="s">
        <v>10</v>
      </c>
      <c r="D2174" s="12">
        <v>45562</v>
      </c>
      <c r="E2174" s="14" t="str">
        <f>+HYPERLINK("http://trademark.i-assist.jp/data/china/image_1905th/79454964.pdf","79454964")</f>
        <v>79454964</v>
      </c>
      <c r="F2174" s="13" t="s">
        <v>3852</v>
      </c>
      <c r="G2174" s="13" t="s">
        <v>360</v>
      </c>
      <c r="H2174" s="13" t="s">
        <v>4310</v>
      </c>
      <c r="I2174" s="12">
        <v>45469</v>
      </c>
    </row>
    <row r="2175" spans="1:9" x14ac:dyDescent="0.15">
      <c r="A2175" s="10">
        <v>2174</v>
      </c>
      <c r="B2175" s="9" t="s">
        <v>9</v>
      </c>
      <c r="C2175" s="11" t="s">
        <v>10</v>
      </c>
      <c r="D2175" s="12">
        <v>45562</v>
      </c>
      <c r="E2175" s="14" t="str">
        <f>+HYPERLINK("http://trademark.i-assist.jp/data/china/image_1905th/79462547.pdf","79462547")</f>
        <v>79462547</v>
      </c>
      <c r="F2175" s="13" t="s">
        <v>3854</v>
      </c>
      <c r="G2175" s="13" t="s">
        <v>3853</v>
      </c>
      <c r="H2175" s="13" t="s">
        <v>5580</v>
      </c>
      <c r="I2175" s="12">
        <v>45469</v>
      </c>
    </row>
    <row r="2176" spans="1:9" x14ac:dyDescent="0.15">
      <c r="A2176" s="10">
        <v>2175</v>
      </c>
      <c r="B2176" s="9" t="s">
        <v>9</v>
      </c>
      <c r="C2176" s="11" t="s">
        <v>10</v>
      </c>
      <c r="D2176" s="12">
        <v>45562</v>
      </c>
      <c r="E2176" s="14" t="str">
        <f>+HYPERLINK("http://trademark.i-assist.jp/data/china/image_1905th/79319214.pdf","79319214")</f>
        <v>79319214</v>
      </c>
      <c r="F2176" s="13" t="s">
        <v>3855</v>
      </c>
      <c r="G2176" s="13" t="s">
        <v>1515</v>
      </c>
      <c r="H2176" s="13" t="s">
        <v>4786</v>
      </c>
      <c r="I2176" s="12">
        <v>45462</v>
      </c>
    </row>
    <row r="2177" spans="1:9" x14ac:dyDescent="0.15">
      <c r="A2177" s="10">
        <v>2176</v>
      </c>
      <c r="B2177" s="9" t="s">
        <v>9</v>
      </c>
      <c r="C2177" s="11" t="s">
        <v>10</v>
      </c>
      <c r="D2177" s="12">
        <v>45562</v>
      </c>
      <c r="E2177" s="14" t="str">
        <f>+HYPERLINK("http://trademark.i-assist.jp/data/china/image_1905th/79323896.pdf","79323896")</f>
        <v>79323896</v>
      </c>
      <c r="F2177" s="13" t="s">
        <v>3857</v>
      </c>
      <c r="G2177" s="13" t="s">
        <v>3856</v>
      </c>
      <c r="H2177" s="13" t="s">
        <v>4720</v>
      </c>
      <c r="I2177" s="12">
        <v>45462</v>
      </c>
    </row>
    <row r="2178" spans="1:9" x14ac:dyDescent="0.15">
      <c r="A2178" s="10">
        <v>2177</v>
      </c>
      <c r="B2178" s="9" t="s">
        <v>9</v>
      </c>
      <c r="C2178" s="11" t="s">
        <v>10</v>
      </c>
      <c r="D2178" s="12">
        <v>45562</v>
      </c>
      <c r="E2178" s="14" t="str">
        <f>+HYPERLINK("http://trademark.i-assist.jp/data/china/image_1905th/79326682.pdf","79326682")</f>
        <v>79326682</v>
      </c>
      <c r="F2178" s="13" t="s">
        <v>3859</v>
      </c>
      <c r="G2178" s="13" t="s">
        <v>3858</v>
      </c>
      <c r="H2178" s="13" t="s">
        <v>5691</v>
      </c>
      <c r="I2178" s="12">
        <v>45463</v>
      </c>
    </row>
    <row r="2179" spans="1:9" x14ac:dyDescent="0.15">
      <c r="A2179" s="10">
        <v>2178</v>
      </c>
      <c r="B2179" s="9" t="s">
        <v>9</v>
      </c>
      <c r="C2179" s="11" t="s">
        <v>10</v>
      </c>
      <c r="D2179" s="12">
        <v>45562</v>
      </c>
      <c r="E2179" s="14" t="str">
        <f>+HYPERLINK("http://trademark.i-assist.jp/data/china/image_1905th/79329969.pdf","79329969")</f>
        <v>79329969</v>
      </c>
      <c r="F2179" s="13" t="s">
        <v>3861</v>
      </c>
      <c r="G2179" s="13" t="s">
        <v>3860</v>
      </c>
      <c r="H2179" s="13" t="s">
        <v>4212</v>
      </c>
      <c r="I2179" s="12">
        <v>45463</v>
      </c>
    </row>
    <row r="2180" spans="1:9" x14ac:dyDescent="0.15">
      <c r="A2180" s="10">
        <v>2179</v>
      </c>
      <c r="B2180" s="9" t="s">
        <v>9</v>
      </c>
      <c r="C2180" s="11" t="s">
        <v>10</v>
      </c>
      <c r="D2180" s="12">
        <v>45562</v>
      </c>
      <c r="E2180" s="14" t="str">
        <f>+HYPERLINK("http://trademark.i-assist.jp/data/china/image_1905th/79330972.pdf","79330972")</f>
        <v>79330972</v>
      </c>
      <c r="F2180" s="13" t="s">
        <v>3863</v>
      </c>
      <c r="G2180" s="13" t="s">
        <v>3862</v>
      </c>
      <c r="H2180" s="13" t="s">
        <v>5692</v>
      </c>
      <c r="I2180" s="12">
        <v>45463</v>
      </c>
    </row>
    <row r="2181" spans="1:9" x14ac:dyDescent="0.15">
      <c r="A2181" s="10">
        <v>2180</v>
      </c>
      <c r="B2181" s="9" t="s">
        <v>9</v>
      </c>
      <c r="C2181" s="11" t="s">
        <v>10</v>
      </c>
      <c r="D2181" s="12">
        <v>45562</v>
      </c>
      <c r="E2181" s="14" t="str">
        <f>+HYPERLINK("http://trademark.i-assist.jp/data/china/image_1905th/79351158.pdf","79351158")</f>
        <v>79351158</v>
      </c>
      <c r="F2181" s="13" t="s">
        <v>3864</v>
      </c>
      <c r="G2181" s="13" t="s">
        <v>899</v>
      </c>
      <c r="H2181" s="13" t="s">
        <v>4549</v>
      </c>
      <c r="I2181" s="12">
        <v>45464</v>
      </c>
    </row>
    <row r="2182" spans="1:9" x14ac:dyDescent="0.15">
      <c r="A2182" s="10">
        <v>2181</v>
      </c>
      <c r="B2182" s="9" t="s">
        <v>9</v>
      </c>
      <c r="C2182" s="11" t="s">
        <v>10</v>
      </c>
      <c r="D2182" s="12">
        <v>45562</v>
      </c>
      <c r="E2182" s="14" t="str">
        <f>+HYPERLINK("http://trademark.i-assist.jp/data/china/image_1905th/79355066.pdf","79355066")</f>
        <v>79355066</v>
      </c>
      <c r="F2182" s="13" t="s">
        <v>3865</v>
      </c>
      <c r="G2182" s="13" t="s">
        <v>1880</v>
      </c>
      <c r="H2182" s="13" t="s">
        <v>4939</v>
      </c>
      <c r="I2182" s="12">
        <v>45464</v>
      </c>
    </row>
    <row r="2183" spans="1:9" x14ac:dyDescent="0.15">
      <c r="A2183" s="10">
        <v>2182</v>
      </c>
      <c r="B2183" s="9" t="s">
        <v>9</v>
      </c>
      <c r="C2183" s="11" t="s">
        <v>10</v>
      </c>
      <c r="D2183" s="12">
        <v>45562</v>
      </c>
      <c r="E2183" s="14" t="str">
        <f>+HYPERLINK("http://trademark.i-assist.jp/data/china/image_1905th/79355531.pdf","79355531")</f>
        <v>79355531</v>
      </c>
      <c r="F2183" s="13" t="s">
        <v>3866</v>
      </c>
      <c r="G2183" s="13" t="s">
        <v>2233</v>
      </c>
      <c r="H2183" s="13" t="s">
        <v>5086</v>
      </c>
      <c r="I2183" s="12">
        <v>45464</v>
      </c>
    </row>
    <row r="2184" spans="1:9" x14ac:dyDescent="0.15">
      <c r="A2184" s="10">
        <v>2183</v>
      </c>
      <c r="B2184" s="9" t="s">
        <v>9</v>
      </c>
      <c r="C2184" s="11" t="s">
        <v>10</v>
      </c>
      <c r="D2184" s="12">
        <v>45562</v>
      </c>
      <c r="E2184" s="14" t="str">
        <f>+HYPERLINK("http://trademark.i-assist.jp/data/china/image_1905th/79357915.pdf","79357915")</f>
        <v>79357915</v>
      </c>
      <c r="F2184" s="13" t="s">
        <v>3868</v>
      </c>
      <c r="G2184" s="13" t="s">
        <v>3867</v>
      </c>
      <c r="H2184" s="13" t="s">
        <v>5693</v>
      </c>
      <c r="I2184" s="12">
        <v>45464</v>
      </c>
    </row>
    <row r="2185" spans="1:9" x14ac:dyDescent="0.15">
      <c r="A2185" s="10">
        <v>2184</v>
      </c>
      <c r="B2185" s="9" t="s">
        <v>9</v>
      </c>
      <c r="C2185" s="11" t="s">
        <v>10</v>
      </c>
      <c r="D2185" s="12">
        <v>45562</v>
      </c>
      <c r="E2185" s="14" t="str">
        <f>+HYPERLINK("http://trademark.i-assist.jp/data/china/image_1905th/79358579.pdf","79358579")</f>
        <v>79358579</v>
      </c>
      <c r="F2185" s="13" t="s">
        <v>3870</v>
      </c>
      <c r="G2185" s="13" t="s">
        <v>3869</v>
      </c>
      <c r="H2185" s="13" t="s">
        <v>5694</v>
      </c>
      <c r="I2185" s="12">
        <v>45464</v>
      </c>
    </row>
    <row r="2186" spans="1:9" x14ac:dyDescent="0.15">
      <c r="A2186" s="10">
        <v>2185</v>
      </c>
      <c r="B2186" s="9" t="s">
        <v>9</v>
      </c>
      <c r="C2186" s="11" t="s">
        <v>10</v>
      </c>
      <c r="D2186" s="12">
        <v>45562</v>
      </c>
      <c r="E2186" s="14" t="str">
        <f>+HYPERLINK("http://trademark.i-assist.jp/data/china/image_1905th/79362290.pdf","79362290")</f>
        <v>79362290</v>
      </c>
      <c r="F2186" s="13" t="s">
        <v>3872</v>
      </c>
      <c r="G2186" s="13" t="s">
        <v>3871</v>
      </c>
      <c r="H2186" s="13" t="s">
        <v>5695</v>
      </c>
      <c r="I2186" s="12">
        <v>45464</v>
      </c>
    </row>
    <row r="2187" spans="1:9" x14ac:dyDescent="0.15">
      <c r="A2187" s="10">
        <v>2186</v>
      </c>
      <c r="B2187" s="9" t="s">
        <v>9</v>
      </c>
      <c r="C2187" s="11" t="s">
        <v>10</v>
      </c>
      <c r="D2187" s="12">
        <v>45562</v>
      </c>
      <c r="E2187" s="14" t="str">
        <f>+HYPERLINK("http://trademark.i-assist.jp/data/china/image_1905th/79377365.pdf","79377365")</f>
        <v>79377365</v>
      </c>
      <c r="F2187" s="13" t="s">
        <v>2759</v>
      </c>
      <c r="G2187" s="13" t="s">
        <v>2758</v>
      </c>
      <c r="H2187" s="13" t="s">
        <v>5696</v>
      </c>
      <c r="I2187" s="12">
        <v>45465</v>
      </c>
    </row>
    <row r="2188" spans="1:9" x14ac:dyDescent="0.15">
      <c r="A2188" s="10">
        <v>2187</v>
      </c>
      <c r="B2188" s="9" t="s">
        <v>9</v>
      </c>
      <c r="C2188" s="11" t="s">
        <v>10</v>
      </c>
      <c r="D2188" s="12">
        <v>45562</v>
      </c>
      <c r="E2188" s="14" t="str">
        <f>+HYPERLINK("http://trademark.i-assist.jp/data/china/image_1905th/79390393.pdf","79390393")</f>
        <v>79390393</v>
      </c>
      <c r="F2188" s="13" t="s">
        <v>3874</v>
      </c>
      <c r="G2188" s="13" t="s">
        <v>3873</v>
      </c>
      <c r="H2188" s="13" t="s">
        <v>4440</v>
      </c>
      <c r="I2188" s="12">
        <v>45467</v>
      </c>
    </row>
    <row r="2189" spans="1:9" x14ac:dyDescent="0.15">
      <c r="A2189" s="10">
        <v>2188</v>
      </c>
      <c r="B2189" s="9" t="s">
        <v>9</v>
      </c>
      <c r="C2189" s="11" t="s">
        <v>10</v>
      </c>
      <c r="D2189" s="12">
        <v>45562</v>
      </c>
      <c r="E2189" s="14" t="str">
        <f>+HYPERLINK("http://trademark.i-assist.jp/data/china/image_1905th/79687730.pdf","79687730")</f>
        <v>79687730</v>
      </c>
      <c r="F2189" s="13" t="s">
        <v>3876</v>
      </c>
      <c r="G2189" s="13" t="s">
        <v>3875</v>
      </c>
      <c r="H2189" s="13" t="s">
        <v>5124</v>
      </c>
      <c r="I2189" s="12">
        <v>45482</v>
      </c>
    </row>
    <row r="2190" spans="1:9" x14ac:dyDescent="0.15">
      <c r="A2190" s="10">
        <v>2189</v>
      </c>
      <c r="B2190" s="9" t="s">
        <v>9</v>
      </c>
      <c r="C2190" s="11" t="s">
        <v>10</v>
      </c>
      <c r="D2190" s="12">
        <v>45562</v>
      </c>
      <c r="E2190" s="14" t="str">
        <f>+HYPERLINK("http://trademark.i-assist.jp/data/china/image_1905th/79688338.pdf","79688338")</f>
        <v>79688338</v>
      </c>
      <c r="F2190" s="13" t="s">
        <v>3878</v>
      </c>
      <c r="G2190" s="13" t="s">
        <v>3877</v>
      </c>
      <c r="H2190" s="13" t="s">
        <v>5697</v>
      </c>
      <c r="I2190" s="12">
        <v>45482</v>
      </c>
    </row>
    <row r="2191" spans="1:9" x14ac:dyDescent="0.15">
      <c r="A2191" s="10">
        <v>2190</v>
      </c>
      <c r="B2191" s="9" t="s">
        <v>9</v>
      </c>
      <c r="C2191" s="11" t="s">
        <v>10</v>
      </c>
      <c r="D2191" s="12">
        <v>45562</v>
      </c>
      <c r="E2191" s="14" t="str">
        <f>+HYPERLINK("http://trademark.i-assist.jp/data/china/image_1905th/79693778.pdf","79693778")</f>
        <v>79693778</v>
      </c>
      <c r="F2191" s="13" t="s">
        <v>3880</v>
      </c>
      <c r="G2191" s="13" t="s">
        <v>3879</v>
      </c>
      <c r="H2191" s="13" t="s">
        <v>4162</v>
      </c>
      <c r="I2191" s="12">
        <v>45482</v>
      </c>
    </row>
    <row r="2192" spans="1:9" x14ac:dyDescent="0.15">
      <c r="A2192" s="10">
        <v>2191</v>
      </c>
      <c r="B2192" s="9" t="s">
        <v>9</v>
      </c>
      <c r="C2192" s="11" t="s">
        <v>10</v>
      </c>
      <c r="D2192" s="12">
        <v>45562</v>
      </c>
      <c r="E2192" s="14" t="str">
        <f>+HYPERLINK("http://trademark.i-assist.jp/data/china/image_1905th/79698801.pdf","79698801")</f>
        <v>79698801</v>
      </c>
      <c r="F2192" s="13" t="s">
        <v>3881</v>
      </c>
      <c r="G2192" s="13" t="s">
        <v>1719</v>
      </c>
      <c r="H2192" s="13" t="s">
        <v>4877</v>
      </c>
      <c r="I2192" s="12">
        <v>45482</v>
      </c>
    </row>
    <row r="2193" spans="1:9" x14ac:dyDescent="0.15">
      <c r="A2193" s="10">
        <v>2192</v>
      </c>
      <c r="B2193" s="9" t="s">
        <v>9</v>
      </c>
      <c r="C2193" s="11" t="s">
        <v>10</v>
      </c>
      <c r="D2193" s="12">
        <v>45562</v>
      </c>
      <c r="E2193" s="14" t="str">
        <f>+HYPERLINK("http://trademark.i-assist.jp/data/china/image_1905th/79704755.pdf","79704755")</f>
        <v>79704755</v>
      </c>
      <c r="F2193" s="13" t="s">
        <v>3882</v>
      </c>
      <c r="G2193" s="13" t="s">
        <v>3418</v>
      </c>
      <c r="H2193" s="13" t="s">
        <v>4150</v>
      </c>
      <c r="I2193" s="12">
        <v>45483</v>
      </c>
    </row>
    <row r="2194" spans="1:9" x14ac:dyDescent="0.15">
      <c r="A2194" s="10">
        <v>2193</v>
      </c>
      <c r="B2194" s="9" t="s">
        <v>9</v>
      </c>
      <c r="C2194" s="11" t="s">
        <v>10</v>
      </c>
      <c r="D2194" s="12">
        <v>45562</v>
      </c>
      <c r="E2194" s="14" t="str">
        <f>+HYPERLINK("http://trademark.i-assist.jp/data/china/image_1905th/79706690.pdf","79706690")</f>
        <v>79706690</v>
      </c>
      <c r="F2194" s="13" t="s">
        <v>3884</v>
      </c>
      <c r="G2194" s="13" t="s">
        <v>3883</v>
      </c>
      <c r="H2194" s="13" t="s">
        <v>5698</v>
      </c>
      <c r="I2194" s="12">
        <v>45483</v>
      </c>
    </row>
    <row r="2195" spans="1:9" x14ac:dyDescent="0.15">
      <c r="A2195" s="10">
        <v>2194</v>
      </c>
      <c r="B2195" s="9" t="s">
        <v>9</v>
      </c>
      <c r="C2195" s="11" t="s">
        <v>10</v>
      </c>
      <c r="D2195" s="12">
        <v>45562</v>
      </c>
      <c r="E2195" s="14" t="str">
        <f>+HYPERLINK("http://trademark.i-assist.jp/data/china/image_1905th/79711246.pdf","79711246")</f>
        <v>79711246</v>
      </c>
      <c r="F2195" s="13" t="s">
        <v>3886</v>
      </c>
      <c r="G2195" s="13" t="s">
        <v>3885</v>
      </c>
      <c r="H2195" s="13" t="s">
        <v>4822</v>
      </c>
      <c r="I2195" s="12">
        <v>45483</v>
      </c>
    </row>
    <row r="2196" spans="1:9" x14ac:dyDescent="0.15">
      <c r="A2196" s="10">
        <v>2195</v>
      </c>
      <c r="B2196" s="9" t="s">
        <v>9</v>
      </c>
      <c r="C2196" s="11" t="s">
        <v>10</v>
      </c>
      <c r="D2196" s="12">
        <v>45562</v>
      </c>
      <c r="E2196" s="14" t="str">
        <f>+HYPERLINK("http://trademark.i-assist.jp/data/china/image_1905th/79711572.pdf","79711572")</f>
        <v>79711572</v>
      </c>
      <c r="F2196" s="13" t="s">
        <v>3887</v>
      </c>
      <c r="G2196" s="13" t="s">
        <v>13</v>
      </c>
      <c r="H2196" s="13" t="s">
        <v>4148</v>
      </c>
      <c r="I2196" s="12">
        <v>45483</v>
      </c>
    </row>
    <row r="2197" spans="1:9" x14ac:dyDescent="0.15">
      <c r="A2197" s="10">
        <v>2196</v>
      </c>
      <c r="B2197" s="9" t="s">
        <v>9</v>
      </c>
      <c r="C2197" s="11" t="s">
        <v>10</v>
      </c>
      <c r="D2197" s="12">
        <v>45562</v>
      </c>
      <c r="E2197" s="14" t="str">
        <f>+HYPERLINK("http://trademark.i-assist.jp/data/china/image_1905th/79711554.pdf","79711554")</f>
        <v>79711554</v>
      </c>
      <c r="F2197" s="13" t="s">
        <v>3889</v>
      </c>
      <c r="G2197" s="13" t="s">
        <v>3888</v>
      </c>
      <c r="H2197" s="13" t="s">
        <v>5699</v>
      </c>
      <c r="I2197" s="12">
        <v>45483</v>
      </c>
    </row>
    <row r="2198" spans="1:9" x14ac:dyDescent="0.15">
      <c r="A2198" s="10">
        <v>2197</v>
      </c>
      <c r="B2198" s="9" t="s">
        <v>9</v>
      </c>
      <c r="C2198" s="11" t="s">
        <v>10</v>
      </c>
      <c r="D2198" s="12">
        <v>45562</v>
      </c>
      <c r="E2198" s="14" t="str">
        <f>+HYPERLINK("http://trademark.i-assist.jp/data/china/image_1905th/79608516.pdf","79608516")</f>
        <v>79608516</v>
      </c>
      <c r="F2198" s="13" t="s">
        <v>3891</v>
      </c>
      <c r="G2198" s="13" t="s">
        <v>3890</v>
      </c>
      <c r="H2198" s="13" t="s">
        <v>5700</v>
      </c>
      <c r="I2198" s="12">
        <v>45477</v>
      </c>
    </row>
    <row r="2199" spans="1:9" x14ac:dyDescent="0.15">
      <c r="A2199" s="10">
        <v>2198</v>
      </c>
      <c r="B2199" s="9" t="s">
        <v>9</v>
      </c>
      <c r="C2199" s="11" t="s">
        <v>10</v>
      </c>
      <c r="D2199" s="12">
        <v>45562</v>
      </c>
      <c r="E2199" s="14" t="str">
        <f>+HYPERLINK("http://trademark.i-assist.jp/data/china/image_1905th/79613873.pdf","79613873")</f>
        <v>79613873</v>
      </c>
      <c r="F2199" s="13" t="s">
        <v>3892</v>
      </c>
      <c r="G2199" s="13" t="s">
        <v>1712</v>
      </c>
      <c r="H2199" s="13" t="s">
        <v>4874</v>
      </c>
      <c r="I2199" s="12">
        <v>45477</v>
      </c>
    </row>
    <row r="2200" spans="1:9" x14ac:dyDescent="0.15">
      <c r="A2200" s="10">
        <v>2199</v>
      </c>
      <c r="B2200" s="9" t="s">
        <v>9</v>
      </c>
      <c r="C2200" s="11" t="s">
        <v>10</v>
      </c>
      <c r="D2200" s="12">
        <v>45562</v>
      </c>
      <c r="E2200" s="14" t="str">
        <f>+HYPERLINK("http://trademark.i-assist.jp/data/china/image_1905th/79619087.pdf","79619087")</f>
        <v>79619087</v>
      </c>
      <c r="F2200" s="13" t="s">
        <v>3288</v>
      </c>
      <c r="G2200" s="13" t="s">
        <v>3287</v>
      </c>
      <c r="H2200" s="13" t="s">
        <v>5490</v>
      </c>
      <c r="I2200" s="12">
        <v>45477</v>
      </c>
    </row>
    <row r="2201" spans="1:9" x14ac:dyDescent="0.15">
      <c r="A2201" s="10">
        <v>2200</v>
      </c>
      <c r="B2201" s="9" t="s">
        <v>9</v>
      </c>
      <c r="C2201" s="11" t="s">
        <v>10</v>
      </c>
      <c r="D2201" s="12">
        <v>45562</v>
      </c>
      <c r="E2201" s="14" t="str">
        <f>+HYPERLINK("http://trademark.i-assist.jp/data/china/image_1905th/79620846.pdf","79620846")</f>
        <v>79620846</v>
      </c>
      <c r="F2201" s="13" t="s">
        <v>3894</v>
      </c>
      <c r="G2201" s="13" t="s">
        <v>3893</v>
      </c>
      <c r="H2201" s="13" t="s">
        <v>5701</v>
      </c>
      <c r="I2201" s="12">
        <v>45477</v>
      </c>
    </row>
    <row r="2202" spans="1:9" x14ac:dyDescent="0.15">
      <c r="A2202" s="10">
        <v>2201</v>
      </c>
      <c r="B2202" s="9" t="s">
        <v>9</v>
      </c>
      <c r="C2202" s="11" t="s">
        <v>10</v>
      </c>
      <c r="D2202" s="12">
        <v>45562</v>
      </c>
      <c r="E2202" s="14" t="str">
        <f>+HYPERLINK("http://trademark.i-assist.jp/data/china/image_1905th/79621166.pdf","79621166")</f>
        <v>79621166</v>
      </c>
      <c r="F2202" s="13" t="s">
        <v>3896</v>
      </c>
      <c r="G2202" s="13" t="s">
        <v>3895</v>
      </c>
      <c r="H2202" s="13" t="s">
        <v>5702</v>
      </c>
      <c r="I2202" s="12">
        <v>45477</v>
      </c>
    </row>
    <row r="2203" spans="1:9" x14ac:dyDescent="0.15">
      <c r="A2203" s="10">
        <v>2202</v>
      </c>
      <c r="B2203" s="9" t="s">
        <v>9</v>
      </c>
      <c r="C2203" s="11" t="s">
        <v>10</v>
      </c>
      <c r="D2203" s="12">
        <v>45562</v>
      </c>
      <c r="E2203" s="14" t="str">
        <f>+HYPERLINK("http://trademark.i-assist.jp/data/china/image_1905th/79626130.pdf","79626130")</f>
        <v>79626130</v>
      </c>
      <c r="F2203" s="13" t="s">
        <v>3898</v>
      </c>
      <c r="G2203" s="13" t="s">
        <v>3897</v>
      </c>
      <c r="H2203" s="13" t="s">
        <v>5703</v>
      </c>
      <c r="I2203" s="12">
        <v>45478</v>
      </c>
    </row>
    <row r="2204" spans="1:9" x14ac:dyDescent="0.15">
      <c r="A2204" s="10">
        <v>2203</v>
      </c>
      <c r="B2204" s="9" t="s">
        <v>9</v>
      </c>
      <c r="C2204" s="11" t="s">
        <v>10</v>
      </c>
      <c r="D2204" s="12">
        <v>45562</v>
      </c>
      <c r="E2204" s="14" t="str">
        <f>+HYPERLINK("http://trademark.i-assist.jp/data/china/image_1905th/79630481.pdf","79630481")</f>
        <v>79630481</v>
      </c>
      <c r="F2204" s="13" t="s">
        <v>3899</v>
      </c>
      <c r="G2204" s="13" t="s">
        <v>228</v>
      </c>
      <c r="H2204" s="13" t="s">
        <v>4250</v>
      </c>
      <c r="I2204" s="12">
        <v>45478</v>
      </c>
    </row>
    <row r="2205" spans="1:9" x14ac:dyDescent="0.15">
      <c r="A2205" s="10">
        <v>2204</v>
      </c>
      <c r="B2205" s="9" t="s">
        <v>9</v>
      </c>
      <c r="C2205" s="11" t="s">
        <v>10</v>
      </c>
      <c r="D2205" s="12">
        <v>45562</v>
      </c>
      <c r="E2205" s="14" t="str">
        <f>+HYPERLINK("http://trademark.i-assist.jp/data/china/image_1905th/79632474.pdf","79632474")</f>
        <v>79632474</v>
      </c>
      <c r="F2205" s="13" t="s">
        <v>73</v>
      </c>
      <c r="G2205" s="13" t="s">
        <v>3900</v>
      </c>
      <c r="H2205" s="13" t="s">
        <v>5704</v>
      </c>
      <c r="I2205" s="12">
        <v>45478</v>
      </c>
    </row>
    <row r="2206" spans="1:9" x14ac:dyDescent="0.15">
      <c r="A2206" s="10">
        <v>2205</v>
      </c>
      <c r="B2206" s="9" t="s">
        <v>9</v>
      </c>
      <c r="C2206" s="11" t="s">
        <v>10</v>
      </c>
      <c r="D2206" s="12">
        <v>45562</v>
      </c>
      <c r="E2206" s="14" t="str">
        <f>+HYPERLINK("http://trademark.i-assist.jp/data/china/image_1905th/79566294.pdf","79566294")</f>
        <v>79566294</v>
      </c>
      <c r="F2206" s="13" t="s">
        <v>3901</v>
      </c>
      <c r="G2206" s="13" t="s">
        <v>2638</v>
      </c>
      <c r="H2206" s="13" t="s">
        <v>5243</v>
      </c>
      <c r="I2206" s="12">
        <v>45475</v>
      </c>
    </row>
    <row r="2207" spans="1:9" x14ac:dyDescent="0.15">
      <c r="A2207" s="10">
        <v>2206</v>
      </c>
      <c r="B2207" s="9" t="s">
        <v>9</v>
      </c>
      <c r="C2207" s="11" t="s">
        <v>10</v>
      </c>
      <c r="D2207" s="12">
        <v>45562</v>
      </c>
      <c r="E2207" s="14" t="str">
        <f>+HYPERLINK("http://trademark.i-assist.jp/data/china/image_1905th/79571646.pdf","79571646")</f>
        <v>79571646</v>
      </c>
      <c r="F2207" s="13" t="s">
        <v>3903</v>
      </c>
      <c r="G2207" s="13" t="s">
        <v>3902</v>
      </c>
      <c r="H2207" s="13" t="s">
        <v>4203</v>
      </c>
      <c r="I2207" s="12">
        <v>45475</v>
      </c>
    </row>
    <row r="2208" spans="1:9" x14ac:dyDescent="0.15">
      <c r="A2208" s="10">
        <v>2207</v>
      </c>
      <c r="B2208" s="9" t="s">
        <v>9</v>
      </c>
      <c r="C2208" s="11" t="s">
        <v>10</v>
      </c>
      <c r="D2208" s="12">
        <v>45562</v>
      </c>
      <c r="E2208" s="14" t="str">
        <f>+HYPERLINK("http://trademark.i-assist.jp/data/china/image_1905th/79571971.pdf","79571971")</f>
        <v>79571971</v>
      </c>
      <c r="F2208" s="13" t="s">
        <v>3905</v>
      </c>
      <c r="G2208" s="13" t="s">
        <v>3904</v>
      </c>
      <c r="H2208" s="13" t="s">
        <v>5705</v>
      </c>
      <c r="I2208" s="12">
        <v>45475</v>
      </c>
    </row>
    <row r="2209" spans="1:9" x14ac:dyDescent="0.15">
      <c r="A2209" s="10">
        <v>2208</v>
      </c>
      <c r="B2209" s="9" t="s">
        <v>9</v>
      </c>
      <c r="C2209" s="11" t="s">
        <v>10</v>
      </c>
      <c r="D2209" s="12">
        <v>45562</v>
      </c>
      <c r="E2209" s="14" t="str">
        <f>+HYPERLINK("http://trademark.i-assist.jp/data/china/image_1905th/79577038.pdf","79577038")</f>
        <v>79577038</v>
      </c>
      <c r="F2209" s="13" t="s">
        <v>3907</v>
      </c>
      <c r="G2209" s="13" t="s">
        <v>3906</v>
      </c>
      <c r="H2209" s="13" t="s">
        <v>5706</v>
      </c>
      <c r="I2209" s="12">
        <v>45476</v>
      </c>
    </row>
    <row r="2210" spans="1:9" x14ac:dyDescent="0.15">
      <c r="A2210" s="10">
        <v>2209</v>
      </c>
      <c r="B2210" s="9" t="s">
        <v>9</v>
      </c>
      <c r="C2210" s="11" t="s">
        <v>10</v>
      </c>
      <c r="D2210" s="12">
        <v>45562</v>
      </c>
      <c r="E2210" s="14" t="str">
        <f>+HYPERLINK("http://trademark.i-assist.jp/data/china/image_1905th/79586104.pdf","79586104")</f>
        <v>79586104</v>
      </c>
      <c r="F2210" s="13" t="s">
        <v>73</v>
      </c>
      <c r="G2210" s="13" t="s">
        <v>3908</v>
      </c>
      <c r="H2210" s="13" t="s">
        <v>5160</v>
      </c>
      <c r="I2210" s="12">
        <v>45476</v>
      </c>
    </row>
    <row r="2211" spans="1:9" x14ac:dyDescent="0.15">
      <c r="A2211" s="10">
        <v>2210</v>
      </c>
      <c r="B2211" s="9" t="s">
        <v>9</v>
      </c>
      <c r="C2211" s="11" t="s">
        <v>10</v>
      </c>
      <c r="D2211" s="12">
        <v>45562</v>
      </c>
      <c r="E2211" s="14" t="str">
        <f>+HYPERLINK("http://trademark.i-assist.jp/data/china/image_1905th/79596537.pdf","79596537")</f>
        <v>79596537</v>
      </c>
      <c r="F2211" s="13" t="s">
        <v>3909</v>
      </c>
      <c r="G2211" s="13" t="s">
        <v>1224</v>
      </c>
      <c r="H2211" s="13" t="s">
        <v>4162</v>
      </c>
      <c r="I2211" s="12">
        <v>45476</v>
      </c>
    </row>
    <row r="2212" spans="1:9" x14ac:dyDescent="0.15">
      <c r="A2212" s="10">
        <v>2211</v>
      </c>
      <c r="B2212" s="9" t="s">
        <v>9</v>
      </c>
      <c r="C2212" s="11" t="s">
        <v>10</v>
      </c>
      <c r="D2212" s="12">
        <v>45562</v>
      </c>
      <c r="E2212" s="14" t="str">
        <f>+HYPERLINK("http://trademark.i-assist.jp/data/china/image_1905th/79600355.pdf","79600355")</f>
        <v>79600355</v>
      </c>
      <c r="F2212" s="13" t="s">
        <v>3911</v>
      </c>
      <c r="G2212" s="13" t="s">
        <v>3910</v>
      </c>
      <c r="H2212" s="13" t="s">
        <v>5707</v>
      </c>
      <c r="I2212" s="12">
        <v>45477</v>
      </c>
    </row>
    <row r="2213" spans="1:9" x14ac:dyDescent="0.15">
      <c r="A2213" s="10">
        <v>2212</v>
      </c>
      <c r="B2213" s="9" t="s">
        <v>9</v>
      </c>
      <c r="C2213" s="11" t="s">
        <v>10</v>
      </c>
      <c r="D2213" s="12">
        <v>45562</v>
      </c>
      <c r="E2213" s="14" t="str">
        <f>+HYPERLINK("http://trademark.i-assist.jp/data/china/image_1905th/79474846.pdf","79474846")</f>
        <v>79474846</v>
      </c>
      <c r="F2213" s="13" t="s">
        <v>3913</v>
      </c>
      <c r="G2213" s="13" t="s">
        <v>3912</v>
      </c>
      <c r="H2213" s="13" t="s">
        <v>5708</v>
      </c>
      <c r="I2213" s="12">
        <v>45470</v>
      </c>
    </row>
    <row r="2214" spans="1:9" x14ac:dyDescent="0.15">
      <c r="A2214" s="10">
        <v>2213</v>
      </c>
      <c r="B2214" s="9" t="s">
        <v>9</v>
      </c>
      <c r="C2214" s="11" t="s">
        <v>10</v>
      </c>
      <c r="D2214" s="12">
        <v>45562</v>
      </c>
      <c r="E2214" s="14" t="str">
        <f>+HYPERLINK("http://trademark.i-assist.jp/data/china/image_1905th/79491382.pdf","79491382")</f>
        <v>79491382</v>
      </c>
      <c r="F2214" s="13" t="s">
        <v>3915</v>
      </c>
      <c r="G2214" s="13" t="s">
        <v>3914</v>
      </c>
      <c r="H2214" s="13" t="s">
        <v>5709</v>
      </c>
      <c r="I2214" s="12">
        <v>45471</v>
      </c>
    </row>
    <row r="2215" spans="1:9" x14ac:dyDescent="0.15">
      <c r="A2215" s="10">
        <v>2214</v>
      </c>
      <c r="B2215" s="9" t="s">
        <v>9</v>
      </c>
      <c r="C2215" s="11" t="s">
        <v>10</v>
      </c>
      <c r="D2215" s="12">
        <v>45562</v>
      </c>
      <c r="E2215" s="14" t="str">
        <f>+HYPERLINK("http://trademark.i-assist.jp/data/china/image_1905th/79499528.pdf","79499528")</f>
        <v>79499528</v>
      </c>
      <c r="F2215" s="13" t="s">
        <v>3917</v>
      </c>
      <c r="G2215" s="13" t="s">
        <v>3916</v>
      </c>
      <c r="H2215" s="13" t="s">
        <v>5710</v>
      </c>
      <c r="I2215" s="12">
        <v>45471</v>
      </c>
    </row>
    <row r="2216" spans="1:9" x14ac:dyDescent="0.15">
      <c r="A2216" s="10">
        <v>2215</v>
      </c>
      <c r="B2216" s="9" t="s">
        <v>9</v>
      </c>
      <c r="C2216" s="11" t="s">
        <v>10</v>
      </c>
      <c r="D2216" s="12">
        <v>45562</v>
      </c>
      <c r="E2216" s="14" t="str">
        <f>+HYPERLINK("http://trademark.i-assist.jp/data/china/image_1905th/79513611.pdf","79513611")</f>
        <v>79513611</v>
      </c>
      <c r="F2216" s="13" t="s">
        <v>3919</v>
      </c>
      <c r="G2216" s="13" t="s">
        <v>3918</v>
      </c>
      <c r="H2216" s="13" t="s">
        <v>5711</v>
      </c>
      <c r="I2216" s="12">
        <v>45471</v>
      </c>
    </row>
    <row r="2217" spans="1:9" x14ac:dyDescent="0.15">
      <c r="A2217" s="10">
        <v>2216</v>
      </c>
      <c r="B2217" s="9" t="s">
        <v>9</v>
      </c>
      <c r="C2217" s="11" t="s">
        <v>10</v>
      </c>
      <c r="D2217" s="12">
        <v>45562</v>
      </c>
      <c r="E2217" s="14" t="str">
        <f>+HYPERLINK("http://trademark.i-assist.jp/data/china/image_1905th/79514580.pdf","79514580")</f>
        <v>79514580</v>
      </c>
      <c r="F2217" s="13" t="s">
        <v>3921</v>
      </c>
      <c r="G2217" s="13" t="s">
        <v>3920</v>
      </c>
      <c r="H2217" s="13" t="s">
        <v>5712</v>
      </c>
      <c r="I2217" s="12">
        <v>45471</v>
      </c>
    </row>
    <row r="2218" spans="1:9" x14ac:dyDescent="0.15">
      <c r="A2218" s="10">
        <v>2217</v>
      </c>
      <c r="B2218" s="9" t="s">
        <v>9</v>
      </c>
      <c r="C2218" s="11" t="s">
        <v>10</v>
      </c>
      <c r="D2218" s="12">
        <v>45562</v>
      </c>
      <c r="E2218" s="14" t="str">
        <f>+HYPERLINK("http://trademark.i-assist.jp/data/china/image_1905th/79515604.pdf","79515604")</f>
        <v>79515604</v>
      </c>
      <c r="F2218" s="13" t="s">
        <v>3923</v>
      </c>
      <c r="G2218" s="13" t="s">
        <v>3922</v>
      </c>
      <c r="H2218" s="13" t="s">
        <v>5713</v>
      </c>
      <c r="I2218" s="12">
        <v>45472</v>
      </c>
    </row>
    <row r="2219" spans="1:9" x14ac:dyDescent="0.15">
      <c r="A2219" s="10">
        <v>2218</v>
      </c>
      <c r="B2219" s="9" t="s">
        <v>9</v>
      </c>
      <c r="C2219" s="11" t="s">
        <v>10</v>
      </c>
      <c r="D2219" s="12">
        <v>45562</v>
      </c>
      <c r="E2219" s="14" t="str">
        <f>+HYPERLINK("http://trademark.i-assist.jp/data/china/image_1905th/79662542.pdf","79662542")</f>
        <v>79662542</v>
      </c>
      <c r="F2219" s="13" t="s">
        <v>3925</v>
      </c>
      <c r="G2219" s="13" t="s">
        <v>3924</v>
      </c>
      <c r="H2219" s="13" t="s">
        <v>4159</v>
      </c>
      <c r="I2219" s="12">
        <v>45481</v>
      </c>
    </row>
    <row r="2220" spans="1:9" x14ac:dyDescent="0.15">
      <c r="A2220" s="10">
        <v>2219</v>
      </c>
      <c r="B2220" s="9" t="s">
        <v>9</v>
      </c>
      <c r="C2220" s="11" t="s">
        <v>10</v>
      </c>
      <c r="D2220" s="12">
        <v>45562</v>
      </c>
      <c r="E2220" s="14" t="str">
        <f>+HYPERLINK("http://trademark.i-assist.jp/data/china/image_1905th/79665364.pdf","79665364")</f>
        <v>79665364</v>
      </c>
      <c r="F2220" s="13" t="s">
        <v>3927</v>
      </c>
      <c r="G2220" s="13" t="s">
        <v>3926</v>
      </c>
      <c r="H2220" s="13" t="s">
        <v>5714</v>
      </c>
      <c r="I2220" s="12">
        <v>45481</v>
      </c>
    </row>
    <row r="2221" spans="1:9" x14ac:dyDescent="0.15">
      <c r="A2221" s="10">
        <v>2220</v>
      </c>
      <c r="B2221" s="9" t="s">
        <v>9</v>
      </c>
      <c r="C2221" s="11" t="s">
        <v>10</v>
      </c>
      <c r="D2221" s="12">
        <v>45562</v>
      </c>
      <c r="E2221" s="14" t="str">
        <f>+HYPERLINK("http://trademark.i-assist.jp/data/china/image_1905th/79666311.pdf","79666311")</f>
        <v>79666311</v>
      </c>
      <c r="F2221" s="13" t="s">
        <v>3929</v>
      </c>
      <c r="G2221" s="13" t="s">
        <v>3928</v>
      </c>
      <c r="H2221" s="13" t="s">
        <v>5715</v>
      </c>
      <c r="I2221" s="12">
        <v>45481</v>
      </c>
    </row>
    <row r="2222" spans="1:9" x14ac:dyDescent="0.15">
      <c r="A2222" s="10">
        <v>2221</v>
      </c>
      <c r="B2222" s="9" t="s">
        <v>9</v>
      </c>
      <c r="C2222" s="11" t="s">
        <v>10</v>
      </c>
      <c r="D2222" s="12">
        <v>45562</v>
      </c>
      <c r="E2222" s="14" t="str">
        <f>+HYPERLINK("http://trademark.i-assist.jp/data/china/image_1905th/79668174.pdf","79668174")</f>
        <v>79668174</v>
      </c>
      <c r="F2222" s="13" t="s">
        <v>3931</v>
      </c>
      <c r="G2222" s="13" t="s">
        <v>3930</v>
      </c>
      <c r="H2222" s="13" t="s">
        <v>5716</v>
      </c>
      <c r="I2222" s="12">
        <v>45481</v>
      </c>
    </row>
    <row r="2223" spans="1:9" x14ac:dyDescent="0.15">
      <c r="A2223" s="10">
        <v>2222</v>
      </c>
      <c r="B2223" s="9" t="s">
        <v>9</v>
      </c>
      <c r="C2223" s="11" t="s">
        <v>10</v>
      </c>
      <c r="D2223" s="12">
        <v>45562</v>
      </c>
      <c r="E2223" s="14" t="str">
        <f>+HYPERLINK("http://trademark.i-assist.jp/data/china/image_1905th/79668835.pdf","79668835")</f>
        <v>79668835</v>
      </c>
      <c r="F2223" s="13" t="s">
        <v>3932</v>
      </c>
      <c r="G2223" s="13" t="s">
        <v>3227</v>
      </c>
      <c r="H2223" s="13" t="s">
        <v>5467</v>
      </c>
      <c r="I2223" s="12">
        <v>45481</v>
      </c>
    </row>
    <row r="2224" spans="1:9" x14ac:dyDescent="0.15">
      <c r="A2224" s="10">
        <v>2223</v>
      </c>
      <c r="B2224" s="9" t="s">
        <v>9</v>
      </c>
      <c r="C2224" s="11" t="s">
        <v>10</v>
      </c>
      <c r="D2224" s="12">
        <v>45562</v>
      </c>
      <c r="E2224" s="14" t="str">
        <f>+HYPERLINK("http://trademark.i-assist.jp/data/china/image_1905th/79674037.pdf","79674037")</f>
        <v>79674037</v>
      </c>
      <c r="F2224" s="13" t="s">
        <v>3933</v>
      </c>
      <c r="G2224" s="13" t="s">
        <v>547</v>
      </c>
      <c r="H2224" s="13" t="s">
        <v>4278</v>
      </c>
      <c r="I2224" s="12">
        <v>45481</v>
      </c>
    </row>
    <row r="2225" spans="1:9" x14ac:dyDescent="0.15">
      <c r="A2225" s="10">
        <v>2224</v>
      </c>
      <c r="B2225" s="9" t="s">
        <v>9</v>
      </c>
      <c r="C2225" s="11" t="s">
        <v>10</v>
      </c>
      <c r="D2225" s="12">
        <v>45562</v>
      </c>
      <c r="E2225" s="14" t="str">
        <f>+HYPERLINK("http://trademark.i-assist.jp/data/china/image_1905th/79675623.pdf","79675623")</f>
        <v>79675623</v>
      </c>
      <c r="F2225" s="13" t="s">
        <v>3935</v>
      </c>
      <c r="G2225" s="13" t="s">
        <v>3934</v>
      </c>
      <c r="H2225" s="13" t="s">
        <v>5717</v>
      </c>
      <c r="I2225" s="12">
        <v>45481</v>
      </c>
    </row>
    <row r="2226" spans="1:9" x14ac:dyDescent="0.15">
      <c r="A2226" s="10">
        <v>2225</v>
      </c>
      <c r="B2226" s="9" t="s">
        <v>9</v>
      </c>
      <c r="C2226" s="11" t="s">
        <v>10</v>
      </c>
      <c r="D2226" s="12">
        <v>45562</v>
      </c>
      <c r="E2226" s="14" t="str">
        <f>+HYPERLINK("http://trademark.i-assist.jp/data/china/image_1905th/79679473.pdf","79679473")</f>
        <v>79679473</v>
      </c>
      <c r="F2226" s="13" t="s">
        <v>3937</v>
      </c>
      <c r="G2226" s="13" t="s">
        <v>3936</v>
      </c>
      <c r="H2226" s="13" t="s">
        <v>5718</v>
      </c>
      <c r="I2226" s="12">
        <v>45481</v>
      </c>
    </row>
    <row r="2227" spans="1:9" x14ac:dyDescent="0.15">
      <c r="A2227" s="10">
        <v>2226</v>
      </c>
      <c r="B2227" s="9" t="s">
        <v>9</v>
      </c>
      <c r="C2227" s="11" t="s">
        <v>10</v>
      </c>
      <c r="D2227" s="12">
        <v>45562</v>
      </c>
      <c r="E2227" s="14" t="str">
        <f>+HYPERLINK("http://trademark.i-assist.jp/data/china/image_1905th/79680504.pdf","79680504")</f>
        <v>79680504</v>
      </c>
      <c r="F2227" s="13" t="s">
        <v>3939</v>
      </c>
      <c r="G2227" s="13" t="s">
        <v>3938</v>
      </c>
      <c r="H2227" s="13" t="s">
        <v>5719</v>
      </c>
      <c r="I2227" s="12">
        <v>45482</v>
      </c>
    </row>
    <row r="2228" spans="1:9" x14ac:dyDescent="0.15">
      <c r="A2228" s="10">
        <v>2227</v>
      </c>
      <c r="B2228" s="9" t="s">
        <v>9</v>
      </c>
      <c r="C2228" s="11" t="s">
        <v>10</v>
      </c>
      <c r="D2228" s="12">
        <v>45562</v>
      </c>
      <c r="E2228" s="14" t="str">
        <f>+HYPERLINK("http://trademark.i-assist.jp/data/china/image_1905th/79682843.pdf","79682843")</f>
        <v>79682843</v>
      </c>
      <c r="F2228" s="13" t="s">
        <v>3941</v>
      </c>
      <c r="G2228" s="13" t="s">
        <v>3940</v>
      </c>
      <c r="H2228" s="13" t="s">
        <v>5720</v>
      </c>
      <c r="I2228" s="12">
        <v>45482</v>
      </c>
    </row>
    <row r="2229" spans="1:9" x14ac:dyDescent="0.15">
      <c r="A2229" s="10">
        <v>2228</v>
      </c>
      <c r="B2229" s="9" t="s">
        <v>9</v>
      </c>
      <c r="C2229" s="11" t="s">
        <v>10</v>
      </c>
      <c r="D2229" s="12">
        <v>45562</v>
      </c>
      <c r="E2229" s="14" t="str">
        <f>+HYPERLINK("http://trademark.i-assist.jp/data/china/image_1905th/79686307.pdf","79686307")</f>
        <v>79686307</v>
      </c>
      <c r="F2229" s="13" t="s">
        <v>3943</v>
      </c>
      <c r="G2229" s="13" t="s">
        <v>3942</v>
      </c>
      <c r="H2229" s="13" t="s">
        <v>5696</v>
      </c>
      <c r="I2229" s="12">
        <v>45482</v>
      </c>
    </row>
    <row r="2230" spans="1:9" x14ac:dyDescent="0.15">
      <c r="A2230" s="10">
        <v>2229</v>
      </c>
      <c r="B2230" s="9" t="s">
        <v>9</v>
      </c>
      <c r="C2230" s="11" t="s">
        <v>10</v>
      </c>
      <c r="D2230" s="12">
        <v>45562</v>
      </c>
      <c r="E2230" s="14" t="str">
        <f>+HYPERLINK("http://trademark.i-assist.jp/data/china/image_1905th/79745068.pdf","79745068")</f>
        <v>79745068</v>
      </c>
      <c r="F2230" s="13" t="s">
        <v>3945</v>
      </c>
      <c r="G2230" s="13" t="s">
        <v>3944</v>
      </c>
      <c r="H2230" s="13" t="s">
        <v>5721</v>
      </c>
      <c r="I2230" s="12">
        <v>45484</v>
      </c>
    </row>
    <row r="2231" spans="1:9" x14ac:dyDescent="0.15">
      <c r="A2231" s="10">
        <v>2230</v>
      </c>
      <c r="B2231" s="9" t="s">
        <v>9</v>
      </c>
      <c r="C2231" s="11" t="s">
        <v>10</v>
      </c>
      <c r="D2231" s="12">
        <v>45562</v>
      </c>
      <c r="E2231" s="14" t="str">
        <f>+HYPERLINK("http://trademark.i-assist.jp/data/china/image_1905th/79745461.pdf","79745461")</f>
        <v>79745461</v>
      </c>
      <c r="F2231" s="13" t="s">
        <v>73</v>
      </c>
      <c r="G2231" s="13" t="s">
        <v>3946</v>
      </c>
      <c r="H2231" s="13" t="s">
        <v>5722</v>
      </c>
      <c r="I2231" s="12">
        <v>45484</v>
      </c>
    </row>
    <row r="2232" spans="1:9" x14ac:dyDescent="0.15">
      <c r="A2232" s="10">
        <v>2231</v>
      </c>
      <c r="B2232" s="9" t="s">
        <v>9</v>
      </c>
      <c r="C2232" s="11" t="s">
        <v>10</v>
      </c>
      <c r="D2232" s="12">
        <v>45562</v>
      </c>
      <c r="E2232" s="14" t="str">
        <f>+HYPERLINK("http://trademark.i-assist.jp/data/china/image_1905th/79747637.pdf","79747637")</f>
        <v>79747637</v>
      </c>
      <c r="F2232" s="13" t="s">
        <v>3948</v>
      </c>
      <c r="G2232" s="13" t="s">
        <v>3947</v>
      </c>
      <c r="H2232" s="13" t="s">
        <v>5723</v>
      </c>
      <c r="I2232" s="12">
        <v>45484</v>
      </c>
    </row>
    <row r="2233" spans="1:9" x14ac:dyDescent="0.15">
      <c r="A2233" s="10">
        <v>2232</v>
      </c>
      <c r="B2233" s="9" t="s">
        <v>9</v>
      </c>
      <c r="C2233" s="11" t="s">
        <v>10</v>
      </c>
      <c r="D2233" s="12">
        <v>45562</v>
      </c>
      <c r="E2233" s="14" t="str">
        <f>+HYPERLINK("http://trademark.i-assist.jp/data/china/image_1905th/79750705.pdf","79750705")</f>
        <v>79750705</v>
      </c>
      <c r="F2233" s="13" t="s">
        <v>3950</v>
      </c>
      <c r="G2233" s="13" t="s">
        <v>3949</v>
      </c>
      <c r="H2233" s="13" t="s">
        <v>5724</v>
      </c>
      <c r="I2233" s="12">
        <v>45484</v>
      </c>
    </row>
    <row r="2234" spans="1:9" x14ac:dyDescent="0.15">
      <c r="A2234" s="10">
        <v>2233</v>
      </c>
      <c r="B2234" s="9" t="s">
        <v>9</v>
      </c>
      <c r="C2234" s="11" t="s">
        <v>10</v>
      </c>
      <c r="D2234" s="12">
        <v>45562</v>
      </c>
      <c r="E2234" s="14" t="str">
        <f>+HYPERLINK("http://trademark.i-assist.jp/data/china/image_1905th/79752405.pdf","79752405")</f>
        <v>79752405</v>
      </c>
      <c r="F2234" s="13" t="s">
        <v>3952</v>
      </c>
      <c r="G2234" s="13" t="s">
        <v>3951</v>
      </c>
      <c r="H2234" s="13" t="s">
        <v>5292</v>
      </c>
      <c r="I2234" s="12">
        <v>45485</v>
      </c>
    </row>
    <row r="2235" spans="1:9" x14ac:dyDescent="0.15">
      <c r="A2235" s="10">
        <v>2234</v>
      </c>
      <c r="B2235" s="9" t="s">
        <v>9</v>
      </c>
      <c r="C2235" s="11" t="s">
        <v>10</v>
      </c>
      <c r="D2235" s="12">
        <v>45562</v>
      </c>
      <c r="E2235" s="14" t="str">
        <f>+HYPERLINK("http://trademark.i-assist.jp/data/china/image_1905th/79752916.pdf","79752916")</f>
        <v>79752916</v>
      </c>
      <c r="F2235" s="13" t="s">
        <v>3954</v>
      </c>
      <c r="G2235" s="13" t="s">
        <v>3953</v>
      </c>
      <c r="H2235" s="13" t="s">
        <v>5725</v>
      </c>
      <c r="I2235" s="12">
        <v>45485</v>
      </c>
    </row>
    <row r="2236" spans="1:9" x14ac:dyDescent="0.15">
      <c r="A2236" s="10">
        <v>2235</v>
      </c>
      <c r="B2236" s="9" t="s">
        <v>9</v>
      </c>
      <c r="C2236" s="11" t="s">
        <v>10</v>
      </c>
      <c r="D2236" s="12">
        <v>45562</v>
      </c>
      <c r="E2236" s="14" t="str">
        <f>+HYPERLINK("http://trademark.i-assist.jp/data/china/image_1905th/79766429.pdf","79766429")</f>
        <v>79766429</v>
      </c>
      <c r="F2236" s="13" t="s">
        <v>3955</v>
      </c>
      <c r="G2236" s="13" t="s">
        <v>1962</v>
      </c>
      <c r="H2236" s="13" t="s">
        <v>4979</v>
      </c>
      <c r="I2236" s="12">
        <v>45485</v>
      </c>
    </row>
    <row r="2237" spans="1:9" x14ac:dyDescent="0.15">
      <c r="A2237" s="10">
        <v>2236</v>
      </c>
      <c r="B2237" s="9" t="s">
        <v>9</v>
      </c>
      <c r="C2237" s="11" t="s">
        <v>10</v>
      </c>
      <c r="D2237" s="12">
        <v>45562</v>
      </c>
      <c r="E2237" s="14" t="str">
        <f>+HYPERLINK("http://trademark.i-assist.jp/data/china/image_1905th/79771147.pdf","79771147")</f>
        <v>79771147</v>
      </c>
      <c r="F2237" s="13" t="s">
        <v>3957</v>
      </c>
      <c r="G2237" s="13" t="s">
        <v>3956</v>
      </c>
      <c r="H2237" s="13" t="s">
        <v>5726</v>
      </c>
      <c r="I2237" s="12">
        <v>45485</v>
      </c>
    </row>
    <row r="2238" spans="1:9" x14ac:dyDescent="0.15">
      <c r="A2238" s="10">
        <v>2237</v>
      </c>
      <c r="B2238" s="9" t="s">
        <v>9</v>
      </c>
      <c r="C2238" s="11" t="s">
        <v>10</v>
      </c>
      <c r="D2238" s="12">
        <v>45562</v>
      </c>
      <c r="E2238" s="14" t="str">
        <f>+HYPERLINK("http://trademark.i-assist.jp/data/china/image_1905th/79771656.pdf","79771656")</f>
        <v>79771656</v>
      </c>
      <c r="F2238" s="13" t="s">
        <v>3959</v>
      </c>
      <c r="G2238" s="13" t="s">
        <v>3958</v>
      </c>
      <c r="H2238" s="13" t="s">
        <v>5727</v>
      </c>
      <c r="I2238" s="12">
        <v>45485</v>
      </c>
    </row>
    <row r="2239" spans="1:9" x14ac:dyDescent="0.15">
      <c r="A2239" s="10">
        <v>2238</v>
      </c>
      <c r="B2239" s="9" t="s">
        <v>9</v>
      </c>
      <c r="C2239" s="11" t="s">
        <v>10</v>
      </c>
      <c r="D2239" s="12">
        <v>45562</v>
      </c>
      <c r="E2239" s="14" t="str">
        <f>+HYPERLINK("http://trademark.i-assist.jp/data/china/image_1905th/79771704.pdf","79771704")</f>
        <v>79771704</v>
      </c>
      <c r="F2239" s="13" t="s">
        <v>3961</v>
      </c>
      <c r="G2239" s="13" t="s">
        <v>3960</v>
      </c>
      <c r="H2239" s="13" t="s">
        <v>5728</v>
      </c>
      <c r="I2239" s="12">
        <v>45485</v>
      </c>
    </row>
    <row r="2240" spans="1:9" x14ac:dyDescent="0.15">
      <c r="A2240" s="10">
        <v>2239</v>
      </c>
      <c r="B2240" s="9" t="s">
        <v>9</v>
      </c>
      <c r="C2240" s="11" t="s">
        <v>10</v>
      </c>
      <c r="D2240" s="12">
        <v>45562</v>
      </c>
      <c r="E2240" s="14" t="str">
        <f>+HYPERLINK("http://trademark.i-assist.jp/data/china/image_1905th/79324434.pdf","79324434")</f>
        <v>79324434</v>
      </c>
      <c r="F2240" s="13" t="s">
        <v>73</v>
      </c>
      <c r="G2240" s="13" t="s">
        <v>3962</v>
      </c>
      <c r="H2240" s="13" t="s">
        <v>5729</v>
      </c>
      <c r="I2240" s="12">
        <v>45463</v>
      </c>
    </row>
    <row r="2241" spans="1:9" x14ac:dyDescent="0.15">
      <c r="A2241" s="10">
        <v>2240</v>
      </c>
      <c r="B2241" s="9" t="s">
        <v>9</v>
      </c>
      <c r="C2241" s="11" t="s">
        <v>10</v>
      </c>
      <c r="D2241" s="12">
        <v>45562</v>
      </c>
      <c r="E2241" s="14" t="str">
        <f>+HYPERLINK("http://trademark.i-assist.jp/data/china/image_1905th/79344451.pdf","79344451")</f>
        <v>79344451</v>
      </c>
      <c r="F2241" s="13" t="s">
        <v>73</v>
      </c>
      <c r="G2241" s="13" t="s">
        <v>1496</v>
      </c>
      <c r="H2241" s="13" t="s">
        <v>4778</v>
      </c>
      <c r="I2241" s="12">
        <v>45463</v>
      </c>
    </row>
    <row r="2242" spans="1:9" x14ac:dyDescent="0.15">
      <c r="A2242" s="10">
        <v>2241</v>
      </c>
      <c r="B2242" s="9" t="s">
        <v>9</v>
      </c>
      <c r="C2242" s="11" t="s">
        <v>10</v>
      </c>
      <c r="D2242" s="12">
        <v>45562</v>
      </c>
      <c r="E2242" s="14" t="str">
        <f>+HYPERLINK("http://trademark.i-assist.jp/data/china/image_1905th/79345855.pdf","79345855")</f>
        <v>79345855</v>
      </c>
      <c r="F2242" s="13" t="s">
        <v>3964</v>
      </c>
      <c r="G2242" s="13" t="s">
        <v>3963</v>
      </c>
      <c r="H2242" s="13" t="s">
        <v>4161</v>
      </c>
      <c r="I2242" s="12">
        <v>45463</v>
      </c>
    </row>
    <row r="2243" spans="1:9" x14ac:dyDescent="0.15">
      <c r="A2243" s="10">
        <v>2242</v>
      </c>
      <c r="B2243" s="9" t="s">
        <v>9</v>
      </c>
      <c r="C2243" s="11" t="s">
        <v>10</v>
      </c>
      <c r="D2243" s="12">
        <v>45562</v>
      </c>
      <c r="E2243" s="14" t="str">
        <f>+HYPERLINK("http://trademark.i-assist.jp/data/china/image_1905th/79352306.pdf","79352306")</f>
        <v>79352306</v>
      </c>
      <c r="F2243" s="13" t="s">
        <v>3965</v>
      </c>
      <c r="G2243" s="13" t="s">
        <v>2233</v>
      </c>
      <c r="H2243" s="13" t="s">
        <v>5086</v>
      </c>
      <c r="I2243" s="12">
        <v>45464</v>
      </c>
    </row>
    <row r="2244" spans="1:9" x14ac:dyDescent="0.15">
      <c r="A2244" s="10">
        <v>2243</v>
      </c>
      <c r="B2244" s="9" t="s">
        <v>9</v>
      </c>
      <c r="C2244" s="11" t="s">
        <v>10</v>
      </c>
      <c r="D2244" s="12">
        <v>45562</v>
      </c>
      <c r="E2244" s="14" t="str">
        <f>+HYPERLINK("http://trademark.i-assist.jp/data/china/image_1905th/79354726.pdf","79354726")</f>
        <v>79354726</v>
      </c>
      <c r="F2244" s="13" t="s">
        <v>3967</v>
      </c>
      <c r="G2244" s="13" t="s">
        <v>3966</v>
      </c>
      <c r="H2244" s="13" t="s">
        <v>5730</v>
      </c>
      <c r="I2244" s="12">
        <v>45464</v>
      </c>
    </row>
    <row r="2245" spans="1:9" x14ac:dyDescent="0.15">
      <c r="A2245" s="10">
        <v>2244</v>
      </c>
      <c r="B2245" s="9" t="s">
        <v>9</v>
      </c>
      <c r="C2245" s="11" t="s">
        <v>10</v>
      </c>
      <c r="D2245" s="12">
        <v>45562</v>
      </c>
      <c r="E2245" s="14" t="str">
        <f>+HYPERLINK("http://trademark.i-assist.jp/data/china/image_1905th/79367281.pdf","79367281")</f>
        <v>79367281</v>
      </c>
      <c r="F2245" s="13" t="s">
        <v>3969</v>
      </c>
      <c r="G2245" s="13" t="s">
        <v>3968</v>
      </c>
      <c r="H2245" s="13" t="s">
        <v>4278</v>
      </c>
      <c r="I2245" s="12">
        <v>45464</v>
      </c>
    </row>
    <row r="2246" spans="1:9" x14ac:dyDescent="0.15">
      <c r="A2246" s="10">
        <v>2245</v>
      </c>
      <c r="B2246" s="9" t="s">
        <v>9</v>
      </c>
      <c r="C2246" s="11" t="s">
        <v>10</v>
      </c>
      <c r="D2246" s="12">
        <v>45562</v>
      </c>
      <c r="E2246" s="14" t="str">
        <f>+HYPERLINK("http://trademark.i-assist.jp/data/china/image_1905th/79368409.pdf","79368409")</f>
        <v>79368409</v>
      </c>
      <c r="F2246" s="13" t="s">
        <v>3970</v>
      </c>
      <c r="G2246" s="13" t="s">
        <v>2233</v>
      </c>
      <c r="H2246" s="13" t="s">
        <v>5086</v>
      </c>
      <c r="I2246" s="12">
        <v>45464</v>
      </c>
    </row>
    <row r="2247" spans="1:9" x14ac:dyDescent="0.15">
      <c r="A2247" s="10">
        <v>2246</v>
      </c>
      <c r="B2247" s="9" t="s">
        <v>9</v>
      </c>
      <c r="C2247" s="11" t="s">
        <v>10</v>
      </c>
      <c r="D2247" s="12">
        <v>45562</v>
      </c>
      <c r="E2247" s="14" t="str">
        <f>+HYPERLINK("http://trademark.i-assist.jp/data/china/image_1905th/79369527.pdf","79369527")</f>
        <v>79369527</v>
      </c>
      <c r="F2247" s="13" t="s">
        <v>3972</v>
      </c>
      <c r="G2247" s="13" t="s">
        <v>3971</v>
      </c>
      <c r="H2247" s="13" t="s">
        <v>5731</v>
      </c>
      <c r="I2247" s="12">
        <v>45464</v>
      </c>
    </row>
    <row r="2248" spans="1:9" x14ac:dyDescent="0.15">
      <c r="A2248" s="10">
        <v>2247</v>
      </c>
      <c r="B2248" s="9" t="s">
        <v>9</v>
      </c>
      <c r="C2248" s="11" t="s">
        <v>10</v>
      </c>
      <c r="D2248" s="12">
        <v>45562</v>
      </c>
      <c r="E2248" s="14" t="str">
        <f>+HYPERLINK("http://trademark.i-assist.jp/data/china/image_1905th/79369550.pdf","79369550")</f>
        <v>79369550</v>
      </c>
      <c r="F2248" s="13" t="s">
        <v>3973</v>
      </c>
      <c r="G2248" s="13" t="s">
        <v>891</v>
      </c>
      <c r="H2248" s="13" t="s">
        <v>5732</v>
      </c>
      <c r="I2248" s="12">
        <v>45464</v>
      </c>
    </row>
    <row r="2249" spans="1:9" x14ac:dyDescent="0.15">
      <c r="A2249" s="10">
        <v>2248</v>
      </c>
      <c r="B2249" s="9" t="s">
        <v>9</v>
      </c>
      <c r="C2249" s="11" t="s">
        <v>10</v>
      </c>
      <c r="D2249" s="12">
        <v>45562</v>
      </c>
      <c r="E2249" s="14" t="str">
        <f>+HYPERLINK("http://trademark.i-assist.jp/data/china/image_1905th/79374711.pdf","79374711")</f>
        <v>79374711</v>
      </c>
      <c r="F2249" s="13" t="s">
        <v>3975</v>
      </c>
      <c r="G2249" s="13" t="s">
        <v>3974</v>
      </c>
      <c r="H2249" s="13" t="s">
        <v>4328</v>
      </c>
      <c r="I2249" s="12">
        <v>45464</v>
      </c>
    </row>
    <row r="2250" spans="1:9" x14ac:dyDescent="0.15">
      <c r="A2250" s="10">
        <v>2249</v>
      </c>
      <c r="B2250" s="9" t="s">
        <v>9</v>
      </c>
      <c r="C2250" s="11" t="s">
        <v>10</v>
      </c>
      <c r="D2250" s="12">
        <v>45562</v>
      </c>
      <c r="E2250" s="14" t="str">
        <f>+HYPERLINK("http://trademark.i-assist.jp/data/china/image_1905th/79379309.pdf","79379309")</f>
        <v>79379309</v>
      </c>
      <c r="F2250" s="13" t="s">
        <v>3977</v>
      </c>
      <c r="G2250" s="13" t="s">
        <v>3976</v>
      </c>
      <c r="H2250" s="13" t="s">
        <v>4212</v>
      </c>
      <c r="I2250" s="12">
        <v>45465</v>
      </c>
    </row>
    <row r="2251" spans="1:9" x14ac:dyDescent="0.15">
      <c r="A2251" s="10">
        <v>2250</v>
      </c>
      <c r="B2251" s="9" t="s">
        <v>9</v>
      </c>
      <c r="C2251" s="11" t="s">
        <v>10</v>
      </c>
      <c r="D2251" s="12">
        <v>45562</v>
      </c>
      <c r="E2251" s="14" t="str">
        <f>+HYPERLINK("http://trademark.i-assist.jp/data/china/image_1905th/79382510.pdf","79382510")</f>
        <v>79382510</v>
      </c>
      <c r="F2251" s="13" t="s">
        <v>3979</v>
      </c>
      <c r="G2251" s="13" t="s">
        <v>3978</v>
      </c>
      <c r="H2251" s="13" t="s">
        <v>5733</v>
      </c>
      <c r="I2251" s="12">
        <v>45466</v>
      </c>
    </row>
    <row r="2252" spans="1:9" x14ac:dyDescent="0.15">
      <c r="A2252" s="10">
        <v>2251</v>
      </c>
      <c r="B2252" s="9" t="s">
        <v>9</v>
      </c>
      <c r="C2252" s="11" t="s">
        <v>10</v>
      </c>
      <c r="D2252" s="12">
        <v>45562</v>
      </c>
      <c r="E2252" s="14" t="str">
        <f>+HYPERLINK("http://trademark.i-assist.jp/data/china/image_1905th/79390896.pdf","79390896")</f>
        <v>79390896</v>
      </c>
      <c r="F2252" s="13" t="s">
        <v>3981</v>
      </c>
      <c r="G2252" s="13" t="s">
        <v>3980</v>
      </c>
      <c r="H2252" s="13" t="s">
        <v>5734</v>
      </c>
      <c r="I2252" s="12">
        <v>45467</v>
      </c>
    </row>
    <row r="2253" spans="1:9" x14ac:dyDescent="0.15">
      <c r="A2253" s="10">
        <v>2252</v>
      </c>
      <c r="B2253" s="9" t="s">
        <v>9</v>
      </c>
      <c r="C2253" s="11" t="s">
        <v>10</v>
      </c>
      <c r="D2253" s="12">
        <v>45562</v>
      </c>
      <c r="E2253" s="14" t="str">
        <f>+HYPERLINK("http://trademark.i-assist.jp/data/china/image_1905th/70690897.pdf","70690897")</f>
        <v>70690897</v>
      </c>
      <c r="F2253" s="13" t="s">
        <v>3983</v>
      </c>
      <c r="G2253" s="13" t="s">
        <v>3982</v>
      </c>
      <c r="H2253" s="13" t="s">
        <v>5735</v>
      </c>
      <c r="I2253" s="12">
        <v>45020</v>
      </c>
    </row>
    <row r="2254" spans="1:9" x14ac:dyDescent="0.15">
      <c r="A2254" s="10">
        <v>2253</v>
      </c>
      <c r="B2254" s="9" t="s">
        <v>9</v>
      </c>
      <c r="C2254" s="11" t="s">
        <v>10</v>
      </c>
      <c r="D2254" s="12">
        <v>45562</v>
      </c>
      <c r="E2254" s="14" t="str">
        <f>+HYPERLINK("http://trademark.i-assist.jp/data/china/image_1905th/72506706.pdf","72506706")</f>
        <v>72506706</v>
      </c>
      <c r="F2254" s="13" t="s">
        <v>3984</v>
      </c>
      <c r="G2254" s="13" t="s">
        <v>3778</v>
      </c>
      <c r="H2254" s="13" t="s">
        <v>4396</v>
      </c>
      <c r="I2254" s="12">
        <v>45105</v>
      </c>
    </row>
    <row r="2255" spans="1:9" x14ac:dyDescent="0.15">
      <c r="A2255" s="10">
        <v>2254</v>
      </c>
      <c r="B2255" s="9" t="s">
        <v>9</v>
      </c>
      <c r="C2255" s="11" t="s">
        <v>10</v>
      </c>
      <c r="D2255" s="12">
        <v>45562</v>
      </c>
      <c r="E2255" s="14" t="str">
        <f>+HYPERLINK("http://trademark.i-assist.jp/data/china/image_1905th/73742554.pdf","73742554")</f>
        <v>73742554</v>
      </c>
      <c r="F2255" s="13" t="s">
        <v>3986</v>
      </c>
      <c r="G2255" s="13" t="s">
        <v>3985</v>
      </c>
      <c r="H2255" s="13" t="s">
        <v>5736</v>
      </c>
      <c r="I2255" s="12">
        <v>45166</v>
      </c>
    </row>
    <row r="2256" spans="1:9" x14ac:dyDescent="0.15">
      <c r="A2256" s="10">
        <v>2255</v>
      </c>
      <c r="B2256" s="9" t="s">
        <v>9</v>
      </c>
      <c r="C2256" s="11" t="s">
        <v>10</v>
      </c>
      <c r="D2256" s="12">
        <v>45562</v>
      </c>
      <c r="E2256" s="14" t="str">
        <f>+HYPERLINK("http://trademark.i-assist.jp/data/china/image_1905th/78190157.pdf","78190157")</f>
        <v>78190157</v>
      </c>
      <c r="F2256" s="13" t="s">
        <v>3988</v>
      </c>
      <c r="G2256" s="13" t="s">
        <v>3987</v>
      </c>
      <c r="H2256" s="13" t="s">
        <v>5737</v>
      </c>
      <c r="I2256" s="12">
        <v>45406</v>
      </c>
    </row>
    <row r="2257" spans="1:9" x14ac:dyDescent="0.15">
      <c r="A2257" s="10">
        <v>2256</v>
      </c>
      <c r="B2257" s="9" t="s">
        <v>9</v>
      </c>
      <c r="C2257" s="11" t="s">
        <v>10</v>
      </c>
      <c r="D2257" s="12">
        <v>45562</v>
      </c>
      <c r="E2257" s="14" t="str">
        <f>+HYPERLINK("http://trademark.i-assist.jp/data/china/image_1905th/78852763.pdf","78852763")</f>
        <v>78852763</v>
      </c>
      <c r="F2257" s="13" t="s">
        <v>3989</v>
      </c>
      <c r="G2257" s="13" t="s">
        <v>201</v>
      </c>
      <c r="H2257" s="13" t="s">
        <v>4238</v>
      </c>
      <c r="I2257" s="12">
        <v>45439</v>
      </c>
    </row>
    <row r="2258" spans="1:9" x14ac:dyDescent="0.15">
      <c r="A2258" s="10">
        <v>2257</v>
      </c>
      <c r="B2258" s="9" t="s">
        <v>9</v>
      </c>
      <c r="C2258" s="11" t="s">
        <v>10</v>
      </c>
      <c r="D2258" s="12">
        <v>45562</v>
      </c>
      <c r="E2258" s="14" t="str">
        <f>+HYPERLINK("http://trademark.i-assist.jp/data/china/image_1905th/78931947.pdf","78931947")</f>
        <v>78931947</v>
      </c>
      <c r="F2258" s="13" t="s">
        <v>3991</v>
      </c>
      <c r="G2258" s="13" t="s">
        <v>3990</v>
      </c>
      <c r="H2258" s="13" t="s">
        <v>5738</v>
      </c>
      <c r="I2258" s="12">
        <v>45442</v>
      </c>
    </row>
    <row r="2259" spans="1:9" x14ac:dyDescent="0.15">
      <c r="A2259" s="10">
        <v>2258</v>
      </c>
      <c r="B2259" s="9" t="s">
        <v>9</v>
      </c>
      <c r="C2259" s="11" t="s">
        <v>10</v>
      </c>
      <c r="D2259" s="12">
        <v>45562</v>
      </c>
      <c r="E2259" s="14" t="str">
        <f>+HYPERLINK("http://trademark.i-assist.jp/data/china/image_1905th/79060558.pdf","79060558")</f>
        <v>79060558</v>
      </c>
      <c r="F2259" s="13" t="s">
        <v>3993</v>
      </c>
      <c r="G2259" s="13" t="s">
        <v>3992</v>
      </c>
      <c r="H2259" s="13" t="s">
        <v>5739</v>
      </c>
      <c r="I2259" s="12">
        <v>45448</v>
      </c>
    </row>
    <row r="2260" spans="1:9" x14ac:dyDescent="0.15">
      <c r="A2260" s="10">
        <v>2259</v>
      </c>
      <c r="B2260" s="9" t="s">
        <v>9</v>
      </c>
      <c r="C2260" s="11" t="s">
        <v>10</v>
      </c>
      <c r="D2260" s="12">
        <v>45562</v>
      </c>
      <c r="E2260" s="14" t="str">
        <f>+HYPERLINK("http://trademark.i-assist.jp/data/china/image_1905th/79064579.pdf","79064579")</f>
        <v>79064579</v>
      </c>
      <c r="F2260" s="13" t="s">
        <v>73</v>
      </c>
      <c r="G2260" s="13" t="s">
        <v>3994</v>
      </c>
      <c r="H2260" s="13" t="s">
        <v>5740</v>
      </c>
      <c r="I2260" s="12">
        <v>45449</v>
      </c>
    </row>
    <row r="2261" spans="1:9" x14ac:dyDescent="0.15">
      <c r="A2261" s="10">
        <v>2260</v>
      </c>
      <c r="B2261" s="9" t="s">
        <v>9</v>
      </c>
      <c r="C2261" s="11" t="s">
        <v>10</v>
      </c>
      <c r="D2261" s="12">
        <v>45562</v>
      </c>
      <c r="E2261" s="14" t="str">
        <f>+HYPERLINK("http://trademark.i-assist.jp/data/china/image_1905th/79104441.pdf","79104441")</f>
        <v>79104441</v>
      </c>
      <c r="F2261" s="13" t="s">
        <v>3995</v>
      </c>
      <c r="G2261" s="13" t="s">
        <v>2135</v>
      </c>
      <c r="H2261" s="13" t="s">
        <v>5049</v>
      </c>
      <c r="I2261" s="12">
        <v>45450</v>
      </c>
    </row>
    <row r="2262" spans="1:9" x14ac:dyDescent="0.15">
      <c r="A2262" s="10">
        <v>2261</v>
      </c>
      <c r="B2262" s="9" t="s">
        <v>9</v>
      </c>
      <c r="C2262" s="11" t="s">
        <v>10</v>
      </c>
      <c r="D2262" s="12">
        <v>45562</v>
      </c>
      <c r="E2262" s="14" t="str">
        <f>+HYPERLINK("http://trademark.i-assist.jp/data/china/image_1905th/79110232.pdf","79110232")</f>
        <v>79110232</v>
      </c>
      <c r="F2262" s="13" t="s">
        <v>3997</v>
      </c>
      <c r="G2262" s="13" t="s">
        <v>3996</v>
      </c>
      <c r="H2262" s="13" t="s">
        <v>5741</v>
      </c>
      <c r="I2262" s="12">
        <v>45450</v>
      </c>
    </row>
    <row r="2263" spans="1:9" x14ac:dyDescent="0.15">
      <c r="A2263" s="10">
        <v>2262</v>
      </c>
      <c r="B2263" s="9" t="s">
        <v>9</v>
      </c>
      <c r="C2263" s="11" t="s">
        <v>10</v>
      </c>
      <c r="D2263" s="12">
        <v>45562</v>
      </c>
      <c r="E2263" s="14" t="str">
        <f>+HYPERLINK("http://trademark.i-assist.jp/data/china/image_1905th/79120743.pdf","79120743")</f>
        <v>79120743</v>
      </c>
      <c r="F2263" s="13" t="s">
        <v>3999</v>
      </c>
      <c r="G2263" s="13" t="s">
        <v>3998</v>
      </c>
      <c r="H2263" s="13" t="s">
        <v>5742</v>
      </c>
      <c r="I2263" s="12">
        <v>45451</v>
      </c>
    </row>
    <row r="2264" spans="1:9" x14ac:dyDescent="0.15">
      <c r="A2264" s="10">
        <v>2263</v>
      </c>
      <c r="B2264" s="9" t="s">
        <v>9</v>
      </c>
      <c r="C2264" s="11" t="s">
        <v>10</v>
      </c>
      <c r="D2264" s="12">
        <v>45562</v>
      </c>
      <c r="E2264" s="14" t="str">
        <f>+HYPERLINK("http://trademark.i-assist.jp/data/china/image_1905th/79149023.pdf","79149023")</f>
        <v>79149023</v>
      </c>
      <c r="F2264" s="13" t="s">
        <v>4001</v>
      </c>
      <c r="G2264" s="13" t="s">
        <v>4000</v>
      </c>
      <c r="H2264" s="13" t="s">
        <v>5743</v>
      </c>
      <c r="I2264" s="12">
        <v>45454</v>
      </c>
    </row>
    <row r="2265" spans="1:9" x14ac:dyDescent="0.15">
      <c r="A2265" s="10">
        <v>2264</v>
      </c>
      <c r="B2265" s="9" t="s">
        <v>9</v>
      </c>
      <c r="C2265" s="11" t="s">
        <v>10</v>
      </c>
      <c r="D2265" s="12">
        <v>45562</v>
      </c>
      <c r="E2265" s="14" t="str">
        <f>+HYPERLINK("http://trademark.i-assist.jp/data/china/image_1905th/79158546.pdf","79158546")</f>
        <v>79158546</v>
      </c>
      <c r="F2265" s="13" t="s">
        <v>4002</v>
      </c>
      <c r="G2265" s="13" t="s">
        <v>1804</v>
      </c>
      <c r="H2265" s="13" t="s">
        <v>4720</v>
      </c>
      <c r="I2265" s="12">
        <v>45455</v>
      </c>
    </row>
    <row r="2266" spans="1:9" x14ac:dyDescent="0.15">
      <c r="A2266" s="10">
        <v>2265</v>
      </c>
      <c r="B2266" s="9" t="s">
        <v>9</v>
      </c>
      <c r="C2266" s="11" t="s">
        <v>10</v>
      </c>
      <c r="D2266" s="12">
        <v>45562</v>
      </c>
      <c r="E2266" s="14" t="str">
        <f>+HYPERLINK("http://trademark.i-assist.jp/data/china/image_1905th/79165211.pdf","79165211")</f>
        <v>79165211</v>
      </c>
      <c r="F2266" s="13" t="s">
        <v>73</v>
      </c>
      <c r="G2266" s="13" t="s">
        <v>4003</v>
      </c>
      <c r="H2266" s="13" t="s">
        <v>5744</v>
      </c>
      <c r="I2266" s="12">
        <v>45455</v>
      </c>
    </row>
    <row r="2267" spans="1:9" x14ac:dyDescent="0.15">
      <c r="A2267" s="10">
        <v>2266</v>
      </c>
      <c r="B2267" s="9" t="s">
        <v>9</v>
      </c>
      <c r="C2267" s="11" t="s">
        <v>10</v>
      </c>
      <c r="D2267" s="12">
        <v>45562</v>
      </c>
      <c r="E2267" s="14" t="str">
        <f>+HYPERLINK("http://trademark.i-assist.jp/data/china/image_1905th/79173581.pdf","79173581")</f>
        <v>79173581</v>
      </c>
      <c r="F2267" s="13" t="s">
        <v>4004</v>
      </c>
      <c r="G2267" s="13" t="s">
        <v>3808</v>
      </c>
      <c r="H2267" s="13" t="s">
        <v>5674</v>
      </c>
      <c r="I2267" s="12">
        <v>45455</v>
      </c>
    </row>
    <row r="2268" spans="1:9" x14ac:dyDescent="0.15">
      <c r="A2268" s="10">
        <v>2267</v>
      </c>
      <c r="B2268" s="9" t="s">
        <v>9</v>
      </c>
      <c r="C2268" s="11" t="s">
        <v>10</v>
      </c>
      <c r="D2268" s="12">
        <v>45562</v>
      </c>
      <c r="E2268" s="14" t="str">
        <f>+HYPERLINK("http://trademark.i-assist.jp/data/china/image_1905th/79178574.pdf","79178574")</f>
        <v>79178574</v>
      </c>
      <c r="F2268" s="13" t="s">
        <v>4006</v>
      </c>
      <c r="G2268" s="13" t="s">
        <v>4005</v>
      </c>
      <c r="H2268" s="13" t="s">
        <v>5745</v>
      </c>
      <c r="I2268" s="12">
        <v>45455</v>
      </c>
    </row>
    <row r="2269" spans="1:9" x14ac:dyDescent="0.15">
      <c r="A2269" s="10">
        <v>2268</v>
      </c>
      <c r="B2269" s="9" t="s">
        <v>9</v>
      </c>
      <c r="C2269" s="11" t="s">
        <v>10</v>
      </c>
      <c r="D2269" s="12">
        <v>45562</v>
      </c>
      <c r="E2269" s="14" t="str">
        <f>+HYPERLINK("http://trademark.i-assist.jp/data/china/image_1905th/79196805.pdf","79196805")</f>
        <v>79196805</v>
      </c>
      <c r="F2269" s="13" t="s">
        <v>4008</v>
      </c>
      <c r="G2269" s="13" t="s">
        <v>4007</v>
      </c>
      <c r="H2269" s="13" t="s">
        <v>5746</v>
      </c>
      <c r="I2269" s="12">
        <v>45456</v>
      </c>
    </row>
    <row r="2270" spans="1:9" x14ac:dyDescent="0.15">
      <c r="A2270" s="10">
        <v>2269</v>
      </c>
      <c r="B2270" s="9" t="s">
        <v>9</v>
      </c>
      <c r="C2270" s="11" t="s">
        <v>10</v>
      </c>
      <c r="D2270" s="12">
        <v>45562</v>
      </c>
      <c r="E2270" s="14" t="str">
        <f>+HYPERLINK("http://trademark.i-assist.jp/data/china/image_1905th/79208659.pdf","79208659")</f>
        <v>79208659</v>
      </c>
      <c r="F2270" s="13" t="s">
        <v>4010</v>
      </c>
      <c r="G2270" s="13" t="s">
        <v>4009</v>
      </c>
      <c r="H2270" s="13" t="s">
        <v>5747</v>
      </c>
      <c r="I2270" s="12">
        <v>45457</v>
      </c>
    </row>
    <row r="2271" spans="1:9" x14ac:dyDescent="0.15">
      <c r="A2271" s="10">
        <v>2270</v>
      </c>
      <c r="B2271" s="9" t="s">
        <v>9</v>
      </c>
      <c r="C2271" s="11" t="s">
        <v>10</v>
      </c>
      <c r="D2271" s="12">
        <v>45562</v>
      </c>
      <c r="E2271" s="14" t="str">
        <f>+HYPERLINK("http://trademark.i-assist.jp/data/china/image_1905th/79212048.pdf","79212048")</f>
        <v>79212048</v>
      </c>
      <c r="F2271" s="13" t="s">
        <v>4012</v>
      </c>
      <c r="G2271" s="13" t="s">
        <v>4011</v>
      </c>
      <c r="H2271" s="13" t="s">
        <v>5533</v>
      </c>
      <c r="I2271" s="12">
        <v>45457</v>
      </c>
    </row>
    <row r="2272" spans="1:9" x14ac:dyDescent="0.15">
      <c r="A2272" s="10">
        <v>2271</v>
      </c>
      <c r="B2272" s="9" t="s">
        <v>9</v>
      </c>
      <c r="C2272" s="11" t="s">
        <v>10</v>
      </c>
      <c r="D2272" s="12">
        <v>45562</v>
      </c>
      <c r="E2272" s="14" t="str">
        <f>+HYPERLINK("http://trademark.i-assist.jp/data/china/image_1905th/79247803.pdf","79247803")</f>
        <v>79247803</v>
      </c>
      <c r="F2272" s="13" t="s">
        <v>4014</v>
      </c>
      <c r="G2272" s="13" t="s">
        <v>4013</v>
      </c>
      <c r="H2272" s="13" t="s">
        <v>5748</v>
      </c>
      <c r="I2272" s="12">
        <v>45460</v>
      </c>
    </row>
    <row r="2273" spans="1:9" x14ac:dyDescent="0.15">
      <c r="A2273" s="10">
        <v>2272</v>
      </c>
      <c r="B2273" s="9" t="s">
        <v>9</v>
      </c>
      <c r="C2273" s="11" t="s">
        <v>10</v>
      </c>
      <c r="D2273" s="12">
        <v>45562</v>
      </c>
      <c r="E2273" s="14" t="str">
        <f>+HYPERLINK("http://trademark.i-assist.jp/data/china/image_1905th/77911310.pdf","77911310")</f>
        <v>77911310</v>
      </c>
      <c r="F2273" s="13" t="s">
        <v>4016</v>
      </c>
      <c r="G2273" s="13" t="s">
        <v>4015</v>
      </c>
      <c r="H2273" s="13" t="s">
        <v>5749</v>
      </c>
      <c r="I2273" s="12">
        <v>45393</v>
      </c>
    </row>
    <row r="2274" spans="1:9" x14ac:dyDescent="0.15">
      <c r="A2274" s="10">
        <v>2273</v>
      </c>
      <c r="B2274" s="9" t="s">
        <v>9</v>
      </c>
      <c r="C2274" s="11" t="s">
        <v>10</v>
      </c>
      <c r="D2274" s="12">
        <v>45562</v>
      </c>
      <c r="E2274" s="14" t="str">
        <f>+HYPERLINK("http://trademark.i-assist.jp/data/china/image_1905th/77929303.pdf","77929303")</f>
        <v>77929303</v>
      </c>
      <c r="F2274" s="13" t="s">
        <v>4018</v>
      </c>
      <c r="G2274" s="13" t="s">
        <v>4017</v>
      </c>
      <c r="H2274" s="13" t="s">
        <v>5750</v>
      </c>
      <c r="I2274" s="12">
        <v>45394</v>
      </c>
    </row>
    <row r="2275" spans="1:9" x14ac:dyDescent="0.15">
      <c r="A2275" s="10">
        <v>2274</v>
      </c>
      <c r="B2275" s="9" t="s">
        <v>9</v>
      </c>
      <c r="C2275" s="11" t="s">
        <v>10</v>
      </c>
      <c r="D2275" s="12">
        <v>45562</v>
      </c>
      <c r="E2275" s="14" t="str">
        <f>+HYPERLINK("http://trademark.i-assist.jp/data/china/image_1905th/78097992.pdf","78097992")</f>
        <v>78097992</v>
      </c>
      <c r="F2275" s="13" t="s">
        <v>73</v>
      </c>
      <c r="G2275" s="13" t="s">
        <v>4019</v>
      </c>
      <c r="H2275" s="13" t="s">
        <v>4536</v>
      </c>
      <c r="I2275" s="12">
        <v>45401</v>
      </c>
    </row>
    <row r="2276" spans="1:9" x14ac:dyDescent="0.15">
      <c r="A2276" s="10">
        <v>2275</v>
      </c>
      <c r="B2276" s="9" t="s">
        <v>9</v>
      </c>
      <c r="C2276" s="11" t="s">
        <v>10</v>
      </c>
      <c r="D2276" s="12">
        <v>45562</v>
      </c>
      <c r="E2276" s="14" t="str">
        <f>+HYPERLINK("http://trademark.i-assist.jp/data/china/image_1905th/79392869.pdf","79392869")</f>
        <v>79392869</v>
      </c>
      <c r="F2276" s="13" t="s">
        <v>4021</v>
      </c>
      <c r="G2276" s="13" t="s">
        <v>4020</v>
      </c>
      <c r="H2276" s="13" t="s">
        <v>5298</v>
      </c>
      <c r="I2276" s="12">
        <v>45467</v>
      </c>
    </row>
    <row r="2277" spans="1:9" x14ac:dyDescent="0.15">
      <c r="A2277" s="10">
        <v>2276</v>
      </c>
      <c r="B2277" s="9" t="s">
        <v>9</v>
      </c>
      <c r="C2277" s="11" t="s">
        <v>10</v>
      </c>
      <c r="D2277" s="12">
        <v>45562</v>
      </c>
      <c r="E2277" s="14" t="str">
        <f>+HYPERLINK("http://trademark.i-assist.jp/data/china/image_1905th/79395212.pdf","79395212")</f>
        <v>79395212</v>
      </c>
      <c r="F2277" s="13" t="s">
        <v>4023</v>
      </c>
      <c r="G2277" s="13" t="s">
        <v>4022</v>
      </c>
      <c r="H2277" s="13" t="s">
        <v>5751</v>
      </c>
      <c r="I2277" s="12">
        <v>45467</v>
      </c>
    </row>
    <row r="2278" spans="1:9" x14ac:dyDescent="0.15">
      <c r="A2278" s="10">
        <v>2277</v>
      </c>
      <c r="B2278" s="9" t="s">
        <v>9</v>
      </c>
      <c r="C2278" s="11" t="s">
        <v>10</v>
      </c>
      <c r="D2278" s="12">
        <v>45562</v>
      </c>
      <c r="E2278" s="14" t="str">
        <f>+HYPERLINK("http://trademark.i-assist.jp/data/china/image_1905th/79400486.pdf","79400486")</f>
        <v>79400486</v>
      </c>
      <c r="F2278" s="13" t="s">
        <v>4025</v>
      </c>
      <c r="G2278" s="13" t="s">
        <v>4024</v>
      </c>
      <c r="H2278" s="13" t="s">
        <v>4811</v>
      </c>
      <c r="I2278" s="12">
        <v>45467</v>
      </c>
    </row>
    <row r="2279" spans="1:9" x14ac:dyDescent="0.15">
      <c r="A2279" s="10">
        <v>2278</v>
      </c>
      <c r="B2279" s="9" t="s">
        <v>9</v>
      </c>
      <c r="C2279" s="11" t="s">
        <v>10</v>
      </c>
      <c r="D2279" s="12">
        <v>45562</v>
      </c>
      <c r="E2279" s="14" t="str">
        <f>+HYPERLINK("http://trademark.i-assist.jp/data/china/image_1905th/79416378.pdf","79416378")</f>
        <v>79416378</v>
      </c>
      <c r="F2279" s="13" t="s">
        <v>4027</v>
      </c>
      <c r="G2279" s="13" t="s">
        <v>4026</v>
      </c>
      <c r="H2279" s="13" t="s">
        <v>5752</v>
      </c>
      <c r="I2279" s="12">
        <v>45468</v>
      </c>
    </row>
    <row r="2280" spans="1:9" x14ac:dyDescent="0.15">
      <c r="A2280" s="10">
        <v>2279</v>
      </c>
      <c r="B2280" s="9" t="s">
        <v>9</v>
      </c>
      <c r="C2280" s="11" t="s">
        <v>10</v>
      </c>
      <c r="D2280" s="12">
        <v>45562</v>
      </c>
      <c r="E2280" s="14" t="str">
        <f>+HYPERLINK("http://trademark.i-assist.jp/data/china/image_1905th/79426710.pdf","79426710")</f>
        <v>79426710</v>
      </c>
      <c r="F2280" s="13" t="s">
        <v>4029</v>
      </c>
      <c r="G2280" s="13" t="s">
        <v>4028</v>
      </c>
      <c r="H2280" s="13" t="s">
        <v>5753</v>
      </c>
      <c r="I2280" s="12">
        <v>45468</v>
      </c>
    </row>
    <row r="2281" spans="1:9" x14ac:dyDescent="0.15">
      <c r="A2281" s="10">
        <v>2280</v>
      </c>
      <c r="B2281" s="9" t="s">
        <v>9</v>
      </c>
      <c r="C2281" s="11" t="s">
        <v>10</v>
      </c>
      <c r="D2281" s="12">
        <v>45562</v>
      </c>
      <c r="E2281" s="14" t="str">
        <f>+HYPERLINK("http://trademark.i-assist.jp/data/china/image_1905th/79442403.pdf","79442403")</f>
        <v>79442403</v>
      </c>
      <c r="F2281" s="13" t="s">
        <v>4030</v>
      </c>
      <c r="G2281" s="13" t="s">
        <v>2273</v>
      </c>
      <c r="H2281" s="13" t="s">
        <v>5103</v>
      </c>
      <c r="I2281" s="12">
        <v>45469</v>
      </c>
    </row>
    <row r="2282" spans="1:9" x14ac:dyDescent="0.15">
      <c r="A2282" s="10">
        <v>2281</v>
      </c>
      <c r="B2282" s="9" t="s">
        <v>9</v>
      </c>
      <c r="C2282" s="11" t="s">
        <v>10</v>
      </c>
      <c r="D2282" s="12">
        <v>45562</v>
      </c>
      <c r="E2282" s="14" t="str">
        <f>+HYPERLINK("http://trademark.i-assist.jp/data/china/image_1905th/79445957.pdf","79445957")</f>
        <v>79445957</v>
      </c>
      <c r="F2282" s="13" t="s">
        <v>4031</v>
      </c>
      <c r="G2282" s="13" t="s">
        <v>3101</v>
      </c>
      <c r="H2282" s="13" t="s">
        <v>4179</v>
      </c>
      <c r="I2282" s="12">
        <v>45469</v>
      </c>
    </row>
    <row r="2283" spans="1:9" x14ac:dyDescent="0.15">
      <c r="A2283" s="10">
        <v>2282</v>
      </c>
      <c r="B2283" s="9" t="s">
        <v>9</v>
      </c>
      <c r="C2283" s="11" t="s">
        <v>10</v>
      </c>
      <c r="D2283" s="12">
        <v>45562</v>
      </c>
      <c r="E2283" s="14" t="str">
        <f>+HYPERLINK("http://trademark.i-assist.jp/data/china/image_1905th/79448590.pdf","79448590")</f>
        <v>79448590</v>
      </c>
      <c r="F2283" s="13" t="s">
        <v>4032</v>
      </c>
      <c r="G2283" s="13" t="s">
        <v>148</v>
      </c>
      <c r="H2283" s="13" t="s">
        <v>5754</v>
      </c>
      <c r="I2283" s="12">
        <v>45469</v>
      </c>
    </row>
    <row r="2284" spans="1:9" x14ac:dyDescent="0.15">
      <c r="A2284" s="10">
        <v>2283</v>
      </c>
      <c r="B2284" s="9" t="s">
        <v>9</v>
      </c>
      <c r="C2284" s="11" t="s">
        <v>10</v>
      </c>
      <c r="D2284" s="12">
        <v>45562</v>
      </c>
      <c r="E2284" s="14" t="str">
        <f>+HYPERLINK("http://trademark.i-assist.jp/data/china/image_1905th/79730220.pdf","79730220")</f>
        <v>79730220</v>
      </c>
      <c r="F2284" s="13" t="s">
        <v>4034</v>
      </c>
      <c r="G2284" s="13" t="s">
        <v>4033</v>
      </c>
      <c r="H2284" s="13" t="s">
        <v>5755</v>
      </c>
      <c r="I2284" s="12">
        <v>45484</v>
      </c>
    </row>
    <row r="2285" spans="1:9" x14ac:dyDescent="0.15">
      <c r="A2285" s="10">
        <v>2284</v>
      </c>
      <c r="B2285" s="9" t="s">
        <v>9</v>
      </c>
      <c r="C2285" s="11" t="s">
        <v>10</v>
      </c>
      <c r="D2285" s="12">
        <v>45562</v>
      </c>
      <c r="E2285" s="14" t="str">
        <f>+HYPERLINK("http://trademark.i-assist.jp/data/china/image_1905th/79731204.pdf","79731204")</f>
        <v>79731204</v>
      </c>
      <c r="F2285" s="13" t="s">
        <v>4035</v>
      </c>
      <c r="G2285" s="13" t="s">
        <v>2447</v>
      </c>
      <c r="H2285" s="13" t="s">
        <v>4164</v>
      </c>
      <c r="I2285" s="12">
        <v>45484</v>
      </c>
    </row>
    <row r="2286" spans="1:9" x14ac:dyDescent="0.15">
      <c r="A2286" s="10">
        <v>2285</v>
      </c>
      <c r="B2286" s="9" t="s">
        <v>9</v>
      </c>
      <c r="C2286" s="11" t="s">
        <v>10</v>
      </c>
      <c r="D2286" s="12">
        <v>45562</v>
      </c>
      <c r="E2286" s="14" t="str">
        <f>+HYPERLINK("http://trademark.i-assist.jp/data/china/image_1905th/79734363.pdf","79734363")</f>
        <v>79734363</v>
      </c>
      <c r="F2286" s="13" t="s">
        <v>4037</v>
      </c>
      <c r="G2286" s="13" t="s">
        <v>4036</v>
      </c>
      <c r="H2286" s="13" t="s">
        <v>5756</v>
      </c>
      <c r="I2286" s="12">
        <v>45484</v>
      </c>
    </row>
    <row r="2287" spans="1:9" x14ac:dyDescent="0.15">
      <c r="A2287" s="10">
        <v>2286</v>
      </c>
      <c r="B2287" s="9" t="s">
        <v>9</v>
      </c>
      <c r="C2287" s="11" t="s">
        <v>10</v>
      </c>
      <c r="D2287" s="12">
        <v>45562</v>
      </c>
      <c r="E2287" s="14" t="str">
        <f>+HYPERLINK("http://trademark.i-assist.jp/data/china/image_1905th/79735981.pdf","79735981")</f>
        <v>79735981</v>
      </c>
      <c r="F2287" s="13" t="s">
        <v>4038</v>
      </c>
      <c r="G2287" s="13" t="s">
        <v>25</v>
      </c>
      <c r="H2287" s="13" t="s">
        <v>4154</v>
      </c>
      <c r="I2287" s="12">
        <v>45484</v>
      </c>
    </row>
    <row r="2288" spans="1:9" x14ac:dyDescent="0.15">
      <c r="A2288" s="10">
        <v>2287</v>
      </c>
      <c r="B2288" s="9" t="s">
        <v>9</v>
      </c>
      <c r="C2288" s="11" t="s">
        <v>10</v>
      </c>
      <c r="D2288" s="12">
        <v>45562</v>
      </c>
      <c r="E2288" s="14" t="str">
        <f>+HYPERLINK("http://trademark.i-assist.jp/data/china/image_1905th/79568398.pdf","79568398")</f>
        <v>79568398</v>
      </c>
      <c r="F2288" s="13" t="s">
        <v>4040</v>
      </c>
      <c r="G2288" s="13" t="s">
        <v>4039</v>
      </c>
      <c r="H2288" s="13" t="s">
        <v>5757</v>
      </c>
      <c r="I2288" s="12">
        <v>45475</v>
      </c>
    </row>
    <row r="2289" spans="1:9" x14ac:dyDescent="0.15">
      <c r="A2289" s="10">
        <v>2288</v>
      </c>
      <c r="B2289" s="9" t="s">
        <v>9</v>
      </c>
      <c r="C2289" s="11" t="s">
        <v>10</v>
      </c>
      <c r="D2289" s="12">
        <v>45562</v>
      </c>
      <c r="E2289" s="14" t="str">
        <f>+HYPERLINK("http://trademark.i-assist.jp/data/china/image_1905th/79587906.pdf","79587906")</f>
        <v>79587906</v>
      </c>
      <c r="F2289" s="13" t="s">
        <v>4042</v>
      </c>
      <c r="G2289" s="13" t="s">
        <v>4041</v>
      </c>
      <c r="H2289" s="13" t="s">
        <v>5758</v>
      </c>
      <c r="I2289" s="12">
        <v>45476</v>
      </c>
    </row>
    <row r="2290" spans="1:9" x14ac:dyDescent="0.15">
      <c r="A2290" s="10">
        <v>2289</v>
      </c>
      <c r="B2290" s="9" t="s">
        <v>9</v>
      </c>
      <c r="C2290" s="11" t="s">
        <v>10</v>
      </c>
      <c r="D2290" s="12">
        <v>45562</v>
      </c>
      <c r="E2290" s="14" t="str">
        <f>+HYPERLINK("http://trademark.i-assist.jp/data/china/image_1905th/79592854.pdf","79592854")</f>
        <v>79592854</v>
      </c>
      <c r="F2290" s="13" t="s">
        <v>4044</v>
      </c>
      <c r="G2290" s="13" t="s">
        <v>4043</v>
      </c>
      <c r="H2290" s="13" t="s">
        <v>5759</v>
      </c>
      <c r="I2290" s="12">
        <v>45476</v>
      </c>
    </row>
    <row r="2291" spans="1:9" x14ac:dyDescent="0.15">
      <c r="A2291" s="10">
        <v>2290</v>
      </c>
      <c r="B2291" s="9" t="s">
        <v>9</v>
      </c>
      <c r="C2291" s="11" t="s">
        <v>10</v>
      </c>
      <c r="D2291" s="12">
        <v>45562</v>
      </c>
      <c r="E2291" s="14" t="str">
        <f>+HYPERLINK("http://trademark.i-assist.jp/data/china/image_1905th/79598720.pdf","79598720")</f>
        <v>79598720</v>
      </c>
      <c r="F2291" s="13" t="s">
        <v>4046</v>
      </c>
      <c r="G2291" s="13" t="s">
        <v>4045</v>
      </c>
      <c r="H2291" s="13" t="s">
        <v>5760</v>
      </c>
      <c r="I2291" s="12">
        <v>45476</v>
      </c>
    </row>
    <row r="2292" spans="1:9" x14ac:dyDescent="0.15">
      <c r="A2292" s="10">
        <v>2291</v>
      </c>
      <c r="B2292" s="9" t="s">
        <v>9</v>
      </c>
      <c r="C2292" s="11" t="s">
        <v>10</v>
      </c>
      <c r="D2292" s="12">
        <v>45562</v>
      </c>
      <c r="E2292" s="14" t="str">
        <f>+HYPERLINK("http://trademark.i-assist.jp/data/china/image_1905th/79614034.pdf","79614034")</f>
        <v>79614034</v>
      </c>
      <c r="F2292" s="13" t="s">
        <v>4048</v>
      </c>
      <c r="G2292" s="13" t="s">
        <v>4047</v>
      </c>
      <c r="H2292" s="13" t="s">
        <v>5761</v>
      </c>
      <c r="I2292" s="12">
        <v>45477</v>
      </c>
    </row>
    <row r="2293" spans="1:9" x14ac:dyDescent="0.15">
      <c r="A2293" s="10">
        <v>2292</v>
      </c>
      <c r="B2293" s="9" t="s">
        <v>9</v>
      </c>
      <c r="C2293" s="11" t="s">
        <v>10</v>
      </c>
      <c r="D2293" s="12">
        <v>45562</v>
      </c>
      <c r="E2293" s="14" t="str">
        <f>+HYPERLINK("http://trademark.i-assist.jp/data/china/image_1905th/79617578.pdf","79617578")</f>
        <v>79617578</v>
      </c>
      <c r="F2293" s="13" t="s">
        <v>4049</v>
      </c>
      <c r="G2293" s="13" t="s">
        <v>3890</v>
      </c>
      <c r="H2293" s="13" t="s">
        <v>5762</v>
      </c>
      <c r="I2293" s="12">
        <v>45477</v>
      </c>
    </row>
    <row r="2294" spans="1:9" x14ac:dyDescent="0.15">
      <c r="A2294" s="10">
        <v>2293</v>
      </c>
      <c r="B2294" s="9" t="s">
        <v>9</v>
      </c>
      <c r="C2294" s="11" t="s">
        <v>10</v>
      </c>
      <c r="D2294" s="12">
        <v>45562</v>
      </c>
      <c r="E2294" s="14" t="str">
        <f>+HYPERLINK("http://trademark.i-assist.jp/data/china/image_1905th/79618426.pdf","79618426")</f>
        <v>79618426</v>
      </c>
      <c r="F2294" s="13" t="s">
        <v>73</v>
      </c>
      <c r="G2294" s="13" t="s">
        <v>4050</v>
      </c>
      <c r="H2294" s="13" t="s">
        <v>5763</v>
      </c>
      <c r="I2294" s="12">
        <v>45477</v>
      </c>
    </row>
    <row r="2295" spans="1:9" x14ac:dyDescent="0.15">
      <c r="A2295" s="10">
        <v>2294</v>
      </c>
      <c r="B2295" s="9" t="s">
        <v>9</v>
      </c>
      <c r="C2295" s="11" t="s">
        <v>10</v>
      </c>
      <c r="D2295" s="12">
        <v>45562</v>
      </c>
      <c r="E2295" s="14" t="str">
        <f>+HYPERLINK("http://trademark.i-assist.jp/data/china/image_1905th/79621806.pdf","79621806")</f>
        <v>79621806</v>
      </c>
      <c r="F2295" s="13" t="s">
        <v>4051</v>
      </c>
      <c r="G2295" s="13" t="s">
        <v>1122</v>
      </c>
      <c r="H2295" s="13" t="s">
        <v>4620</v>
      </c>
      <c r="I2295" s="12">
        <v>45477</v>
      </c>
    </row>
    <row r="2296" spans="1:9" x14ac:dyDescent="0.15">
      <c r="A2296" s="10">
        <v>2295</v>
      </c>
      <c r="B2296" s="9" t="s">
        <v>9</v>
      </c>
      <c r="C2296" s="11" t="s">
        <v>10</v>
      </c>
      <c r="D2296" s="12">
        <v>45562</v>
      </c>
      <c r="E2296" s="14" t="str">
        <f>+HYPERLINK("http://trademark.i-assist.jp/data/china/image_1905th/79625158.pdf","79625158")</f>
        <v>79625158</v>
      </c>
      <c r="F2296" s="13" t="s">
        <v>4053</v>
      </c>
      <c r="G2296" s="13" t="s">
        <v>4052</v>
      </c>
      <c r="H2296" s="13" t="s">
        <v>5764</v>
      </c>
      <c r="I2296" s="12">
        <v>45478</v>
      </c>
    </row>
    <row r="2297" spans="1:9" x14ac:dyDescent="0.15">
      <c r="A2297" s="10">
        <v>2296</v>
      </c>
      <c r="B2297" s="9" t="s">
        <v>9</v>
      </c>
      <c r="C2297" s="11" t="s">
        <v>10</v>
      </c>
      <c r="D2297" s="12">
        <v>45562</v>
      </c>
      <c r="E2297" s="14" t="str">
        <f>+HYPERLINK("http://trademark.i-assist.jp/data/china/image_1905th/79626396.pdf","79626396")</f>
        <v>79626396</v>
      </c>
      <c r="F2297" s="13" t="s">
        <v>4055</v>
      </c>
      <c r="G2297" s="13" t="s">
        <v>4054</v>
      </c>
      <c r="H2297" s="13" t="s">
        <v>4154</v>
      </c>
      <c r="I2297" s="12">
        <v>45478</v>
      </c>
    </row>
    <row r="2298" spans="1:9" x14ac:dyDescent="0.15">
      <c r="A2298" s="10">
        <v>2297</v>
      </c>
      <c r="B2298" s="9" t="s">
        <v>9</v>
      </c>
      <c r="C2298" s="11" t="s">
        <v>10</v>
      </c>
      <c r="D2298" s="12">
        <v>45562</v>
      </c>
      <c r="E2298" s="14" t="str">
        <f>+HYPERLINK("http://trademark.i-assist.jp/data/china/image_1905th/79627889.pdf","79627889")</f>
        <v>79627889</v>
      </c>
      <c r="F2298" s="13" t="s">
        <v>4057</v>
      </c>
      <c r="G2298" s="13" t="s">
        <v>4056</v>
      </c>
      <c r="H2298" s="13" t="s">
        <v>5034</v>
      </c>
      <c r="I2298" s="12">
        <v>45478</v>
      </c>
    </row>
    <row r="2299" spans="1:9" x14ac:dyDescent="0.15">
      <c r="A2299" s="10">
        <v>2298</v>
      </c>
      <c r="B2299" s="9" t="s">
        <v>9</v>
      </c>
      <c r="C2299" s="11" t="s">
        <v>10</v>
      </c>
      <c r="D2299" s="12">
        <v>45562</v>
      </c>
      <c r="E2299" s="14" t="str">
        <f>+HYPERLINK("http://trademark.i-assist.jp/data/china/image_1905th/79630867.pdf","79630867")</f>
        <v>79630867</v>
      </c>
      <c r="F2299" s="13" t="s">
        <v>4059</v>
      </c>
      <c r="G2299" s="13" t="s">
        <v>4058</v>
      </c>
      <c r="H2299" s="13" t="s">
        <v>5765</v>
      </c>
      <c r="I2299" s="12">
        <v>45478</v>
      </c>
    </row>
    <row r="2300" spans="1:9" x14ac:dyDescent="0.15">
      <c r="A2300" s="10">
        <v>2299</v>
      </c>
      <c r="B2300" s="9" t="s">
        <v>9</v>
      </c>
      <c r="C2300" s="11" t="s">
        <v>10</v>
      </c>
      <c r="D2300" s="12">
        <v>45562</v>
      </c>
      <c r="E2300" s="14" t="str">
        <f>+HYPERLINK("http://trademark.i-assist.jp/data/china/image_1905th/79634572.pdf","79634572")</f>
        <v>79634572</v>
      </c>
      <c r="F2300" s="13" t="s">
        <v>4060</v>
      </c>
      <c r="G2300" s="13" t="s">
        <v>983</v>
      </c>
      <c r="H2300" s="13" t="s">
        <v>4582</v>
      </c>
      <c r="I2300" s="12">
        <v>45478</v>
      </c>
    </row>
    <row r="2301" spans="1:9" x14ac:dyDescent="0.15">
      <c r="A2301" s="10">
        <v>2300</v>
      </c>
      <c r="B2301" s="9" t="s">
        <v>9</v>
      </c>
      <c r="C2301" s="11" t="s">
        <v>10</v>
      </c>
      <c r="D2301" s="12">
        <v>45562</v>
      </c>
      <c r="E2301" s="14" t="str">
        <f>+HYPERLINK("http://trademark.i-assist.jp/data/china/image_1905th/79688544.pdf","79688544")</f>
        <v>79688544</v>
      </c>
      <c r="F2301" s="13" t="s">
        <v>73</v>
      </c>
      <c r="G2301" s="13" t="s">
        <v>3265</v>
      </c>
      <c r="H2301" s="13" t="s">
        <v>5482</v>
      </c>
      <c r="I2301" s="12">
        <v>45482</v>
      </c>
    </row>
    <row r="2302" spans="1:9" x14ac:dyDescent="0.15">
      <c r="A2302" s="10">
        <v>2301</v>
      </c>
      <c r="B2302" s="9" t="s">
        <v>9</v>
      </c>
      <c r="C2302" s="11" t="s">
        <v>10</v>
      </c>
      <c r="D2302" s="12">
        <v>45562</v>
      </c>
      <c r="E2302" s="14" t="str">
        <f>+HYPERLINK("http://trademark.i-assist.jp/data/china/image_1905th/79690529.pdf","79690529")</f>
        <v>79690529</v>
      </c>
      <c r="F2302" s="13" t="s">
        <v>4061</v>
      </c>
      <c r="G2302" s="13" t="s">
        <v>1856</v>
      </c>
      <c r="H2302" s="13" t="s">
        <v>4931</v>
      </c>
      <c r="I2302" s="12">
        <v>45482</v>
      </c>
    </row>
    <row r="2303" spans="1:9" x14ac:dyDescent="0.15">
      <c r="A2303" s="10">
        <v>2302</v>
      </c>
      <c r="B2303" s="9" t="s">
        <v>9</v>
      </c>
      <c r="C2303" s="11" t="s">
        <v>10</v>
      </c>
      <c r="D2303" s="12">
        <v>45562</v>
      </c>
      <c r="E2303" s="14" t="str">
        <f>+HYPERLINK("http://trademark.i-assist.jp/data/china/image_1905th/79693311.pdf","79693311")</f>
        <v>79693311</v>
      </c>
      <c r="F2303" s="13" t="s">
        <v>73</v>
      </c>
      <c r="G2303" s="13" t="s">
        <v>1856</v>
      </c>
      <c r="H2303" s="13" t="s">
        <v>4931</v>
      </c>
      <c r="I2303" s="12">
        <v>45482</v>
      </c>
    </row>
    <row r="2304" spans="1:9" x14ac:dyDescent="0.15">
      <c r="A2304" s="10">
        <v>2303</v>
      </c>
      <c r="B2304" s="9" t="s">
        <v>9</v>
      </c>
      <c r="C2304" s="11" t="s">
        <v>10</v>
      </c>
      <c r="D2304" s="12">
        <v>45562</v>
      </c>
      <c r="E2304" s="14" t="str">
        <f>+HYPERLINK("http://trademark.i-assist.jp/data/china/image_1905th/79695576.pdf","79695576")</f>
        <v>79695576</v>
      </c>
      <c r="F2304" s="13" t="s">
        <v>4063</v>
      </c>
      <c r="G2304" s="13" t="s">
        <v>4062</v>
      </c>
      <c r="H2304" s="13" t="s">
        <v>5766</v>
      </c>
      <c r="I2304" s="12">
        <v>45482</v>
      </c>
    </row>
    <row r="2305" spans="1:9" x14ac:dyDescent="0.15">
      <c r="A2305" s="10">
        <v>2304</v>
      </c>
      <c r="B2305" s="9" t="s">
        <v>9</v>
      </c>
      <c r="C2305" s="11" t="s">
        <v>10</v>
      </c>
      <c r="D2305" s="12">
        <v>45562</v>
      </c>
      <c r="E2305" s="14" t="str">
        <f>+HYPERLINK("http://trademark.i-assist.jp/data/china/image_1905th/79698001.pdf","79698001")</f>
        <v>79698001</v>
      </c>
      <c r="F2305" s="13" t="s">
        <v>4065</v>
      </c>
      <c r="G2305" s="13" t="s">
        <v>4064</v>
      </c>
      <c r="H2305" s="13" t="s">
        <v>5767</v>
      </c>
      <c r="I2305" s="12">
        <v>45482</v>
      </c>
    </row>
    <row r="2306" spans="1:9" x14ac:dyDescent="0.15">
      <c r="A2306" s="10">
        <v>2305</v>
      </c>
      <c r="B2306" s="9" t="s">
        <v>9</v>
      </c>
      <c r="C2306" s="11" t="s">
        <v>10</v>
      </c>
      <c r="D2306" s="12">
        <v>45562</v>
      </c>
      <c r="E2306" s="14" t="str">
        <f>+HYPERLINK("http://trademark.i-assist.jp/data/china/image_1905th/79699231.pdf","79699231")</f>
        <v>79699231</v>
      </c>
      <c r="F2306" s="13" t="s">
        <v>4066</v>
      </c>
      <c r="G2306" s="13" t="s">
        <v>613</v>
      </c>
      <c r="H2306" s="13" t="s">
        <v>4424</v>
      </c>
      <c r="I2306" s="12">
        <v>45482</v>
      </c>
    </row>
    <row r="2307" spans="1:9" x14ac:dyDescent="0.15">
      <c r="A2307" s="10">
        <v>2306</v>
      </c>
      <c r="B2307" s="9" t="s">
        <v>9</v>
      </c>
      <c r="C2307" s="11" t="s">
        <v>10</v>
      </c>
      <c r="D2307" s="12">
        <v>45562</v>
      </c>
      <c r="E2307" s="14" t="str">
        <f>+HYPERLINK("http://trademark.i-assist.jp/data/china/image_1905th/79700369.pdf","79700369")</f>
        <v>79700369</v>
      </c>
      <c r="F2307" s="13" t="s">
        <v>4068</v>
      </c>
      <c r="G2307" s="13" t="s">
        <v>4067</v>
      </c>
      <c r="H2307" s="13" t="s">
        <v>4983</v>
      </c>
      <c r="I2307" s="12">
        <v>45482</v>
      </c>
    </row>
    <row r="2308" spans="1:9" x14ac:dyDescent="0.15">
      <c r="A2308" s="10">
        <v>2307</v>
      </c>
      <c r="B2308" s="9" t="s">
        <v>9</v>
      </c>
      <c r="C2308" s="11" t="s">
        <v>10</v>
      </c>
      <c r="D2308" s="12">
        <v>45562</v>
      </c>
      <c r="E2308" s="14" t="str">
        <f>+HYPERLINK("http://trademark.i-assist.jp/data/china/image_1905th/79704144.pdf","79704144")</f>
        <v>79704144</v>
      </c>
      <c r="F2308" s="13" t="s">
        <v>4070</v>
      </c>
      <c r="G2308" s="13" t="s">
        <v>4069</v>
      </c>
      <c r="H2308" s="13" t="s">
        <v>4227</v>
      </c>
      <c r="I2308" s="12">
        <v>45482</v>
      </c>
    </row>
    <row r="2309" spans="1:9" x14ac:dyDescent="0.15">
      <c r="A2309" s="10">
        <v>2308</v>
      </c>
      <c r="B2309" s="9" t="s">
        <v>9</v>
      </c>
      <c r="C2309" s="11" t="s">
        <v>10</v>
      </c>
      <c r="D2309" s="12">
        <v>45562</v>
      </c>
      <c r="E2309" s="14" t="str">
        <f>+HYPERLINK("http://trademark.i-assist.jp/data/china/image_1905th/79704758.pdf","79704758")</f>
        <v>79704758</v>
      </c>
      <c r="F2309" s="13" t="s">
        <v>4072</v>
      </c>
      <c r="G2309" s="13" t="s">
        <v>4071</v>
      </c>
      <c r="H2309" s="13" t="s">
        <v>5768</v>
      </c>
      <c r="I2309" s="12">
        <v>45483</v>
      </c>
    </row>
    <row r="2310" spans="1:9" x14ac:dyDescent="0.15">
      <c r="A2310" s="10">
        <v>2309</v>
      </c>
      <c r="B2310" s="9" t="s">
        <v>9</v>
      </c>
      <c r="C2310" s="11" t="s">
        <v>10</v>
      </c>
      <c r="D2310" s="12">
        <v>45562</v>
      </c>
      <c r="E2310" s="14" t="str">
        <f>+HYPERLINK("http://trademark.i-assist.jp/data/china/image_1905th/79704801.pdf","79704801")</f>
        <v>79704801</v>
      </c>
      <c r="F2310" s="13" t="s">
        <v>4073</v>
      </c>
      <c r="G2310" s="13" t="s">
        <v>244</v>
      </c>
      <c r="H2310" s="13" t="s">
        <v>4257</v>
      </c>
      <c r="I2310" s="12">
        <v>45483</v>
      </c>
    </row>
    <row r="2311" spans="1:9" x14ac:dyDescent="0.15">
      <c r="A2311" s="10">
        <v>2310</v>
      </c>
      <c r="B2311" s="9" t="s">
        <v>9</v>
      </c>
      <c r="C2311" s="11" t="s">
        <v>10</v>
      </c>
      <c r="D2311" s="12">
        <v>45562</v>
      </c>
      <c r="E2311" s="14" t="str">
        <f>+HYPERLINK("http://trademark.i-assist.jp/data/china/image_1905th/79710198.pdf","79710198")</f>
        <v>79710198</v>
      </c>
      <c r="F2311" s="13" t="s">
        <v>4074</v>
      </c>
      <c r="G2311" s="13" t="s">
        <v>1214</v>
      </c>
      <c r="H2311" s="13" t="s">
        <v>4666</v>
      </c>
      <c r="I2311" s="12">
        <v>45483</v>
      </c>
    </row>
    <row r="2312" spans="1:9" x14ac:dyDescent="0.15">
      <c r="A2312" s="10">
        <v>2311</v>
      </c>
      <c r="B2312" s="9" t="s">
        <v>9</v>
      </c>
      <c r="C2312" s="11" t="s">
        <v>10</v>
      </c>
      <c r="D2312" s="12">
        <v>45562</v>
      </c>
      <c r="E2312" s="14" t="str">
        <f>+HYPERLINK("http://trademark.i-assist.jp/data/china/image_1905th/79710230.pdf","79710230")</f>
        <v>79710230</v>
      </c>
      <c r="F2312" s="13" t="s">
        <v>4076</v>
      </c>
      <c r="G2312" s="13" t="s">
        <v>4075</v>
      </c>
      <c r="H2312" s="13" t="s">
        <v>5769</v>
      </c>
      <c r="I2312" s="12">
        <v>45483</v>
      </c>
    </row>
    <row r="2313" spans="1:9" x14ac:dyDescent="0.15">
      <c r="A2313" s="10">
        <v>2312</v>
      </c>
      <c r="B2313" s="9" t="s">
        <v>9</v>
      </c>
      <c r="C2313" s="11" t="s">
        <v>10</v>
      </c>
      <c r="D2313" s="12">
        <v>45562</v>
      </c>
      <c r="E2313" s="14" t="str">
        <f>+HYPERLINK("http://trademark.i-assist.jp/data/china/image_1905th/79710887.pdf","79710887")</f>
        <v>79710887</v>
      </c>
      <c r="F2313" s="13" t="s">
        <v>4078</v>
      </c>
      <c r="G2313" s="13" t="s">
        <v>4077</v>
      </c>
      <c r="H2313" s="13" t="s">
        <v>5770</v>
      </c>
      <c r="I2313" s="12">
        <v>45483</v>
      </c>
    </row>
    <row r="2314" spans="1:9" x14ac:dyDescent="0.15">
      <c r="A2314" s="10">
        <v>2313</v>
      </c>
      <c r="B2314" s="9" t="s">
        <v>9</v>
      </c>
      <c r="C2314" s="11" t="s">
        <v>10</v>
      </c>
      <c r="D2314" s="12">
        <v>45562</v>
      </c>
      <c r="E2314" s="14" t="str">
        <f>+HYPERLINK("http://trademark.i-assist.jp/data/china/image_1905th/79534579.pdf","79534579")</f>
        <v>79534579</v>
      </c>
      <c r="F2314" s="13" t="s">
        <v>4080</v>
      </c>
      <c r="G2314" s="13" t="s">
        <v>4079</v>
      </c>
      <c r="H2314" s="13" t="s">
        <v>5771</v>
      </c>
      <c r="I2314" s="12">
        <v>45474</v>
      </c>
    </row>
    <row r="2315" spans="1:9" x14ac:dyDescent="0.15">
      <c r="A2315" s="10">
        <v>2314</v>
      </c>
      <c r="B2315" s="9" t="s">
        <v>9</v>
      </c>
      <c r="C2315" s="11" t="s">
        <v>10</v>
      </c>
      <c r="D2315" s="12">
        <v>45562</v>
      </c>
      <c r="E2315" s="14" t="str">
        <f>+HYPERLINK("http://trademark.i-assist.jp/data/china/image_1905th/79538957.pdf","79538957")</f>
        <v>79538957</v>
      </c>
      <c r="F2315" s="13" t="s">
        <v>4082</v>
      </c>
      <c r="G2315" s="13" t="s">
        <v>4081</v>
      </c>
      <c r="H2315" s="13" t="s">
        <v>5772</v>
      </c>
      <c r="I2315" s="12">
        <v>45474</v>
      </c>
    </row>
    <row r="2316" spans="1:9" x14ac:dyDescent="0.15">
      <c r="A2316" s="10">
        <v>2315</v>
      </c>
      <c r="B2316" s="9" t="s">
        <v>9</v>
      </c>
      <c r="C2316" s="11" t="s">
        <v>10</v>
      </c>
      <c r="D2316" s="12">
        <v>45562</v>
      </c>
      <c r="E2316" s="14" t="str">
        <f>+HYPERLINK("http://trademark.i-assist.jp/data/china/image_1905th/79555852.pdf","79555852")</f>
        <v>79555852</v>
      </c>
      <c r="F2316" s="13" t="s">
        <v>4083</v>
      </c>
      <c r="G2316" s="13" t="s">
        <v>2876</v>
      </c>
      <c r="H2316" s="13" t="s">
        <v>4227</v>
      </c>
      <c r="I2316" s="12">
        <v>45475</v>
      </c>
    </row>
    <row r="2317" spans="1:9" x14ac:dyDescent="0.15">
      <c r="A2317" s="10">
        <v>2316</v>
      </c>
      <c r="B2317" s="9" t="s">
        <v>9</v>
      </c>
      <c r="C2317" s="11" t="s">
        <v>10</v>
      </c>
      <c r="D2317" s="12">
        <v>45562</v>
      </c>
      <c r="E2317" s="14" t="str">
        <f>+HYPERLINK("http://trademark.i-assist.jp/data/china/image_1905th/79556406.pdf","79556406")</f>
        <v>79556406</v>
      </c>
      <c r="F2317" s="13" t="s">
        <v>4085</v>
      </c>
      <c r="G2317" s="13" t="s">
        <v>4084</v>
      </c>
      <c r="H2317" s="13" t="s">
        <v>5773</v>
      </c>
      <c r="I2317" s="12">
        <v>45475</v>
      </c>
    </row>
    <row r="2318" spans="1:9" x14ac:dyDescent="0.15">
      <c r="A2318" s="10">
        <v>2317</v>
      </c>
      <c r="B2318" s="9" t="s">
        <v>9</v>
      </c>
      <c r="C2318" s="11" t="s">
        <v>10</v>
      </c>
      <c r="D2318" s="12">
        <v>45562</v>
      </c>
      <c r="E2318" s="14" t="str">
        <f>+HYPERLINK("http://trademark.i-assist.jp/data/china/image_1905th/79637695.pdf","79637695")</f>
        <v>79637695</v>
      </c>
      <c r="F2318" s="13" t="s">
        <v>4087</v>
      </c>
      <c r="G2318" s="13" t="s">
        <v>4086</v>
      </c>
      <c r="H2318" s="13" t="s">
        <v>5774</v>
      </c>
      <c r="I2318" s="12">
        <v>45478</v>
      </c>
    </row>
    <row r="2319" spans="1:9" x14ac:dyDescent="0.15">
      <c r="A2319" s="10">
        <v>2318</v>
      </c>
      <c r="B2319" s="9" t="s">
        <v>9</v>
      </c>
      <c r="C2319" s="11" t="s">
        <v>10</v>
      </c>
      <c r="D2319" s="12">
        <v>45562</v>
      </c>
      <c r="E2319" s="14" t="str">
        <f>+HYPERLINK("http://trademark.i-assist.jp/data/china/image_1905th/79642191.pdf","79642191")</f>
        <v>79642191</v>
      </c>
      <c r="F2319" s="13" t="s">
        <v>4089</v>
      </c>
      <c r="G2319" s="13" t="s">
        <v>4088</v>
      </c>
      <c r="H2319" s="13" t="s">
        <v>5775</v>
      </c>
      <c r="I2319" s="12">
        <v>45478</v>
      </c>
    </row>
    <row r="2320" spans="1:9" x14ac:dyDescent="0.15">
      <c r="A2320" s="10">
        <v>2319</v>
      </c>
      <c r="B2320" s="9" t="s">
        <v>9</v>
      </c>
      <c r="C2320" s="11" t="s">
        <v>10</v>
      </c>
      <c r="D2320" s="12">
        <v>45562</v>
      </c>
      <c r="E2320" s="14" t="str">
        <f>+HYPERLINK("http://trademark.i-assist.jp/data/china/image_1905th/79664304.pdf","79664304")</f>
        <v>79664304</v>
      </c>
      <c r="F2320" s="13" t="s">
        <v>4091</v>
      </c>
      <c r="G2320" s="13" t="s">
        <v>4090</v>
      </c>
      <c r="H2320" s="13" t="s">
        <v>5776</v>
      </c>
      <c r="I2320" s="12">
        <v>45481</v>
      </c>
    </row>
    <row r="2321" spans="1:9" x14ac:dyDescent="0.15">
      <c r="A2321" s="10">
        <v>2320</v>
      </c>
      <c r="B2321" s="9" t="s">
        <v>9</v>
      </c>
      <c r="C2321" s="11" t="s">
        <v>10</v>
      </c>
      <c r="D2321" s="12">
        <v>45562</v>
      </c>
      <c r="E2321" s="14" t="str">
        <f>+HYPERLINK("http://trademark.i-assist.jp/data/china/image_1905th/79668568.pdf","79668568")</f>
        <v>79668568</v>
      </c>
      <c r="F2321" s="13" t="s">
        <v>4093</v>
      </c>
      <c r="G2321" s="13" t="s">
        <v>4092</v>
      </c>
      <c r="H2321" s="13" t="s">
        <v>5261</v>
      </c>
      <c r="I2321" s="12">
        <v>45481</v>
      </c>
    </row>
    <row r="2322" spans="1:9" x14ac:dyDescent="0.15">
      <c r="A2322" s="10">
        <v>2321</v>
      </c>
      <c r="B2322" s="9" t="s">
        <v>9</v>
      </c>
      <c r="C2322" s="11" t="s">
        <v>10</v>
      </c>
      <c r="D2322" s="12">
        <v>45562</v>
      </c>
      <c r="E2322" s="14" t="str">
        <f>+HYPERLINK("http://trademark.i-assist.jp/data/china/image_1905th/79671550.pdf","79671550")</f>
        <v>79671550</v>
      </c>
      <c r="F2322" s="13" t="s">
        <v>73</v>
      </c>
      <c r="G2322" s="13" t="s">
        <v>4094</v>
      </c>
      <c r="H2322" s="13" t="s">
        <v>5777</v>
      </c>
      <c r="I2322" s="12">
        <v>45481</v>
      </c>
    </row>
    <row r="2323" spans="1:9" x14ac:dyDescent="0.15">
      <c r="A2323" s="10">
        <v>2322</v>
      </c>
      <c r="B2323" s="9" t="s">
        <v>9</v>
      </c>
      <c r="C2323" s="11" t="s">
        <v>10</v>
      </c>
      <c r="D2323" s="12">
        <v>45562</v>
      </c>
      <c r="E2323" s="14" t="str">
        <f>+HYPERLINK("http://trademark.i-assist.jp/data/china/image_1905th/79672362.pdf","79672362")</f>
        <v>79672362</v>
      </c>
      <c r="F2323" s="13" t="s">
        <v>4096</v>
      </c>
      <c r="G2323" s="13" t="s">
        <v>4095</v>
      </c>
      <c r="H2323" s="13" t="s">
        <v>5497</v>
      </c>
      <c r="I2323" s="12">
        <v>45481</v>
      </c>
    </row>
    <row r="2324" spans="1:9" x14ac:dyDescent="0.15">
      <c r="A2324" s="10">
        <v>2323</v>
      </c>
      <c r="B2324" s="9" t="s">
        <v>9</v>
      </c>
      <c r="C2324" s="11" t="s">
        <v>10</v>
      </c>
      <c r="D2324" s="12">
        <v>45562</v>
      </c>
      <c r="E2324" s="14" t="str">
        <f>+HYPERLINK("http://trademark.i-assist.jp/data/china/image_1905th/79672992.pdf","79672992")</f>
        <v>79672992</v>
      </c>
      <c r="F2324" s="13" t="s">
        <v>4098</v>
      </c>
      <c r="G2324" s="13" t="s">
        <v>4097</v>
      </c>
      <c r="H2324" s="13" t="s">
        <v>5778</v>
      </c>
      <c r="I2324" s="12">
        <v>45481</v>
      </c>
    </row>
    <row r="2325" spans="1:9" x14ac:dyDescent="0.15">
      <c r="A2325" s="10">
        <v>2324</v>
      </c>
      <c r="B2325" s="9" t="s">
        <v>9</v>
      </c>
      <c r="C2325" s="11" t="s">
        <v>10</v>
      </c>
      <c r="D2325" s="12">
        <v>45562</v>
      </c>
      <c r="E2325" s="14" t="str">
        <f>+HYPERLINK("http://trademark.i-assist.jp/data/china/image_1905th/79673513.pdf","79673513")</f>
        <v>79673513</v>
      </c>
      <c r="F2325" s="13" t="s">
        <v>4100</v>
      </c>
      <c r="G2325" s="13" t="s">
        <v>4099</v>
      </c>
      <c r="H2325" s="13" t="s">
        <v>5779</v>
      </c>
      <c r="I2325" s="12">
        <v>45481</v>
      </c>
    </row>
    <row r="2326" spans="1:9" x14ac:dyDescent="0.15">
      <c r="A2326" s="10">
        <v>2325</v>
      </c>
      <c r="B2326" s="9" t="s">
        <v>9</v>
      </c>
      <c r="C2326" s="11" t="s">
        <v>10</v>
      </c>
      <c r="D2326" s="12">
        <v>45562</v>
      </c>
      <c r="E2326" s="14" t="str">
        <f>+HYPERLINK("http://trademark.i-assist.jp/data/china/image_1905th/79674986.pdf","79674986")</f>
        <v>79674986</v>
      </c>
      <c r="F2326" s="13" t="s">
        <v>4102</v>
      </c>
      <c r="G2326" s="13" t="s">
        <v>4101</v>
      </c>
      <c r="H2326" s="13" t="s">
        <v>5780</v>
      </c>
      <c r="I2326" s="12">
        <v>45481</v>
      </c>
    </row>
    <row r="2327" spans="1:9" x14ac:dyDescent="0.15">
      <c r="A2327" s="10">
        <v>2326</v>
      </c>
      <c r="B2327" s="9" t="s">
        <v>9</v>
      </c>
      <c r="C2327" s="11" t="s">
        <v>10</v>
      </c>
      <c r="D2327" s="12">
        <v>45562</v>
      </c>
      <c r="E2327" s="14" t="str">
        <f>+HYPERLINK("http://trademark.i-assist.jp/data/china/image_1905th/79677958.pdf","79677958")</f>
        <v>79677958</v>
      </c>
      <c r="F2327" s="13" t="s">
        <v>4104</v>
      </c>
      <c r="G2327" s="13" t="s">
        <v>4103</v>
      </c>
      <c r="H2327" s="13" t="s">
        <v>5781</v>
      </c>
      <c r="I2327" s="12">
        <v>45481</v>
      </c>
    </row>
    <row r="2328" spans="1:9" x14ac:dyDescent="0.15">
      <c r="A2328" s="10">
        <v>2327</v>
      </c>
      <c r="B2328" s="9" t="s">
        <v>9</v>
      </c>
      <c r="C2328" s="11" t="s">
        <v>10</v>
      </c>
      <c r="D2328" s="12">
        <v>45562</v>
      </c>
      <c r="E2328" s="14" t="str">
        <f>+HYPERLINK("http://trademark.i-assist.jp/data/china/image_1905th/79680222.pdf","79680222")</f>
        <v>79680222</v>
      </c>
      <c r="F2328" s="13" t="s">
        <v>4106</v>
      </c>
      <c r="G2328" s="13" t="s">
        <v>4105</v>
      </c>
      <c r="H2328" s="13" t="s">
        <v>5782</v>
      </c>
      <c r="I2328" s="12">
        <v>45482</v>
      </c>
    </row>
    <row r="2329" spans="1:9" x14ac:dyDescent="0.15">
      <c r="A2329" s="10">
        <v>2328</v>
      </c>
      <c r="B2329" s="9" t="s">
        <v>9</v>
      </c>
      <c r="C2329" s="11" t="s">
        <v>10</v>
      </c>
      <c r="D2329" s="12">
        <v>45562</v>
      </c>
      <c r="E2329" s="14" t="str">
        <f>+HYPERLINK("http://trademark.i-assist.jp/data/china/image_1905th/79466691.pdf","79466691")</f>
        <v>79466691</v>
      </c>
      <c r="F2329" s="13" t="s">
        <v>4108</v>
      </c>
      <c r="G2329" s="13" t="s">
        <v>4107</v>
      </c>
      <c r="H2329" s="13" t="s">
        <v>5020</v>
      </c>
      <c r="I2329" s="12">
        <v>45470</v>
      </c>
    </row>
    <row r="2330" spans="1:9" x14ac:dyDescent="0.15">
      <c r="A2330" s="10">
        <v>2329</v>
      </c>
      <c r="B2330" s="9" t="s">
        <v>9</v>
      </c>
      <c r="C2330" s="11" t="s">
        <v>10</v>
      </c>
      <c r="D2330" s="12">
        <v>45562</v>
      </c>
      <c r="E2330" s="14" t="str">
        <f>+HYPERLINK("http://trademark.i-assist.jp/data/china/image_1905th/79468073.pdf","79468073")</f>
        <v>79468073</v>
      </c>
      <c r="F2330" s="13" t="s">
        <v>4110</v>
      </c>
      <c r="G2330" s="13" t="s">
        <v>4109</v>
      </c>
      <c r="H2330" s="13" t="s">
        <v>4212</v>
      </c>
      <c r="I2330" s="12">
        <v>45470</v>
      </c>
    </row>
    <row r="2331" spans="1:9" x14ac:dyDescent="0.15">
      <c r="A2331" s="10">
        <v>2330</v>
      </c>
      <c r="B2331" s="9" t="s">
        <v>9</v>
      </c>
      <c r="C2331" s="11" t="s">
        <v>10</v>
      </c>
      <c r="D2331" s="12">
        <v>45562</v>
      </c>
      <c r="E2331" s="14" t="str">
        <f>+HYPERLINK("http://trademark.i-assist.jp/data/china/image_1905th/79473516.pdf","79473516")</f>
        <v>79473516</v>
      </c>
      <c r="F2331" s="13" t="s">
        <v>4111</v>
      </c>
      <c r="G2331" s="13" t="s">
        <v>2014</v>
      </c>
      <c r="H2331" s="13" t="s">
        <v>5002</v>
      </c>
      <c r="I2331" s="12">
        <v>45470</v>
      </c>
    </row>
    <row r="2332" spans="1:9" x14ac:dyDescent="0.15">
      <c r="A2332" s="10">
        <v>2331</v>
      </c>
      <c r="B2332" s="9" t="s">
        <v>9</v>
      </c>
      <c r="C2332" s="11" t="s">
        <v>10</v>
      </c>
      <c r="D2332" s="12">
        <v>45562</v>
      </c>
      <c r="E2332" s="14" t="str">
        <f>+HYPERLINK("http://trademark.i-assist.jp/data/china/image_1905th/79478448.pdf","79478448")</f>
        <v>79478448</v>
      </c>
      <c r="F2332" s="13" t="s">
        <v>4113</v>
      </c>
      <c r="G2332" s="13" t="s">
        <v>4112</v>
      </c>
      <c r="H2332" s="13" t="s">
        <v>5783</v>
      </c>
      <c r="I2332" s="12">
        <v>45470</v>
      </c>
    </row>
    <row r="2333" spans="1:9" x14ac:dyDescent="0.15">
      <c r="A2333" s="10">
        <v>2332</v>
      </c>
      <c r="B2333" s="9" t="s">
        <v>9</v>
      </c>
      <c r="C2333" s="11" t="s">
        <v>10</v>
      </c>
      <c r="D2333" s="12">
        <v>45562</v>
      </c>
      <c r="E2333" s="14" t="str">
        <f>+HYPERLINK("http://trademark.i-assist.jp/data/china/image_1905th/79482854.pdf","79482854")</f>
        <v>79482854</v>
      </c>
      <c r="F2333" s="13" t="s">
        <v>4115</v>
      </c>
      <c r="G2333" s="13" t="s">
        <v>4114</v>
      </c>
      <c r="H2333" s="13" t="s">
        <v>4760</v>
      </c>
      <c r="I2333" s="12">
        <v>45470</v>
      </c>
    </row>
    <row r="2334" spans="1:9" x14ac:dyDescent="0.15">
      <c r="A2334" s="10">
        <v>2333</v>
      </c>
      <c r="B2334" s="9" t="s">
        <v>9</v>
      </c>
      <c r="C2334" s="11" t="s">
        <v>10</v>
      </c>
      <c r="D2334" s="12">
        <v>45562</v>
      </c>
      <c r="E2334" s="14" t="str">
        <f>+HYPERLINK("http://trademark.i-assist.jp/data/china/image_1905th/79485163.pdf","79485163")</f>
        <v>79485163</v>
      </c>
      <c r="F2334" s="13" t="s">
        <v>4117</v>
      </c>
      <c r="G2334" s="13" t="s">
        <v>4116</v>
      </c>
      <c r="H2334" s="13" t="s">
        <v>5784</v>
      </c>
      <c r="I2334" s="12">
        <v>45470</v>
      </c>
    </row>
    <row r="2335" spans="1:9" x14ac:dyDescent="0.15">
      <c r="A2335" s="10">
        <v>2334</v>
      </c>
      <c r="B2335" s="9" t="s">
        <v>9</v>
      </c>
      <c r="C2335" s="11" t="s">
        <v>10</v>
      </c>
      <c r="D2335" s="12">
        <v>45562</v>
      </c>
      <c r="E2335" s="14" t="str">
        <f>+HYPERLINK("http://trademark.i-assist.jp/data/china/image_1905th/79487070.pdf","79487070")</f>
        <v>79487070</v>
      </c>
      <c r="F2335" s="13" t="s">
        <v>4119</v>
      </c>
      <c r="G2335" s="13" t="s">
        <v>4118</v>
      </c>
      <c r="H2335" s="13" t="s">
        <v>5785</v>
      </c>
      <c r="I2335" s="12">
        <v>45470</v>
      </c>
    </row>
    <row r="2336" spans="1:9" x14ac:dyDescent="0.15">
      <c r="A2336" s="10">
        <v>2335</v>
      </c>
      <c r="B2336" s="9" t="s">
        <v>9</v>
      </c>
      <c r="C2336" s="11" t="s">
        <v>10</v>
      </c>
      <c r="D2336" s="12">
        <v>45562</v>
      </c>
      <c r="E2336" s="14" t="str">
        <f>+HYPERLINK("http://trademark.i-assist.jp/data/china/image_1905th/79488889.pdf","79488889")</f>
        <v>79488889</v>
      </c>
      <c r="F2336" s="13" t="s">
        <v>73</v>
      </c>
      <c r="G2336" s="13" t="s">
        <v>4120</v>
      </c>
      <c r="H2336" s="13" t="s">
        <v>4245</v>
      </c>
      <c r="I2336" s="12">
        <v>45471</v>
      </c>
    </row>
    <row r="2337" spans="1:9" x14ac:dyDescent="0.15">
      <c r="A2337" s="10">
        <v>2336</v>
      </c>
      <c r="B2337" s="9" t="s">
        <v>9</v>
      </c>
      <c r="C2337" s="11" t="s">
        <v>10</v>
      </c>
      <c r="D2337" s="12">
        <v>45562</v>
      </c>
      <c r="E2337" s="14" t="str">
        <f>+HYPERLINK("http://trademark.i-assist.jp/data/china/image_1905th/79494357.pdf","79494357")</f>
        <v>79494357</v>
      </c>
      <c r="F2337" s="13" t="s">
        <v>4122</v>
      </c>
      <c r="G2337" s="13" t="s">
        <v>4121</v>
      </c>
      <c r="H2337" s="13" t="s">
        <v>5786</v>
      </c>
      <c r="I2337" s="12">
        <v>45471</v>
      </c>
    </row>
    <row r="2338" spans="1:9" x14ac:dyDescent="0.15">
      <c r="A2338" s="10">
        <v>2337</v>
      </c>
      <c r="B2338" s="9" t="s">
        <v>9</v>
      </c>
      <c r="C2338" s="11" t="s">
        <v>10</v>
      </c>
      <c r="D2338" s="12">
        <v>45562</v>
      </c>
      <c r="E2338" s="14" t="str">
        <f>+HYPERLINK("http://trademark.i-assist.jp/data/china/image_1905th/79847211.pdf","79847211")</f>
        <v>79847211</v>
      </c>
      <c r="F2338" s="13" t="s">
        <v>4123</v>
      </c>
      <c r="G2338" s="13" t="s">
        <v>1328</v>
      </c>
      <c r="H2338" s="13" t="s">
        <v>4706</v>
      </c>
      <c r="I2338" s="12">
        <v>45490</v>
      </c>
    </row>
    <row r="2339" spans="1:9" x14ac:dyDescent="0.15">
      <c r="A2339" s="10">
        <v>2338</v>
      </c>
      <c r="B2339" s="9" t="s">
        <v>9</v>
      </c>
      <c r="C2339" s="11" t="s">
        <v>10</v>
      </c>
      <c r="D2339" s="12">
        <v>45562</v>
      </c>
      <c r="E2339" s="14" t="str">
        <f>+HYPERLINK("http://trademark.i-assist.jp/data/china/image_1905th/79857817.pdf","79857817")</f>
        <v>79857817</v>
      </c>
      <c r="F2339" s="13" t="s">
        <v>4124</v>
      </c>
      <c r="G2339" s="13" t="s">
        <v>3750</v>
      </c>
      <c r="H2339" s="13" t="s">
        <v>5651</v>
      </c>
      <c r="I2339" s="12">
        <v>45491</v>
      </c>
    </row>
    <row r="2340" spans="1:9" x14ac:dyDescent="0.15">
      <c r="A2340" s="10">
        <v>2339</v>
      </c>
      <c r="B2340" s="9" t="s">
        <v>9</v>
      </c>
      <c r="C2340" s="11" t="s">
        <v>10</v>
      </c>
      <c r="D2340" s="12">
        <v>45562</v>
      </c>
      <c r="E2340" s="14" t="str">
        <f>+HYPERLINK("http://trademark.i-assist.jp/data/china/image_1905th/79863340.pdf","79863340")</f>
        <v>79863340</v>
      </c>
      <c r="F2340" s="13" t="s">
        <v>4126</v>
      </c>
      <c r="G2340" s="13" t="s">
        <v>4125</v>
      </c>
      <c r="H2340" s="13" t="s">
        <v>4620</v>
      </c>
      <c r="I2340" s="12">
        <v>45491</v>
      </c>
    </row>
    <row r="2341" spans="1:9" x14ac:dyDescent="0.15">
      <c r="A2341" s="10">
        <v>2340</v>
      </c>
      <c r="B2341" s="9" t="s">
        <v>9</v>
      </c>
      <c r="C2341" s="11" t="s">
        <v>10</v>
      </c>
      <c r="D2341" s="12">
        <v>45562</v>
      </c>
      <c r="E2341" s="14" t="str">
        <f>+HYPERLINK("http://trademark.i-assist.jp/data/china/image_1905th/79777555.pdf","79777555")</f>
        <v>79777555</v>
      </c>
      <c r="F2341" s="13" t="s">
        <v>4128</v>
      </c>
      <c r="G2341" s="13" t="s">
        <v>4127</v>
      </c>
      <c r="H2341" s="13" t="s">
        <v>5787</v>
      </c>
      <c r="I2341" s="12">
        <v>45486</v>
      </c>
    </row>
    <row r="2342" spans="1:9" x14ac:dyDescent="0.15">
      <c r="A2342" s="10">
        <v>2341</v>
      </c>
      <c r="B2342" s="9" t="s">
        <v>9</v>
      </c>
      <c r="C2342" s="11" t="s">
        <v>10</v>
      </c>
      <c r="D2342" s="12">
        <v>45562</v>
      </c>
      <c r="E2342" s="14" t="str">
        <f>+HYPERLINK("http://trademark.i-assist.jp/data/china/image_1905th/79778100.pdf","79778100")</f>
        <v>79778100</v>
      </c>
      <c r="F2342" s="13" t="s">
        <v>4130</v>
      </c>
      <c r="G2342" s="13" t="s">
        <v>4129</v>
      </c>
      <c r="H2342" s="13" t="s">
        <v>4620</v>
      </c>
      <c r="I2342" s="12">
        <v>45486</v>
      </c>
    </row>
    <row r="2343" spans="1:9" x14ac:dyDescent="0.15">
      <c r="A2343" s="10">
        <v>2342</v>
      </c>
      <c r="B2343" s="9" t="s">
        <v>9</v>
      </c>
      <c r="C2343" s="11" t="s">
        <v>10</v>
      </c>
      <c r="D2343" s="12">
        <v>45562</v>
      </c>
      <c r="E2343" s="14" t="str">
        <f>+HYPERLINK("http://trademark.i-assist.jp/data/china/image_1905th/79778739.pdf","79778739")</f>
        <v>79778739</v>
      </c>
      <c r="F2343" s="13" t="s">
        <v>4132</v>
      </c>
      <c r="G2343" s="13" t="s">
        <v>4131</v>
      </c>
      <c r="H2343" s="13" t="s">
        <v>4227</v>
      </c>
      <c r="I2343" s="12">
        <v>45486</v>
      </c>
    </row>
    <row r="2344" spans="1:9" x14ac:dyDescent="0.15">
      <c r="A2344" s="10">
        <v>2343</v>
      </c>
      <c r="B2344" s="9" t="s">
        <v>9</v>
      </c>
      <c r="C2344" s="11" t="s">
        <v>10</v>
      </c>
      <c r="D2344" s="12">
        <v>45562</v>
      </c>
      <c r="E2344" s="14" t="str">
        <f>+HYPERLINK("http://trademark.i-assist.jp/data/china/image_1905th/79789613.pdf","79789613")</f>
        <v>79789613</v>
      </c>
      <c r="F2344" s="13" t="s">
        <v>4133</v>
      </c>
      <c r="G2344" s="13" t="s">
        <v>2352</v>
      </c>
      <c r="H2344" s="13" t="s">
        <v>5134</v>
      </c>
      <c r="I2344" s="12">
        <v>45488</v>
      </c>
    </row>
    <row r="2345" spans="1:9" x14ac:dyDescent="0.15">
      <c r="A2345" s="10">
        <v>2344</v>
      </c>
      <c r="B2345" s="9" t="s">
        <v>9</v>
      </c>
      <c r="C2345" s="11" t="s">
        <v>10</v>
      </c>
      <c r="D2345" s="12">
        <v>45562</v>
      </c>
      <c r="E2345" s="14" t="str">
        <f>+HYPERLINK("http://trademark.i-assist.jp/data/china/image_1905th/79789738.pdf","79789738")</f>
        <v>79789738</v>
      </c>
      <c r="F2345" s="13" t="s">
        <v>4134</v>
      </c>
      <c r="G2345" s="13" t="s">
        <v>2352</v>
      </c>
      <c r="H2345" s="13" t="s">
        <v>5134</v>
      </c>
      <c r="I2345" s="12">
        <v>45488</v>
      </c>
    </row>
    <row r="2346" spans="1:9" x14ac:dyDescent="0.15">
      <c r="A2346" s="10">
        <v>2345</v>
      </c>
      <c r="B2346" s="9" t="s">
        <v>9</v>
      </c>
      <c r="C2346" s="11" t="s">
        <v>10</v>
      </c>
      <c r="D2346" s="12">
        <v>45562</v>
      </c>
      <c r="E2346" s="14" t="str">
        <f>+HYPERLINK("http://trademark.i-assist.jp/data/china/image_1905th/79812003.pdf","79812003")</f>
        <v>79812003</v>
      </c>
      <c r="F2346" s="13" t="s">
        <v>4136</v>
      </c>
      <c r="G2346" s="13" t="s">
        <v>4135</v>
      </c>
      <c r="H2346" s="13" t="s">
        <v>5788</v>
      </c>
      <c r="I2346" s="12">
        <v>45489</v>
      </c>
    </row>
    <row r="2347" spans="1:9" x14ac:dyDescent="0.15">
      <c r="A2347" s="10">
        <v>2346</v>
      </c>
      <c r="B2347" s="9" t="s">
        <v>9</v>
      </c>
      <c r="C2347" s="11" t="s">
        <v>10</v>
      </c>
      <c r="D2347" s="12">
        <v>45562</v>
      </c>
      <c r="E2347" s="14" t="str">
        <f>+HYPERLINK("http://trademark.i-assist.jp/data/china/image_1905th/79816274.pdf","79816274")</f>
        <v>79816274</v>
      </c>
      <c r="F2347" s="13" t="s">
        <v>4138</v>
      </c>
      <c r="G2347" s="13" t="s">
        <v>4137</v>
      </c>
      <c r="H2347" s="13" t="s">
        <v>5789</v>
      </c>
      <c r="I2347" s="12">
        <v>45489</v>
      </c>
    </row>
    <row r="2348" spans="1:9" x14ac:dyDescent="0.15">
      <c r="A2348" s="10">
        <v>2347</v>
      </c>
      <c r="B2348" s="9" t="s">
        <v>9</v>
      </c>
      <c r="C2348" s="11" t="s">
        <v>10</v>
      </c>
      <c r="D2348" s="12">
        <v>45562</v>
      </c>
      <c r="E2348" s="14" t="str">
        <f>+HYPERLINK("http://trademark.i-assist.jp/data/china/image_1905th/79816832.pdf","79816832")</f>
        <v>79816832</v>
      </c>
      <c r="F2348" s="13" t="s">
        <v>73</v>
      </c>
      <c r="G2348" s="13" t="s">
        <v>4139</v>
      </c>
      <c r="H2348" s="13" t="s">
        <v>5790</v>
      </c>
      <c r="I2348" s="12">
        <v>45489</v>
      </c>
    </row>
    <row r="2349" spans="1:9" x14ac:dyDescent="0.15">
      <c r="A2349" s="10">
        <v>2348</v>
      </c>
      <c r="B2349" s="9" t="s">
        <v>9</v>
      </c>
      <c r="C2349" s="11" t="s">
        <v>10</v>
      </c>
      <c r="D2349" s="12">
        <v>45562</v>
      </c>
      <c r="E2349" s="14" t="str">
        <f>+HYPERLINK("http://trademark.i-assist.jp/data/china/image_1905th/79824554.pdf","79824554")</f>
        <v>79824554</v>
      </c>
      <c r="F2349" s="13" t="s">
        <v>4141</v>
      </c>
      <c r="G2349" s="13" t="s">
        <v>4140</v>
      </c>
      <c r="H2349" s="13" t="s">
        <v>5791</v>
      </c>
      <c r="I2349" s="12">
        <v>45489</v>
      </c>
    </row>
    <row r="2350" spans="1:9" x14ac:dyDescent="0.15">
      <c r="A2350" s="10">
        <v>2349</v>
      </c>
      <c r="B2350" s="9" t="s">
        <v>9</v>
      </c>
      <c r="C2350" s="11" t="s">
        <v>10</v>
      </c>
      <c r="D2350" s="12">
        <v>45562</v>
      </c>
      <c r="E2350" s="14" t="str">
        <f>+HYPERLINK("http://trademark.i-assist.jp/data/china/image_1905th/79739704.pdf","79739704")</f>
        <v>79739704</v>
      </c>
      <c r="F2350" s="13" t="s">
        <v>73</v>
      </c>
      <c r="G2350" s="13" t="s">
        <v>4142</v>
      </c>
      <c r="H2350" s="13" t="s">
        <v>5792</v>
      </c>
      <c r="I2350" s="12">
        <v>45484</v>
      </c>
    </row>
    <row r="2351" spans="1:9" x14ac:dyDescent="0.15">
      <c r="A2351" s="10">
        <v>2350</v>
      </c>
      <c r="B2351" s="9" t="s">
        <v>9</v>
      </c>
      <c r="C2351" s="11" t="s">
        <v>10</v>
      </c>
      <c r="D2351" s="12">
        <v>45562</v>
      </c>
      <c r="E2351" s="14" t="str">
        <f>+HYPERLINK("http://trademark.i-assist.jp/data/china/image_1905th/79743934.pdf","79743934")</f>
        <v>79743934</v>
      </c>
      <c r="F2351" s="13" t="s">
        <v>4144</v>
      </c>
      <c r="G2351" s="13" t="s">
        <v>4143</v>
      </c>
      <c r="H2351" s="13" t="s">
        <v>4212</v>
      </c>
      <c r="I2351" s="12">
        <v>45484</v>
      </c>
    </row>
    <row r="2352" spans="1:9" x14ac:dyDescent="0.15">
      <c r="A2352" s="10">
        <v>2351</v>
      </c>
      <c r="B2352" s="9" t="s">
        <v>9</v>
      </c>
      <c r="C2352" s="11" t="s">
        <v>10</v>
      </c>
      <c r="D2352" s="12">
        <v>45562</v>
      </c>
      <c r="E2352" s="14" t="str">
        <f>+HYPERLINK("http://trademark.i-assist.jp/data/china/image_1905th/79753924.pdf","79753924")</f>
        <v>79753924</v>
      </c>
      <c r="F2352" s="13" t="s">
        <v>4145</v>
      </c>
      <c r="G2352" s="13" t="s">
        <v>1962</v>
      </c>
      <c r="H2352" s="13" t="s">
        <v>4979</v>
      </c>
      <c r="I2352" s="12">
        <v>45485</v>
      </c>
    </row>
    <row r="2353" spans="1:9" x14ac:dyDescent="0.15">
      <c r="A2353" s="10">
        <v>2352</v>
      </c>
      <c r="B2353" s="9" t="s">
        <v>9</v>
      </c>
      <c r="C2353" s="11" t="s">
        <v>10</v>
      </c>
      <c r="D2353" s="12">
        <v>45562</v>
      </c>
      <c r="E2353" s="14" t="str">
        <f>+HYPERLINK("http://trademark.i-assist.jp/data/china/image_1905th/79760467.pdf","79760467")</f>
        <v>79760467</v>
      </c>
      <c r="F2353" s="13" t="s">
        <v>4146</v>
      </c>
      <c r="G2353" s="13" t="s">
        <v>213</v>
      </c>
      <c r="H2353" s="13" t="s">
        <v>4975</v>
      </c>
      <c r="I2353" s="12">
        <v>45485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1905th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2025-04-16T04:12:56Z</dcterms:modified>
</cp:coreProperties>
</file>