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09C04D70-935A-4FB6-B2D5-11CB26FB0EE9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1904th" sheetId="2" r:id="rId1"/>
  </sheets>
  <definedNames>
    <definedName name="_xlnm._FilterDatabase" localSheetId="0" hidden="1">'1904th'!$A$1:$I$1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</calcChain>
</file>

<file path=xl/sharedStrings.xml><?xml version="1.0" encoding="utf-8"?>
<sst xmlns="http://schemas.openxmlformats.org/spreadsheetml/2006/main" count="12889" uniqueCount="5244">
  <si>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</si>
  <si>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</si>
  <si>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</si>
  <si>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</si>
  <si>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</si>
  <si>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</si>
  <si>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</si>
  <si>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</si>
  <si>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</si>
  <si>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</si>
  <si>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贵州情景最藏酒业有限公司</t>
  </si>
  <si>
    <t>果酒（含酒精）;蒸馏饮料;葡萄酒;酒精饮料（啤酒除外）;⽩酒;预先混合的酒精饮料（以啤酒为主的除外）;汽酒;⻩酒;烧酒;⽶酒</t>
  </si>
  <si>
    <t>图形</t>
  </si>
  <si>
    <t>酒精饮料（啤酒除外）</t>
  </si>
  <si>
    <t>2023/06/15</t>
  </si>
  <si>
    <t/>
  </si>
  <si>
    <t>2023/10/08</t>
  </si>
  <si>
    <t>⽩酒;葡萄酒</t>
  </si>
  <si>
    <t>⽩酒</t>
  </si>
  <si>
    <t>2024/02/26</t>
  </si>
  <si>
    <t>2024/03/26</t>
  </si>
  <si>
    <t>双喜（浙江）食品有限公司</t>
  </si>
  <si>
    <t>2024/04/03</t>
  </si>
  <si>
    <t>中国红双喜集团股份有限公司</t>
  </si>
  <si>
    <t>2024/04/08</t>
  </si>
  <si>
    <t>贵州京谭酒业有限责任公司</t>
  </si>
  <si>
    <t>2024/04/11</t>
  </si>
  <si>
    <t>2024/04/12</t>
  </si>
  <si>
    <t>2024/04/15</t>
  </si>
  <si>
    <t>吴晓林</t>
  </si>
  <si>
    <t>2024/04/16</t>
  </si>
  <si>
    <t>2024/04/17</t>
  </si>
  <si>
    <t>2024/04/18</t>
  </si>
  <si>
    <t>2024/04/20</t>
  </si>
  <si>
    <t>2024/04/23</t>
  </si>
  <si>
    <t>2024/04/26</t>
  </si>
  <si>
    <t>2024/04/29</t>
  </si>
  <si>
    <t>葡萄酒</t>
  </si>
  <si>
    <t>2024/05/06</t>
  </si>
  <si>
    <t>贵州省仁怀市茅台镇衡昌烧坊酿酒有限公司</t>
  </si>
  <si>
    <t>2024/05/07</t>
  </si>
  <si>
    <t>2024/05/08</t>
  </si>
  <si>
    <t>2024/05/09</t>
  </si>
  <si>
    <t>贵州创梦酒业有限公司</t>
  </si>
  <si>
    <t>2024/05/10</t>
  </si>
  <si>
    <t>李利</t>
  </si>
  <si>
    <t>顾玉红</t>
  </si>
  <si>
    <t>2024/05/11</t>
  </si>
  <si>
    <t>山东百脉泉酒业股份有限公司</t>
  </si>
  <si>
    <t>2024/05/14</t>
  </si>
  <si>
    <t>釜阳春酒业有限公司</t>
  </si>
  <si>
    <t>2024/05/15</t>
  </si>
  <si>
    <t>谢婉仪</t>
  </si>
  <si>
    <t>2024/05/28</t>
  </si>
  <si>
    <t>河南睢王酒业有限公司</t>
  </si>
  <si>
    <t>⽩⼲酒（中国⽩酒）;除啤酒外的酒精饮料;⽶酒;⻩酒;烧酒;鸡尾酒;⾼粱酒;⽩酒;烈酒;葡萄酒</t>
  </si>
  <si>
    <t>2023/03/20</t>
  </si>
  <si>
    <t>2023/04/13</t>
  </si>
  <si>
    <t>2023/07/19</t>
  </si>
  <si>
    <t>贵酒集团有限公司</t>
  </si>
  <si>
    <t>2023/08/19</t>
  </si>
  <si>
    <t>2023/08/29</t>
  </si>
  <si>
    <t>2023/09/07</t>
  </si>
  <si>
    <t>博赛简化股份公司-优质的葡萄酒家庭</t>
  </si>
  <si>
    <t>2023/09/26</t>
  </si>
  <si>
    <t>2023/09/27</t>
  </si>
  <si>
    <t>2023/10/12</t>
  </si>
  <si>
    <t>2024/03/19</t>
  </si>
  <si>
    <t>李强</t>
  </si>
  <si>
    <t>查银桃</t>
  </si>
  <si>
    <t>袁龙</t>
  </si>
  <si>
    <t>黄有生</t>
  </si>
  <si>
    <t>上海调笙文化科技有限公司</t>
  </si>
  <si>
    <t>洪国明</t>
  </si>
  <si>
    <t>内蒙古乌兰木伦科技有限公司</t>
  </si>
  <si>
    <t>上海三巡电子商务有限公司</t>
  </si>
  <si>
    <t>古蔺县久盛投资有限公司</t>
  </si>
  <si>
    <t>2024/05/16</t>
  </si>
  <si>
    <t>广州三易健康科技有限公司</t>
  </si>
  <si>
    <t>2024/05/17</t>
  </si>
  <si>
    <t>2024/05/21</t>
  </si>
  <si>
    <t>2024/05/22</t>
  </si>
  <si>
    <t>2024/05/23</t>
  </si>
  <si>
    <t>王坤</t>
  </si>
  <si>
    <t>黄丽丽</t>
  </si>
  <si>
    <t>2024/05/24</t>
  </si>
  <si>
    <t>天津酒分享文化传播有限公司</t>
  </si>
  <si>
    <t>2024/05/25</t>
  </si>
  <si>
    <t>逸夫科技（集团）有限公司</t>
  </si>
  <si>
    <t>齐学艳</t>
  </si>
  <si>
    <t>2024/05/27</t>
  </si>
  <si>
    <t>贵州粮投粮油集团有限公司</t>
  </si>
  <si>
    <t>北京十方界酒业有限公司</t>
  </si>
  <si>
    <t>北京国闻文化发展有限公司</t>
  </si>
  <si>
    <t>朱舍里</t>
  </si>
  <si>
    <t>李玉春</t>
  </si>
  <si>
    <t>百尺台酒业有限公司</t>
  </si>
  <si>
    <t>贵州省仁怀市程润陈香酒业有限公司</t>
  </si>
  <si>
    <t>丰泽区宽亚百货商行</t>
  </si>
  <si>
    <t>2024/05/29</t>
  </si>
  <si>
    <t>王明刚</t>
  </si>
  <si>
    <t>王琮凯</t>
  </si>
  <si>
    <t>王刚</t>
  </si>
  <si>
    <t>贵州省仁怀市矛康酒业有限公司</t>
  </si>
  <si>
    <t>方太古</t>
  </si>
  <si>
    <t>金华市一壶生文旅发展有限公司</t>
  </si>
  <si>
    <t>2024/05/30</t>
  </si>
  <si>
    <t>许冬惠</t>
  </si>
  <si>
    <t>黛尔吉奥苏格兰有限公司</t>
  </si>
  <si>
    <t>威⼠忌;酒精饮料（啤酒除外）</t>
  </si>
  <si>
    <t>方雪</t>
  </si>
  <si>
    <t>2024/05/31</t>
  </si>
  <si>
    <t>佘锦亮</t>
  </si>
  <si>
    <t>黄荣垒</t>
  </si>
  <si>
    <t>赵明敏</t>
  </si>
  <si>
    <t>谢心恩</t>
  </si>
  <si>
    <t>徐州首酿酒业有限公司</t>
  </si>
  <si>
    <t>雅世涵舍文化（北京）有限公司</t>
  </si>
  <si>
    <t>2024/06/01</t>
  </si>
  <si>
    <t>石狮市翰玛世元服饰商行</t>
  </si>
  <si>
    <t>2024/06/03</t>
  </si>
  <si>
    <t>保定金谷酒业有限公司</t>
  </si>
  <si>
    <t>陈旭英</t>
  </si>
  <si>
    <t>河南省宋河酒业股份有限公司</t>
  </si>
  <si>
    <t>谢承志</t>
  </si>
  <si>
    <t>丁象恒</t>
  </si>
  <si>
    <t>2024/06/04</t>
  </si>
  <si>
    <t>黄春波</t>
  </si>
  <si>
    <t>贵州金久酒业有限公司</t>
  </si>
  <si>
    <t>四川郎酒股份有限公司</t>
  </si>
  <si>
    <t>方耐凤</t>
  </si>
  <si>
    <t>欧阳帆</t>
  </si>
  <si>
    <t>2024/06/05</t>
  </si>
  <si>
    <t>吴婵</t>
  </si>
  <si>
    <t>新疆沁园春雪信息科技有限责任公司</t>
  </si>
  <si>
    <t>李冉</t>
  </si>
  <si>
    <t>杨菊香</t>
  </si>
  <si>
    <t>于江</t>
  </si>
  <si>
    <t>2024/06/06</t>
  </si>
  <si>
    <t>泰安市泰山日出酒业有限公司</t>
  </si>
  <si>
    <t>2024/06/07</t>
  </si>
  <si>
    <t>吕东</t>
  </si>
  <si>
    <t>陈茂军</t>
  </si>
  <si>
    <t>大连心乐信息技术有限公司</t>
  </si>
  <si>
    <t>贵州贵陶坊酿酒有限公司</t>
  </si>
  <si>
    <t>刘曙光</t>
  </si>
  <si>
    <t>黄旭升</t>
  </si>
  <si>
    <t>山西金利科技有限公司</t>
  </si>
  <si>
    <t>2024/06/08</t>
  </si>
  <si>
    <t>2024/06/10</t>
  </si>
  <si>
    <t>2024/06/11</t>
  </si>
  <si>
    <t>刘小可</t>
  </si>
  <si>
    <t>贵州璟樽小酿酒业有限公司</t>
  </si>
  <si>
    <t>周翔翔</t>
  </si>
  <si>
    <t>叶孝敏</t>
  </si>
  <si>
    <t>2024/06/12</t>
  </si>
  <si>
    <t>卢雪梅</t>
  </si>
  <si>
    <t>成都市杉页工贸有限公司</t>
  </si>
  <si>
    <t>贵州仁怀祥湖酒业有限公司</t>
  </si>
  <si>
    <t>尹猛</t>
  </si>
  <si>
    <t>2024/06/13</t>
  </si>
  <si>
    <t>杭州二麻文化创意有限公司</t>
  </si>
  <si>
    <t>2024/06/14</t>
  </si>
  <si>
    <t>2024/06/15</t>
  </si>
  <si>
    <t>2024/06/16</t>
  </si>
  <si>
    <t>2024/06/17</t>
  </si>
  <si>
    <t>2024/06/18</t>
  </si>
  <si>
    <t>2024/06/19</t>
  </si>
  <si>
    <t>2024/06/20</t>
  </si>
  <si>
    <t>刘海欢</t>
  </si>
  <si>
    <t>1904</t>
  </si>
  <si>
    <t>2024/9/20</t>
  </si>
  <si>
    <t>小火车</t>
  </si>
  <si>
    <t>百威（中山）实业有限公司</t>
  </si>
  <si>
    <t>⻘稞酒;鸡尾酒;蒸馏饮料;蒸煮提取物（利⼝酒和烈酒）;果酒（含酒精）;烈酒（饮料）;威⼠忌;酒精饮料（啤酒除外）;⽶酒;葡萄酒</t>
  </si>
  <si>
    <t>2020/03/09</t>
  </si>
  <si>
    <t>YANPAI</t>
  </si>
  <si>
    <t>贵州研牌酒业有限公司</t>
  </si>
  <si>
    <t>果酒（含酒精）;蒸馏饮料;葡萄酒;烈酒（饮料）;酒精饮料（啤酒除外）;⽩酒;预先混合的酒精饮料（以啤酒为主的除外）;汽酒;⻩酒;烧酒;⽶酒</t>
  </si>
  <si>
    <t>2021/08/23</t>
  </si>
  <si>
    <t>老友记</t>
  </si>
  <si>
    <t>朱强辉362424********6418</t>
  </si>
  <si>
    <t>⻩酒;⽶酒;开胃酒;蜂蜜酒;果酒（含酒精）;烈酒（饮料）;含⽔果酒精饮料;酒精饮料（啤酒除外）;⽩酒;葡萄酒</t>
  </si>
  <si>
    <t>2022/02/25</t>
  </si>
  <si>
    <t>开胃酒;蒸馏饮料;果酒（含酒精）;葡萄酒;⽶酒;含⽔果酒精饮料;酒精饮料（啤酒除外）;⽩酒;⻩酒;烈酒（饮料）</t>
  </si>
  <si>
    <t>桥仙酒</t>
  </si>
  <si>
    <t>天津十月文化传媒有限公司</t>
  </si>
  <si>
    <t>果酒（含酒精）;蒸馏饮料;葡萄酒;烈酒（饮料）;⽩酒;伏特加酒;⻩酒;⽩兰地;威⼠忌;清酒（⽇本⽶酒）</t>
  </si>
  <si>
    <t>2022/04/07</t>
  </si>
  <si>
    <t>安徽省六安瓜片茶业股份有限公司</t>
  </si>
  <si>
    <t>⽩酒;⾷⽤酒精;果酒（含酒精）;烧酒;蜂蜜酒;鸡尾酒;酒精饮料（啤酒除外）;⽶酒;⻩酒;蒸馏饮料</t>
  </si>
  <si>
    <t>2022/04/18</t>
  </si>
  <si>
    <t>汤臣酱</t>
  </si>
  <si>
    <t>许秀清</t>
  </si>
  <si>
    <t>果酒（含酒精）;开胃酒;鸡尾酒;葡萄酒;烈酒（饮料）;威⼠忌;⽶酒;⻩酒;烧酒;⽩酒</t>
  </si>
  <si>
    <t>2022/04/19</t>
  </si>
  <si>
    <t>首发路客</t>
  </si>
  <si>
    <t>北京天人泰贸易有限公司</t>
  </si>
  <si>
    <t>⽩酒;⽶酒;果酒;葡萄酒;⻩酒;清酒;威⼠忌;蒸煮提取物（利⼝酒和烈酒）;酒精饮料（啤酒除外）;鸡尾酒</t>
  </si>
  <si>
    <t>2022/05/06</t>
  </si>
  <si>
    <t>亢</t>
  </si>
  <si>
    <t>贵州秉恒酒业有限公司</t>
  </si>
  <si>
    <t>已调味的蒸馏酒;⻩酒;⽶酒;果酒;烧酒（烈酒）;⽩酒;含酒精的鸡尾酒混合饮品;⽩⼲酒（中国⽩酒）;⾼粱酒;葡萄酒</t>
  </si>
  <si>
    <t>2022/06/20</t>
  </si>
  <si>
    <t>荔皇谷</t>
  </si>
  <si>
    <t>四川宜宾九气台酒业有限公司</t>
  </si>
  <si>
    <t>⽩酒;⽶酒;鸡尾酒;酒精饮料原汁;⻘稞酒;葡萄酒;烈酒（饮料）;⾷⽤酒精;⻩酒;酒精饮料（啤酒除外）</t>
  </si>
  <si>
    <t>2022/07/07</t>
  </si>
  <si>
    <t>华圣</t>
  </si>
  <si>
    <t>黄汉尧</t>
  </si>
  <si>
    <t>果酒（含酒精）;葡萄酒;⽩兰地;清酒（⽇本⽶酒）;⽩酒;酒精饮料（啤酒除外）;⽶酒;⾕物制蒸馏酒精饮料;⾷⽤酒精;威⼠忌</t>
  </si>
  <si>
    <t>2022/07/08</t>
  </si>
  <si>
    <t>天下诸侯</t>
  </si>
  <si>
    <t>贵州省仁怀市堂宽酒业有限公司</t>
  </si>
  <si>
    <t>烈酒;⽩酒;⾼粱酒;果酒;烧酒;⽶酒;葡萄酒;酒精饮料（啤酒除外）;⻩酒;⽼酒（中国蒸馏烈酒）</t>
  </si>
  <si>
    <t>2022/07/28</t>
  </si>
  <si>
    <t>果酒（含酒精）;鸡尾酒;葡萄酒;酒精饮料（啤酒除外）;⽩酒;⾕物制蒸馏酒精饮料;⻘稞酒;⻩酒;⾷⽤酒精;⽶酒</t>
  </si>
  <si>
    <t>2022/09/08</t>
  </si>
  <si>
    <t>年真原 G 35</t>
  </si>
  <si>
    <t>2022/10/13</t>
  </si>
  <si>
    <t>情景 Y30</t>
  </si>
  <si>
    <t>2022/10/21</t>
  </si>
  <si>
    <t>征程  OUR JOURNEY DREAM</t>
  </si>
  <si>
    <t>成王败寇（北京）酒业有限公司</t>
  </si>
  <si>
    <t>烧酒（烈酒）;果酒（含酒精）;葡萄酒;清酒（⽇本⽶酒）;⽩酒;⽩兰地;威⼠忌;⽶酒;⻘梅酒;⻩酒</t>
  </si>
  <si>
    <t>2022/11/24</t>
  </si>
  <si>
    <t>TWINWOODS</t>
  </si>
  <si>
    <t>捷成洋行有限公司</t>
  </si>
  <si>
    <t>含酒精的饮料（啤酒除外）;葡萄酒;⽩酒;酒精饮料原汁;烈酒（饮料）</t>
  </si>
  <si>
    <t>2022/12/29</t>
  </si>
  <si>
    <t>睢酒神</t>
  </si>
  <si>
    <t>2023/01/09</t>
  </si>
  <si>
    <t>中草香</t>
  </si>
  <si>
    <t>赵子正</t>
  </si>
  <si>
    <t>果酒（含酒精）;蒸馏饮料;⾷⽤酒精;⽩酒;烧酒;酒精饮料（啤酒除外）;含⽔果酒精饮料;汽酒;⽶酒;葡萄酒</t>
  </si>
  <si>
    <t>2023/02/21</t>
  </si>
  <si>
    <t>GIACOBAZZI</t>
  </si>
  <si>
    <t>杭州趣酒贸易有限公司</t>
  </si>
  <si>
    <t>果酒;桑格利亚汽酒;草莓酒;以葡萄酒为主的开胃酒;含酒精的鸡尾酒混合饮品;除啤酒外的酒精饮料;葡萄酒;樱桃酒;⻩酒;甜酒</t>
  </si>
  <si>
    <t>甘美兮</t>
  </si>
  <si>
    <t>果酒（含酒精）;伏特加酒;⻩酒;⾷⽤酒精;烧酒;⽶酒;⽩酒;⾕物制蒸馏酒精饮料;以葡萄酒为主的饮料;葡萄酒</t>
  </si>
  <si>
    <t>2023/03/28</t>
  </si>
  <si>
    <t>忆之年</t>
  </si>
  <si>
    <t>金华得悦科技有限公司</t>
  </si>
  <si>
    <t>⻘稞酒;⽩酒;⻩酒;鸡尾酒;烧酒;含⽔果酒精饮料;蒸馏饮料;果酒（含酒精）;⽶酒;酒精饮料（啤酒除外）</t>
  </si>
  <si>
    <t>海贵</t>
  </si>
  <si>
    <t>上海寥宇文化传播有限公司</t>
  </si>
  <si>
    <t>⽶酒;果酒;⾕物制蒸馏酒精饮料;⽩酒;烧酒;清酒;含⽔果酒精饮料;由⾕物蒸馏的⽩酒;威⼠忌;⽇本梅⼦酒</t>
  </si>
  <si>
    <t>2023/04/25</t>
  </si>
  <si>
    <t>卫正康</t>
  </si>
  <si>
    <t>杭州和发信健康科技有限公司</t>
  </si>
  <si>
    <t>果酒（含酒精）;含酒精的饮料（啤酒除外）;含酒精⽔果饮料;⾷⽤酒精;蒸馏饮料;酒精饮料（啤酒除外）;含酒精的潘趣酒;鸡尾酒;烈酒（饮料）;酸酒（低等葡萄酒）;蜂蜜酒;预先混合的酒精饮料（以啤酒为主的除外）;⽶酒</t>
  </si>
  <si>
    <t>2023/05/08</t>
  </si>
  <si>
    <t>西夫荣耀</t>
  </si>
  <si>
    <t>西夫拉姆酒业集团有限公司</t>
  </si>
  <si>
    <t>⽩兰地;酒精饮料（啤酒除外）;葡萄酒;伏特加酒;威⼠忌;含⽔果酒精饮料;烈酒（饮料）;果酒（含酒精）;利⼝酒;杜松⼦酒</t>
  </si>
  <si>
    <t>穗尊</t>
  </si>
  <si>
    <t>鸡尾酒;利⼝酒;葡萄酒;清酒（⽇本⽶酒）;⻩酒;烈酒（饮料）;⽶酒;⽩酒;⻘稞酒;果酒（含酒精）</t>
  </si>
  <si>
    <t>2023/06/25</t>
  </si>
  <si>
    <t>港一</t>
  </si>
  <si>
    <t>广东港一国际贸易有限公司</t>
  </si>
  <si>
    <t>⽩酒;威⼠忌;⽶酒;利⼝酒;苹果酒;朗姆酒;⽩兰地;鸡尾酒;伏特加酒;葡萄酒</t>
  </si>
  <si>
    <t>2023/06/28</t>
  </si>
  <si>
    <t>LONGMA ESTATE 酒  龙马酒庄</t>
  </si>
  <si>
    <t>果酒（含酒精）;烧酒;⽩酒;威⼠忌;⾷⽤酒精;含⽔果酒精饮料;⻩酒;⽶酒;开胃酒;酒精饮料（啤酒除外）</t>
  </si>
  <si>
    <t>2023/06/30</t>
  </si>
  <si>
    <t>兰清花唐</t>
  </si>
  <si>
    <t>董震</t>
  </si>
  <si>
    <t>⽶酒;⻩酒;烧酒;果酒（含酒精）;威⼠忌;葡萄酒;清酒（⽇本⽶酒）;⽩酒;⽩兰地;鸡尾酒</t>
  </si>
  <si>
    <t>2023/07/13</t>
  </si>
  <si>
    <t>津门</t>
  </si>
  <si>
    <t>天津津门白酒集团有限公司</t>
  </si>
  <si>
    <t>⽶酒;葡萄酒;烈酒;含⽔果酒精饮料;开胃酒;酒精饮料（啤酒除外）;⽩酒;果酒（含酒精）;鸡尾酒;清酒（⽇本⽶酒）</t>
  </si>
  <si>
    <t>福泉泉酒</t>
  </si>
  <si>
    <t>朱怀珊</t>
  </si>
  <si>
    <t>⻩酒;朗姆酒;预先混合的酒精饮料（以啤酒为主的除外）;清酒;⽩酒;烧酒;威⼠忌;含⽔果酒精饮料;⽩兰地;葡萄酒</t>
  </si>
  <si>
    <t>2023/07/24</t>
  </si>
  <si>
    <t>天雅</t>
  </si>
  <si>
    <t>河南康达贸易有限公司</t>
  </si>
  <si>
    <t>由⾕物蒸馏的⽩酒;果酒;⽶酒;酒精饮料（啤酒除外）;葡萄酒;⽩酒;蒸煮提取物（利⼝酒和烈酒）;烈酒（饮料）;烧酒;利⼝酒</t>
  </si>
  <si>
    <t>2023/07/25</t>
  </si>
  <si>
    <t>喆旗</t>
  </si>
  <si>
    <t>张勇</t>
  </si>
  <si>
    <t>烧酒;威⼠忌;葡萄酒;⽩酒;汽酒;⽶酒;⻩酒;果酒（含酒精）;鸡尾酒;含⽔果酒精饮料</t>
  </si>
  <si>
    <t>2023/08/02</t>
  </si>
  <si>
    <t>琼浆瑞草</t>
  </si>
  <si>
    <t>新疆天山雪莲制药有限公司</t>
  </si>
  <si>
    <t>⽩酒;果酒;露酒;葡萄酒;开胃酒;含酒精的鸡尾酒混合饮品;利⼝酒;烈酒;烧酒;⽶酒</t>
  </si>
  <si>
    <t>CAMPO BRAVO</t>
  </si>
  <si>
    <t>辛帕蒂科控股有限责任公司</t>
  </si>
  <si>
    <t>除啤酒外的酒精饮料;蒸馏饮料</t>
  </si>
  <si>
    <t>2023/08/09</t>
  </si>
  <si>
    <t>南郡醇</t>
  </si>
  <si>
    <t>周庆莲</t>
  </si>
  <si>
    <t>⽩酒;果酒（含酒精）;⽶酒;清酒（⽇本⽶酒）;⻩酒;烈酒（饮料）;酒精饮料（啤酒除外）;葡萄酒;烧酒;鸡尾酒</t>
  </si>
  <si>
    <t>2023/08/17</t>
  </si>
  <si>
    <t>樽天王</t>
  </si>
  <si>
    <t>风华正茂酒业有限公司</t>
  </si>
  <si>
    <t>⽶酒;葡萄酒;鸡尾酒;⻩酒;果酒（含酒精）;⻘稞酒;烈酒（饮料）;清酒（⽇本⽶酒）;利⼝酒;⽩酒</t>
  </si>
  <si>
    <t>顺典</t>
  </si>
  <si>
    <t>太白酒业股份有限公司</t>
  </si>
  <si>
    <t>烈酒（饮料）;⻩酒;⽩酒;⻘稞酒;果酒（含酒精）;鸡尾酒;⽶酒;葡萄酒;清酒（⽇本⽶酒）;利⼝酒</t>
  </si>
  <si>
    <t>拙夫煮酒</t>
  </si>
  <si>
    <t>濮阳阡陌贸易有限公司</t>
  </si>
  <si>
    <t>⽩酒;含酒精⽔果饮料;开胃酒;⻩酒;餐后酒（利⼝酒和烈酒）;鸡尾酒;烧酒;果酒;葡萄酒;⽶酒</t>
  </si>
  <si>
    <t>花间月饮</t>
  </si>
  <si>
    <t>宜宾三江汇海科技集团有限公司</t>
  </si>
  <si>
    <t>酒精饮料原汁;酒精饮料浓缩汁;酒精饮料（啤酒除外）;⾕物制蒸馏酒精饮料;⽩酒;果酒;烈酒（饮料）;含⽔果酒精饮料;预先混合的酒精饮料（以啤酒为主的除外）;以葡萄酒为主的饮料</t>
  </si>
  <si>
    <t>2023/08/28</t>
  </si>
  <si>
    <t>喜豹</t>
  </si>
  <si>
    <t>仙桃市九星大巴信息服务有限公司</t>
  </si>
  <si>
    <t>烈酒（饮料）;果酒（含酒精）;⻩酒;汽酒;⽩酒;蒸馏饮料;⽶酒;葡萄酒;酒精饮料（啤酒除外）;预先混合的酒精饮料（以啤酒为主的除外）</t>
  </si>
  <si>
    <t>喜栈</t>
  </si>
  <si>
    <t>徐福意</t>
  </si>
  <si>
    <t>葡萄酒;⽶酒;⻘稞酒;⻩酒;⽩酒;烧酒</t>
  </si>
  <si>
    <t>2023/08/31</t>
  </si>
  <si>
    <t>家贵福</t>
  </si>
  <si>
    <t>邹细云</t>
  </si>
  <si>
    <t>葡萄酒;烧酒;⻩酒;⽩酒;⽶酒;⻘稞酒</t>
  </si>
  <si>
    <t>2023/09/05</t>
  </si>
  <si>
    <t>启典</t>
  </si>
  <si>
    <t>⽶酒;⻩酒;烧酒;⽩酒</t>
  </si>
  <si>
    <t>凤鸣岗</t>
  </si>
  <si>
    <t>宋泽恒</t>
  </si>
  <si>
    <t>⽩酒;酒精饮料（啤酒除外）;酒精饮料原汁;烧酒;预先混合的酒精饮料（以啤酒为主的除外）;果酒（含酒精）;⻩酒;⽶酒;开胃酒;蒸馏饮料</t>
  </si>
  <si>
    <t>腾溪年份</t>
  </si>
  <si>
    <t>贵州五龙腾溪酒业有限公司</t>
  </si>
  <si>
    <t>酒精饮料（啤酒除外）;⽶酒;烧酒;⽼酒（中国蒸馏烈酒）;⻩酒;鸡尾酒;⾷⽤酒精;⽩酒;葡萄酒;果酒（含酒精）</t>
  </si>
  <si>
    <t>BERFECT 百飞特</t>
  </si>
  <si>
    <t>深圳百飞特实业有限公司</t>
  </si>
  <si>
    <t>葡萄酒;含酒精的鸡尾酒混合饮品;红葡萄酒;不起泡葡萄酒;⾼粱酒;含酒精的⽔果鸡尾酒饮料;⽩葡萄酒;加烈葡萄酒;朗姆酒（酒精饮料）;以葡萄酒为主的开胃酒</t>
  </si>
  <si>
    <t>2023/09/12</t>
  </si>
  <si>
    <t>大窖嘉宾</t>
  </si>
  <si>
    <t>大窑嘉宾饮品股份有限公司</t>
  </si>
  <si>
    <t>鸡尾酒;果酒（含酒精）;烧酒;⽩酒;酒精饮料（啤酒除外）;⾷⽤酒精;葡萄酒;利⼝酒;⽶酒;汽酒</t>
  </si>
  <si>
    <t>2023/09/14</t>
  </si>
  <si>
    <t>BLACK OASIS 黑色绿洲</t>
  </si>
  <si>
    <t>项泽鹏</t>
  </si>
  <si>
    <t>⽩兰地;威⼠忌;果酒（含酒精）;葡萄酒;鸡尾酒;⻘稞酒;⽶酒;⻩酒;烧酒;⽩酒</t>
  </si>
  <si>
    <t>公府宴</t>
  </si>
  <si>
    <t>公永伟</t>
  </si>
  <si>
    <t>含水果酒精饮料;葡萄酒;酒精饮料（啤酒除外）;鸡尾酒;开胃酒;蜂蜜酒;白酒;青稞酒;汽酒;烈酒</t>
  </si>
  <si>
    <t>古韵丝路春</t>
  </si>
  <si>
    <t>甘肃丝路春食品工业有限公司</t>
  </si>
  <si>
    <t>⾷⽤酒精;⽶酒;烧酒;葡萄酒;⻩酒;烈酒（饮料）;⽩兰地;⽩酒;梨酒;⻘稞酒</t>
  </si>
  <si>
    <t>2023/09/15</t>
  </si>
  <si>
    <t>暑期</t>
  </si>
  <si>
    <t>中酿优选（成都）国际贸易有限公司</t>
  </si>
  <si>
    <t>⻩酒;⾼粱酒;⽩⼲酒（中国⽩酒）;烧酒;以蒸馏酒为主的开胃酒;⽩酒;烧酒（烈酒）;含酒精的充⽓饮料（啤酒除外）;⽼酒（中国蒸馏烈酒）;烈酒</t>
  </si>
  <si>
    <t>2023/09/22</t>
  </si>
  <si>
    <t>玥 神珠满玥</t>
  </si>
  <si>
    <t>合肥经济技术开发区唐牌食品经营部（个体工商户）</t>
  </si>
  <si>
    <t>预先混合的酒精饮料（以啤酒为主的除外）;蒸馏饮料;⽶酒;汽酒;葡萄酒;果酒（含酒精）;酒精饮料（啤酒除外）;烧酒;⽩酒;⻩酒</t>
  </si>
  <si>
    <t>莫林父子</t>
  </si>
  <si>
    <t>不起泡葡萄酒;起泡红葡萄酒;起泡⽩葡萄酒</t>
  </si>
  <si>
    <t>MOZART</t>
  </si>
  <si>
    <t>莫扎特制酒有限公司</t>
  </si>
  <si>
    <t>酒精饮料（啤酒除外）;蒸馏饮料;开胃酒;烈酒（饮料）;利⼝酒;餐后酒（利⼝酒和烈酒）</t>
  </si>
  <si>
    <t>TK TKAISER</t>
  </si>
  <si>
    <t>深圳今日特价网络有限公司</t>
  </si>
  <si>
    <t>起泡⽩葡萄酒;果酒（含酒精）;酒精饮料（啤酒除外）;以朗姆酒为主的饮料;红葡萄酒;烈酒（饮料）;⽩酒;鸡尾酒;烧酒;葡萄酒</t>
  </si>
  <si>
    <t>捌屯巷酒</t>
  </si>
  <si>
    <t>陕西捌屯巷酒业有限公司</t>
  </si>
  <si>
    <t>⽶酒;果酒（含酒精）;葡萄酒;酒精饮料（啤酒除外）;⻩酒;烈酒（饮料）;⽢蔗制烈酒;烧酒;鸡尾酒;⽩酒</t>
  </si>
  <si>
    <t>2023/10/10</t>
  </si>
  <si>
    <t>西飞</t>
  </si>
  <si>
    <t>中航西安飞机工业集团股份有限公司</t>
  </si>
  <si>
    <t>⻩酒;⽶酒;酒精饮料（啤酒除外）;烈酒（饮料）;汽酒;烧酒;酒精饮料浓缩汁;含⽔果酒精饮料;⽩酒;果酒（含酒精）</t>
  </si>
  <si>
    <t>青韵清花</t>
  </si>
  <si>
    <t>山西中汾酿酒厂股份有限公司</t>
  </si>
  <si>
    <t>果酒（含酒精）;酒精饮料（啤酒除外）;⽶酒;烧酒;⻩酒;鸡尾酒;烈酒（饮料）;⽩酒;葡萄酒;⽢蔗制烈酒</t>
  </si>
  <si>
    <t>一两黄御酒（河南）酒业有限公司</t>
  </si>
  <si>
    <t>烧酒;梅酒;⻩酒;草莓酒;⾼粱酒;⽩酒;葡萄酒;梨酒;⽶酒;果酒（含酒精）</t>
  </si>
  <si>
    <t>禄</t>
  </si>
  <si>
    <t>贵州禄牌酒业有限公司</t>
  </si>
  <si>
    <t>果酒（含酒精）;蒸馏饮料;预先混合的酒精饮料（以啤酒为主的除外）;烧酒;汽酒;⻩酒;葡萄酒;酒精饮料（啤酒除外）;⽶酒;⽩酒</t>
  </si>
  <si>
    <t>2023/10/23</t>
  </si>
  <si>
    <t>ARKROSS</t>
  </si>
  <si>
    <t>南平市延平区唱浅念百货店</t>
  </si>
  <si>
    <t>梅酒;伏特加酒;朗姆酒;⽩兰地;葡萄酒;威⼠忌;果酒;樱桃酒;红葡萄酒;鸡尾酒</t>
  </si>
  <si>
    <t>王糟房</t>
  </si>
  <si>
    <t>星艳敏</t>
  </si>
  <si>
    <t>苦味酒;⽩兰地;烧酒;⻘稞酒;⽩酒;葡萄酒;威⼠忌;酒精饮料（啤酒除外）;果酒（含酒精）;开胃酒</t>
  </si>
  <si>
    <t>2023/10/24</t>
  </si>
  <si>
    <t>云凰庄园</t>
  </si>
  <si>
    <t>里斯企业管理咨询有限公司</t>
  </si>
  <si>
    <t>⽩酒;清酒（⽇本⽶酒）;开胃酒;蒸馏饮料;⾷⽤酒精;烧酒;⽶酒;果酒（含酒精）;烈酒（饮料）;酒精饮料（啤酒除外）</t>
  </si>
  <si>
    <t>2023/10/26</t>
  </si>
  <si>
    <t>大西洋</t>
  </si>
  <si>
    <t>顾卫峰</t>
  </si>
  <si>
    <t>烧酒;⽼酒（中国蒸馏烈酒）;酒精饮料（啤酒除外）;⾷⽤酒精;⽩⼲酒（中国⽩酒）;果酒（含酒精）;葡萄酒;烈酒（饮料）;⽶酒;⽩酒</t>
  </si>
  <si>
    <t>2023/10/27</t>
  </si>
  <si>
    <t>立台</t>
  </si>
  <si>
    <t>顾金奎</t>
  </si>
  <si>
    <t>果酒（含酒精）;烈酒（饮料）;烧酒;⽩酒;葡萄酒;⾷⽤酒精;⽩⼲酒（中国⽩酒）;⽼酒（中国蒸馏烈酒）;酒精饮料（啤酒除外）;⽶酒</t>
  </si>
  <si>
    <t>2023/10/31</t>
  </si>
  <si>
    <t>黔迎</t>
  </si>
  <si>
    <t>果酒（含酒精）;烈酒（饮料）;酒精饮料（啤酒除外）;⻩酒;⽶酒;⽼酒（中国蒸馏烈酒）;葡萄酒;烧酒;⽩⼲酒（中国⽩酒）;⽩酒</t>
  </si>
  <si>
    <t>2023/11/01</t>
  </si>
  <si>
    <t>喜鼎</t>
  </si>
  <si>
    <t>义乌市恒格食品商行（个体工商户）</t>
  </si>
  <si>
    <t>烈酒（饮料）;⻩酒;烧酒;⽶酒;葡萄酒;⽩⼲酒（中国⽩酒）;⽼酒（中国蒸馏烈酒）;⽩酒;果酒（含酒精）;酒精饮料（啤酒除外）</t>
  </si>
  <si>
    <t>2023/11/06</t>
  </si>
  <si>
    <t>GREAT JONES</t>
  </si>
  <si>
    <t>普罗西姆酒业有限公司</t>
  </si>
  <si>
    <t>酒精饮料（啤酒除外）;含酒精的鸡尾酒混合饮品;鸡尾酒;威⼠忌</t>
  </si>
  <si>
    <t>冀游天下</t>
  </si>
  <si>
    <t>河北冀游天下国际旅行社有限公司</t>
  </si>
  <si>
    <t>烈酒;⽩酒;甜酒;⽶酒;葡萄酒;⻘稞酒;⽩兰地;⻩酒;烧酒;果酒</t>
  </si>
  <si>
    <t>2023/11/09</t>
  </si>
  <si>
    <t>澄明金阳光</t>
  </si>
  <si>
    <t>四川澄明食品有限公司</t>
  </si>
  <si>
    <t>果酒（含酒精）;利⼝酒;含⽔果酒精饮料;葡萄酒;清酒;⽶酒;蒸馏饮料;酒精饮料（啤酒除外）;⽩酒;汽酒</t>
  </si>
  <si>
    <t>2023/11/13</t>
  </si>
  <si>
    <t>露纹</t>
  </si>
  <si>
    <t>农村发展私人有限公司</t>
  </si>
  <si>
    <t>⽩兰地;葡萄酒;预先混合的酒精饮料（以啤酒为主的除外）;烈酒（饮料）;汽酒;威⼠忌;酒精饮料（啤酒除外）</t>
  </si>
  <si>
    <t>2023/11/17</t>
  </si>
  <si>
    <t>苏水坊</t>
  </si>
  <si>
    <t>海口龙华喇芷兰电子商务商行</t>
  </si>
  <si>
    <t>葡萄酒;清酒（⽇本⽶酒）;果酒;清酒;烧酒;⽶酒;⻩酒;⽩酒;⻘稞酒;鸡尾酒</t>
  </si>
  <si>
    <t>广济桥</t>
  </si>
  <si>
    <t>东陶国际投资（海南）有限公司</t>
  </si>
  <si>
    <t>葡萄酒;烧酒;⽩酒;⽶酒;鸡尾酒;烧酒（烈酒）;果酒;⾼粱酒;汽酒;⻩酒</t>
  </si>
  <si>
    <t>2023/11/21</t>
  </si>
  <si>
    <t>洞传古</t>
  </si>
  <si>
    <t>吕昆仑</t>
  </si>
  <si>
    <t>烧酒;酒精饮料（啤酒除外）;⽩酒;果酒（含酒精）;蒸煮提取物（利⼝酒和烈酒）;⻩酒;开胃酒;清酒（⽇本⽶酒）;⽶酒;葡萄酒</t>
  </si>
  <si>
    <t>2023/11/22</t>
  </si>
  <si>
    <t>全有</t>
  </si>
  <si>
    <t>丁庆</t>
  </si>
  <si>
    <t>⽶酒;天然汽酒;烈酒;露酒;⽩酒;果酒;⾼粱酒;杨梅酒;⻘梅酒;酒精饮料（啤酒除外）</t>
  </si>
  <si>
    <t>2023/11/23</t>
  </si>
  <si>
    <t>华匠名族</t>
  </si>
  <si>
    <t>宿迁市洋河镇国酿酒业有限公司</t>
  </si>
  <si>
    <t>烧酒;烈酒;⽼酒（中国蒸馏烈酒）;葡萄酒;果酒;酒精饮料（啤酒除外）;⽶酒;⽩酒;⾼粱酒;⻩酒</t>
  </si>
  <si>
    <t>2023/11/29</t>
  </si>
  <si>
    <t>和筵 融合</t>
  </si>
  <si>
    <t>上海和筵餐饮管理有限公司</t>
  </si>
  <si>
    <t>⽩酒;酒精饮料浓缩汁;含⽔果酒精饮料;威⼠忌;⻘稞酒;酒精饮料（啤酒除外）;烧酒;⽩兰地;果酒（含酒精）;酒精饮料原汁</t>
  </si>
  <si>
    <t>2023/12/08</t>
  </si>
  <si>
    <t>吉林金海集团有限公司</t>
  </si>
  <si>
    <t>鸡尾酒;烈酒（饮料）;米酒;烧酒;白酒;白兰地;黄酒;葡萄酒;伏特加酒;果酒（含酒精）</t>
  </si>
  <si>
    <t>2023/12/12</t>
  </si>
  <si>
    <t>贵州金丹阿娇文化旅游投资开发有限责任公司</t>
  </si>
  <si>
    <t>果酒;⽩酒;鸡尾酒;葡萄酒;烈酒（饮料）;烧酒（烈酒）;⾼粱酒;利⼝酒;⽼酒（中国蒸馏烈酒）;⽶酒</t>
  </si>
  <si>
    <t>2024/01/04</t>
  </si>
  <si>
    <t>利⼝酒;⽩酒;葡萄酒;⾼粱酒;烧酒（烈酒）;⽶酒;果酒;⽼酒（中国蒸馏烈酒）;烈酒（饮料）;鸡尾酒</t>
  </si>
  <si>
    <t>切玛甲卓</t>
  </si>
  <si>
    <t>四川甲着农业科技有限公司</t>
  </si>
  <si>
    <t>果酒（含酒精）;⻩酒;蜂蜜酒;以葡萄酒为主的饮料;⽩酒;烈酒（饮料）;酒精饮料（啤酒除外）;⻘稞酒;烧酒;葡萄酒</t>
  </si>
  <si>
    <t>2024/01/10</t>
  </si>
  <si>
    <t>银沙</t>
  </si>
  <si>
    <t>贵州银沙窖酒酒业有限公司</t>
  </si>
  <si>
    <t>⽩酒;蒸馏饮料;葡萄酒;⽶酒;烧酒;果酒（含酒精）;酒精饮料（啤酒除外）;清酒（⽇本⽶酒）;⻘稞酒;⾷⽤酒精</t>
  </si>
  <si>
    <t>2024/02/01</t>
  </si>
  <si>
    <t>醉翁醇源香</t>
  </si>
  <si>
    <t>郜孟孟</t>
  </si>
  <si>
    <t>葡萄酒;⽩酒;酒精饮料浓缩汁;薄荷酒;含⽔果酒精饮料;⽶酒;开胃酒;朗姆酒;果酒（含酒精）;烈酒（饮料）</t>
  </si>
  <si>
    <t>子阳黑诃老酒</t>
  </si>
  <si>
    <t>李振兴</t>
  </si>
  <si>
    <t>⽩酒;酒精饮料（啤酒除外）;露酒;⾼粱酒;⽩⼲酒（中国⽩酒）;含酒精⽔果饮料;⽼酒（中国蒸馏烈酒）;果酒（含酒精）;烧酒;刺五加酒</t>
  </si>
  <si>
    <t>2024/03/08</t>
  </si>
  <si>
    <t>桦坨</t>
  </si>
  <si>
    <t>上海九乐生物科技有限公司</t>
  </si>
  <si>
    <t>⽶酒;蒸馏饮料;薄荷酒;苦味酒;烧酒;汽酒;⽩酒;开胃酒;威⼠忌;葡萄酒</t>
  </si>
  <si>
    <t>孝当先老友乐园</t>
  </si>
  <si>
    <t>深圳市孝当先品牌管理有限公司</t>
  </si>
  <si>
    <t>果酒（含酒精）;⽩酒;⻘稞酒;葡萄酒;以葡萄酒为主的饮料;预先混合的酒精饮料（以啤酒为主的除外）;含⽔果酒精饮料;⽶酒;⾕物制蒸馏酒精饮料;酒精饮料（啤酒除外）</t>
  </si>
  <si>
    <t>丁山湖</t>
  </si>
  <si>
    <t>莫天波</t>
  </si>
  <si>
    <t>开胃酒;鸡尾酒;葡萄酒;酒精饮料（啤酒除外）;烧酒;含⽔果酒精饮料;⽩酒;果酒（含酒精）;烈酒（饮料）;⻩酒</t>
  </si>
  <si>
    <t>2024/03/30</t>
  </si>
  <si>
    <t>箕山米酒 GEHILL</t>
  </si>
  <si>
    <t>箕山文化创意(山东)有限责任公司</t>
  </si>
  <si>
    <t>果酒（含酒精）;蒸馏饮料;葡萄酒;樱桃酒;⽶酒;⾕物制蒸馏酒精饮料;以葡萄酒为主的饮料;⽩酒;酒精饮料（啤酒除外）;含⽔果酒精饮料</t>
  </si>
  <si>
    <t>鳅玊</t>
  </si>
  <si>
    <t>河南甄免电子科技有限公司</t>
  </si>
  <si>
    <t>⽩兰地;开胃酒;⽩酒;酒精饮料（啤酒除外）;果酒（含酒精）;鸡尾酒;杨梅酒;烧酒;威⼠忌;葡萄酒</t>
  </si>
  <si>
    <t>逗朴</t>
  </si>
  <si>
    <t>逗朴（四川）生物科技有限公司</t>
  </si>
  <si>
    <t>酒精饮料（啤酒除外）;葡萄酒;⾷⽤酒精;含⽔果酒精饮料;⽶酒;由⾕物蒸馏的⽩酒;果酒（含酒精）;⽩酒;鸡尾酒;预先混合的酒精饮料（以啤酒为主的除外）</t>
  </si>
  <si>
    <t>楚义</t>
  </si>
  <si>
    <t>香港金仕杰国际控股有限公司</t>
  </si>
  <si>
    <t>开胃酒;含⽔果酒精饮料;伏特加酒;烧酒;⽩酒;⽶酒;⻩酒;葡萄酒;预先混合的酒精饮料（以啤酒为主的除外）;果酒（含酒精）</t>
  </si>
  <si>
    <t>肥马</t>
  </si>
  <si>
    <t>张淼</t>
  </si>
  <si>
    <t>洺盛五果酒</t>
  </si>
  <si>
    <t>金尧锦</t>
  </si>
  <si>
    <t>果酒（含酒精）;⻩酒;酒精饮料（啤酒除外）;烧酒;⽶酒;⽩酒;烈酒（饮料）;蒸馏饮料;酒精饮料原汁;葡萄酒</t>
  </si>
  <si>
    <t>盾台</t>
  </si>
  <si>
    <t>联美集团有限公司</t>
  </si>
  <si>
    <t>烧酒（烈酒）;威⼠忌;苹果酒;⽩酒;葡萄酒;由⾕物蒸馏的⽩酒;⻩酒;鸡尾酒;⽩兰地;⽶酒</t>
  </si>
  <si>
    <t>王屋乾艾</t>
  </si>
  <si>
    <t>河南省欧瑞医美有限公司</t>
  </si>
  <si>
    <t>葡萄酒;酒精饮料原汁;⽩酒;烧酒;⾷⽤酒精;苦艾酒;鸡尾酒;果酒（含酒精）;含酒精的饮料（啤酒除外）;开胃酒</t>
  </si>
  <si>
    <t>老牌坊</t>
  </si>
  <si>
    <t>⾷⽤酒精;果酒;苹果酒;⽩酒;鸡尾酒;葡萄酒;威⼠忌;烧酒;⽶酒;⽩兰地</t>
  </si>
  <si>
    <t>LACHOIS 澜萃诗</t>
  </si>
  <si>
    <t>上海恒奢商贸有限公司</t>
  </si>
  <si>
    <t>果酒（含酒精）;清酒（⽇本⽶酒）;含⽔果酒精饮料;清酒;⽩酒;烧酒;⽩葡萄酒;⽩⼲酒（中国⽩酒）;红葡萄酒;酒精饮料（啤酒除外）</t>
  </si>
  <si>
    <t>贵遇</t>
  </si>
  <si>
    <t>北京点名科技有限公司</t>
  </si>
  <si>
    <t>⽩酒;葡萄酒;杜松⼦酒;⽩兰地;伏特加酒;朗姆酒;威⼠忌;酒精饮料（啤酒除外）;烈酒（饮料）;清酒（⽇本⽶酒）</t>
  </si>
  <si>
    <t>传福龙</t>
  </si>
  <si>
    <t>蒸馏饮料;果酒（含酒精）;葡萄酒;露酒;⽶酒;⻩酒;⽩酒;烧酒;烈酒;⾼粱酒</t>
  </si>
  <si>
    <t>散花龙</t>
  </si>
  <si>
    <t>贵州君兄酒业有限公司</t>
  </si>
  <si>
    <t>⽩酒;开胃酒;葡萄酒;亚⼒酒;⽩兰地;果酒（含酒精）;烈酒（饮料）;烧酒;鸡尾酒;朗姆酒</t>
  </si>
  <si>
    <t>QUAN ER BAO</t>
  </si>
  <si>
    <t>浙江台州泉尔宝饮品有限公司</t>
  </si>
  <si>
    <t>果酒（含酒精）;含⽔果酒精饮料;烈酒;预先混合的酒精饮料（以啤酒为主的除外）;⽩酒;除啤酒外的酒精饮料;⽶酒;含酒精的⽓泡⽔;蒸馏饮料;果酒</t>
  </si>
  <si>
    <t>小月禧</t>
  </si>
  <si>
    <t>芜湖珍粹电子商务有限公司</t>
  </si>
  <si>
    <t>蜂蜜酒;果酒（含酒精）;清酒（⽇本⽶酒）;⽶酒;⽩酒;葡萄酒;酒精饮料（啤酒除外）;⻩酒</t>
  </si>
  <si>
    <t>金井坊</t>
  </si>
  <si>
    <t>榆树市正泰酒业有限责任公司</t>
  </si>
  <si>
    <t>烧酒;开胃酒;⽩酒;酒精饮料（啤酒除外）;葡萄酒;鸡尾酒;蒸煮提取物（利⼝酒和烈酒）;苹果酒;果酒（含酒精）;⽶酒</t>
  </si>
  <si>
    <t>2024/04/19</t>
  </si>
  <si>
    <t>JINHUI SPORTS 金徽体育</t>
  </si>
  <si>
    <t>金徽酒股份有限公司</t>
  </si>
  <si>
    <t>⽩酒;果酒（含酒精）;⽶酒;⻘稞酒;⻩酒;葡萄酒;利⼝酒;烈酒（饮料）;清酒（⽇本⽶酒）;烧酒</t>
  </si>
  <si>
    <t>棘食到</t>
  </si>
  <si>
    <t>一棵树文化传媒（沈阳）有限公司</t>
  </si>
  <si>
    <t>含⽔果酒精饮料;⽩酒;⽶酒;烈酒;露酒;清酒;葡萄酒;果酒;⾷⽤酒精;⾼粱酒</t>
  </si>
  <si>
    <t>TAO SMALL GRAPES</t>
  </si>
  <si>
    <t>青沃（北京）国际贸易有限公司</t>
  </si>
  <si>
    <t>葡萄酒;⽩酒;果酒（含酒精）</t>
  </si>
  <si>
    <t>优品熊</t>
  </si>
  <si>
    <t>谢伯土</t>
  </si>
  <si>
    <t>清酒（⽇本⽶酒）;杜松⼦酒;酒精饮料（啤酒除外）;果酒（含酒精）;烈酒（饮料）;⻩酒;威⼠忌;鸡尾酒;葡萄酒;⽩酒</t>
  </si>
  <si>
    <t>海力森</t>
  </si>
  <si>
    <t>赵明兰</t>
  </si>
  <si>
    <t>果酒;⽶酒;红葡萄酒;鸡尾酒;⻩酒;伏特加酒;威⼠忌;⻘稞酒;⽩酒;酒精饮料（啤酒除外）</t>
  </si>
  <si>
    <t>2024/04/24</t>
  </si>
  <si>
    <t>沙坡尾</t>
  </si>
  <si>
    <t>厦门磐时松贸易有限公司</t>
  </si>
  <si>
    <t>果酒（含酒精）;威⼠忌;朗姆酒;⽩酒;蜂蜜酒;鸡尾酒;⽩兰地;⽶酒;葡萄酒;清酒（⽇本⽶酒）</t>
  </si>
  <si>
    <t>禾生禧源</t>
  </si>
  <si>
    <t>恩施州恒健一生生物科技有限公司</t>
  </si>
  <si>
    <t>鸡尾酒;⽶酒;⽩兰地;葡萄酒;蜂蜜酒;蒸馏饮料;果酒（含酒精）;⾕物制蒸馏酒精饮料;⻩酒;开胃酒</t>
  </si>
  <si>
    <t>星辰之耀</t>
  </si>
  <si>
    <t>广州兰品生物科技有限公司</t>
  </si>
  <si>
    <t>苹果酒;以葡萄酒为主的饮料;⽶酒;⽩葡萄酒;加⾹料的热葡萄酒;葡萄汽酒;红葡萄酒;⽩⼲酒（中国⽩酒）;葡萄酒;起泡红葡萄酒;桃红葡萄酒;不起泡葡萄酒;⼲型苹果酒</t>
  </si>
  <si>
    <t>THE BUND·CITY HALL PLAZA</t>
  </si>
  <si>
    <t>上海外滩老建筑投资发展有限公司</t>
  </si>
  <si>
    <t>⽩兰地;⻩酒;威⼠忌;⽶酒;含酒精的⽓泡⽔;果酒（含酒精）;葡萄酒;鸡尾酒;以葡萄酒为主的饮料;薄荷酒</t>
  </si>
  <si>
    <t>房陵特</t>
  </si>
  <si>
    <t>郭波</t>
  </si>
  <si>
    <t>鸡尾酒;威⼠忌;烧酒;⽩兰地;⻩酒;果酒（含酒精）;蒸馏饮料;葡萄酒;⽶酒;⽩酒</t>
  </si>
  <si>
    <t>刺</t>
  </si>
  <si>
    <t>果酒（含酒精）;⽩酒;露酒;⾼粱酒;蒸馏饮料;烧酒;⻩酒;⽶酒;烈酒;葡萄酒</t>
  </si>
  <si>
    <t>随国公杨忠</t>
  </si>
  <si>
    <t>隋龙</t>
  </si>
  <si>
    <t>葡萄酒;烧酒;⻩酒;鸡尾酒;⽩酒;⽶酒;酒精饮料（啤酒除外）;苹果酒;⻘稞酒;烈酒（饮料）</t>
  </si>
  <si>
    <t>随国公</t>
  </si>
  <si>
    <t>烈酒（饮料）;烧酒;⻘稞酒;苹果酒;葡萄酒;⽶酒;鸡尾酒;⻩酒;⽩酒;酒精饮料（啤酒除外）</t>
  </si>
  <si>
    <t>隋国公</t>
  </si>
  <si>
    <t>⽶酒;苹果酒;鸡尾酒;酒精饮料（啤酒除外）;烧酒;⻩酒;⽩酒;葡萄酒;烈酒（饮料）;⻘稞酒</t>
  </si>
  <si>
    <t>汇中泰德投资有限公司</t>
  </si>
  <si>
    <t>露酒;甜酒;⽇式甜⽶酒;果酒（含酒精）;伏特加酒;朝鲜族⽶酒;⻩酒;果酒;含⽔果酒精饮料;⽶酒;⽩酒;清酒（⽇本⽶酒）;甜果酒</t>
  </si>
  <si>
    <t>龙廷台</t>
  </si>
  <si>
    <t>贵州杜小丰酒业有限公司</t>
  </si>
  <si>
    <t>⻘稞酒;酒精饮料原汁;葡萄酒;梨酒;露酒;果酒（含酒精）;⽶酒;⽩酒;⻩酒;⽩兰地</t>
  </si>
  <si>
    <t>莓飞凤舞</t>
  </si>
  <si>
    <t>北京希奇影视有限公司</t>
  </si>
  <si>
    <t>酒精饮料（啤酒除外）;含⽔果酒精饮料;不起泡葡萄酒;⽩⼲酒（中国⽩酒）;含酒精的⽔果鸡尾酒饮料;⼲型苹果酒;含酒精的饮料（啤酒除外）;⽩酒;甜果酒;果酒（含酒精）;⽔果汽酒;⾼粱酒;含酒精⽔果饮料;果酒;甜酒</t>
  </si>
  <si>
    <t>酣客天酱珍藏</t>
  </si>
  <si>
    <t>贵州酣客君丰酒业有限公司</t>
  </si>
  <si>
    <t>⽩酒（酱⾹型）</t>
  </si>
  <si>
    <t>酣客天酱</t>
  </si>
  <si>
    <t>岳天穹</t>
  </si>
  <si>
    <t>成都市鸿福世家农业开发有限公司</t>
  </si>
  <si>
    <t>⽶酒;葡萄酒;威⼠忌;烧酒;清酒;果酒（含酒精）;烈酒（饮料）;⻘稞酒;⽩酒;⻩酒</t>
  </si>
  <si>
    <t>马跃东方</t>
  </si>
  <si>
    <t>陈江滨</t>
  </si>
  <si>
    <t>果酒（含酒精）;⽩兰地;葡萄酒;酒精饮料（啤酒除外）;烧酒;清酒（⽇本⽶酒）;⽩酒;⻩酒;⻘稞酒;威⼠忌</t>
  </si>
  <si>
    <t>宗杏一号</t>
  </si>
  <si>
    <t>山西云起鹏图文化传媒有限责任公司</t>
  </si>
  <si>
    <t>清酒（⽇本⽶酒）;烈酒;以蒸馏酒为主的开胃酒;果酒（含酒精）;烧酒;含⽔果酒精饮料;⽼酒（中国蒸馏烈酒）;由⾕物蒸馏的⽩酒;⽩酒;利⼝酒</t>
  </si>
  <si>
    <t>美立方</t>
  </si>
  <si>
    <t>葡萄酒;⽶酒;⽩酒;烧酒;⻩酒;鸡尾酒;威⼠忌;⻘稞酒;果酒（含酒精）;⽩兰地</t>
  </si>
  <si>
    <t>灵应侯</t>
  </si>
  <si>
    <t>宜昌回龙湾游乐有限公司</t>
  </si>
  <si>
    <t>汽酒;烈酒（饮料）;烧酒;薄荷酒;⽶酒;苹果酒;葡萄酒;樱桃酒;⽩酒;果酒（含酒精）</t>
  </si>
  <si>
    <t>长江山</t>
  </si>
  <si>
    <t>罗衡峰</t>
  </si>
  <si>
    <t>餐后酒（利⼝酒和烈酒）;酒精饮料原汁;酒精饮料（啤酒除外）;⽩酒;⻩酒;⽶酒;烧酒;果酒（含酒精）;烈酒（饮料）;葡萄酒</t>
  </si>
  <si>
    <t>大美金徽</t>
  </si>
  <si>
    <t>⽩酒;果酒（含酒精）;葡萄酒;利⼝酒;⻩酒;⻘稞酒;烧酒;烈酒（饮料）;⽶酒;清酒（⽇本⽶酒）</t>
  </si>
  <si>
    <t>大盛金徽</t>
  </si>
  <si>
    <t>果酒（含酒精）;烧酒;烈酒（饮料）;清酒（⽇本⽶酒）;⽩酒;葡萄酒;利⼝酒;⻘稞酒;⻩酒;⽶酒</t>
  </si>
  <si>
    <t>奔富 II</t>
  </si>
  <si>
    <t>南社布兰兹有限公司</t>
  </si>
  <si>
    <t>加烈葡萄酒;起泡⽩葡萄酒;烈酒（饮料）;⽩酒;⽩兰地;酒精饮料（啤酒除外）;餐后酒（利⼝酒和烈酒）;起泡红葡萄酒;葡萄酒;葡萄汽酒</t>
  </si>
  <si>
    <t>天使之梦</t>
  </si>
  <si>
    <t>天津玛歌商贸有限公司</t>
  </si>
  <si>
    <t>开胃酒;果酒（含酒精）;葡萄酒;汽酒;酒精饮料（啤酒除外）;⾷⽤酒精;⽩酒;清酒;烧酒;⽩兰地</t>
  </si>
  <si>
    <t>邓溪 JINXI·DENGXI</t>
  </si>
  <si>
    <t>邓太全</t>
  </si>
  <si>
    <t>⾼粱酒;含⽔果酒精饮料;酒精饮料（啤酒除外）;⽩⼲酒（中国⽩酒）;葡萄酒;⻩酒;⽩酒;⽶酒;烧酒;果酒（含酒精）</t>
  </si>
  <si>
    <t>曲中求利</t>
  </si>
  <si>
    <t>王海永</t>
  </si>
  <si>
    <t>烈酒（饮料）;⾼粱酒;⽩酒;露酒;烧酒;烈酒;⽶酒</t>
  </si>
  <si>
    <t>曲中求全</t>
  </si>
  <si>
    <t>⾼粱酒;露酒;烈酒（饮料）;烈酒;烧酒;⽩酒;⽶酒</t>
  </si>
  <si>
    <t>欧芭 OBA</t>
  </si>
  <si>
    <t>欧芭化妆品（厦门）有限公司</t>
  </si>
  <si>
    <t>开胃酒;烈酒（饮料）;含⽔果酒精饮料;⽶酒;⽩酒;利⼝酒;⽩兰地;酒精饮料（啤酒除外）;⻩酒;葡萄酒</t>
  </si>
  <si>
    <t>曲中求胜</t>
  </si>
  <si>
    <t>烧酒;⾼粱酒;烈酒;⽶酒;⽩酒;烈酒（饮料）</t>
  </si>
  <si>
    <t>曲中求贤</t>
  </si>
  <si>
    <t>⾼粱酒;⽩酒;⽶酒;烈酒（饮料）;烧酒;烈酒</t>
  </si>
  <si>
    <t>曲中求圆</t>
  </si>
  <si>
    <t>烈酒（饮料）;⽶酒;⾼粱酒;烧酒;烈酒;⽩酒</t>
  </si>
  <si>
    <t>直中取廉</t>
  </si>
  <si>
    <t>烧酒;⾼粱酒;⽩酒;烈酒;烈酒（饮料）;⽶酒</t>
  </si>
  <si>
    <t>直中取义</t>
  </si>
  <si>
    <t>⽩酒;⾼粱酒;烈酒;⽶酒;烈酒（饮料）;烧酒</t>
  </si>
  <si>
    <t>梅有星期捌</t>
  </si>
  <si>
    <t>川灶老窖池(成都)酒业有限公司</t>
  </si>
  <si>
    <t>烧酒;葡萄酒;⽩酒;⽶酒;果酒;烈酒;⾼粱酒;⽼酒（中国蒸馏烈酒）;⻩酒;酒精饮料（啤酒除外）</t>
  </si>
  <si>
    <t>杏功坊</t>
  </si>
  <si>
    <t>山西酒都村酒业有限公司</t>
  </si>
  <si>
    <t>果酒（含酒精）;鸡尾酒;⽶酒;⽩酒;葡萄酒;清酒;酒精饮料原汁;烧酒;露酒;利⼝酒</t>
  </si>
  <si>
    <t>曲中求成</t>
  </si>
  <si>
    <t>烈酒;烈酒（饮料）;⽩酒;露酒;⽶酒;烧酒;⾼粱酒</t>
  </si>
  <si>
    <t>曲中求学</t>
  </si>
  <si>
    <t>烈酒;烈酒（饮料）;⽩酒;⾼粱酒;烧酒;⽶酒</t>
  </si>
  <si>
    <t>直中取诚</t>
  </si>
  <si>
    <t>⽩酒;烈酒（饮料）;⾼粱酒;⽶酒;烈酒;烧酒</t>
  </si>
  <si>
    <t>直中取仁</t>
  </si>
  <si>
    <t>烧酒;⽩酒;⽶酒;⾼粱酒;烈酒（饮料）;烈酒</t>
  </si>
  <si>
    <t>直中取信</t>
  </si>
  <si>
    <t>烧酒;⽩酒;烈酒;烈酒（饮料）;⽶酒;⾼粱酒</t>
  </si>
  <si>
    <t>曲中求名</t>
  </si>
  <si>
    <t>⽩酒;露酒;⾼粱酒;烈酒;烧酒;烈酒（饮料）;⽶酒</t>
  </si>
  <si>
    <t>棘医生</t>
  </si>
  <si>
    <t>甲天下有限公司</t>
  </si>
  <si>
    <t>⽩酒;果酒;露酒;葡萄酒;⽶酒;⾷⽤酒精;清酒;含⽔果酒精饮料;⾼粱酒;烈酒</t>
  </si>
  <si>
    <t>汉岁山</t>
  </si>
  <si>
    <t>廖串妹</t>
  </si>
  <si>
    <t>果酒（含酒精）;⽩兰地;葡萄酒;⽩酒;烈酒（饮料）;酒精饮料（啤酒除外）;⽶酒;鸡尾酒;烧酒;威⼠忌</t>
  </si>
  <si>
    <t>曲中求升</t>
  </si>
  <si>
    <t>烧酒;烈酒;⾼粱酒;⽶酒;⽩酒;烈酒（饮料）</t>
  </si>
  <si>
    <t>XIAO LONG TAN 董彪</t>
  </si>
  <si>
    <t>董彪</t>
  </si>
  <si>
    <t>⽩酒;果酒;⻩酒;葡萄酒;烈酒（饮料）;利⼝酒;⽶酒;烧酒;甜酒;酒精饮料（啤酒除外）</t>
  </si>
  <si>
    <t>京如梦 SUNSHINE DREAM</t>
  </si>
  <si>
    <t>江苏海之龙酒业股份有限公司</t>
  </si>
  <si>
    <t>葡萄酒;⾷⽤酒精;鸡尾酒;⽶酒;露酒;⽩酒;果酒;⽼酒（中国蒸馏烈酒）;蒸煮提取物（利⼝酒和烈酒）;⻩酒</t>
  </si>
  <si>
    <t>XINKONGPAILIAN</t>
  </si>
  <si>
    <t>新空派链（浙江）信息科技有限公司</t>
  </si>
  <si>
    <t>烧酒;葡萄酒;威⼠忌;⻩酒;⽩酒;烈酒（饮料）;伏特加酒;⽩兰地;⽶酒;鸡尾酒</t>
  </si>
  <si>
    <t>河北省国控商贸集团有限公司</t>
  </si>
  <si>
    <t>葡萄酒;鸡尾酒;含⽔果酒精饮料;果酒（含酒精）;⽩酒;威⼠忌;酒精饮料原汁;朗姆酒;伏特加酒;⽩兰地</t>
  </si>
  <si>
    <t>安徽饭店 ANHUI HOTEL</t>
  </si>
  <si>
    <t>安徽饭店</t>
  </si>
  <si>
    <t>⽩酒;清酒;含酒精⽔果饮料;⽶酒;⽩葡萄酒;红葡萄酒;⻩酒;果酒;烧酒;汽酒</t>
  </si>
  <si>
    <t>蓝楹花</t>
  </si>
  <si>
    <t>张丽420321********0100</t>
  </si>
  <si>
    <t>⽶酒;酒精饮料（啤酒除外）;鸡尾酒;⽩酒;⽢蔗制烈酒;果酒（含酒精）;⻩酒;烈酒（饮料）;烧酒;葡萄酒</t>
  </si>
  <si>
    <t>品壹家</t>
  </si>
  <si>
    <t>福建壹家健康发展有限公司</t>
  </si>
  <si>
    <t>⻩酒;⽩兰地;朗姆酒;鸡尾酒;葡萄酒;⽩酒;果酒（含酒精）;苦味酒;⽶酒;烈酒（饮料）</t>
  </si>
  <si>
    <t>允纯调</t>
  </si>
  <si>
    <t>肖旺</t>
  </si>
  <si>
    <t>威⼠忌;蒸馏饮料;酒精饮料原汁;含⽔果酒精饮料;清酒;烧酒;烈酒（饮料）;鸡尾酒;果酒（含酒精）;⽩酒</t>
  </si>
  <si>
    <t>财小礼</t>
  </si>
  <si>
    <t>深圳市大小时代国际创意文化有限公司</t>
  </si>
  <si>
    <t>烈酒（饮料）;葡萄酒;鸡尾酒;酒精饮料（啤酒除外）;⻩酒;⽩酒;⽶酒;蒸馏饮料;果酒（含酒精）;烧酒</t>
  </si>
  <si>
    <t>疆河域</t>
  </si>
  <si>
    <t>海口秀英品羊座食品经营部（个体工商户）</t>
  </si>
  <si>
    <t>天然汽酒;烧酒;⽶酒;酒精饮料（啤酒除外）;⽩酒;果酒;⻘稞酒;⾷⽤酒精;蜂蜜酒;⾕物制蒸馏酒精饮料</t>
  </si>
  <si>
    <t>还市</t>
  </si>
  <si>
    <t>平顶山昆杨商贸有限公司</t>
  </si>
  <si>
    <t>烈酒（饮料）;酒精饮料（啤酒除外）;⽩兰地;⽶酒;预先混合的酒精饮料（以啤酒为主的除外）;⻩酒;果酒（含酒精）;威⼠忌;⽩酒;⾷⽤酒精</t>
  </si>
  <si>
    <t>中农熊猫走廊  THE PANDA CORRIDOR OF THE MIDDLE PEASANTS</t>
  </si>
  <si>
    <t>中农熊猫走廊(四川)农业科技有限公司</t>
  </si>
  <si>
    <t>果酒;酒精饮料浓缩汁;开胃酒;蜂蜜酒;⽩酒;葡萄酒;⻩酒;烧酒;⽶酒;甜酒</t>
  </si>
  <si>
    <t>圳好玩</t>
  </si>
  <si>
    <t>深圳市沃鑫投资控股有限公司</t>
  </si>
  <si>
    <t>伏特加酒;果酒（含酒精）;⽩兰地;清酒（⽇本⽶酒）;葡萄酒;威⼠忌;预先混合的酒精饮料（以啤酒为主的除外）;餐后酒（利⼝酒和烈酒）;鸡尾酒;⽩酒</t>
  </si>
  <si>
    <t>池甑</t>
  </si>
  <si>
    <t>福建池甄窖茅酒业有限公司</t>
  </si>
  <si>
    <t>⻩酒;葡萄酒;含⽔果酒精饮料;利⼝酒;⽶酒;酒精饮料（啤酒除外）;酒精饮料原汁;果酒（含酒精）;烈酒（饮料）;⽩酒</t>
  </si>
  <si>
    <t>清·兴京府</t>
  </si>
  <si>
    <t>抚顺兴京府农业科技有限公司</t>
  </si>
  <si>
    <t>蜂蜜酒;⽩酒;果酒（含酒精）;烈酒（饮料）;酒精饮料（啤酒除外）;⽶酒;开胃酒;烧酒;葡萄酒;⾕物制蒸馏酒精饮料</t>
  </si>
  <si>
    <t>草给料</t>
  </si>
  <si>
    <t>马传顺</t>
  </si>
  <si>
    <t>鸡尾酒;甜果酒;⻨芽威⼠忌;开胃酒;清酒;⽩⼲酒（中国⽩酒）;薄荷酒;果酒（含酒精）;葡萄酒;桃红葡萄酒</t>
  </si>
  <si>
    <t>天贵星</t>
  </si>
  <si>
    <t>河北大国医道养心堂生物科技发展有限公司</t>
  </si>
  <si>
    <t>⽩酒;蜂蜜酒;果酒（含酒精）;葡萄酒;⻘稞酒;含酒精的⽓泡⽔;⾷⽤酒精;酒精饮料（啤酒除外）;含⽔果酒精饮料;⽶酒</t>
  </si>
  <si>
    <t>赚嘴</t>
  </si>
  <si>
    <t>安佳佳</t>
  </si>
  <si>
    <t>利⼝酒;⽶酒;果酒;杨梅酒;⽩酒;烧酒;烈酒;汽酒;⻩酒;⽼酒（中国蒸馏烈酒）</t>
  </si>
  <si>
    <t>K-FOOD 美食</t>
  </si>
  <si>
    <t>青岛爱特物流有限公司</t>
  </si>
  <si>
    <t>烈酒（饮料）;烧酒;⽶酒;果酒（含酒精）;利⼝酒;清酒（⽇本⽶酒）;⽩酒;鸡尾酒;葡萄酒;酒精饮料（啤酒除外）</t>
  </si>
  <si>
    <t>君熙</t>
  </si>
  <si>
    <t>贵州省仁怀市聚满红酒业销售有限公司</t>
  </si>
  <si>
    <t>⽩酒;威⼠忌;酒精饮料（啤酒除外）;果酒（含酒精）;⽶酒;⻩酒;鸡尾酒;葡萄酒;⽩兰地;烈酒（饮料）</t>
  </si>
  <si>
    <t>笑傲令狐</t>
  </si>
  <si>
    <t>长沙海赋企业管理合伙企业（普通合伙）</t>
  </si>
  <si>
    <t>红葡萄酒;鸡尾酒;⽶酒;葡萄酒;酒精饮料（啤酒除外）;⻩酒;果酒;烧酒;⾕物制蒸馏酒精饮料;⽩酒</t>
  </si>
  <si>
    <t>舌之需</t>
  </si>
  <si>
    <t>胡四文</t>
  </si>
  <si>
    <t>⻩酒;⾷⽤酒精;含⽔果酒精饮料;果酒（含酒精）;⻘稞酒;烧酒;⽶酒;⽩酒;烈酒（饮料）;威⼠忌</t>
  </si>
  <si>
    <t>钱酒陆尊</t>
  </si>
  <si>
    <t>⻩酒;烧酒;梅酒;含酒精的饮料（啤酒除外）;果酒;⽩酒;葡萄酒;⽶酒;⾼粱酒;⻘稞酒</t>
  </si>
  <si>
    <t>黄诗延</t>
  </si>
  <si>
    <t>除啤酒外的酒精饮料;葡萄酒;⽔果汽酒;含⽔果酒精饮料;鸡尾酒;果酒（含酒精）;酒精饮料（啤酒除外）;果酒;苹果酒;含酒精⽔果饮料</t>
  </si>
  <si>
    <t>K-FOOD 好吃</t>
  </si>
  <si>
    <t>鸡尾酒;烧酒;果酒（含酒精）;利⼝酒;葡萄酒;清酒（⽇本⽶酒）;⽩酒;酒精饮料（啤酒除外）;⽶酒;烈酒（饮料）</t>
  </si>
  <si>
    <t>FITEGE WINERY</t>
  </si>
  <si>
    <t>深圳市菲歌贸易有限公司</t>
  </si>
  <si>
    <t>清酒（⽇本⽶酒）;果酒;⻩酒;烧酒（烈酒）;清酒;⾼粱酒;烈酒;杨梅酒;威⼠忌;伏特加酒;以葡萄酒为主的饮料;烧酒;朝鲜族⽶酒;⽩酒;⽼酒（中国蒸馏烈酒）;⻨芽威⼠忌;⽩⼲酒（中国⽩酒）;⽶酒</t>
  </si>
  <si>
    <t>郓大师</t>
  </si>
  <si>
    <t>山东省酒号公社酒业有限公司</t>
  </si>
  <si>
    <t>果酒;⻩酒;烧酒;⽩酒;葡萄酒;酒精饮料（啤酒除外）;⽶酒;⽼酒（中国蒸馏烈酒）;鸡尾酒;烈酒</t>
  </si>
  <si>
    <t>李斯特庄园</t>
  </si>
  <si>
    <t>宝悦世家简易股份有限公司</t>
  </si>
  <si>
    <t>魂舍粮</t>
  </si>
  <si>
    <t>河南德信诚商贸有限公司</t>
  </si>
  <si>
    <t>开胃酒;果酒（含酒精）;酒精饮料（啤酒除外）;葡萄酒;⽩酒;⽶酒;⻩酒;⾷⽤酒精;烧酒;蒸煮提取物（利⼝酒和烈酒）</t>
  </si>
  <si>
    <t>醉村泉睿喜酒</t>
  </si>
  <si>
    <t>牡丹江市醉村泉酒业有限公司</t>
  </si>
  <si>
    <t>⽼酒（中国蒸馏烈酒）;⽩⼲酒（中国⽩酒）;⽩酒;⽶酒;⻩酒;⾼粱酒;葡萄酒;开胃酒;由⾕物蒸馏的⽩酒;果酒</t>
  </si>
  <si>
    <t>嶲悦酒</t>
  </si>
  <si>
    <t>刘建平</t>
  </si>
  <si>
    <t>⽩酒;⽩兰地;烧酒;葡萄酒;烈酒（饮料）;⻘稞酒;含⽔果酒精饮料;果酒（含酒精）;苹果酒;⽶酒</t>
  </si>
  <si>
    <t>高尔</t>
  </si>
  <si>
    <t>黄友林</t>
  </si>
  <si>
    <t>含⽔果酒精饮料;鸡尾酒;⽶酒;葡萄酒;⻘稞酒;⽩酒;果酒（含酒精）;⻩酒;开胃酒;烧酒</t>
  </si>
  <si>
    <t>CHULIN</t>
  </si>
  <si>
    <t>哈尔滨秋林饮料科技股份有限公司</t>
  </si>
  <si>
    <t>蒸馏饮料;葡萄酒;预先混合的酒精饮料（以啤酒为主的除外）;⻩酒;鸡尾酒;酒精饮料（啤酒除外）;汽酒;⽩酒;果酒（含酒精）;酒精饮料原汁</t>
  </si>
  <si>
    <t>BETTER YOUNG</t>
  </si>
  <si>
    <t>酒精饮料原汁;酒精饮料（啤酒除外）;含酒精的⽓泡⽔;蒸馏饮料;含⽔果酒精饮料;预先混合的酒精饮料（以啤酒为主的除外）;已调味的⻨芽酿制的酒精饮料（啤酒除外）;果酒（含酒精）;酒精饮料浓缩汁;汽酒</t>
  </si>
  <si>
    <t>皖清养酒</t>
  </si>
  <si>
    <t>郭静</t>
  </si>
  <si>
    <t>葡萄酒;⻩酒;⽩酒;⽼酒（中国蒸馏烈酒）;酒精饮料（啤酒除外）;果酒;烧酒;预先混合的酒精饮料（以啤酒为主的除外）;烈酒;⽶酒</t>
  </si>
  <si>
    <t>贵州每与美优选大健康有限公司</t>
  </si>
  <si>
    <t>开胃酒;烧酒;⻩酒;⽶酒;含酒精⽔果饮料;⽩兰地;苦味酒;果酒（含酒精）;含酒精的饮料（啤酒除外）;⽩酒</t>
  </si>
  <si>
    <t>GENTISSIMA</t>
  </si>
  <si>
    <t>杰罗尊达股份公司</t>
  </si>
  <si>
    <t>苹果酒;梨酒;烈酒;葡萄酒;酒精饮料（啤酒除外）;酒精饮料原汁;酒精饮料浓缩汁;利⼝酒;鸡尾酒;⽩兰地</t>
  </si>
  <si>
    <t>阳澄队长</t>
  </si>
  <si>
    <t>苏州飨福水产养殖有限公司</t>
  </si>
  <si>
    <t>⽶酒;⾼粱酒;鸡尾酒;威⼠忌;除啤酒外的酒精饮料;含酒精的饮料（啤酒除外）;果酒（含酒精）;葡萄酒;⻩酒;清酒</t>
  </si>
  <si>
    <t>脆果舒</t>
  </si>
  <si>
    <t>四川民福记食品有限公司</t>
  </si>
  <si>
    <t>⽶酒;烧酒;⽩酒;果酒;⽩⼲酒（中国⽩酒）;葡萄酒;烈酒（饮料）;⾼粱酒;⻩酒;烈酒</t>
  </si>
  <si>
    <t>LAN ZHAO</t>
  </si>
  <si>
    <t>贵州蓝兆商贸有限公司</t>
  </si>
  <si>
    <t>黑风关烧坊</t>
  </si>
  <si>
    <t>黑龙江天禄酒业有限公司</t>
  </si>
  <si>
    <t>酒精饮料（啤酒除外）;烈酒（饮料）;⻩酒;蒸馏饮料;⽼酒（中国蒸馏烈酒）;⽩酒;果酒（含酒精）;鸡尾酒;汽酒;葡萄酒</t>
  </si>
  <si>
    <t>欢蓬酒庄</t>
  </si>
  <si>
    <t>贵州蓬台酒业（集团）有限公司</t>
  </si>
  <si>
    <t>果酒（含酒精）;蒸馏饮料;鸡尾酒;威⼠忌;⻩酒;葡萄酒;⽩兰地;⽩酒;烧酒;⽶酒</t>
  </si>
  <si>
    <t>雪士 SNOILITE</t>
  </si>
  <si>
    <t>青岛小啤郎原浆啤酒有限公司</t>
  </si>
  <si>
    <t>⽩酒;烈酒;⻩酒;露酒;威⼠忌;果酒;⽶酒;葡萄酒;鸡尾酒;烧酒</t>
  </si>
  <si>
    <t>呼白老绥元</t>
  </si>
  <si>
    <t>内蒙古世纪呼白酒业有限责任公司</t>
  </si>
  <si>
    <t>蒸馏饮料;⻘稞酒;烧酒;烈酒（饮料）;⽩酒;⽶酒;果酒（含酒精）;开胃酒;酒精饮料（啤酒除外）;⻩酒</t>
  </si>
  <si>
    <t>飞仙圣人</t>
  </si>
  <si>
    <t>烈酒（饮料）;含⽔果酒精饮料;⽶酒;葡萄酒;蜂蜜酒;烧酒;果酒（含酒精）;⽩酒;⻩酒;鸡尾酒</t>
  </si>
  <si>
    <t>拙大师</t>
  </si>
  <si>
    <t>窦新宇</t>
  </si>
  <si>
    <t>清酒（⽇本⽶酒）;⻩酒;果酒（含酒精）;汽酒;威⼠忌;葡萄酒;鸡尾酒;伏特加酒;⽩酒;⽩兰地</t>
  </si>
  <si>
    <t>MASTER DEER</t>
  </si>
  <si>
    <t>果酒（含酒精）;葡萄酒;⽩兰地;汽酒;鸡尾酒;⻩酒;威⼠忌;清酒（⽇本⽶酒）;烧酒;⽩酒</t>
  </si>
  <si>
    <t>海丝启航</t>
  </si>
  <si>
    <t>福建省建瓯黄华山酿酒有限公司</t>
  </si>
  <si>
    <t>开胃酒;葡萄酒;蒸馏饮料;酒精饮料（啤酒除外）;⽩酒;果酒（含酒精）;烧酒;⽶酒;汽酒;⻩酒</t>
  </si>
  <si>
    <t>崃</t>
  </si>
  <si>
    <t>成都市崃牌春酒业有限公司</t>
  </si>
  <si>
    <t>⽩酒;开胃酒;⽶酒;⻩酒;烈酒（饮料）;⽩⼲酒（中国⽩酒）;酒精饮料（啤酒除外）;⽩兰地;由⾕物蒸馏的⽩酒;清酒（⽇本⽶酒）</t>
  </si>
  <si>
    <t>赤梦御将</t>
  </si>
  <si>
    <t>贵州御尚酒业有限公司</t>
  </si>
  <si>
    <t>果酒（含酒精）;烈酒（饮料）;酒精饮料（啤酒除外）;葡萄酒;白酒;烧酒;鸡尾酒;蒸馏饮料;威士忌;米酒</t>
  </si>
  <si>
    <t>疆福顺</t>
  </si>
  <si>
    <t>黄志强</t>
  </si>
  <si>
    <t>威⼠忌;⽶酒;果酒（含酒精）;⻘稞酒;⻩酒;烧酒;⾷⽤酒精;烈酒（饮料）;含⽔果酒精饮料;⽩酒</t>
  </si>
  <si>
    <t>宾为上</t>
  </si>
  <si>
    <t>黄佳浩</t>
  </si>
  <si>
    <t>清酒（⽇本⽶酒）;威⼠忌;含⽔果酒精饮料;烈酒（饮料）;烧酒;⽩酒;鸡尾酒;果酒（含酒精）;⻩酒;葡萄酒</t>
  </si>
  <si>
    <t>菁英18班</t>
  </si>
  <si>
    <t>温州市康恒鞋业有限公司</t>
  </si>
  <si>
    <t>⽶酒;烧酒;果酒;红葡萄酒;蜂蜜酒;⻩酒;开胃酒;⽩酒;酒精饮料（啤酒除外）;⾷⽤酒精</t>
  </si>
  <si>
    <t>RYCJ 如意成浆</t>
  </si>
  <si>
    <t>宜宾隆福酒业有限公司</t>
  </si>
  <si>
    <t>果酒（含酒精）;酒精饮料（啤酒除外）;含⽔果酒精饮料;烧酒;葡萄酒;酒精饮料浓缩汁;⽶酒;⽩酒;烈酒（饮料）;蒸馏饮料</t>
  </si>
  <si>
    <t>圣上号</t>
  </si>
  <si>
    <t>泉州市日圣茶业有限公司</t>
  </si>
  <si>
    <t>⻩酒;烧酒;果酒（含酒精）;⽩酒;清酒（⽇本⽶酒）;鸡尾酒;葡萄酒;⽶酒;烈酒（饮料）;威⼠忌</t>
  </si>
  <si>
    <t>京华汉玺（北京）酒行有限公司</t>
  </si>
  <si>
    <t>酒精饮料（啤酒除外）;葡萄酒;威⼠忌;果酒（含酒精）;清酒（⽇本⽶酒）;烈酒（饮料）;烧酒;鸡尾酒;伏特加酒;蒸煮提取物（利⼝酒和烈酒）</t>
  </si>
  <si>
    <t>乾香逢</t>
  </si>
  <si>
    <t>青岛颂千露酒水有限公司</t>
  </si>
  <si>
    <t>⽶酒;⾕物制蒸馏酒精饮料;⽩⼲酒（中国⽩酒）;⽼酒（中国蒸馏烈酒）;蒸馏饮料;烧酒;⻩酒;⽩酒;由⾕物蒸馏的⽩酒;酒精饮料（啤酒除外）</t>
  </si>
  <si>
    <t>肆拾玖坊师玖</t>
  </si>
  <si>
    <t>肆拾玖坊（天津）电子商务有限公司</t>
  </si>
  <si>
    <t>鸡尾酒;开胃酒;⽩酒;⻩酒;⽶酒;樱桃酒;甜果酒;葡萄酒;汽酒;果酒（含酒精）</t>
  </si>
  <si>
    <t>金帐兀鲁思</t>
  </si>
  <si>
    <t>杨利152104********2514</t>
  </si>
  <si>
    <t>鸡尾酒;⽩酒;烧酒;葡萄酒;已调味的蒸馏酒;⻘稞酒;果酒（含酒精）;⻩酒;⽶酒;酒精饮料（啤酒除外）</t>
  </si>
  <si>
    <t>稷彩</t>
  </si>
  <si>
    <t>洛阳康鸿物资贸易有限公司</t>
  </si>
  <si>
    <t>鸡尾酒;蒸馏饮料;烧酒;果酒（含酒精）;⽩酒;烈酒（饮料）;⽶酒;葡萄酒;酒精饮料（啤酒除外）;⻩酒</t>
  </si>
  <si>
    <t>兀鲁思</t>
  </si>
  <si>
    <t>已调味的蒸馏酒;果酒（含酒精）;酒精饮料（啤酒除外）;⻘稞酒;⽩酒;鸡尾酒;葡萄酒;⻩酒;⽶酒;烧酒</t>
  </si>
  <si>
    <t>渴时</t>
  </si>
  <si>
    <t>杭州古润山品牌管理有限公司</t>
  </si>
  <si>
    <t>⽶酒;⻩酒;果酒（含酒精）;利⼝酒;清酒（⽇本⽶酒）;含⽔果酒精饮料;烧酒;⽩酒;葡萄酒;酒精饮料（啤酒除外）</t>
  </si>
  <si>
    <t>椰岛康养酒</t>
  </si>
  <si>
    <t>海南椰岛（集团）股份有限公司</t>
  </si>
  <si>
    <t>露酒;果酒（含酒精）;葡萄酒;汽酒;蒸煮提取物（利⼝酒和烈酒）;⽶酒;⽩酒;⻩酒;酒精饮料（啤酒除外）;鸡尾酒</t>
  </si>
  <si>
    <t>醴酒十六</t>
  </si>
  <si>
    <t>李雪</t>
  </si>
  <si>
    <t>果酒（含酒精）;⽩酒;⽶酒;餐后酒（利⼝酒和烈酒）;酸酒（低等葡萄酒）;预先混合的酒精饮料（以啤酒为主的除外）;⻩酒;含⽔果酒精饮料;开胃酒;蜂蜜酒</t>
  </si>
  <si>
    <t>芸享醇</t>
  </si>
  <si>
    <t>重庆芸享实业有限公司</t>
  </si>
  <si>
    <t>乘大气</t>
  </si>
  <si>
    <t>钱凤娥</t>
  </si>
  <si>
    <t>烧酒;⽩酒;酒精饮料（啤酒除外）;⻩酒;果酒（含酒精）;朗姆酒;清酒（⽇本⽶酒）;葡萄酒;鸡尾酒;伏特加酒</t>
  </si>
  <si>
    <t>乔诺</t>
  </si>
  <si>
    <t>顶级葡萄酒集团</t>
  </si>
  <si>
    <t>威⼠忌;鸡尾酒;烈酒（饮料）;⽩兰地;⽶酒;⽩酒;果酒（含酒精）;葡萄酒;含⽔果酒精饮料;酒精饮料（啤酒除外）</t>
  </si>
  <si>
    <t>疆吼吼</t>
  </si>
  <si>
    <t>河南省佰熠信餐饮管理有限公司</t>
  </si>
  <si>
    <t>⽩兰地;烈酒（饮料）;⻩酒;⽼酒（中国蒸馏烈酒）;⾼粱酒;威⼠忌;⽶酒;葡萄酒;⽩酒;酒精饮料（啤酒除外）</t>
  </si>
  <si>
    <t>乾馀</t>
  </si>
  <si>
    <t>济南乾余酿造有限公司</t>
  </si>
  <si>
    <t>⽩酒;含酒精的⽓泡⽔;葡萄酒;烧酒;伏特加酒;⻩酒;⽶酒;利⼝酒;开胃酒;以葡萄酒为主的饮料</t>
  </si>
  <si>
    <t>童子沟</t>
  </si>
  <si>
    <t>赵文珍</t>
  </si>
  <si>
    <t>苹果酒;⽩兰地;⾼粱酒;梨酒;葡萄酒;⽩酒;⽼酒（中国蒸馏烈酒）;烧酒（烈酒）;果酒（含酒精）;苦荞酒</t>
  </si>
  <si>
    <t>叶池中</t>
  </si>
  <si>
    <t>叶金花</t>
  </si>
  <si>
    <t>含⽔果酒精饮料;⽶酒;烧酒;⻩酒;开胃酒;烈酒（饮料）;酒精饮料原汁;⽩酒;果酒（含酒精）;蜂蜜酒</t>
  </si>
  <si>
    <t>良醇祥</t>
  </si>
  <si>
    <t>烧酒（烈酒）;果酒（含酒精）;⾷⽤酒精;酒精饮料浓缩汁;烧酒;酒精饮料（啤酒除外）;葡萄酒;⽶酒;蒸煮提取物（利⼝酒和烈酒）;⽩酒</t>
  </si>
  <si>
    <t>魔浆醉魂</t>
  </si>
  <si>
    <t>三河市恒信同和商贸有限公司</t>
  </si>
  <si>
    <t>⽩兰地;烈酒（饮料）;葡萄酒;⻩酒;利⼝酒;⽶酒;酒精饮料浓缩汁;蒸馏饮料;⽩酒;果酒（含酒精）</t>
  </si>
  <si>
    <t>自汉唐</t>
  </si>
  <si>
    <t>玉儿叫</t>
  </si>
  <si>
    <t>果酒（含酒精）;⽩酒;烧酒;清酒（⽇本⽶酒）;⽶酒;⻘稞酒;威⼠忌;⻩酒;⽩兰地;葡萄酒</t>
  </si>
  <si>
    <t>DECALLAN 德卡伦</t>
  </si>
  <si>
    <t>烧酒;⽩兰地;威⼠忌;烈酒（饮料）;果酒（含酒精）;鸡尾酒;酒精饮料（啤酒除外）;⽶酒;葡萄酒;⽩酒</t>
  </si>
  <si>
    <t>梦想无界源 BOUNDLESS SOURCE OF DREAMS</t>
  </si>
  <si>
    <t>贵州梦想无界源集团有限公司</t>
  </si>
  <si>
    <t>⽼酒（中国蒸馏烈酒）;预先混合的酒精饮料（以啤酒为主的除外）;由⾕物蒸馏的⽩酒;酒精饮料（啤酒除外）;含酒精⽔果饮料;含酒精的饮料（啤酒除外）;蒸馏饮料;含⽔果酒精饮料;果酒（含酒精）;含酒精的⽓泡⽔</t>
  </si>
  <si>
    <t>鼎日有</t>
  </si>
  <si>
    <t>福州民天集团有限公司</t>
  </si>
  <si>
    <t>鸡尾酒;⻩酒;露酒;烧酒;葡萄酒;蒸煮提取物（利⼝酒和烈酒）;烈酒（饮料）;蜂蜜酒;果酒（含酒精）;清酒</t>
  </si>
  <si>
    <t>锡林郭勒盟艾米拉传统医学研究有限公司  XILINGOL LEAGUE EMILA TRADITIONAL MEDICAL RESEARCH CO., LTD</t>
  </si>
  <si>
    <t>锡林郭勒盟艾米拉传统医学研究有限公司</t>
  </si>
  <si>
    <t>⾼粱酒;⻘稞酒;⽩酒;蝮蛇酒;酒精饮料（啤酒除外）;葡萄酒;杜松⼦酒;果酒（含酒精）;蜂蜜酒;含酒精的⽔果鸡尾酒饮料</t>
  </si>
  <si>
    <t>贵州省仁怀市茅迦纳酒业有限公司</t>
  </si>
  <si>
    <t>茴芹酒（利⼝酒）;葡萄酒;含⽔果酒精饮料;蒸馏饮料;⽩兰地;鸡尾酒;威⼠忌;⽶酒;酒精饮料（啤酒除外）;烈酒（饮料）</t>
  </si>
  <si>
    <t>如意瓷</t>
  </si>
  <si>
    <t>山西青瓷酒厂股份有限公司</t>
  </si>
  <si>
    <t>葡萄酒;⽩酒;露酒</t>
  </si>
  <si>
    <t>仁罐酒业</t>
  </si>
  <si>
    <t>贵州省仁怀市仁罐酒业销售有限公司</t>
  </si>
  <si>
    <t>⽼酒（中国蒸馏烈酒）;烧酒;⽩酒;⽶酒;威⼠忌;鸡尾酒;酒精饮料（啤酒除外）;烈酒;葡萄酒;⾼粱酒</t>
  </si>
  <si>
    <t>葡树萄园 PUSHUTAOYUAN MANOR</t>
  </si>
  <si>
    <t>广东呱叽兔文旅发展有限公司</t>
  </si>
  <si>
    <t>葡萄酒;利⼝酒;朗姆酒;果酒;加烈葡萄酒;⽩酒;⽶酒;威⼠忌;⽩兰地;甜酒</t>
  </si>
  <si>
    <t>台富天下</t>
  </si>
  <si>
    <t>贵州省仁怀市威勃士酒业有限责任公司</t>
  </si>
  <si>
    <t>果酒;⽶酒;⾷⽤酒精;⽩兰地;酒精饮料浓缩汁;鸡尾酒;⽩酒;蒸煮提取物（利⼝酒和烈酒）;酒精饮料原汁;⻩酒</t>
  </si>
  <si>
    <t>陆红女印</t>
  </si>
  <si>
    <t>贵州驰思创元文化传媒有限公司</t>
  </si>
  <si>
    <t>⻩酒;⻘稞酒;清酒;葡萄酒;烧酒（烈酒）;⽩酒;⾷⽤酒精;开胃酒;⽶酒;蒸煮提取物（利⼝酒和烈酒）</t>
  </si>
  <si>
    <t>帝山谦</t>
  </si>
  <si>
    <t>青岛茂霖生物科技有限公司</t>
  </si>
  <si>
    <t>利⼝酒;⽩酒;⽩兰地;葡萄酒;⾷⽤酒精;⽶酒;⻩酒;鸡尾酒;威⼠忌;果酒（含酒精）</t>
  </si>
  <si>
    <t>汉礼黔商</t>
  </si>
  <si>
    <t>贵州汉礼酱酒研究院</t>
  </si>
  <si>
    <t>烧酒;威⼠忌;⽩酒;葡萄酒;清酒;含酒精的饮料（啤酒除外）;蒸馏饮料;含酒精的⽓泡⽔;⽶酒;⻩酒</t>
  </si>
  <si>
    <t>屹程金糟醉</t>
  </si>
  <si>
    <t>邹童权</t>
  </si>
  <si>
    <t>蒸馏饮料;鸡尾酒;烈酒（饮料）;⾕物制蒸馏酒精饮料;⽩酒;果酒（含酒精）;葡萄酒;⽶酒;酒精饮料（啤酒除外）;含⽔果酒精饮料</t>
  </si>
  <si>
    <t>中境阅厨</t>
  </si>
  <si>
    <t>贵州鱼鳅寨农业科技有限公司</t>
  </si>
  <si>
    <t>开胃酒;葡萄酒;⽩酒;⻩酒;⽩兰地;果酒（含酒精）;鸡尾酒;威⼠忌;⽶酒;伏特加酒</t>
  </si>
  <si>
    <t>赐福</t>
  </si>
  <si>
    <t>李云能</t>
  </si>
  <si>
    <t>葡萄酒;预先混合的酒精饮料（以啤酒为主的除外）;⾼粱酒;烧酒;鸡尾酒;⻩酒;⽶酒;⽩酒;含酒精的⽔果鸡尾酒饮料;果酒（含酒精）</t>
  </si>
  <si>
    <t>仁罐窖</t>
  </si>
  <si>
    <t>⽶酒;鸡尾酒;葡萄酒;⽼酒（中国蒸馏烈酒）;威⼠忌;⽩酒;⾼粱酒;酒精饮料（啤酒除外）;烈酒;烧酒</t>
  </si>
  <si>
    <t>慧台华</t>
  </si>
  <si>
    <t>贵州慧台酒业有限公司</t>
  </si>
  <si>
    <t>果酒（含酒精）;葡萄酒;⻘稞酒;⾷⽤酒精;汽酒;⻩酒;⽩酒;薄荷酒;烧酒;⽶酒</t>
  </si>
  <si>
    <t>SARAIL LA GUILLAUMIERE</t>
  </si>
  <si>
    <t>上海法堡国际贸易有限公司</t>
  </si>
  <si>
    <t>伏特加酒;苹果酒;含⽔果酒精饮料;威⼠忌;鸡尾酒;⽩酒;朗姆酒;⽩兰地;果酒（含酒精）;葡萄酒</t>
  </si>
  <si>
    <t>汉礼京商</t>
  </si>
  <si>
    <t>葡萄酒;⽶酒;⻩酒;威⼠忌;清酒;含酒精的饮料（啤酒除外）;含酒精的⽓泡⽔;⽩酒;烧酒;蒸馏饮料</t>
  </si>
  <si>
    <t>釜阳春</t>
  </si>
  <si>
    <t>⽼酒（中国蒸馏烈酒）;果酒（含酒精）;鸡尾酒;葡萄酒;蒸馏饮料;⾷⽤酒精;烈酒（饮料）;烧酒;⽩酒;⽶酒</t>
  </si>
  <si>
    <t>星星的孩子</t>
  </si>
  <si>
    <t>长沙县志愿者协会</t>
  </si>
  <si>
    <t>⽶酒;⽩酒;酒精饮料（啤酒除外）;葡萄酒;烈酒（饮料）;蒸馏饮料;清酒;含⽔果酒精饮料;开胃酒;⻩酒</t>
  </si>
  <si>
    <t>智优汇直达</t>
  </si>
  <si>
    <t>海南展华贸易有限公司</t>
  </si>
  <si>
    <t>果酒（含酒精）;威⼠忌;以葡萄酒为主的饮料;蒸馏饮料;伏特加酒;清酒（⽇本⽶酒）;⽩酒;葡萄酒;烧酒;烈酒（饮料）</t>
  </si>
  <si>
    <t>DCJJ</t>
  </si>
  <si>
    <t>贵州省仁怀市茅台镇新茂新酒业销售有限公司</t>
  </si>
  <si>
    <t>⽩酒;果酒;⽼酒（中国蒸馏烈酒）;酒精饮料（啤酒除外）;⾼粱酒;汽酒;⻩酒;烧酒;烈酒;葡萄酒</t>
  </si>
  <si>
    <t>苏格登丰味</t>
  </si>
  <si>
    <t>落花生实</t>
  </si>
  <si>
    <t>烟台市琪麟酒业有限公司</t>
  </si>
  <si>
    <t>烧酒;⽶酒;威⼠忌;餐后酒（利⼝酒和烈酒）;⻩酒;⽩酒;露酒;果酒（含酒精）;含⽔果酒精饮料;⽩兰地</t>
  </si>
  <si>
    <t>稒阳</t>
  </si>
  <si>
    <t>石振华</t>
  </si>
  <si>
    <t>果酒;酒精饮料（啤酒除外）;⽩兰地;蒸煮提取物（利⼝酒和烈酒）;⾷⽤酒精;烧酒;含⽔果酒精饮料;⽩酒;葡萄酒;蒸馏饮料</t>
  </si>
  <si>
    <t>41°N 稒阳牌</t>
  </si>
  <si>
    <t>果酒;⽩酒;蒸煮提取物（利⼝酒和烈酒）;烧酒;含⽔果酒精饮料;葡萄酒;蒸馏饮料;酒精饮料（啤酒除外）;⾷⽤酒精;⽩兰地</t>
  </si>
  <si>
    <t>元易丰</t>
  </si>
  <si>
    <t>云南元易丰商贸有限公司</t>
  </si>
  <si>
    <t>果酒（含酒精）;鸡尾酒;烈酒（饮料）;⽩酒;酒精饮料原汁;蒸馏饮料;蒸煮提取物（利⼝酒和烈酒）;⻘稞酒;酸酒（低等葡萄酒）;开胃酒</t>
  </si>
  <si>
    <t>清酒;⻩酒;⽩酒;酒精饮料原汁;蜂蜜酒;由⾕物蒸馏的⽩酒;果酒（含酒精）;烧酒;⽶酒;杨梅酒</t>
  </si>
  <si>
    <t>欣砾染（四川）新材料科技有限公司</t>
  </si>
  <si>
    <t>餐后酒（利⼝酒和烈酒）;⾕物制蒸馏酒精饮料;⽩酒;果酒（含酒精）;蒸馏饮料;酒精饮料（啤酒除外）;预先混合的酒精饮料（以啤酒为主的除外）;酒精饮料原汁;酒精饮料浓缩汁;以葡萄酒为主的饮料</t>
  </si>
  <si>
    <t>玶替班</t>
  </si>
  <si>
    <t>中报国道（北京）国际传媒文化有限公司</t>
  </si>
  <si>
    <t>烈酒（饮料）;酒精饮料浓缩汁;⻩酒;开胃酒;蒸馏饮料;果酒（含酒精）;葡萄酒;烧酒;⽩酒;含⽔果酒精饮料</t>
  </si>
  <si>
    <t>果酒（含酒精）;含⽔果酒精饮料;鸡尾酒;威⼠忌;⽩酒;烧酒（烈酒）;⽶酒;⾕物制蒸馏酒精饮料;酒精饮料（啤酒除外）;⽩兰地</t>
  </si>
  <si>
    <t>王二乐</t>
  </si>
  <si>
    <t>烧酒（烈酒）;⽩酒;酒精饮料（啤酒除外）;威⼠忌;清酒（⽇本⽶酒）;⻩酒;⽩⼲酒（中国⽩酒）;果酒;葡萄酒;⽶酒</t>
  </si>
  <si>
    <t>猛龙势</t>
  </si>
  <si>
    <t>黄峥嵘</t>
  </si>
  <si>
    <t>烈酒（饮料）;鸡尾酒;酒精饮料（啤酒除外）;烧酒;⻩酒;⾕物制蒸馏酒精饮料;⽩酒;果酒（含酒精）;⽶酒;葡萄酒</t>
  </si>
  <si>
    <t>白塔洋</t>
  </si>
  <si>
    <t>绍兴白塔酿酒有限公司</t>
  </si>
  <si>
    <t>葡萄酒;⽶酒;烧酒;红葡萄酒;果酒;⻘梅酒;清酒（⽇本⽶酒）;⻩酒;⽩酒;鸡尾酒</t>
  </si>
  <si>
    <t>正阳寸玉</t>
  </si>
  <si>
    <t>贵州寸玉酒业有限公司</t>
  </si>
  <si>
    <t>葡萄酒;⽶酒;果酒（含酒精）;烈酒（饮料）;鸡尾酒;酒精饮料（啤酒除外）;⻩酒;⽩酒;烧酒;清酒（⽇本⽶酒）</t>
  </si>
  <si>
    <t>九暹良品</t>
  </si>
  <si>
    <t>贵州九暹酒业有限公司</t>
  </si>
  <si>
    <t>⽶酒;⻩酒;亚⼒酒;葡萄酒;清酒（⽇本⽶酒）;果酒（含酒精）;苹果酒;烈酒（饮料）;酒精饮料（啤酒除外）;⽩酒</t>
  </si>
  <si>
    <t>金谷籽</t>
  </si>
  <si>
    <t>廖邦学</t>
  </si>
  <si>
    <t>威士忌;伏特加酒;鸡尾酒;葡萄酒;烧酒;白酒;柑香酒;白兰地;米酒;黄酒</t>
  </si>
  <si>
    <t>LI BIN JIU</t>
  </si>
  <si>
    <t>白酒;米酒;葡萄酒;酒精饮料（啤酒除外）;烈酒;烧酒;清酒;老酒（中国蒸馏烈酒）;果酒;黄酒</t>
  </si>
  <si>
    <t>众粉</t>
  </si>
  <si>
    <t>金华众粉贸易有限公司</t>
  </si>
  <si>
    <t>⽩酒;⽶酒;⻘稞酒;鸡尾酒;⽩兰地;蒸馏饮料;烧酒;⻩酒;果酒（含酒精）;威⼠忌</t>
  </si>
  <si>
    <t>润佰康 R.B.K</t>
  </si>
  <si>
    <t>福建省润佰康食品贸易有限公司</t>
  </si>
  <si>
    <t>⽩酒;⻩酒;鸡尾酒;⽩兰地;杨梅酒;红葡萄酒;⽩葡萄酒;果酒（含酒精）;葡萄酒;⻘梅酒;⾼粱酒</t>
  </si>
  <si>
    <t>乔南梁生鲜</t>
  </si>
  <si>
    <t>山西乔南梁悦家集团有限公司</t>
  </si>
  <si>
    <t>果酒（含酒精）;利⼝酒;清酒（⽇本⽶酒）;⻩酒;⾷⽤酒精;葡萄酒;⽩酒;红葡萄酒;果酒;鸡尾酒</t>
  </si>
  <si>
    <t>九隆岗</t>
  </si>
  <si>
    <t>杨兆云</t>
  </si>
  <si>
    <t>果酒（含酒精）;苦味酒;亚⼒酒;⽩酒;鸡尾酒;葡萄酒;开胃酒;⽶酒;朗姆酒;⽩兰地</t>
  </si>
  <si>
    <t>玉见发财</t>
  </si>
  <si>
    <t>河南省健源酒业有限公司</t>
  </si>
  <si>
    <t>果酒（含酒精）;葡萄酒;⻩酒;鸡尾酒;预先混合的酒精饮料（以啤酒为主的除外）;汽酒;酒精饮料（啤酒除外）;烧酒;⽩酒;烈酒（饮料）</t>
  </si>
  <si>
    <t>乔南梁超市</t>
  </si>
  <si>
    <t>葡萄酒;⽶酒;威⼠忌;利⼝酒;⾷⽤酒精;清酒;果酒（含酒精）;鸡尾酒;⽩酒;⻩酒</t>
  </si>
  <si>
    <t>乔南梁生鲜超市</t>
  </si>
  <si>
    <t>果酒（含酒精）;葡萄酒;⽩酒;⽶酒;清酒;⻩酒;利⼝酒;果酒;⾷⽤酒精;鸡尾酒</t>
  </si>
  <si>
    <t>颐坛增亲粮液</t>
  </si>
  <si>
    <t>朱开国</t>
  </si>
  <si>
    <t>米酒;白兰地;烧酒;白酒;利口酒;葡萄酒;含酒精的水果鸡尾酒饮料;黄酒;酒精饮料（啤酒除外）;果酒（含酒精）</t>
  </si>
  <si>
    <t>青岗坝</t>
  </si>
  <si>
    <t>⽩酒;亚⼒酒;⽶酒;苦味酒;朗姆酒;葡萄酒;鸡尾酒;⽩兰地;果酒（含酒精）;开胃酒</t>
  </si>
  <si>
    <t>典名号</t>
  </si>
  <si>
    <t>烧酒;⻩酒;利⼝酒;⽶酒;⻘稞酒;开胃酒;清酒（⽇本⽶酒）;葡萄酒;梨酒;⽩酒</t>
  </si>
  <si>
    <t>映门红</t>
  </si>
  <si>
    <t>葡萄酒;⽶酒;开胃酒;梨酒;烧酒;利⼝酒;⻩酒;⽩酒;⻘稞酒;清酒（⽇本⽶酒）</t>
  </si>
  <si>
    <t>绍兴市柯桥区赵敏芝食品店</t>
  </si>
  <si>
    <t>⽼酒（中国蒸馏烈酒）;果酒（含酒精）;汽酒;甜酒;⽶酒;清酒;烧酒;梅酒;杨梅酒;⻩酒</t>
  </si>
  <si>
    <t>师德无界</t>
  </si>
  <si>
    <t>耿超鹏</t>
  </si>
  <si>
    <t>葡萄酒;⻘稞酒;⽩酒;烧酒;烈酒;⽼酒（中国蒸馏烈酒）;⾼粱酒;果酒;⻩酒;⽩⼲酒（中国⽩酒）</t>
  </si>
  <si>
    <t>燚䲜朤</t>
  </si>
  <si>
    <t>广东万点科技发展有限公司</t>
  </si>
  <si>
    <t>蒸馏饮料;烈酒（饮料）;⽩葡萄酒;果酒（含酒精）;葡萄酒;预先混合的酒精饮料（以啤酒为主的除外）;酒精饮料（啤酒除外）;烧酒;起泡红葡萄酒;餐后酒（利⼝酒和烈酒）</t>
  </si>
  <si>
    <t>大清花酒票</t>
  </si>
  <si>
    <t>山西大清花酒厂股份有限公司</t>
  </si>
  <si>
    <t>⽩酒;果酒（含酒精）;预先混合的酒精饮料（以啤酒为主的除外）;酒精饮料（啤酒除外）;含⽔果酒精饮料;露酒;由⾕物蒸馏的⽩酒;葡萄酒;烈酒;⽶酒</t>
  </si>
  <si>
    <t>天诏</t>
  </si>
  <si>
    <t>杭州酒滴滴贸易有限公司</t>
  </si>
  <si>
    <t>烧酒;烈酒;⾼粱酒;⽩酒;⻩酒;⽶酒;葡萄酒;清酒;⽼酒(中国蒸馏烈酒);果酒(含酒精)</t>
  </si>
  <si>
    <t>邵七叔酒</t>
  </si>
  <si>
    <t>杭州鼎韵餐饮管理有限公司</t>
  </si>
  <si>
    <t>威⼠忌;⽶酒;⻩酒;葡萄酒;清酒;⽩酒;甜酒;梅酒;果酒;烧酒</t>
  </si>
  <si>
    <t>乔南梁生鲜便利</t>
  </si>
  <si>
    <t>⽩酒;葡萄酒;利⼝酒;⻩酒;果酒（含酒精）;⾷⽤酒精;鸡尾酒;清酒;⽶酒;果酒</t>
  </si>
  <si>
    <t>蜀宁川</t>
  </si>
  <si>
    <t>周春慧</t>
  </si>
  <si>
    <t>威⼠忌;鸡尾酒;烈酒;葡萄酒;⻩酒;⻘稞酒;烧酒;⽶酒;⽩酒;⽩兰地</t>
  </si>
  <si>
    <t>源中道</t>
  </si>
  <si>
    <t>杜昊原</t>
  </si>
  <si>
    <t>蒸馏饮料;⽩酒;果酒（含酒精）;烧酒;酒精饮料浓缩汁;含⽔果酒精饮料;⽶酒;烈酒（饮料）;酒精饮料（啤酒除外）;葡萄酒</t>
  </si>
  <si>
    <t>美季美鲜 MJMX</t>
  </si>
  <si>
    <t>上海曼吉斋食品有限公司</t>
  </si>
  <si>
    <t>蒸馏饮料;烈酒（饮料）;含⽔果酒精饮料;⽶酒;蜂蜜酒;酒精饮料原汁;酒精饮料（啤酒除外）;⾕物制蒸馏酒精饮料;预先混合的酒精饮料（以啤酒为主的除外）</t>
  </si>
  <si>
    <t>赤子征程</t>
  </si>
  <si>
    <t>李晓慧</t>
  </si>
  <si>
    <t>蒸馏饮料;清酒（⽇本⽶酒）;⽶酒;⽩酒;果酒;威⼠忌;⾷⽤酒精;酒精饮料（啤酒除外）;葡萄酒;鸡尾酒</t>
  </si>
  <si>
    <t>贵鲲台</t>
  </si>
  <si>
    <t>李丽真</t>
  </si>
  <si>
    <t>⽩⼲酒（中国⽩酒）;⽶酒;烈酒;烧酒（烈酒）;由⾕物蒸馏的⽩酒;⽼酒（中国蒸馏烈酒）;葡萄酒;酒精饮料（啤酒除外）;⽩酒;⾼粱酒</t>
  </si>
  <si>
    <t>荷荘</t>
  </si>
  <si>
    <t>贵州荷庄酒业供应链有限公司</t>
  </si>
  <si>
    <t>尼⽡（以⽢蔗为主的酒精饮料）;果酒（含酒精）;葡萄酒;烈酒（饮料）;烧酒;蒸煮提取物（利⼝酒和烈酒）;蜂蜜酒;酒精饮料原汁;⽩酒;⻩酒</t>
  </si>
  <si>
    <t>喜酒老喜氿 老喜酒老喜牌 新喜酒新喜牌</t>
  </si>
  <si>
    <t>葡萄酒;⽶酒;烧酒;清酒;⻩酒;酒精饮料（啤酒除外）;⽩酒;烈酒;⽼酒（中国蒸馏烈酒）;果酒</t>
  </si>
  <si>
    <t>唐斛</t>
  </si>
  <si>
    <t>谢学军</t>
  </si>
  <si>
    <t>⽩兰地;汽酒;果酒（含酒精）;清酒（⽇本⽶酒）;⽩酒;⻩酒;葡萄酒;烈酒（饮料）;伏特加酒;酒精饮料（啤酒除外）</t>
  </si>
  <si>
    <t>对地</t>
  </si>
  <si>
    <t>鸡尾酒;酒精饮料（啤酒除外）;果酒（含酒精）;⾕物制蒸馏酒精饮料;⽶酒;⽩酒;苹果酒;葡萄酒;清酒（⽇本⽶酒）;⻩酒</t>
  </si>
  <si>
    <t>贵州规台酒业股份有限公司</t>
  </si>
  <si>
    <t>⽶酒;苹果酒;烈酒（饮料）;⾕物制蒸馏酒精饮料;果酒（含酒精）;⽩酒;葡萄酒;餐后酒（利⼝酒和烈酒）;蒸馏饮料;露酒</t>
  </si>
  <si>
    <t>首之百礼</t>
  </si>
  <si>
    <t>贵州国炫酒业有限公司</t>
  </si>
  <si>
    <t>利⼝酒;酒精饮料原汁;⽩酒;烧酒;⽶酒;烈酒（饮料）;果酒;葡萄酒;酒精饮料（啤酒除外）;蒸馏饮料</t>
  </si>
  <si>
    <t>陈宗强</t>
  </si>
  <si>
    <t>果酒（含酒精）;葡萄酒;清酒（⽇本⽶酒）;利⼝酒;⻩酒;酒精饮料（啤酒除外）;⽩酒;开胃酒;⽶酒;⽼酒（中国蒸馏烈酒）</t>
  </si>
  <si>
    <t>黄金屋颜如玉</t>
  </si>
  <si>
    <t>陶贺金</t>
  </si>
  <si>
    <t>葡萄酒;⽶酒;⾼粱酒;鸡尾酒;酒精饮料（啤酒除外）;⻩酒;⽩酒;烈酒;⽩⼲酒（中国⽩酒）;⽩兰地;烧酒</t>
  </si>
  <si>
    <t>谷弛</t>
  </si>
  <si>
    <t>深圳烨创酒业有限公司</t>
  </si>
  <si>
    <t>烈酒（饮料）;⽩兰地;⽩酒;葡萄酒;酒精饮料（啤酒除外）;威⼠忌;伏特加酒;预先混合的酒精饮料（以啤酒为主的除外）;⾷⽤酒精;起泡⽩葡萄酒</t>
  </si>
  <si>
    <t>彭祖德善富堂</t>
  </si>
  <si>
    <t>彭祖德福堂（厦门）健康管理有限公司</t>
  </si>
  <si>
    <t>酒精饮料（啤酒除外）;⽶酒;烈酒（饮料）;露酒;蒸馏饮料;烧酒;⽩酒;⾼粱酒;果酒;⻩酒</t>
  </si>
  <si>
    <t>常氽</t>
  </si>
  <si>
    <t>重庆常巨商贸有限公司</t>
  </si>
  <si>
    <t>⽩酒;⾷⽤酒精;蜂蜜酒;苹果酒;葡萄酒;果酒（含酒精）;薄荷酒;⾕物制蒸馏酒精饮料;樱桃酒;以葡萄酒为主的饮料</t>
  </si>
  <si>
    <t>N</t>
  </si>
  <si>
    <t>符老康</t>
  </si>
  <si>
    <t>酒精饮料（啤酒除外）;开胃酒;鸡尾酒;⻩酒;清酒（⽇本⽶酒）;果酒（含酒精）;威⼠忌;烈酒;⽩酒;葡萄酒</t>
  </si>
  <si>
    <t>权进亿</t>
  </si>
  <si>
    <t>王凯</t>
  </si>
  <si>
    <t>酒精饮料浓缩汁;烧酒;除啤酒外的酒精饮料;威⼠忌;⽩兰地;葡萄酒;⻩酒;烈酒;鸡尾酒;⽩酒</t>
  </si>
  <si>
    <t>连自力</t>
  </si>
  <si>
    <t>贵州省仁怀市中翔御尊酒业有限公司</t>
  </si>
  <si>
    <t>餐后酒（利⼝酒和烈酒）;⻘稞酒;果酒;鸡尾酒;⾼粱酒;⽩酒;烈酒（饮料）;酸酒（低等葡萄酒）;烧酒（烈酒）;⽶酒</t>
  </si>
  <si>
    <t>朴状元</t>
  </si>
  <si>
    <t>苏州漫沐餐饮管理有限公司</t>
  </si>
  <si>
    <t>果酒;⻩酒;清酒;甜酒;红葡萄酒;⽩酒;烧酒;⽶酒;烈酒;含酒精⽔果饮料</t>
  </si>
  <si>
    <t>皇家查理仕</t>
  </si>
  <si>
    <t>烧酒;⾷⽤酒精;威⼠忌;葡萄酒;果酒（含酒精）;酒精饮料（啤酒除外）;⽩酒;伏特加酒;利⼝酒;⽩兰地</t>
  </si>
  <si>
    <t>坪洋湖 PINGYANG LAKE</t>
  </si>
  <si>
    <t>广东坪洋湖生态农业发展有限公司</t>
  </si>
  <si>
    <t>⽶酒;⽩酒;酒精饮料（啤酒除外）;威⼠忌;餐后酒（利⼝酒和烈酒）;⻩酒;果酒（含酒精）;葡萄酒;烧酒;开胃酒</t>
  </si>
  <si>
    <t>彩陶黄金叶</t>
  </si>
  <si>
    <t>德州悟德酒业有限公司</t>
  </si>
  <si>
    <t>烈酒（饮料）;酒精饮料（啤酒除外）;果酒（含酒精）;葡萄酒;烧酒;伏特加酒;⽩酒;开胃酒;鸡尾酒;清酒（⽇本⽶酒）</t>
  </si>
  <si>
    <t>琴乡之巅</t>
  </si>
  <si>
    <t>宋新顺</t>
  </si>
  <si>
    <t>⾷⽤酒精;蒸馏饮料;葡萄酒;⻩酒;⽩酒;果酒（含酒精）;⽶酒;烧酒;酒精饮料（啤酒除外）;⽩兰地</t>
  </si>
  <si>
    <t>贵州仁世名酒业供应链管理有限公司</t>
  </si>
  <si>
    <t>露酒;果酒（含酒精）;⾕物制蒸馏酒精饮料;苹果酒;⽶酒;餐后酒（利⼝酒和烈酒）;烈酒（饮料）;⽩酒;蒸馏饮料;葡萄酒</t>
  </si>
  <si>
    <t>联合裕邦</t>
  </si>
  <si>
    <t>威⼠忌;烧酒;⾷⽤酒精;利⼝酒;⽩兰地;果酒（含酒精）;烈酒（饮料）;葡萄酒;朗姆酒;伏特加酒</t>
  </si>
  <si>
    <t>莯霂透美甘</t>
  </si>
  <si>
    <t>向娟</t>
  </si>
  <si>
    <t>酒精饮料（啤酒除外）;樱桃酒;⽩酒;预先混合的酒精饮料（以啤酒为主的除外）;果酒（含酒精）;利⼝酒;甜酒;鸡尾酒;开胃酒;含⽔果酒精饮料</t>
  </si>
  <si>
    <t>迪索奥</t>
  </si>
  <si>
    <t>⾷⽤酒精;威⼠忌;伏特加酒;⽩兰地;起泡⽩葡萄酒;酒精饮料（啤酒除外）;果酒（含酒精）;葡萄酒;利⼝酒;朗姆酒</t>
  </si>
  <si>
    <t>理斯十世</t>
  </si>
  <si>
    <t>葡萄酒;威⼠忌;酒精饮料（啤酒除外）;⾷⽤酒精;⽩兰地;伏特加酒;⽩酒;利⼝酒;果酒（含酒精）;烧酒</t>
  </si>
  <si>
    <t>䤉香</t>
  </si>
  <si>
    <t>陇药皇甫谧制药（甘肃）有限公司</t>
  </si>
  <si>
    <t>烧酒;⽶酒;⽩酒;⻩酒;除啤酒外的酒精饮料;蒸馏⽶酒（泡盛酒）;露酒;果酒;汽酒;由⾕物蒸馏的⽩酒</t>
  </si>
  <si>
    <t>葡萄酒;鸡尾酒;清酒（⽇本⽶酒）;开胃酒;烧酒;酒精饮料（啤酒除外）;⽩酒;果酒（含酒精）;伏特加酒;烈酒（饮料）</t>
  </si>
  <si>
    <t>保罗·利巴</t>
  </si>
  <si>
    <t>⽩兰地;葡萄酒;威⼠忌;利⼝酒;果酒（含酒精）;伏特加酒;⾷⽤酒精;朗姆酒;⽩酒;酒精饮料（啤酒除外）</t>
  </si>
  <si>
    <t>醉馨匠</t>
  </si>
  <si>
    <t>湖北新次元电子商务有限公司</t>
  </si>
  <si>
    <t>⽶酒;烧酒;⻩酒;⽩酒;果酒（含酒精）;鸡尾酒;烈酒（饮料）;⽢蔗制烈酒;葡萄酒;酒精饮料（啤酒除外）</t>
  </si>
  <si>
    <t>联合众为</t>
  </si>
  <si>
    <t>伏特加酒;烈酒（饮料）;⾷⽤酒精;威⼠忌;烧酒;⽩兰地;利⼝酒;果酒（含酒精）;葡萄酒;朗姆酒</t>
  </si>
  <si>
    <t>果引力</t>
  </si>
  <si>
    <t>谢升伟</t>
  </si>
  <si>
    <t>葡萄酒;酒精饮料（啤酒除外）;含酒精⽔果饮料;蒸馏饮料;利⼝酒;威⼠忌;⽩酒;⻘梅酒;果酒（含酒精）;鸡尾酒</t>
  </si>
  <si>
    <t>无论舒迎</t>
  </si>
  <si>
    <t>陈继芳</t>
  </si>
  <si>
    <t>由⾕物蒸馏的⽩酒;以葡萄酒为主的开胃酒;起泡⽩葡萄酒;不起泡葡萄酒;葡萄酒;起泡红葡萄酒;⽩⼲酒（中国⽩酒）;⽩酒;⽩葡萄酒;红葡萄酒</t>
  </si>
  <si>
    <t>滳氿印象</t>
  </si>
  <si>
    <t>商丘市睢阳区德馨明康种植专业合作社</t>
  </si>
  <si>
    <t>开胃酒;⽩酒;⾷⽤酒精;烧酒;⽶酒;果酒;含⽔果酒精饮料;⻩酒;酒精饮料（啤酒除外）;红葡萄酒</t>
  </si>
  <si>
    <t>低空视界</t>
  </si>
  <si>
    <t>晶华智能感知技术（深圳）有限公司</t>
  </si>
  <si>
    <t>葡萄酒;烈酒（饮料）;含⽔果酒精饮料;伏特加酒;酒精饮料（啤酒除外）;⽩酒;果酒（含酒精）;威⼠忌;酒精饮料浓缩汁;⽩兰地</t>
  </si>
  <si>
    <t>密大师</t>
  </si>
  <si>
    <t>王辉</t>
  </si>
  <si>
    <t>利⼝酒;⽩兰地;⽶酒;葡萄酒;威⼠忌;果酒;⻩酒;酒精饮料（啤酒除外）;⽩酒;鸡尾酒</t>
  </si>
  <si>
    <t>轻小楂</t>
  </si>
  <si>
    <t>孙彩国</t>
  </si>
  <si>
    <t>⽩酒;蒸馏饮料;鸡尾酒;葡萄酒;⻩酒;烧酒（烈酒）;果酒（含酒精）;酒精饮料（啤酒除外）;⽶酒;威⼠忌</t>
  </si>
  <si>
    <t>邛酒良糙</t>
  </si>
  <si>
    <t>四川省宾宴酒厂</t>
  </si>
  <si>
    <t>⽩酒;烧酒;烈酒（饮料）;蒸馏饮料;利⼝酒;开胃酒;酒精饮料（啤酒除外）;葡萄酒;果酒（含酒精）;⾷⽤酒精</t>
  </si>
  <si>
    <t>利满园</t>
  </si>
  <si>
    <t>抚松县宏旺达生物保健有限公司</t>
  </si>
  <si>
    <t>⽼酒（中国蒸馏烈酒）;⾼粱酒;果酒（含酒精）;露酒;含酒精⽔果饮料;酒精饮料（啤酒除外）;烧酒;⽩酒;⽩⼲酒（中国⽩酒）;刺五加酒</t>
  </si>
  <si>
    <t>八真堂</t>
  </si>
  <si>
    <t>伏特加酒;果酒（含酒精）;清酒（⽇本⽶酒）;葡萄酒;⻩酒;烈酒（饮料）;⽩兰地;⽩酒;汽酒;酒精饮料（啤酒除外）</t>
  </si>
  <si>
    <t>寻米记</t>
  </si>
  <si>
    <t>四川智如酒业有限公司</t>
  </si>
  <si>
    <t>⽇式甜⽶酒;清酒（⽇本⽶酒）;⽩酒;马格利酒（朝鲜传统⽶酒）;果酒（含酒精）;蒸馏饮料;酒精饮料（啤酒除外）;朝鲜族⽶酒;⽶酒;蒸馏⽶酒（泡盛酒）</t>
  </si>
  <si>
    <t>晋派</t>
  </si>
  <si>
    <t>山西杏花古作坊酒业股份有限公司</t>
  </si>
  <si>
    <t>烧酒（烈酒）;果酒（含酒精）;烈酒（饮料）;⽩⼲酒（中国⽩酒）;⾼粱酒;露酒;⽩酒;烧酒;由⾕物蒸馏的⽩酒;⽼酒（中国蒸馏烈酒）</t>
  </si>
  <si>
    <t>史料</t>
  </si>
  <si>
    <t>葡萄酒;利⼝酒;威⼠忌;⽶酒;⽩兰地;酒精饮料（啤酒除外）;果酒;⻩酒;鸡尾酒;⽩酒</t>
  </si>
  <si>
    <t>开心一课 云端酒</t>
  </si>
  <si>
    <t>深圳百链时空科技有限公司</t>
  </si>
  <si>
    <t>⻩酒;鸡尾酒;葡萄酒;⽩酒;酒精饮料（啤酒除外）;果酒（含酒精）</t>
  </si>
  <si>
    <t>贡酩山</t>
  </si>
  <si>
    <t>烈酒（饮料）;蜂蜜酒;开胃酒;⻩酒;⻘稞酒;⽩酒;鸡尾酒;清酒（⽇本⽶酒）;烧酒;威⼠忌</t>
  </si>
  <si>
    <t>九华晋</t>
  </si>
  <si>
    <t>威⼠忌;烈酒（饮料）;⽩酒;鸡尾酒;⽩兰地;葡萄酒;酒精饮料（啤酒除外）;⽶酒;果酒（含酒精）;烧酒</t>
  </si>
  <si>
    <t>沪上繁花</t>
  </si>
  <si>
    <t>贵州小玖酒白酒市场服务有限公司</t>
  </si>
  <si>
    <t>蒸馏饮料;酒精饮料（啤酒除外）;果酒（含酒精）;苦味酒;⽩酒;酒精饮料原汁;酒精饮料浓缩汁;含⽔果酒精饮料;餐后酒（利⼝酒和烈酒）;烈酒（饮料）</t>
  </si>
  <si>
    <t>方塔</t>
  </si>
  <si>
    <t>安徽古南丰实业股份有限公司</t>
  </si>
  <si>
    <t>开胃酒;⻩酒;清酒;烈酒（饮料）;汽酒;⾷⽤酒精;酒精饮料原汁;⽩酒;酒精饮料（啤酒除外）;⽶酒</t>
  </si>
  <si>
    <t>瑧爱</t>
  </si>
  <si>
    <t>湖北二月二酒业有限公司</t>
  </si>
  <si>
    <t>果酒（含酒精）;苦味酒;伏特加酒;⽩酒;⻩酒;朗姆酒;餐后酒（利⼝酒和烈酒）;葡萄酒;开胃酒;威⼠忌</t>
  </si>
  <si>
    <t>彝掌柜</t>
  </si>
  <si>
    <t>⻘梅酒;蜂蜜酒;清酒;⾼粱酒;⽶酒;⽼酒（中国蒸馏烈酒）;⽩酒;果酒;⾷⽤酒精;烧酒</t>
  </si>
  <si>
    <t>老汣房</t>
  </si>
  <si>
    <t>李陈俭</t>
  </si>
  <si>
    <t>葡萄酒;薄荷酒;⻩酒;蒸馏饮料;果酒;开胃酒;烧酒;含⽔果酒精饮料;⽩酒;威⼠忌</t>
  </si>
  <si>
    <t>楚源吉</t>
  </si>
  <si>
    <t>广东詹氏蜜蜂世家蜂业发展有限公司</t>
  </si>
  <si>
    <t>蜂蜜酒;果酒（含酒精）;⽩酒;含酒精的⽔果鸡尾酒饮料;葡萄酒;甜酒;利⼝酒;含酒精的饮料（啤酒除外）;⽔果汽酒;佐餐酒</t>
  </si>
  <si>
    <t>MATETIC ROG</t>
  </si>
  <si>
    <t>玛德帝红酒集团有限责任公司</t>
  </si>
  <si>
    <t>ROYAL WINGS</t>
  </si>
  <si>
    <t>广州市润醇酒业有限公司</t>
  </si>
  <si>
    <t>葡萄酒;⽩酒;威⼠忌;酒精饮料（啤酒除外）;烈酒;果酒（含酒精）;蒸馏饮料;鸡尾酒;⽩兰地;伏特加酒</t>
  </si>
  <si>
    <t>醉府父</t>
  </si>
  <si>
    <t>孙秋艳</t>
  </si>
  <si>
    <t>⽩酒;开胃酒;果酒;酒精饮料（啤酒除外）;利⼝酒;烧酒;清酒（⽇本⽶酒）;葡萄酒;朗姆酒;鸡尾酒</t>
  </si>
  <si>
    <t>广州午士信息科技有限公司</t>
  </si>
  <si>
    <t>烈酒（饮料）;⻩酒;含酒精的⽓泡⽔;果酒（含酒精）;清酒（⽇本⽶酒）;威⼠忌;伏特加酒;⾕物制蒸馏酒精饮料;葡萄酒;⽩酒</t>
  </si>
  <si>
    <t>八八大顺印象</t>
  </si>
  <si>
    <t>厦门皖古香泉酿酒有限公司</t>
  </si>
  <si>
    <t>⽩酒;威⼠忌;烧酒;⻩酒;果酒（含酒精）;烈酒（饮料）;清酒（⽇本⽶酒）;⽩兰地;⻘稞酒;鸡尾酒</t>
  </si>
  <si>
    <t>833</t>
  </si>
  <si>
    <t>饶伟时</t>
  </si>
  <si>
    <t>清酒（⽇本⽶酒）;酒精饮料（啤酒除外）;⽩酒;烈酒（饮料）;鸡尾酒;⻩酒;威⼠忌;葡萄酒;开胃酒;果酒（含酒精）</t>
  </si>
  <si>
    <t>李桥新</t>
  </si>
  <si>
    <t>葡萄酒;烈酒（饮料）;⻘稞酒;苦味酒;⽩酒;果酒（含酒精）;酒精饮料原汁;⽶酒;伏特加酒;烧酒</t>
  </si>
  <si>
    <t>蜀汉浪漫</t>
  </si>
  <si>
    <t>江西聚龙企业管理有限公司</t>
  </si>
  <si>
    <t>烧酒;⽩酒;⽩兰地;酒精饮料（啤酒除外）;清酒（⽇本⽶酒）;威⼠忌;⻩酒;果酒（含酒精）;葡萄酒;⽶酒</t>
  </si>
  <si>
    <t>梨乡礼贤台</t>
  </si>
  <si>
    <t>李志领</t>
  </si>
  <si>
    <t>⽩酒;开胃酒;鸡尾酒;⽶酒;⽩兰地;葡萄酒;⻩酒;烈酒（饮料）;薄荷酒;酒精饮料原汁</t>
  </si>
  <si>
    <t>沃德铭</t>
  </si>
  <si>
    <t>广东沃德新材料有限公司</t>
  </si>
  <si>
    <t>⽶酒;苦味酒;⻘稞酒;烈酒;葡萄酒;⽩酒;果酒（含酒精）;利⼝酒;鸡尾酒;苹果酒</t>
  </si>
  <si>
    <t>2860</t>
  </si>
  <si>
    <t>烈酒（饮料）;⻩酒;清酒（⽇本⽶酒）;开胃酒;果酒（含酒精）;鸡尾酒;⽩酒;酒精饮料（啤酒除外）;葡萄酒;威⼠忌</t>
  </si>
  <si>
    <t>八宝云光洞</t>
  </si>
  <si>
    <t>吴特</t>
  </si>
  <si>
    <t>烧酒（烈酒）;烧酒;米酒;烈酒;酒精饮料（啤酒除外）;酒精饮料原汁;清酒;果酒;食用酒精;白酒</t>
  </si>
  <si>
    <t>秕琊谛</t>
  </si>
  <si>
    <t>北京酒追誉贸易有限公司</t>
  </si>
  <si>
    <t>⽩酒;蒸馏饮料;果酒（含酒精）;葡萄酒;酒精饮料（啤酒除外）;含酒精的饮料（啤酒除外）;鸡尾酒;由⾕物蒸馏的⽩酒;⻩酒;⽩⼲酒（中国⽩酒）</t>
  </si>
  <si>
    <t>一代词人</t>
  </si>
  <si>
    <t>酒精饮料（啤酒除外）;苹果酒;果酒（含酒精）;开胃酒;葡萄酒;⽶酒;汽酒;⻩酒;⽩酒;酸酒（低等葡萄酒）</t>
  </si>
  <si>
    <t>洛一思达</t>
  </si>
  <si>
    <t>澳大利亚洛伊斯达有限公司</t>
  </si>
  <si>
    <t>⽩兰地;威⼠忌;⽩酒;葡萄酒;利⼝酒;鸡尾酒;开胃酒;酒精饮料（啤酒除外）;烈酒（饮料）;朗姆酒</t>
  </si>
  <si>
    <t>CHAMPFAU</t>
  </si>
  <si>
    <t>东莞市香馥餐饮管理有限公司</t>
  </si>
  <si>
    <t>鸡尾酒;威⼠忌;⽩酒;果酒（含酒精）;⽩兰地;烈酒;开胃酒;蒸馏饮料;含⽔果酒精饮料</t>
  </si>
  <si>
    <t>兴农智选</t>
  </si>
  <si>
    <t>新疆不倒翁信息科技有限公司</t>
  </si>
  <si>
    <t>果酒（含酒精）;蜂蜜酒;⽩酒;蒸馏饮料;梨酒;苹果酒;含⽔果酒精饮料;葡萄酒;樱桃酒;鸡尾酒</t>
  </si>
  <si>
    <t>翰林晟世</t>
  </si>
  <si>
    <t>四川翰林晟世广告有限责任公司</t>
  </si>
  <si>
    <t>⽩酒;果酒（含酒精）;烈酒（饮料）;利⼝酒;葡萄酒;开胃酒;蒸馏饮料;酒精饮料（啤酒除外）;烧酒;⽶酒</t>
  </si>
  <si>
    <t>ONETWOMA</t>
  </si>
  <si>
    <t>葡萄酒;蜂蜜酒;果酒（含酒精）;⽩兰地;薄荷酒;杜松⼦酒;利⼝酒;烈酒（饮料）;樱桃酒;餐后酒（利⼝酒和烈酒）</t>
  </si>
  <si>
    <t>玄音（厦门）文化传播有限公司</t>
  </si>
  <si>
    <t>果酒（含酒精）;鸡尾酒;含⽔果酒精饮料;伏特加酒;⽩酒;威⼠忌;⻩酒;清酒（⽇本⽶酒）;烧酒;葡萄酒</t>
  </si>
  <si>
    <t>至尊乐宝动力</t>
  </si>
  <si>
    <t>德国野格啤酒（中国）有限公司</t>
  </si>
  <si>
    <t>果酒;酒精饮料浓缩汁;蒸馏饮料;葡萄酒;⽶酒;⽩酒;含⽔果酒精饮料;鸡尾酒;预先混合的酒精饮料（以啤酒为主的除外）;⾷⽤酒精</t>
  </si>
  <si>
    <t>乡下聚惠</t>
  </si>
  <si>
    <t>程海洋</t>
  </si>
  <si>
    <t>威⼠忌;⽩酒;⽶酒;烧酒;葡萄酒;蒸馏饮料;鸡尾酒;⽩兰地;果酒（含酒精）;⻩酒</t>
  </si>
  <si>
    <t>悟石</t>
  </si>
  <si>
    <t>李志梅</t>
  </si>
  <si>
    <t>⽶酒;清酒;烈酒（饮料）;烧酒;⻩酒;蜂蜜酒;汽酒;果酒（含酒精）;葡萄酒;⽩酒</t>
  </si>
  <si>
    <t>清照王</t>
  </si>
  <si>
    <t>葡萄酒;开胃酒;酸酒（低等葡萄酒）;汽酒;⽶酒;⽩酒;果酒（含酒精）;苹果酒;酒精饮料（啤酒除外）;⻩酒</t>
  </si>
  <si>
    <t>百脉泉福祥和</t>
  </si>
  <si>
    <t>⽩酒;果酒（含酒精）;⻩酒;酸酒（低等葡萄酒）;汽酒;开胃酒;葡萄酒;酒精饮料（啤酒除外）;苹果酒;⽶酒</t>
  </si>
  <si>
    <t>续青春</t>
  </si>
  <si>
    <t>张淑梅</t>
  </si>
  <si>
    <t>开胃酒;果酒（含酒精）;⽩酒;红葡萄酒;汽酒;烧酒;鸡尾酒;清酒（⽇本⽶酒）;⽶酒;威⼠忌</t>
  </si>
  <si>
    <t>DO DAO</t>
  </si>
  <si>
    <t>四川小稻蛙品牌管理有限公司</t>
  </si>
  <si>
    <t>⽩酒;果酒;鸡尾酒;由⾕物蒸馏的⽩酒;葡萄酒;朗姆酒;甜酒;⽶酒;⽔果汽酒;含酒精的饮料（啤酒除外）</t>
  </si>
  <si>
    <t>劲倍健</t>
  </si>
  <si>
    <t>孙明</t>
  </si>
  <si>
    <t>烈酒（饮料）;⽶酒;汽酒;⻩酒;葡萄酒;利⼝酒;酒精饮料原汁;⽩酒;果酒（含酒精）;烧酒</t>
  </si>
  <si>
    <t>BAKSAP</t>
  </si>
  <si>
    <t>利⼝酒;朗姆酒;⽩兰地;⽩酒;果酒;露酒;果酒（含酒精）;伏特加酒;威⼠忌;葡萄酒</t>
  </si>
  <si>
    <t>玉液浔</t>
  </si>
  <si>
    <t>⻩酒;⽩酒;烈酒;葡萄酒;清酒（⽇本⽶酒）;果酒（含酒精）;鸡尾酒;酒精饮料（啤酒除外）;开胃酒;威⼠忌</t>
  </si>
  <si>
    <t>沙糖仔客栈</t>
  </si>
  <si>
    <t>姜富双</t>
  </si>
  <si>
    <t>葡萄酒;⽶酒;清酒;果酒;预调甜酒;威⼠忌;烧酒;伏特加酒;⽩兰地;⽩酒</t>
  </si>
  <si>
    <t>百脉泉泉城壹号</t>
  </si>
  <si>
    <t>果酒（含酒精）;葡萄酒;汽酒;⻩酒;苹果酒;酒精饮料（啤酒除外）;⽶酒;⽩酒;开胃酒;酸酒（低等葡萄酒）</t>
  </si>
  <si>
    <t>忠悦 BAKSAP</t>
  </si>
  <si>
    <t>果酒;果酒（含酒精）;伏特加酒;朗姆酒;葡萄酒;利⼝酒;威⼠忌;⽩兰地;⽩酒;露酒</t>
  </si>
  <si>
    <t>2251</t>
  </si>
  <si>
    <t>杨茂</t>
  </si>
  <si>
    <t>威⼠忌;⻩酒;开胃酒;葡萄酒;清酒（⽇本⽶酒）;果酒（含酒精）;鸡尾酒;酒精饮料（啤酒除外）;烈酒（饮料）;⽩酒</t>
  </si>
  <si>
    <t>晋诗紫气东来</t>
  </si>
  <si>
    <t>陈志伟</t>
  </si>
  <si>
    <t>蒸馏饮料;⽶酒;⽩酒;伏特加酒;鸡尾酒;葡萄酒;⽩兰地;⻩酒;果酒（含酒精）</t>
  </si>
  <si>
    <t>大福灵曲</t>
  </si>
  <si>
    <t>李玉福</t>
  </si>
  <si>
    <t>含酒精的⽓泡⽔;烧酒;⾕物制蒸馏酒精饮料;葡萄酒;⽩酒;餐后酒（利⼝酒和烈酒）;果酒（含酒精）;⻩酒;⾷⽤酒精;烈酒（饮料）</t>
  </si>
  <si>
    <t>知友福稻</t>
  </si>
  <si>
    <t>四川赖糟坊酒业集团有限公司</t>
  </si>
  <si>
    <t>⽶酒;⽩酒;⻩酒;⽩⼲酒（中国⽩酒）;烧酒;⻘稞酒;⾼粱酒;葡萄酒;清酒（⽇本⽶酒）;果酒</t>
  </si>
  <si>
    <t>密台龙 MITAIDRAGON</t>
  </si>
  <si>
    <t>密台酒业销售（福建省石狮市）有限公司</t>
  </si>
  <si>
    <t>烈酒;烈性⼲酒;含酒精的⽓泡⽔;含酒精的饮料（啤酒除外）;含酒精的充⽓饮料（啤酒除外）;⽩⼲酒（中国⽩酒）;⽼酒（中国蒸馏烈酒）;含酒精⽔果饮料;⽩酒;预先混合的酒精饮料（以啤酒为主的除外）</t>
  </si>
  <si>
    <t>泸特贵</t>
  </si>
  <si>
    <t>刘亚风</t>
  </si>
  <si>
    <t>酒精饮料（啤酒除外）;烧酒;⻩酒;威⼠忌;⽶酒;果酒（含酒精）;葡萄酒;烈酒（饮料）;含⽔果酒精饮料;⽩酒</t>
  </si>
  <si>
    <t>STONECRANE</t>
  </si>
  <si>
    <t>⽶酒;烈酒;⽩兰地;清酒;⽩酒;以葡萄酒为主的饮料;葡萄酒;酒精饮料（啤酒除外）;伏特加酒;威⼠忌</t>
  </si>
  <si>
    <t>滇南绿滇</t>
  </si>
  <si>
    <t>红河州绿滇园林种植绿化有限公司</t>
  </si>
  <si>
    <t>樱桃酒;鸡尾酒;酒精饮料（啤酒除外）;果酒（含酒精）;苹果酒;⽩酒;⻘稞酒;葡萄酒;⽶酒;蜂蜜酒</t>
  </si>
  <si>
    <t>酒州名珠</t>
  </si>
  <si>
    <t>彭和文</t>
  </si>
  <si>
    <t>⽩酒;清酒（⽇本⽶酒）;⽩⼲酒（中国⽩酒）;烧酒;烈酒;含⽔果酒精饮料;烈酒（饮料）;⽶酒;葡萄酒;⾼粱酒</t>
  </si>
  <si>
    <t>中面</t>
  </si>
  <si>
    <t>葡萄酒;开胃酒;果酒;鸡尾酒;朗姆酒;酒精饮料（啤酒除外）;烧酒;利⼝酒;⽩酒;清酒（⽇本⽶酒）</t>
  </si>
  <si>
    <t>妙尹</t>
  </si>
  <si>
    <t>山东冰清雪露酒业有限公司</t>
  </si>
  <si>
    <t>汽酒;⽩酒;葡萄酒;果酒（含酒精）;⻩酒;含⽔果酒精饮料;含酒精的⽔果鸡尾酒饮料;⽩兰地;蜂蜜酒;⽼酒（中国蒸馏烈酒）</t>
  </si>
  <si>
    <t>威廉十三</t>
  </si>
  <si>
    <t>李正才511224********0494</t>
  </si>
  <si>
    <t>伏特加酒;⽶酒;葡萄酒;清酒（⽇本⽶酒）;朗姆酒;果酒;鸡尾酒;⽩兰地;酒精饮料（啤酒除外）;威⼠忌</t>
  </si>
  <si>
    <t>MATIGNON</t>
  </si>
  <si>
    <t>中山市汇羽冷冻食品有限公司</t>
  </si>
  <si>
    <t>酒精饮料（啤酒除外）;葡萄酒;⽩酒;⽶酒;伏特加酒;烈酒（饮料）;⽩兰地;果酒（含酒精）;烧酒;威⼠忌</t>
  </si>
  <si>
    <t>聃神坛</t>
  </si>
  <si>
    <t>杨浩康</t>
  </si>
  <si>
    <t>果酒（含酒精）;⽩酒;果酒;薄荷酒;含酒精⽔果饮料;含酒精的⽓泡⽔;⽶酒;⻩酒;⻘稞酒;以葡萄酒为主的饮料</t>
  </si>
  <si>
    <t>御樽客</t>
  </si>
  <si>
    <t>刘会桃</t>
  </si>
  <si>
    <t>果酒;利⼝酒;烧酒;烈酒（饮料）;开胃酒;⽶酒;⽩酒;⽩兰地;蒸馏饮料;酒精饮料（啤酒除外）</t>
  </si>
  <si>
    <t>辽参经营管理（大连）集团有限公司</t>
  </si>
  <si>
    <t>红葡萄酒;烈酒;葡萄酒;威⼠忌;果酒（含酒精）;鸡尾酒;⽩酒;烧酒;⽩兰地;酒精饮料（啤酒除外）</t>
  </si>
  <si>
    <t>浮龙缘</t>
  </si>
  <si>
    <t>陈桂光</t>
  </si>
  <si>
    <t>鸡尾酒;葡萄酒;开胃酒;⽩酒;⽶酒;清酒;果酒;苹果酒;酒精饮料（啤酒除外）;樱桃酒</t>
  </si>
  <si>
    <t>云鉴溪醇</t>
  </si>
  <si>
    <t>云鉴有限公司</t>
  </si>
  <si>
    <t>开胃酒;⻩酒;朗姆酒;烧酒;伏特加酒;葡萄酒;含⽔果酒精饮料;苦味酒;⽩酒;威⼠忌</t>
  </si>
  <si>
    <t>酒久盛世河山</t>
  </si>
  <si>
    <t>北京盛世河山酒业有限公司</t>
  </si>
  <si>
    <t>葡萄酒;蜂蜜酒;⽩兰地;梨酒;酒精饮料（啤酒除外）;⽶酒;烧酒;⽩酒;汽酒;⻩酒</t>
  </si>
  <si>
    <t>LGYX 泸贡玉喜</t>
  </si>
  <si>
    <t>梁军</t>
  </si>
  <si>
    <t>蒸煮提取物（利⼝酒和烈酒）;⻩酒;葡萄酒;清酒（⽇本⽶酒）;⽶酒;烧酒;⽩酒;果酒（含酒精）;含⽔果酒精饮料;酒精饮料（啤酒除外）</t>
  </si>
  <si>
    <t>尼苏阿美</t>
  </si>
  <si>
    <t>曾帝又</t>
  </si>
  <si>
    <t>杨梅酒;⽩酒;开胃酒;果酒;烧酒;烈酒;清酒;酒精饮料（啤酒除外）;⽶酒;鸡尾酒</t>
  </si>
  <si>
    <t>百脉泉靠谱酒</t>
  </si>
  <si>
    <t>果酒（含酒精）;酸酒（低等葡萄酒）;酒精饮料（啤酒除外）;苹果酒;开胃酒;汽酒;⽩酒;⻩酒;葡萄酒;⽶酒</t>
  </si>
  <si>
    <t>玉桃寿</t>
  </si>
  <si>
    <t>河北碧泉山庄生物科技有限公司</t>
  </si>
  <si>
    <t>果酒（含酒精）;利⼝酒;酒精饮料原汁;⽩酒;伏特加酒;⻩酒;烈酒（饮料）;鸡尾酒;葡萄酒;蒸馏饮料</t>
  </si>
  <si>
    <t>塘湾醇</t>
  </si>
  <si>
    <t>何豪</t>
  </si>
  <si>
    <t>葡萄酒;⻩酒;含酒精⽔果饮料;烧酒;⽶酒;蜂蜜酒;含⽔果酒精饮料;果酒（含酒精）;⽩酒;酒精饮料（啤酒除外）</t>
  </si>
  <si>
    <t>一醉龙尊</t>
  </si>
  <si>
    <t>毛元辉</t>
  </si>
  <si>
    <t>⽩⼲酒（中国⽩酒）;⾼粱酒;⽩酒;威⼠忌;酒精饮料（啤酒除外）;樱桃酒;烈酒（饮料）;蒸馏饮料;果酒（含酒精）;梅酒</t>
  </si>
  <si>
    <t>汉口锅锅</t>
  </si>
  <si>
    <t>易芳</t>
  </si>
  <si>
    <t>鸡尾酒;威⼠忌;⽶酒;果酒（含酒精）;⽩酒;红葡萄酒;伏特加酒;烈酒（饮料）;酒精饮料（啤酒除外）;烧酒（烈酒）</t>
  </si>
  <si>
    <t>赛湖王子</t>
  </si>
  <si>
    <t>无锡君品酒业有限公司</t>
  </si>
  <si>
    <t>利⼝酒;含⽔果酒精饮料;⽩酒;开胃酒;⻩酒;⽶酒;伏特加酒;葡萄酒;鸡尾酒;果酒（含酒精）</t>
  </si>
  <si>
    <t>震宁炮</t>
  </si>
  <si>
    <t>广西祝由生物科技有限公司</t>
  </si>
  <si>
    <t>烈酒;⽶酒;⽼酒（中国蒸馏烈酒）;露酒;果酒;烧酒;⽩⼲酒（中国⽩酒）;⽩酒;⻩酒;⾼粱酒</t>
  </si>
  <si>
    <t>润庐</t>
  </si>
  <si>
    <t>浙江物选数字科技有限公司</t>
  </si>
  <si>
    <t>杏时</t>
  </si>
  <si>
    <t>杭州徕恩科技发展有限公司</t>
  </si>
  <si>
    <t>果酒（含酒精）;鸡尾酒;葡萄酒;含⽔果酒精饮料;⻩酒;⻘稞酒;烧酒;威⼠忌;⽩酒;⽶酒</t>
  </si>
  <si>
    <t>酒海丰仓</t>
  </si>
  <si>
    <t>安徽有无酒业有限公司</t>
  </si>
  <si>
    <t>⻩酒;露酒;清酒;葡萄酒;烈酒;⽩酒;⽼酒（中国蒸馏烈酒）;威⼠忌;⽶酒;⽩兰地</t>
  </si>
  <si>
    <t>贺食汇</t>
  </si>
  <si>
    <t>王春生</t>
  </si>
  <si>
    <t>果酒（含酒精）</t>
  </si>
  <si>
    <t>所聚</t>
  </si>
  <si>
    <t>昆明雅士得文化传播有限公司</t>
  </si>
  <si>
    <t>⽩酒;酒精饮料原汁;烈酒（饮料）;含⽔果酒精饮料;果酒（含酒精）;酒精饮料（啤酒除外）;蒸馏饮料;葡萄酒;预先混合的酒精饮料（以啤酒为主的除外）;⾷⽤酒精</t>
  </si>
  <si>
    <t>神岳瑰妃</t>
  </si>
  <si>
    <t>昌黎县老树藤家庭农场</t>
  </si>
  <si>
    <t>葡萄酒;⽩兰地;⽩酒;汽酒;鸡尾酒;果酒（含酒精）;烈酒（饮料）;酒精饮料（啤酒除外）;含酒精的⽓泡⽔;威⼠忌</t>
  </si>
  <si>
    <t>仙樽汉帝</t>
  </si>
  <si>
    <t>葡萄酒;⽩酒;露酒;酒精饮料（啤酒除外）;梅酒;⾼粱酒;威⼠忌;⽩兰地;⾕物制蒸馏酒精饮料;⽼酒（中国蒸馏烈酒）</t>
  </si>
  <si>
    <t>创铭坊</t>
  </si>
  <si>
    <t>贵州创铭信息工程有限公司</t>
  </si>
  <si>
    <t>已调味的蒸馏酒;烧酒（烈酒）;烈酒（饮料）;⽼酒（中国蒸馏烈酒）;烧酒;烈酒;葡萄酒;⾼粱酒;⽩酒;由⾕物蒸馏的⽩酒</t>
  </si>
  <si>
    <t>DULAAN</t>
  </si>
  <si>
    <t>宁夏图兰朵酒庄有限公司</t>
  </si>
  <si>
    <t>酒精饮料（啤酒除外）;伏特加酒;⾷⽤酒精;⽩酒;⽩兰地;威⼠忌;⽶酒;果酒;葡萄酒;鸡尾酒</t>
  </si>
  <si>
    <t>泸沙江</t>
  </si>
  <si>
    <t>保定尊裕酒业有限公司</t>
  </si>
  <si>
    <t>⽩酒;烧酒;果酒（含酒精）;葡萄酒;酒精饮料（啤酒除外）;⾷⽤酒精;开胃酒;蜂蜜酒;烈酒（饮料）;鸡尾酒</t>
  </si>
  <si>
    <t>正义兄</t>
  </si>
  <si>
    <t>湖南香香姐健康管理有限公司</t>
  </si>
  <si>
    <t>烈酒（饮料）;酒精饮料浓缩汁;果酒（含酒精）;酒精饮料原汁;梨酒;⽩酒;威⼠忌;⽩兰地;烧酒;⾕物制蒸馏酒精饮料</t>
  </si>
  <si>
    <t>盖尚坊</t>
  </si>
  <si>
    <t>盖俊涛</t>
  </si>
  <si>
    <t>⾼粱酒;烈酒;⽶酒;⽩⼲酒（中国⽩酒）;烧酒（烈酒）;葡萄酒;⽩酒;⻘稞酒;果酒;⻩酒</t>
  </si>
  <si>
    <t>大美醉井坊</t>
  </si>
  <si>
    <t>山西醉井坊酒业有限公司</t>
  </si>
  <si>
    <t>葡萄酒;含⽔果酒精饮料;利⼝酒;汽酒;⽩酒;果酒（含酒精）;蒸馏饮料;酒精饮料（啤酒除外）;⽶酒;清酒</t>
  </si>
  <si>
    <t>皇玺富邦</t>
  </si>
  <si>
    <t>⽩酒;樱桃酒;酒精饮料（啤酒除外）;威⼠忌;蒸馏饮料;梅酒;烈酒（饮料）;⽩⼲酒（中国⽩酒）;果酒（含酒精）;⾼粱酒</t>
  </si>
  <si>
    <t>禾厚美</t>
  </si>
  <si>
    <t>张山标</t>
  </si>
  <si>
    <t>葡萄酒;果酒（含酒精）;⽩酒;⻩酒;梅酒;甜酒;⽶酒;朗姆酒;清酒;伏特加酒</t>
  </si>
  <si>
    <t>李明英</t>
  </si>
  <si>
    <t>贵州省仁怀市李明英酒业销售有限公司</t>
  </si>
  <si>
    <t>果酒（含酒精）;露酒;⽩兰地;梨酒;⻩酒;⽶酒;酒精饮料原汁;葡萄酒;⽩酒;⻘稞酒</t>
  </si>
  <si>
    <t>马头竹</t>
  </si>
  <si>
    <t>湖北峰宝农业科技有限公司</t>
  </si>
  <si>
    <t>汽酒;⾷⽤酒精;烧酒;果酒（含酒精）;葡萄酒;酒精饮料（啤酒除外）;⽶酒;⻩酒;⽩酒;开胃酒</t>
  </si>
  <si>
    <t>艾善缘济</t>
  </si>
  <si>
    <t>李伟青</t>
  </si>
  <si>
    <t>葡萄酒;酒精饮料（啤酒除外）;⽶酒;清酒;鸡尾酒;蒸煮提取物（利⼝酒和烈酒）;⽩酒;⻩酒;烧酒;果酒（含酒精）</t>
  </si>
  <si>
    <t>金鹰东方</t>
  </si>
  <si>
    <t>果酒（含酒精）;鸡尾酒;蒸馏饮料;烈酒;⻩酒;⾼粱酒;葡萄酒;威⼠忌;⽩酒;⽼酒（中国蒸馏烈酒）</t>
  </si>
  <si>
    <t>千岛湖酒美天下</t>
  </si>
  <si>
    <t>杭州千岛湖牌烧酒业有限公司</t>
  </si>
  <si>
    <t>⽶酒;威⼠忌;⻩酒;薄荷酒;樱桃酒;⽩酒;葡萄酒;伏特加酒;烧酒;鸡尾酒</t>
  </si>
  <si>
    <t>北京多赢科技有限公司</t>
  </si>
  <si>
    <t>葡萄酒;含⽔果酒精饮料;⽩酒;果酒（含酒精）;酒精饮料（啤酒除外）;开胃酒;蒸馏饮料;威⼠忌;⻩酒;薄荷酒</t>
  </si>
  <si>
    <t>栾曲香</t>
  </si>
  <si>
    <t>河北吉源酒业有限公司</t>
  </si>
  <si>
    <t>⾷⽤酒精;葡萄酒;⽩酒;威⼠忌;果酒（含酒精）;⻩酒;酒精饮料（啤酒除外）;烧酒;烈酒（饮料）;鸡尾酒</t>
  </si>
  <si>
    <t>德蔬园</t>
  </si>
  <si>
    <t>宜昌德蔬园旅游开发有限公司</t>
  </si>
  <si>
    <t>⽩酒;⾕物制蒸馏酒精饮料;烈酒</t>
  </si>
  <si>
    <t>鸡尾酒;伏特加酒;⽩酒;⽩兰地;⾷⽤酒精;果酒;酒精饮料（啤酒除外）;葡萄酒;威⼠忌;⽶酒</t>
  </si>
  <si>
    <t>道秘韵衡配伍</t>
  </si>
  <si>
    <t>鹰潭市龙虎山庄旅业有限公司</t>
  </si>
  <si>
    <t>已调味的⻨芽酿制的酒精饮料（啤酒除外）;果酒（含酒精）;⽩酒;葡萄酒;酒精饮料（啤酒除外）;烈酒（饮料）;烧酒;⻩酒;⽶酒;鸡尾酒</t>
  </si>
  <si>
    <t>横圆梦</t>
  </si>
  <si>
    <t>胡海霞</t>
  </si>
  <si>
    <t>葡萄酒;果酒;酒精饮料（啤酒除外）;⻩酒;酒精饮料原汁;⽩酒;⽶酒;鸡尾酒;蒸馏饮料;⾷⽤酒精</t>
  </si>
  <si>
    <t>观释</t>
  </si>
  <si>
    <t>⽩酒;清酒（⽇本⽶酒）;汽酒;果酒（含酒精）;蒸馏饮料;⽶酒;葡萄酒;烈酒（饮料）;⾷⽤酒精;酒精饮料（啤酒除外）</t>
  </si>
  <si>
    <t>品上厨</t>
  </si>
  <si>
    <t>佛山市海天调味食品股份有限公司</t>
  </si>
  <si>
    <t>果酒（含酒精）;酒精饮料（啤酒除外）;⽩酒;葡萄酒;含⽔果酒精饮料;清酒（⽇本⽶酒）;烈酒（饮料）;⽶酒;⻩酒;⾷⽤酒精</t>
  </si>
  <si>
    <t>神岳媚瑰</t>
  </si>
  <si>
    <t>烈酒（饮料）;⽩酒;果酒（含酒精）;葡萄酒;汽酒;酒精饮料（啤酒除外）;含酒精的⽓泡⽔;⽩兰地;威⼠忌;鸡尾酒</t>
  </si>
  <si>
    <t>宝尊龙玺</t>
  </si>
  <si>
    <t>⾼粱酒;⽩酒;果酒（含酒精）;⽩⼲酒（中国⽩酒）;酒精饮料（啤酒除外）;烈酒（饮料）;蒸馏饮料;梅酒;威⼠忌;樱桃酒</t>
  </si>
  <si>
    <t>酒巴七烧坊</t>
  </si>
  <si>
    <t>杭州慧嫂食品科技发展有限公司</t>
  </si>
  <si>
    <t>果酒(含酒精);酒精饮料浓缩汁;⽩酒;⾕物制蒸馏酒精饮料;⻘稞酒;⾷⽤酒精;烧酒;⽶酒;葡萄酒;⻩酒</t>
  </si>
  <si>
    <t>塘湾五谷丰</t>
  </si>
  <si>
    <t>果酒（含酒精）;酒精饮料（啤酒除外）;葡萄酒;⽩酒;含⽔果酒精饮料;含酒精⽔果饮料;⽶酒;烧酒;蜂蜜酒;⻩酒</t>
  </si>
  <si>
    <t>滇荐</t>
  </si>
  <si>
    <t>张彩霞</t>
  </si>
  <si>
    <t>果酒（含酒精）;蒸馏饮料;酒精饮料（啤酒除外）;⽶酒;清酒;汽酒;葡萄酒;⻩酒;⽩酒;烧酒</t>
  </si>
  <si>
    <t>糯泓</t>
  </si>
  <si>
    <t>刘兰云</t>
  </si>
  <si>
    <t>⻩酒;⽶酒;⾕物制蒸馏酒精饮料</t>
  </si>
  <si>
    <t>蒙奕劲舜</t>
  </si>
  <si>
    <t>蒙阴县蒙顺王酒业有限公司</t>
  </si>
  <si>
    <t>鸡尾酒;葡萄酒;⽩酒;开胃酒;⻩酒;烧酒;酒精饮料（啤酒除外）;⽶酒;果酒（含酒精）;烈酒（饮料）</t>
  </si>
  <si>
    <t>壶山口</t>
  </si>
  <si>
    <t>陶惠梅</t>
  </si>
  <si>
    <t>⽩兰地;含⽔果酒精饮料;果酒（含酒精）;⻩酒;梨酒;烧酒;⾕物制蒸馏酒精饮料;⽶酒;葡萄酒;⽩酒</t>
  </si>
  <si>
    <t>白沙溪鉴藏院</t>
  </si>
  <si>
    <t>湖南省白沙溪茶厂股份有限公司</t>
  </si>
  <si>
    <t>苹果酒;鸡尾酒;酒精饮料（啤酒除外）;⽶酒;⽩酒;果酒（含酒精）;蒸煮提取物（利⼝酒和烈酒）;烧酒;葡萄酒;⻩酒</t>
  </si>
  <si>
    <t>遇见诗仙</t>
  </si>
  <si>
    <t>陈伟国</t>
  </si>
  <si>
    <t>⻩酒;鸡尾酒;⽩酒;酒精饮料（啤酒除外）;清酒;威⼠忌;烧酒;⽶酒;果酒（含酒精）;葡萄酒</t>
  </si>
  <si>
    <t>嵩尹伏上</t>
  </si>
  <si>
    <t>洛阳建信信息科技有限公司</t>
  </si>
  <si>
    <t>⽩酒;葡萄酒;⾷⽤酒精;⻩酒;预先混合的酒精饮料（以啤酒为主的除外）;烈酒;清酒;⽶酒;含⽔果酒精饮料;果酒（含酒精）</t>
  </si>
  <si>
    <t>上蔬甄选</t>
  </si>
  <si>
    <t>上海伊亲集团有限公司</t>
  </si>
  <si>
    <t>鸡尾酒;⽩兰地;⽩酒;烈酒（饮料）;除啤酒外的酒精饮料;⻩酒;葡萄酒;⽶酒;果酒;威⼠忌</t>
  </si>
  <si>
    <t>昌故事</t>
  </si>
  <si>
    <t>烈酒（饮料）;以葡萄酒为主的饮料;葡萄酒;⾕物制蒸馏酒精饮料;⽩酒;预先混合的酒精饮料（以啤酒为主的除外）;果酒（含酒精）;蒸馏饮料;⻩酒;烧酒</t>
  </si>
  <si>
    <t>风华李白</t>
  </si>
  <si>
    <t>鸡尾酒;⽩酒;清酒;威⼠忌;⽶酒;酒精饮料（啤酒除外）;葡萄酒;果酒（含酒精）;⻩酒;烧酒</t>
  </si>
  <si>
    <t>喜酬</t>
  </si>
  <si>
    <t>徐嘉诚</t>
  </si>
  <si>
    <t>⻘稞酒;⻩酒;⽶酒;⾼粱酒;清酒;葡萄酒;烧酒;⽩酒</t>
  </si>
  <si>
    <t>蓝华琼浆</t>
  </si>
  <si>
    <t>宿迁市洋河镇蓝华酒业有限公司</t>
  </si>
  <si>
    <t>果酒（含酒精）;蒸馏饮料;⾕物制蒸馏酒精饮料;含⽔果酒精饮料;烧酒;烈酒（饮料）;⽩酒;⽶酒;⻩酒;葡萄酒</t>
  </si>
  <si>
    <t>子午龙王坊</t>
  </si>
  <si>
    <t>宁陕县龙王真全粮酒坊</t>
  </si>
  <si>
    <t>⽩兰地;葡萄酒;由⾕物蒸馏的⽩酒;⽩酒;苦荞酒;露酒;⻩酒;苹果酒;果酒;樱桃酒</t>
  </si>
  <si>
    <t>凤粱山</t>
  </si>
  <si>
    <t>郝彩梅</t>
  </si>
  <si>
    <t>红葡萄酒;果酒;利⼝酒;烈酒（饮料）;⽩酒;含⽔果酒精饮料;蒸馏饮料;烧酒;预先混合的酒精饮料（以啤酒为主的除外）;⻩酒</t>
  </si>
  <si>
    <t>京樽客</t>
  </si>
  <si>
    <t>威⼠忌;含⽔果酒精饮料;清酒（⽇本⽶酒）;⽩酒;伏特加酒;⻩酒;葡萄酒;酒精饮料（啤酒除外）;⽶酒;果酒（含酒精）</t>
  </si>
  <si>
    <t>丁洁</t>
  </si>
  <si>
    <t>果酒（含酒精）;预先混合的酒精饮料（以啤酒为主的除外）;甜酒;⽩酒;⽼酒（中国蒸馏烈酒）;果酒;烧酒;葡萄酒;烈酒;酒精饮料（啤酒除外）</t>
  </si>
  <si>
    <t>夜航岛</t>
  </si>
  <si>
    <t>深圳市群岛精酿啤酒有限公司</t>
  </si>
  <si>
    <t>预先混合的酒精饮料（以啤酒为主的除外）;酒精饮料（啤酒除外）;已调味的⻨芽酿制的酒精饮料（啤酒除外）;含酒精的充⽓饮料（啤酒除外）;含酒精的饮料（啤酒除外）;除啤酒外的酒精饮料</t>
  </si>
  <si>
    <t>津粮臣</t>
  </si>
  <si>
    <t>利⼝酒;烈酒（饮料）;含⽔果酒精饮料;果酒;烧酒;⻩酒;预先混合的酒精饮料（以啤酒为主的除外）;红葡萄酒;⽩酒;蒸馏饮料</t>
  </si>
  <si>
    <t>桃九爷</t>
  </si>
  <si>
    <t>含⽔果酒精饮料;红葡萄酒;⽩酒;利⼝酒;果酒;预先混合的酒精饮料（以啤酒为主的除外）;蒸馏饮料;⻩酒;烈酒（饮料）;烧酒</t>
  </si>
  <si>
    <t>蓝华玉液</t>
  </si>
  <si>
    <t>⽶酒;⾕物制蒸馏酒精饮料;⽩酒;蒸馏饮料;⻩酒;含⽔果酒精饮料;烈酒（饮料）;烧酒;果酒（含酒精）;葡萄酒</t>
  </si>
  <si>
    <t>上医范蠡</t>
  </si>
  <si>
    <t>果酒（含酒精）;⽶酒;酒精饮料（啤酒除外）;烧酒;⽩酒;葡萄酒;蜂蜜酒;烈酒（饮料）;⻩酒;含⽔果酒精饮料</t>
  </si>
  <si>
    <t>PIPS MEADERY</t>
  </si>
  <si>
    <t>北京能力还行教育科技有限公司</t>
  </si>
  <si>
    <t>酒精饮料原汁;烧酒;⾷⽤酒精;开胃酒;⽩酒;汽酒;果酒（含酒精）;⽶酒;⻩酒;葡萄酒</t>
  </si>
  <si>
    <t>福小岛</t>
  </si>
  <si>
    <t>焦作市康居网络科技有限公司</t>
  </si>
  <si>
    <t>烧酒;含酒精的饮料（啤酒除外）;⽶酒;烈酒（饮料）;果酒（含酒精）;⻩酒;⽩酒;⾼粱酒;含酒精⽔果饮料;⾷⽤酒精</t>
  </si>
  <si>
    <t>深城职</t>
  </si>
  <si>
    <t>深圳城市职业学院</t>
  </si>
  <si>
    <t>果酒（含酒精）;⻘稞酒;⽩兰地;苹果酒;⽩酒;开胃酒;⽶酒;鸡尾酒;清酒（⽇本⽶酒）;⻩酒</t>
  </si>
  <si>
    <t>黔啾啾</t>
  </si>
  <si>
    <t>贵州助农联盟农业发展有限公司</t>
  </si>
  <si>
    <t>⽩兰地;蜂蜜酒;果酒（含酒精）;蒸馏饮料;⽩酒;利⼝酒;酒精饮料浓缩汁;含⽔果酒精饮料;⽶酒;鸡尾酒</t>
  </si>
  <si>
    <t>连池湾</t>
  </si>
  <si>
    <t>呐博汉姆(青岛)精酿啤酒有限公司</t>
  </si>
  <si>
    <t>烈酒（饮料）;果酒;鸡尾酒;葡萄酒;酒精饮料（啤酒除外）;⽶酒;开胃酒;⽩兰地;烧酒;⽩酒</t>
  </si>
  <si>
    <t>STEPPE &amp; WIND MEADERY</t>
  </si>
  <si>
    <t>果酒（含酒精）;⻩酒;汽酒;⽩酒;⾷⽤酒精;酒精饮料原汁;烧酒;开胃酒;葡萄酒;⽶酒</t>
  </si>
  <si>
    <t>潘俊毅</t>
  </si>
  <si>
    <t>⻩酒;⻘稞酒;⾼粱酒;⽶酒;⽩葡萄酒;红葡萄酒;果酒;葡萄酒;烧酒;⽩酒</t>
  </si>
  <si>
    <t>酒精饮料（啤酒除外）;烈酒;⽼酒（中国蒸馏烈酒）;烧酒;清酒;果酒;葡萄酒;⽶酒;⻩酒;⽩酒</t>
  </si>
  <si>
    <t>企家</t>
  </si>
  <si>
    <t>程广州</t>
  </si>
  <si>
    <t>葡萄酒;清酒;⽩兰地;威⼠忌;⻩酒;果酒;烧酒;⽩酒;开胃酒;含酒精的饮料（啤酒除外）</t>
  </si>
  <si>
    <t>泸蓬酒肆</t>
  </si>
  <si>
    <t>苏蘋</t>
  </si>
  <si>
    <t>开胃酒;蒸馏饮料;⽩酒;酒精饮料原汁;葡萄酒;⾷⽤酒精;含⽔果酒精饮料;⻩酒;果酒（含酒精）;酒精饮料（啤酒除外）</t>
  </si>
  <si>
    <t>临五三酒</t>
  </si>
  <si>
    <t>曹现娜</t>
  </si>
  <si>
    <t>果酒（含酒精）;烈酒（饮料）;酒精饮料（啤酒除外）;⻩酒;烧酒;⾷⽤酒精;⽩酒;葡萄酒;⽶酒;鸡尾酒</t>
  </si>
  <si>
    <t>FROGKING AWESOME MEADERY</t>
  </si>
  <si>
    <t>果酒（含酒精）;汽酒;⾷⽤酒精;⽩酒;烧酒;开胃酒;酒精饮料原汁;⽶酒;⻩酒;葡萄酒</t>
  </si>
  <si>
    <t>宋元拾味</t>
  </si>
  <si>
    <t>福建誉名肴食品有限责任公司</t>
  </si>
  <si>
    <t>梅酒;烧酒;⽼酒（中国蒸馏烈酒）;⻘稞酒;⽩酒;五加⽪酒（中国混合烈酒）;果酒;烈酒;⽢蔗制酒精饮料;⾼粱酒</t>
  </si>
  <si>
    <t>吴蔚坊</t>
  </si>
  <si>
    <t>吴开亮</t>
  </si>
  <si>
    <t>含⽔果酒精饮料;⽩酒;烈酒;威⼠忌;红葡萄酒;⾼粱酒;⽩兰地;⽶酒;烧酒（烈酒）;烧酒</t>
  </si>
  <si>
    <t>STANDARD MEADERY</t>
  </si>
  <si>
    <t>⻩酒;汽酒;果酒（含酒精）;烧酒;⾷⽤酒精;⽩酒;酒精饮料原汁;⽶酒;开胃酒;葡萄酒</t>
  </si>
  <si>
    <t>远望凯旋</t>
  </si>
  <si>
    <t>北京远望凯旋文体中心有限公司</t>
  </si>
  <si>
    <t>⽩⼲酒（中国⽩酒）;果酒;鸡尾酒;⻩酒;⽶酒;葡萄酒;烧酒;⻘稞酒;⽩葡萄酒;⽩酒</t>
  </si>
  <si>
    <t>金湖尧想文化旅游有限公司</t>
  </si>
  <si>
    <t>威⼠忌;⻘梅酒;果酒;清酒;葡萄酒;含酒精的充⽓饮料（啤酒除外）;伏特加酒;⽶酒;⻩酒;⽩酒</t>
  </si>
  <si>
    <t>沁鸿</t>
  </si>
  <si>
    <t>江西喜讯科技有限公司</t>
  </si>
  <si>
    <t>⻩酒;烈酒(饮料);⽩酒;⽼酒(中国蒸馏烈酒);葡萄酒;含酒精的充⽓饮料(啤酒除外);果酒(含酒精);烧酒(烈酒);开胃酒;鸡尾酒</t>
  </si>
  <si>
    <t>巅都</t>
  </si>
  <si>
    <t>西藏巅都园林绿化景观工程有限公司</t>
  </si>
  <si>
    <t>朗姆酒;伏特加酒;含⽔果酒精饮料;⾕物制蒸馏酒精饮料;预先混合的酒精饮料（以啤酒为主的除外）;⽶酒;⽢蔗制酒精饮料;烧酒;以蒸馏酒为主的开胃酒;以葡萄酒为主的饮料</t>
  </si>
  <si>
    <t>天诚久鼎</t>
  </si>
  <si>
    <t>北京天诚久鼎商贸有限公司</t>
  </si>
  <si>
    <t>鸡尾酒;葡萄酒;果酒（含酒精）;烈酒（饮料）;⽶酒;⾷⽤酒精;⽩酒;烧酒;⻩酒;开胃酒</t>
  </si>
  <si>
    <t>森必达</t>
  </si>
  <si>
    <t>江西雄山科技有限责任公司</t>
  </si>
  <si>
    <t>⾷⽤酒精;果酒（含酒精）;⽩⼲酒（中国⽩酒）;烈酒;含酒精的饮料（啤酒除外）;烧酒;⽼酒（中国蒸馏烈酒）;⽩酒;餐后酒（利⼝酒和烈酒）;蒸煮提取物（利⼝酒和烈酒）</t>
  </si>
  <si>
    <t>笑满家</t>
  </si>
  <si>
    <t>上海朴实实业有限公司</t>
  </si>
  <si>
    <t>⻘稞酒;⻩酒;烧酒;⽩酒;葡萄酒;开胃酒;⽶酒;果酒（含酒精）;鸡尾酒;薄荷酒</t>
  </si>
  <si>
    <t>真爱意酒</t>
  </si>
  <si>
    <t>深圳市东润圣贸易有限公司</t>
  </si>
  <si>
    <t>⽩酒;酒精饮料（啤酒除外）;⽶酒;含⽔果酒精饮料;⾷⽤酒精;果酒（含酒精）;葡萄酒;烧酒;⻩酒;清酒</t>
  </si>
  <si>
    <t>孝霖记 AFFECTIONATE SWEETRAIN</t>
  </si>
  <si>
    <t>湖北神霖食品科技有限公司</t>
  </si>
  <si>
    <t>威士忌;鸡尾酒;含水果酒精饮料;烈酒;清酒;果酒;蒸馏饮料;苹果酒;葡萄酒;薄荷酒</t>
  </si>
  <si>
    <t>富岭龙灵能</t>
  </si>
  <si>
    <t>浏阳高朗烈酒酿造有限公司</t>
  </si>
  <si>
    <t>果酒（含酒精）;烈酒（饮料）;伏特加酒;威士忌;清酒;酒精饮料（啤酒除外）;朗姆酒;白兰地;米酒;杜松子酒</t>
  </si>
  <si>
    <t>小红婶</t>
  </si>
  <si>
    <t>北京小红婶科技有限公司</t>
  </si>
  <si>
    <t>葡萄酒;米酒;含酒精的气泡水;开胃酒;青稞酒;黄酒;酒精饮料（啤酒除外）;以葡萄酒为主的饮料</t>
  </si>
  <si>
    <t>惠众壹叁玖</t>
  </si>
  <si>
    <t>贵州省仁怀市惠众壹叁玖科技有限公司</t>
  </si>
  <si>
    <t>米酒;白酒;果酒（含酒精）;鸡尾酒;葡萄酒;白兰地;黄酒;预先混合的酒精饮料（以啤酒为主的除外）;烧酒;含水果酒精饮料</t>
  </si>
  <si>
    <t>粮久罐罐</t>
  </si>
  <si>
    <t>田莹</t>
  </si>
  <si>
    <t>果酒（含酒精）;⽩⼲酒（中国⽩酒）;⽼酒（中国蒸馏烈酒）;烈酒（饮料）;⾷⽤酒精;蒸馏饮料;杨梅酒;蒸煮提取物（利⼝酒和烈酒）;葡萄酒;烧酒（烈酒）</t>
  </si>
  <si>
    <t>一代圣手</t>
  </si>
  <si>
    <t>广东华枝春酒业有限公司</t>
  </si>
  <si>
    <t>葡萄酒;蒸馏饮料;预调甜酒;⽶酒;含酒精⽔果饮料;果酒（含酒精）;鸡尾酒;⽩兰地;烈酒（饮料）;⽩酒</t>
  </si>
  <si>
    <t>永衡良品 FORELANCE</t>
  </si>
  <si>
    <t>河北新邦医药科技有限公司</t>
  </si>
  <si>
    <t>薄荷酒</t>
  </si>
  <si>
    <t>邱氏万佳</t>
  </si>
  <si>
    <t>邱氏万佳（北京）商贸有限公司</t>
  </si>
  <si>
    <t>鸡尾酒;烈酒（饮料）;⾕物制蒸馏酒精饮料;⻩酒;⽩酒;葡萄酒;⾷⽤酒精;果酒（含酒精）;⽶酒;⽩兰地</t>
  </si>
  <si>
    <t>牛小布</t>
  </si>
  <si>
    <t>上海牛得起食品饮料有限公司</t>
  </si>
  <si>
    <t>酒精饮料浓缩汁;⽶酒;葡萄酒;苹果酒;⻘稞酒;利⼝酒;果酒（含酒精）;⽩酒;鸡尾酒;含⽔果酒精饮料</t>
  </si>
  <si>
    <t>贵州省仁怀市传粮酒业有限公司</t>
  </si>
  <si>
    <t>⾼粱酒;果酒;酒精饮料（啤酒除外）;烈酒;葡萄酒;⽩酒;烈酒（饮料）;鸡尾酒;⽩⼲酒（中国⽩酒）;⽼酒（中国蒸馏烈酒）</t>
  </si>
  <si>
    <t>王桃炼</t>
  </si>
  <si>
    <t>汽酒;蒸馏饮料;烈酒（饮料）;清酒;酒精饮料（啤酒除外）;⽩兰地;⽼酒（中国蒸馏烈酒）;烧酒（烈酒）;葡萄酒;⽩酒</t>
  </si>
  <si>
    <t>安化县仪窖贸易有限公司</t>
  </si>
  <si>
    <t>⽩酒;果酒（含酒精）;⽶酒;甜酒;预先混合的酒精饮料（以啤酒为主的除外）;葡萄酒;由⾕物蒸馏的⽩酒;含酒精的饮料（啤酒除外）;烧酒;⻩酒</t>
  </si>
  <si>
    <t>赋钦缘</t>
  </si>
  <si>
    <t>贵州黔钦醉酒业有限公司</t>
  </si>
  <si>
    <t>⽩酒;酒精饮料（啤酒除外）;果酒（含酒精）;葡萄酒;鸡尾酒;烧酒;⻩酒;清酒;⾷⽤酒精;烈酒（饮料）</t>
  </si>
  <si>
    <t>润霸</t>
  </si>
  <si>
    <t>胡润华</t>
  </si>
  <si>
    <t>葡萄酒;酒精饮料（啤酒除外）;烈酒（饮料）;⽩酒;伏特加酒;威⼠忌;鸡尾酒;酒精饮料原汁;清酒（⽇本⽶酒）;⽶酒</t>
  </si>
  <si>
    <t>万家添紫</t>
  </si>
  <si>
    <t>韦恒会</t>
  </si>
  <si>
    <t>甜果酒;蒸馏饮料;⾕物制蒸馏酒精饮料;清酒;⽩酒;果酒（含酒精）;除啤酒外的酒精饮料;烈酒（饮料）;⻩酒;烧酒</t>
  </si>
  <si>
    <t>任炯记忆</t>
  </si>
  <si>
    <t>云阳县盘龙街道农业服务中心</t>
  </si>
  <si>
    <t>葡萄酒;酒精饮料（啤酒除外）;⻩酒;⾼粱酒;⽼酒（中国蒸馏烈酒）;烧酒（烈酒）;果酒（含酒精）;薄荷酒;开胃酒;⽩酒</t>
  </si>
  <si>
    <t>逐梦黄河</t>
  </si>
  <si>
    <t>查达桥</t>
  </si>
  <si>
    <t>露酒;⻩酒;⾼粱酒;清酒;烧酒（烈酒）;⽶酒;鸡尾酒;餐后酒（利⼝酒和烈酒）;葡萄酒;⽩酒</t>
  </si>
  <si>
    <t>鲟力源（厦门）生物科技有限公司</t>
  </si>
  <si>
    <t>葡萄酒;酒精饮料原汁;⻩酒;⾷⽤酒精;甜酒;果酒;烧酒;⽶酒;露酒;⽩酒</t>
  </si>
  <si>
    <t>澻洲汫湶酒</t>
  </si>
  <si>
    <t>倪小刚</t>
  </si>
  <si>
    <t>⽩酒;酒精饮料（啤酒除外）;果酒（含酒精）;含⽔果酒精饮料;由⾕物蒸馏的⽩酒;含酒精的饮料（啤酒除外）;⽩⼲酒（中国⽩酒）;开胃酒;葡萄酒;⽼酒（中国蒸馏烈酒）</t>
  </si>
  <si>
    <t>织凤赏</t>
  </si>
  <si>
    <t>苏州海千顺电子商务有限公司</t>
  </si>
  <si>
    <t>含酒精⽔果饮料;⽶酒;马格利酒（朝鲜传统⽶酒）;鸡尾酒;汽酒;⻩酒;果酒;苹果酒;⽩酒;预先混合的酒精饮料（以啤酒为主的除外）</t>
  </si>
  <si>
    <t>翎度</t>
  </si>
  <si>
    <t>蓝赖发</t>
  </si>
  <si>
    <t>含酒精⽔果饮料;甜酒;含酒精的充⽓饮料（啤酒除外）;⽩⼲酒（中国⽩酒）;清酒;⽶酒;⾼粱酒;⽩酒;果酒;由⾕物蒸馏的⽩酒</t>
  </si>
  <si>
    <t>孔夫缘</t>
  </si>
  <si>
    <t>龙正好</t>
  </si>
  <si>
    <t>红葡萄酒;鸡尾酒;⽩酒;果酒（含酒精）;⽶酒;汽酒;烧酒;开胃酒;清酒（⽇本⽶酒）;威⼠忌</t>
  </si>
  <si>
    <t>袁先生</t>
  </si>
  <si>
    <t>甘肃袁氏果王果业有限公司</t>
  </si>
  <si>
    <t>⽩酒;利⼝酒;含⽔果酒精饮料;开胃酒;酒精饮料（啤酒除外）;果酒（含酒精）;烧酒;⾷⽤酒精;葡萄酒;⽶酒</t>
  </si>
  <si>
    <t>昌和顺古</t>
  </si>
  <si>
    <t>四川国星酒业有限公司</t>
  </si>
  <si>
    <t>烧酒;果酒;⾼粱酒;酒精饮料（啤酒除外）;葡萄酒;⽶酒;⻩酒;⽩酒;烈酒;⽼酒（中国蒸馏烈酒）</t>
  </si>
  <si>
    <t>汾阳市三泉镇日生长酒坊有限公司</t>
  </si>
  <si>
    <t>⽩酒;⻘稞酒;伏特加酒;威⼠忌;⻩酒;由⾕物蒸馏的⽩酒;果酒;葡萄酒;朗姆酒;鸡尾酒</t>
  </si>
  <si>
    <t>烈虎潭</t>
  </si>
  <si>
    <t>开胃酒;清酒（⽇本⽶酒）;烈酒;威⼠忌;果酒（含酒精）;⻩酒;⽩酒;鸡尾酒;酒精饮料（啤酒除外）;葡萄酒</t>
  </si>
  <si>
    <t>狼溪汇富</t>
  </si>
  <si>
    <t>山东狼溪汇富产业发展有限公司</t>
  </si>
  <si>
    <t>含酒精⽔果饮料;⽩酒;烧酒;⻩酒;烈酒;果酒（含酒精）;⾼粱酒;葡萄酒;⽶酒;露酒</t>
  </si>
  <si>
    <t>李希同</t>
  </si>
  <si>
    <t>李学杰</t>
  </si>
  <si>
    <t>酒精饮料（啤酒除外）;蜂蜜酒;⽩酒;烈酒（饮料）;果酒（含酒精）;蒸馏饮料;葡萄酒;⽶酒;汽酒;⻩酒</t>
  </si>
  <si>
    <t>桃明贡</t>
  </si>
  <si>
    <t>江苏大明宫酒业有限公司</t>
  </si>
  <si>
    <t>CATAS 中热科技</t>
  </si>
  <si>
    <t>中国热带农业科学院</t>
  </si>
  <si>
    <t>烈酒（饮料）;⾷⽤酒精;含酒精⽔果饮料;酒精饮料（啤酒除外）;果酒（含酒精）;鸡尾酒;葡萄酒;⽩酒;威⼠忌;蒸馏饮料</t>
  </si>
  <si>
    <t>九龙宝酝</t>
  </si>
  <si>
    <t>中酒科技（海南）有限公司</t>
  </si>
  <si>
    <t>⽶酒;伏特加酒;烧酒;红葡萄酒;酒精饮料（啤酒除外）;鸡尾酒;⽩酒;清酒（⽇本⽶酒）;酒精饮料原汁;威⼠忌</t>
  </si>
  <si>
    <t>胡帝御台</t>
  </si>
  <si>
    <t>河南洋鹏实业发展有限公司</t>
  </si>
  <si>
    <t>烧酒;⽶酒;果酒（含酒精）;烈酒（饮料）;⽩酒;鸡尾酒;酒精饮料（啤酒除外）;葡萄酒;⽩兰地;⻩酒</t>
  </si>
  <si>
    <t>苐老大</t>
  </si>
  <si>
    <t>⽩兰地;清酒;⽩酒;果酒;葡萄酒;鸡尾酒;威⼠忌;⽶酒;烈酒;⻩酒</t>
  </si>
  <si>
    <t>北魁窖龄</t>
  </si>
  <si>
    <t>辽宁北魁生态酿酒有限公司</t>
  </si>
  <si>
    <t>鸡尾酒;葡萄酒;⽶酒;⻘稞酒;⻩酒;汽酒;酒精饮料浓缩汁;烧酒;⽩酒;果酒（含酒精）</t>
  </si>
  <si>
    <t>秘煮美</t>
  </si>
  <si>
    <t>刘秀勇</t>
  </si>
  <si>
    <t>汽酒;含⽔果酒精饮料;⽩酒;⽼酒（中国蒸馏烈酒）;果酒（含酒精）;⽶酒;⾕物制蒸馏酒精饮料;葡萄酒;鸡尾酒;⻩酒</t>
  </si>
  <si>
    <t>义乌市赤道电子科技有限公司</t>
  </si>
  <si>
    <t>果酒（含酒精）;朗姆酒;⽩酒;鸡尾酒;红葡萄酒;⾕物制蒸馏酒精饮料;⽩葡萄酒;含酒精⽔果饮料;威⼠忌;⽩兰地</t>
  </si>
  <si>
    <t>华朝福</t>
  </si>
  <si>
    <t>贵州华朝匠酒业有限公司</t>
  </si>
  <si>
    <t>由⾕物蒸馏的⽩酒;⽼酒（中国蒸馏烈酒）;⽶酒;葡萄酒;鸡尾酒;果酒（含酒精）;⽩⼲酒（中国⽩酒）;⽩酒;烈酒（饮料）;清酒（⽇本⽶酒）</t>
  </si>
  <si>
    <t>犹江翠</t>
  </si>
  <si>
    <t>赣州嘉乐酒厂有限公司</t>
  </si>
  <si>
    <t>葡萄酒;⽩酒;⽶酒;烧酒;⻩酒;酒精饮料原汁;酒精饮料（啤酒除外）;鸡尾酒;果酒（含酒精）;烈酒</t>
  </si>
  <si>
    <t>挑凰</t>
  </si>
  <si>
    <t>葡萄酒;⽶酒;⽩兰地;⾕物制蒸馏酒精饮料;⽩酒;⾷⽤酒精;果酒（含酒精）;伏特加酒;烧酒;⻩酒</t>
  </si>
  <si>
    <t>勤达丰</t>
  </si>
  <si>
    <t>贵州勤达丰农业发展有限责任公司</t>
  </si>
  <si>
    <t>开胃酒;⾕物制蒸馏酒精饮料;苹果酒;梨酒;⽶酒;果酒（含酒精）;苦味酒;酒精饮料（啤酒除外）;⽩酒;烧酒</t>
  </si>
  <si>
    <t>华胤初</t>
  </si>
  <si>
    <t>贵州省仁怀市黔坤亿酒业有限公司</t>
  </si>
  <si>
    <t>烧酒;鸡尾酒;⻘稞酒;酒精饮料（啤酒除外）;蜂蜜酒;⾕物制蒸馏酒精饮料;⻩酒;⽶酒;⽩酒;葡萄酒</t>
  </si>
  <si>
    <t>盱眙天茂贸易有限公司</t>
  </si>
  <si>
    <t>威⼠忌;⻘稞酒;清酒（⽇本⽶酒）;酒精饮料（啤酒除外）;含酒精的⽓泡⽔;葡萄酒;⽩兰地;⽶酒;伏特加酒;⽩酒</t>
  </si>
  <si>
    <t>昂可达</t>
  </si>
  <si>
    <t>怒江昂可达生物科技开发有限公司</t>
  </si>
  <si>
    <t>⻩酒;⾕物制蒸馏酒精饮料;果酒（含酒精）;蜂蜜酒;⽶酒;酒精饮料（啤酒除外）;⽩酒;葡萄酒;含⽔果酒精饮料;⾷⽤酒精</t>
  </si>
  <si>
    <t>喝给</t>
  </si>
  <si>
    <t>王红菊</t>
  </si>
  <si>
    <t>烈酒（饮料）;⽩兰地;伏特加酒;葡萄酒;果酒;⽩酒;⻩酒;含⽔果酒精饮料;含酒精的⽔果鸡尾酒饮料;烧酒（烈酒）</t>
  </si>
  <si>
    <t>犹江韵</t>
  </si>
  <si>
    <t>酒精饮料（啤酒除外）;葡萄酒;⻩酒;⽶酒;酒精饮料原汁;果酒（含酒精）;⽩酒;烧酒;烈酒;鸡尾酒</t>
  </si>
  <si>
    <t>JINYEZHICHENG</t>
  </si>
  <si>
    <t>中国烟草总公司天津市公司</t>
  </si>
  <si>
    <t>沐山元</t>
  </si>
  <si>
    <t>江西沐山食疗科技有限公司</t>
  </si>
  <si>
    <t>烈酒（饮料）;酒精饮料（啤酒除外）;烧酒;葡萄酒;⽩酒;果酒（含酒精）;鸡尾酒;⽶酒;威⼠忌;⾼粱酒</t>
  </si>
  <si>
    <t>满朝欢令</t>
  </si>
  <si>
    <t>央广优选供应链有限公司</t>
  </si>
  <si>
    <t>鸡尾酒;⽩酒;酒精饮料（啤酒除外）;烈酒（饮料）;烧酒;⻩酒;葡萄酒;⻘稞酒;⽶酒;果酒（含酒精）</t>
  </si>
  <si>
    <t>塔噻哚</t>
  </si>
  <si>
    <t>贵州彝塞避暑康养旅居农庄（个人独资）</t>
  </si>
  <si>
    <t>⾕物制蒸馏酒精饮料;蒸馏饮料;露酒;苹果酒;葡萄酒;餐后酒（利⼝酒和烈酒）;⽩酒;⽶酒;果酒（含酒精）;烈酒（饮料）</t>
  </si>
  <si>
    <t>棋妙汇</t>
  </si>
  <si>
    <t>深圳祺妙汇科技集团有限公司</t>
  </si>
  <si>
    <t>⻨芽威⼠忌;薄荷酒;鸡尾酒;⻩酒;⽩酒;蒸馏饮料;含酒精的充⽓饮料（啤酒除外）;葡萄酒;⽶酒;果酒（含酒精）</t>
  </si>
  <si>
    <t>启龙门 酒</t>
  </si>
  <si>
    <t>开胃酒;威⼠忌;⽶酒;⾼粱酒;⽩兰地;葡萄酒;烧酒;⽩酒;烈酒（饮料）;鸡尾酒</t>
  </si>
  <si>
    <t>秦始龙</t>
  </si>
  <si>
    <t>鸡尾酒;蒸馏饮料;葡萄酒;⽩兰地;含⽔果酒精饮料;蜂蜜酒;⽶酒;果酒（含酒精）;威⼠忌;⽩酒</t>
  </si>
  <si>
    <t>魅丽达乡</t>
  </si>
  <si>
    <t>齐齐哈尔魅力达乡酒业有限公司</t>
  </si>
  <si>
    <t>烈酒;⽩⼲酒（中国⽩酒）;含酒精的⽓泡⽔;露酒;果酒（含酒精）;甜酒;⽶酒;⽩酒;⽼酒（中国蒸馏烈酒）;由⾕物蒸馏的⽩酒</t>
  </si>
  <si>
    <t>蜂才</t>
  </si>
  <si>
    <t>成都六间竹文化有限公司</t>
  </si>
  <si>
    <t>烈酒（饮料）;蒸馏饮料;果酒（含酒精）;⽶酒;⽩酒;酒精饮料（啤酒除外）;威⼠忌;清酒（⽇本⽶酒）;鸡尾酒;葡萄酒</t>
  </si>
  <si>
    <t>SIR BARTON</t>
  </si>
  <si>
    <t>薄荷酒;酒精饮料（啤酒除外）;开胃酒;葡萄酒;含⽔果酒精饮料;蒸馏饮料;⻩酒;⽩酒;威⼠忌;果酒（含酒精）</t>
  </si>
  <si>
    <t>紫韵渔歌</t>
  </si>
  <si>
    <t>石嘴山市丰本（集团）发展有限公司</t>
  </si>
  <si>
    <t>威⼠忌;⽶酒;⻩酒;含酒精的饮料（啤酒除外）;烈酒;葡萄酒;⽩兰地;⽩酒;开胃酒;果酒</t>
  </si>
  <si>
    <t>赤云归</t>
  </si>
  <si>
    <t>贵州文恒酒业有限公司</t>
  </si>
  <si>
    <t>葡萄酒;酒精饮料（啤酒除外）;⽩酒;由⾕物蒸馏的⽩酒;果酒;⽶酒;烧酒;⻩酒;⾼粱酒;烈酒</t>
  </si>
  <si>
    <t>蜀国清花</t>
  </si>
  <si>
    <t>陈雪华</t>
  </si>
  <si>
    <t>清酒（⽇本⽶酒）;酒精饮料（啤酒除外）;葡萄酒;烈酒（饮料）;⻩酒;烧酒;果酒（含酒精）;鸡尾酒;⽶酒;⽩酒</t>
  </si>
  <si>
    <t>玉才</t>
  </si>
  <si>
    <t>商丘市睢阳区玉才食品厂</t>
  </si>
  <si>
    <t>⻩酒;葡萄酒;鸡尾酒;烈酒;烧酒;⽶酒;除啤酒外的酒精饮料;⾼粱酒;⽩酒;⽩⼲酒（中国⽩酒）</t>
  </si>
  <si>
    <t>听也</t>
  </si>
  <si>
    <t>于腾达</t>
  </si>
  <si>
    <t>⽩兰地;⽩酒;葡萄酒;鸡尾酒;⾷⽤酒精;⻩酒;薄荷酒;果酒（含酒精）;⽶酒;⻘稞酒</t>
  </si>
  <si>
    <t>吴二家</t>
  </si>
  <si>
    <t>黑龙江一迪食品有限公司</t>
  </si>
  <si>
    <t>鸡尾酒;葡萄酒;果酒;含酒精的饮料（啤酒除外）;清酒;露酒;烧酒;⾼粱酒;⽶酒;⽩酒</t>
  </si>
  <si>
    <t>GLIMPSE</t>
  </si>
  <si>
    <t>北京即见信息科技有限公司</t>
  </si>
  <si>
    <t>⽩酒;⾷⽤酒精;⻘稞酒;利⼝酒;果酒（含酒精）;开胃酒;烧酒;⻩酒;葡萄酒;⽶酒</t>
  </si>
  <si>
    <t>乾九尊</t>
  </si>
  <si>
    <t>欧阳晓燕</t>
  </si>
  <si>
    <t>威⼠忌;开胃酒;⽩酒;葡萄酒;果酒（含酒精）;清酒（⽇本⽶酒）;烈酒;鸡尾酒;⻩酒;酒精饮料（啤酒除外）</t>
  </si>
  <si>
    <t>俏九尊</t>
  </si>
  <si>
    <t>烈酒;鸡尾酒;开胃酒;葡萄酒;⻩酒;果酒（含酒精）;清酒（⽇本⽶酒）;⽩酒;酒精饮料（啤酒除外）;威⼠忌</t>
  </si>
  <si>
    <t>昳如峰</t>
  </si>
  <si>
    <t>贵州甜媛种养殖有限公司</t>
  </si>
  <si>
    <t>葡萄酒;⽼酒（中国蒸馏烈酒）;烈酒;⽶酒;烧酒;果酒;露酒;⾼粱酒;⽩酒;酒精饮料（啤酒除外）</t>
  </si>
  <si>
    <t>尘鞅</t>
  </si>
  <si>
    <t>贵州省仁怀市怀才酒业销售有限公司</t>
  </si>
  <si>
    <t>果酒（含酒精）;鸡尾酒;已调味的⻨芽酿制的酒精饮料（啤酒除外）;茴⾹酒（利⼝酒）;预先混合的酒精饮料（以啤酒为主的除外）;樱桃酒;清酒（⽇本⽶酒）;餐后酒（利⼝酒和烈酒）;酒精饮料浓缩汁;开胃酒</t>
  </si>
  <si>
    <t>杜小泸</t>
  </si>
  <si>
    <t>鸡尾酒;清酒（⽇本⽶酒）;果酒（含酒精）;蜂蜜酒;开胃酒;烧酒;⽩酒;⻩酒;酒精饮料（啤酒除外）;葡萄酒</t>
  </si>
  <si>
    <t>苗上吉</t>
  </si>
  <si>
    <t>贵州皓科新型材料有限公司</t>
  </si>
  <si>
    <t>⽩酒;酒精饮料（啤酒除外）;葡萄酒;清酒（⽇本⽶酒）;烧酒;果酒（含酒精）;鸡尾酒;烈酒（饮料）;⻩酒;⽶酒</t>
  </si>
  <si>
    <t>蜀刃</t>
  </si>
  <si>
    <t>汤明贵</t>
  </si>
  <si>
    <t>鸡尾酒;⽩兰地;⻘稞酒;⻩酒;⽶酒;烈酒;威⼠忌;⽩酒;烧酒;葡萄酒</t>
  </si>
  <si>
    <t>五味池</t>
  </si>
  <si>
    <t>王晓平</t>
  </si>
  <si>
    <t>葡萄酒;⽶酒;酒精饮料（啤酒除外）;鸡尾酒;⽩酒;烈酒（饮料）;果酒（含酒精）;烧酒;清酒（⽇本⽶酒）;⻩酒</t>
  </si>
  <si>
    <t>忆旧</t>
  </si>
  <si>
    <t>吴雪</t>
  </si>
  <si>
    <t>果酒（含酒精）;伏特加酒;⻘稞酒;烧酒;⽩酒;⻩酒;葡萄酒;酒精饮料（啤酒除外）;⽶酒;清酒（⽇本⽶酒）</t>
  </si>
  <si>
    <t>橙府</t>
  </si>
  <si>
    <t>鸡尾酒;威⼠忌;酒精饮料（啤酒除外）;⽶酒;⽩酒;葡萄酒;清酒（⽇本⽶酒）;蒸馏饮料;含⽔果酒精饮料;果酒</t>
  </si>
  <si>
    <t>白月东方</t>
  </si>
  <si>
    <t>黎华胜</t>
  </si>
  <si>
    <t>酒精饮料（啤酒除外）;梅酒;樱桃酒;⾼粱酒;蒸馏饮料;⽩酒;⽩⼲酒（中国⽩酒）;烈酒（饮料）;果酒（含酒精）;威⼠忌</t>
  </si>
  <si>
    <t>安上集</t>
  </si>
  <si>
    <t>黄钰宸</t>
  </si>
  <si>
    <t>果酒（含酒精）;薄荷酒;苹果酒;葡萄酒;烧酒（烈酒）;⽩酒;烧酒;⻩酒;⽩⼲酒（中国⽩酒）;⽶酒</t>
  </si>
  <si>
    <t>努尔奥巴</t>
  </si>
  <si>
    <t>薄荷酒;⽩酒;含⽔果酒精饮料;蒸馏饮料;⻩酒;酒精饮料（啤酒除外）;果酒（含酒精）;开胃酒;葡萄酒;威⼠忌</t>
  </si>
  <si>
    <t>沐龙门</t>
  </si>
  <si>
    <t>烧酒;⽩酒;开胃酒;威⼠忌;鸡尾酒;葡萄酒;⾼粱酒;烈酒（饮料）;⽩兰地;⽶酒</t>
  </si>
  <si>
    <t>中缘王子</t>
  </si>
  <si>
    <t>仁怀市剩点酒类经营部</t>
  </si>
  <si>
    <t>⾷⽤酒精;朗姆酒;清酒;⽩酒;果酒（含酒精）;威⼠忌;葡萄酒;⽩兰地;⻩酒;烈酒（饮料）</t>
  </si>
  <si>
    <t>汉臣帝</t>
  </si>
  <si>
    <t>⽶酒;蜂蜜酒;酒精饮料（啤酒除外）;鸡尾酒;⾕物制蒸馏酒精饮料;⻩酒;烧酒;⽩酒;葡萄酒;⻘稞酒</t>
  </si>
  <si>
    <t>巴溯</t>
  </si>
  <si>
    <t>⽩兰地;葡萄酒;威⼠忌;⻘稞酒;⽩酒;⽶酒;鸡尾酒;烈酒;⻩酒;烧酒</t>
  </si>
  <si>
    <t>大厚坊</t>
  </si>
  <si>
    <t>广东九嘉通讯科技有限公司</t>
  </si>
  <si>
    <t>酒精饮料（啤酒除外）;果酒;果酒（含酒精）;葡萄酒;含酒精的饮料（啤酒除外）;⾼粱酒;蒸馏⽶酒（泡盛酒）;烧酒;⽩葡萄酒;⽩酒</t>
  </si>
  <si>
    <t>塔粿哚</t>
  </si>
  <si>
    <t>果酒（含酒精）;苹果酒;葡萄酒;烈酒（饮料）;⽶酒;⽩酒;⾕物制蒸馏酒精饮料;露酒;蒸馏饮料;餐后酒（利⼝酒和烈酒）</t>
  </si>
  <si>
    <t>泽维纳</t>
  </si>
  <si>
    <t>山东福到来商贸有限公司</t>
  </si>
  <si>
    <t>⻩酒;伏特加酒;果酒（含酒精）;葡萄酒;烧酒;⽩兰地;⽶酒;梨酒;威⼠忌;⽩酒</t>
  </si>
  <si>
    <t>列子天瑞</t>
  </si>
  <si>
    <t>河南梓瑞酒业有限公司</t>
  </si>
  <si>
    <t>⽩酒;果酒（含酒精）;⻩酒;开胃酒;蒸煮提取物（利⼝酒和烈酒）;烧酒;葡萄酒;利⼝酒;蜂蜜酒;⽶酒</t>
  </si>
  <si>
    <t>唐溪久</t>
  </si>
  <si>
    <t>黄李花</t>
  </si>
  <si>
    <t>⽶酒;⻩酒;甜酒;⽼酒（中国蒸馏烈酒）;酒精饮料（啤酒除外）;清酒;⽩酒;由⾕物蒸馏的⽩酒;蒸馏饮料;蒸馏⽶酒（泡盛酒）</t>
  </si>
  <si>
    <t>巴棋良</t>
  </si>
  <si>
    <t>广西巴棋岩食品有限公司</t>
  </si>
  <si>
    <t>⽩酒;⽶酒;烈酒（饮料）;酒精饮料（啤酒除外）;含⽔果酒精饮料;⻩酒;葡萄酒;鸡尾酒;开胃酒;烧酒</t>
  </si>
  <si>
    <t>著和竹芽香</t>
  </si>
  <si>
    <t>杜金柱372324********3232</t>
  </si>
  <si>
    <t>酒精饮料（啤酒除外）;⻩酒;烈酒（饮料）;烧酒（烈酒）;⽩酒;清酒（⽇本⽶酒）;果酒（含酒精）;⽶酒;葡萄酒;含⽔果酒精饮料</t>
  </si>
  <si>
    <t>州汉乾</t>
  </si>
  <si>
    <t>梁至燕</t>
  </si>
  <si>
    <t>预先混合的酒精饮料（以啤酒为主的除外）;汽酒;蜂蜜酒;⽩兰地;含⽔果酒精饮料;葡萄酒;酒精饮料（啤酒除外）;鸡尾酒;⽩酒;威⼠忌</t>
  </si>
  <si>
    <t>天润君</t>
  </si>
  <si>
    <t>蜂蜜酒;含⽔果酒精饮料;蒸馏饮料;果酒（含酒精）;⽶酒;鸡尾酒;⽩酒;葡萄酒;威⼠忌;⽩兰地</t>
  </si>
  <si>
    <t>凤起德胜</t>
  </si>
  <si>
    <t>佛山市顺德区科德金叶贸易有限公司</t>
  </si>
  <si>
    <t>⽩酒;甜果酒;⻩酒;果酒（含酒精）;⽩⼲酒（中国⽩酒）;含⽔果酒精饮料;烈酒（饮料）;烧酒;⽼酒（中国蒸馏烈酒）;⽶酒</t>
  </si>
  <si>
    <t>寨丰山</t>
  </si>
  <si>
    <t>魏启荣</t>
  </si>
  <si>
    <t>⻩酒;⾼粱酒;餐后酒（利⼝酒和烈酒）;葡萄酒;⽩酒;杜松⼦酒;烈酒（饮料）;⾕物制蒸馏酒精饮料;⽶酒;烧酒</t>
  </si>
  <si>
    <t>核氏</t>
  </si>
  <si>
    <t>江苏喜之淼食品有限公司</t>
  </si>
  <si>
    <t>酒精饮料浓缩汁;⽩酒;葡萄酒;酒精饮料（啤酒除外）;果酒（含酒精）;⾷⽤酒精;烈酒（饮料）;⽩兰地;⻩酒;鸡尾酒</t>
  </si>
  <si>
    <t>挑龙</t>
  </si>
  <si>
    <t>蒸馏饮料;⽩兰地;⽶酒;果酒（含酒精）;含⽔果酒精饮料;威⼠忌;⽩酒;鸡尾酒;蜂蜜酒;葡萄酒</t>
  </si>
  <si>
    <t>CHANGTIE</t>
  </si>
  <si>
    <t>烧酒;烈酒;⽩酒;⽼酒（中国蒸馏烈酒）;酒精饮料（啤酒除外）;⻩酒;⽶酒;果酒;⾼粱酒;⽩⼲酒（中国⽩酒）</t>
  </si>
  <si>
    <t>宋赏</t>
  </si>
  <si>
    <t>成华区江凝宏兜商贸部</t>
  </si>
  <si>
    <t>葡萄酒;果酒;利⼝酒;含酒精的饮料（啤酒除外）;烈酒（饮料）;鸡尾酒;⽩酒;开胃酒;苹果酒;威⼠忌</t>
  </si>
  <si>
    <t>九善坊</t>
  </si>
  <si>
    <t>杨风霞</t>
  </si>
  <si>
    <t>⽩酒;清酒（⽇本⽶酒）;开胃酒;⽶酒;葡萄酒;⻩酒;酒精饮料（啤酒除外）;烈酒（饮料）;果酒（含酒精）;鸡尾酒</t>
  </si>
  <si>
    <t>巴德一品香酒坊 酒</t>
  </si>
  <si>
    <t>龙奉荞532622********1327</t>
  </si>
  <si>
    <t>酒精饮料（啤酒除外）;烧酒;⾷⽤酒精;果酒（含酒精）;清酒;⽶酒;含⽔果酒精饮料;⽩酒;⻩酒;葡萄酒</t>
  </si>
  <si>
    <t>古越青玉</t>
  </si>
  <si>
    <t>杭州只此青玉文化传播有限公司</t>
  </si>
  <si>
    <t>鸡尾酒;烈酒（饮料）;清酒（⽇本⽶酒）;威⼠忌;⽩酒;葡萄酒;酒精饮料（啤酒除外）;⽶酒;⻩酒;果酒（含酒精）</t>
  </si>
  <si>
    <t>麦肯新</t>
  </si>
  <si>
    <t>上海麦肯新网络科技有限公司</t>
  </si>
  <si>
    <t>酒精饮料（啤酒除外）;⽶酒;⾷⽤酒精;果酒（含酒精）;葡萄酒;⻘稞酒;蒸馏饮料;⽩酒;烧酒;清酒（⽇本⽶酒）</t>
  </si>
  <si>
    <t>招财冒</t>
  </si>
  <si>
    <t>谈家民</t>
  </si>
  <si>
    <t>酒精饮料原汁;含⽔果酒精饮料;烧酒;⽶酒;鸡尾酒;开胃酒;⽩酒;果酒（含酒精）;葡萄酒;烈酒（饮料）</t>
  </si>
  <si>
    <t>简筒</t>
  </si>
  <si>
    <t>李纯芳</t>
  </si>
  <si>
    <t>⽩酒;果酒;预先混合的酒精饮料（以啤酒为主的除外）;烈酒;⻩酒;鸡尾酒;葡萄酒;⽶酒;除啤酒外的酒精饮料;开胃酒</t>
  </si>
  <si>
    <t>论语著和</t>
  </si>
  <si>
    <t>烈酒（饮料）;⽩酒;果酒（含酒精）;葡萄酒;酒精饮料（啤酒除外）;含⽔果酒精饮料;清酒（⽇本⽶酒）;⻩酒;烧酒（烈酒）;⽶酒</t>
  </si>
  <si>
    <t>贵小夕</t>
  </si>
  <si>
    <t>贵州贵康农业科技有限公司</t>
  </si>
  <si>
    <t>葡萄酒;威⼠忌;⽩酒;⽶酒;以葡萄酒为主的饮料;⻩酒;果酒（含酒精）;鸡尾酒;⽩兰地;酒精饮料（啤酒除外）</t>
  </si>
  <si>
    <t>壮元鹿</t>
  </si>
  <si>
    <t>陈雪婷</t>
  </si>
  <si>
    <t>果酒（含酒精）;清酒（⽇本⽶酒）;开胃酒;烈酒;⽩酒;鸡尾酒;葡萄酒;威⼠忌;酒精饮料（啤酒除外）;⻩酒</t>
  </si>
  <si>
    <t>皖荐</t>
  </si>
  <si>
    <t>黄永红</t>
  </si>
  <si>
    <t>烧酒;汽酒;清酒;果酒（含酒精）;⻩酒;葡萄酒;蒸馏饮料;酒精饮料（啤酒除外）;⽶酒;⽩酒</t>
  </si>
  <si>
    <t>谷小北</t>
  </si>
  <si>
    <t>石家庄国信鑫达信息咨询有限公司</t>
  </si>
  <si>
    <t>鸡尾酒;⻩酒;⽶酒;汽酒;由⾕物蒸馏的⽩酒;⽩酒;烈酒;含⽔果酒精饮料;葡萄酒;果酒</t>
  </si>
  <si>
    <t>谋面</t>
  </si>
  <si>
    <t>张家港万妆园传媒有限公司</t>
  </si>
  <si>
    <t>果酒（含酒精）;酒精饮料（啤酒除外）;⽶酒;苹果酒;烧酒;葡萄酒;蜂蜜酒;烈酒（饮料）;⽩酒;⻩酒</t>
  </si>
  <si>
    <t>陈现老</t>
  </si>
  <si>
    <t>方承礼</t>
  </si>
  <si>
    <t>酒精饮料（啤酒除外）;⽩⼲酒（中国⽩酒）;烧酒;蒸煮提取物（利⼝酒和烈酒）;⻩酒;⾼粱酒;果酒;⽶酒;⽩酒;⽼酒（中国蒸馏烈酒）</t>
  </si>
  <si>
    <t>逻娑情</t>
  </si>
  <si>
    <t>成都泰达玻璃制品有限公司</t>
  </si>
  <si>
    <t>汽酒;烈酒;果酒（含酒精）;葡萄酒;威⼠忌;鸡尾酒;⽩酒;烧酒;酒精饮料（啤酒除外）;⽩兰地</t>
  </si>
  <si>
    <t>大同魏道</t>
  </si>
  <si>
    <t>大同市三晶科技有限公司</t>
  </si>
  <si>
    <t>⽩⼲酒（中国⽩酒）;⽼酒（中国蒸馏烈酒）;⽶酒;酒精饮料原汁;含⽔果酒精饮料;葡萄酒;烧酒（烈酒）;果酒（含酒精）;⽩酒;⻩酒</t>
  </si>
  <si>
    <t>薛林612330********0410</t>
  </si>
  <si>
    <t>⽩酒;⻩酒;⽶酒;烧酒;汽酒;鸡尾酒;葡萄酒;酒精饮料（啤酒除外）;朗姆酒;果酒（含酒精）</t>
  </si>
  <si>
    <t>麦小浩</t>
  </si>
  <si>
    <t>袁小燕522132********5424</t>
  </si>
  <si>
    <t>果酒（含酒精）;⾕物制蒸馏酒精饮料;含⽔果酒精饮料;⾼粱酒;⽢蔗制酒精饮料;葡萄酒;烈酒（饮料）;⽩酒;⽶酒;⽼酒（中国蒸馏烈酒）</t>
  </si>
  <si>
    <t>襄柔烧坊</t>
  </si>
  <si>
    <t>威⼠忌;⽩酒;烈酒;⻘稞酒;⽶酒;⻩酒;葡萄酒;鸡尾酒;⽩兰地;烧酒</t>
  </si>
  <si>
    <t>汉匠状元楼</t>
  </si>
  <si>
    <t>刘登凡</t>
  </si>
  <si>
    <t>⽶酒;⽼酒（中国蒸馏烈酒）;⽩酒;果酒;烈酒;鸡尾酒;⻩酒;葡萄酒;朗姆酒;烧酒（烈酒）</t>
  </si>
  <si>
    <t>凤起德匠</t>
  </si>
  <si>
    <t>⽩酒;烈酒（饮料）;甜果酒;⽩⼲酒（中国⽩酒）;烧酒;⽶酒;⻩酒;⽼酒（中国蒸馏烈酒）;含⽔果酒精饮料;果酒（含酒精）</t>
  </si>
  <si>
    <t>顺富稻</t>
  </si>
  <si>
    <t>利⼝酒;开胃酒;鸡尾酒;果酒（含酒精）;葡萄酒;烈酒;烧酒;⽩酒;⽶酒;汽酒</t>
  </si>
  <si>
    <t>敬吾生</t>
  </si>
  <si>
    <t>⽶酒;伏特加酒;果酒（含酒精）;葡萄酒;烧酒;⽩酒;⻩酒;⾷⽤酒精;⾕物制蒸馏酒精饮料;⽩兰地</t>
  </si>
  <si>
    <t>若粮</t>
  </si>
  <si>
    <t>张艳利</t>
  </si>
  <si>
    <t>清酒（⽇本⽶酒）;酒精饮料（啤酒除外）;⻩酒;烧酒;⽩酒;烈酒（饮料）;⽶酒;葡萄酒;果酒（含酒精）;鸡尾酒</t>
  </si>
  <si>
    <t>富安康</t>
  </si>
  <si>
    <t>⽩酒;果酒;威⼠忌;开胃酒;苹果酒;烈酒（饮料）;葡萄酒;含酒精的饮料（啤酒除外）;利⼝酒;鸡尾酒</t>
  </si>
  <si>
    <t>四川联合佰豪集团有限公司</t>
  </si>
  <si>
    <t>酒精饮料（啤酒除外）;⽩酒;果酒（含酒精）;鸡尾酒;烈酒;葡萄酒;威⼠忌;⽶酒;伏特加酒;⽩兰地</t>
  </si>
  <si>
    <t>桃花录</t>
  </si>
  <si>
    <t>朱雪标</t>
  </si>
  <si>
    <t>果酒;葡萄酒;⽩酒;烈酒;烧酒（烈酒）;⻩酒;酒精饮料（啤酒除外）;清酒;⾷⽤酒精;除啤酒外的酒精饮料</t>
  </si>
  <si>
    <t>双疆老</t>
  </si>
  <si>
    <t>贵州秘味坊酒业有限公司</t>
  </si>
  <si>
    <t>⾼粱酒;伏特加酒;已调味的蒸馏酒;烧酒;⽩酒;果酒;清酒;蒸煮提取物（利⼝酒和烈酒）;⻩酒;⽼酒（中国蒸馏烈酒）</t>
  </si>
  <si>
    <t>艾可蓝</t>
  </si>
  <si>
    <t>艾可蓝（上海）石油化工有限公司</t>
  </si>
  <si>
    <t>葡萄酒;果酒（含酒精）;烈酒（饮料）;酒精饮料（啤酒除外）;⻩酒;预先混合的酒精饮料（以啤酒为主的除外）;烧酒;蒸煮提取物（利⼝酒和烈酒）;⽩酒;⽶酒</t>
  </si>
  <si>
    <t>丰粮和兴</t>
  </si>
  <si>
    <t>高龙</t>
  </si>
  <si>
    <t>由⾕物蒸馏的⽩酒;⻩酒;⻘稞酒;以蒸馏酒为主的开胃酒;五加⽪酒（中国混合烈酒）;⽩⼲酒（中国⽩酒）;烧酒;天然汽酒;烈酒;⽩酒</t>
  </si>
  <si>
    <t>艾梭帝</t>
  </si>
  <si>
    <t>合肥市艾梭帝科技有限公司</t>
  </si>
  <si>
    <t>葡萄酒;⾼粱酒;⽩酒;⽶酒;⾷⽤酒精;⻩酒;烈酒;⽼酒（中国蒸馏烈酒）;⽩⼲酒（中国⽩酒）;烧酒</t>
  </si>
  <si>
    <t>昆明申业科技有限公司</t>
  </si>
  <si>
    <t>酒精饮料原汁;⽶酒;烈酒（饮料）;果酒（含酒精）;烈酒;⻩酒;⽩酒;露酒;清酒（⽇本⽶酒）;葡萄酒</t>
  </si>
  <si>
    <t>胡英俊</t>
  </si>
  <si>
    <t>胡英俊（梁山）科技有限公司</t>
  </si>
  <si>
    <t>⻩酒;鸡尾酒;⽶酒;蜂蜜酒;果酒（含酒精）;含⽔果酒精饮料;⽩酒;葡萄酒;蒸馏饮料;汽酒</t>
  </si>
  <si>
    <t>稻阳春</t>
  </si>
  <si>
    <t>胡申昊</t>
  </si>
  <si>
    <t>开胃酒;⻩酒;葡萄酒;烈酒（饮料）;酒精饮料（啤酒除外）;⽩酒;含⽔果酒精饮料;烧酒;利⼝酒;⽶酒</t>
  </si>
  <si>
    <t>龙山叙</t>
  </si>
  <si>
    <t>四川省醒狮科技集团有限公司</t>
  </si>
  <si>
    <t>烈酒（饮料）;果酒（含酒精）;酒精饮料（啤酒除外）;烧酒;朗姆酒;鸡尾酒;伏特加酒;⻩酒;威⼠忌;⽩酒</t>
  </si>
  <si>
    <t>洞庭春有百花</t>
  </si>
  <si>
    <t>湖南洞庭湖酒业有限公司</t>
  </si>
  <si>
    <t>含⽔果酒精饮料;葡萄酒;酒精饮料（啤酒除外）;⻩酒;⽼酒（中国蒸馏烈酒）;⽶酒;⽩酒;利⼝酒;汽酒;烧酒</t>
  </si>
  <si>
    <t>凤起德运</t>
  </si>
  <si>
    <t>烈酒（饮料）;⽩⼲酒（中国⽩酒）;⻩酒;⽩酒;果酒（含酒精）;含⽔果酒精饮料;⽶酒;烧酒;甜果酒;⽼酒（中国蒸馏烈酒）</t>
  </si>
  <si>
    <t>稞圉</t>
  </si>
  <si>
    <t>胡珍</t>
  </si>
  <si>
    <t>清酒（⽇本⽶酒）;⽶酒;苹果酒;葡萄酒;烧酒;⽩酒;⻩酒;含⽔果酒精饮料;烈酒（饮料）;果酒（含酒精）</t>
  </si>
  <si>
    <t>固合健</t>
  </si>
  <si>
    <t>谢帆</t>
  </si>
  <si>
    <t>开胃酒;烧酒;⻩酒;⽩酒;⾷⽤酒精;蒸馏饮料;酒精饮料（啤酒除外）;利⼝酒;⽶酒;果酒（含酒精）</t>
  </si>
  <si>
    <t>汸溪和</t>
  </si>
  <si>
    <t>山西百年青瓷老酒坊酒业有限公司</t>
  </si>
  <si>
    <t>⻩酒;含酒精⽔果饮料;⽶酒;酒精饮料（啤酒除外）;葡萄酒;果酒;烈酒;烧酒;汽酒;⽩酒</t>
  </si>
  <si>
    <t>福宝相约</t>
  </si>
  <si>
    <t>穆佳</t>
  </si>
  <si>
    <t>含⽔果酒精饮料;酒精饮料浓缩汁;⽩酒;⻩酒;除啤酒外的酒精饮料;烧酒;⽶酒;果酒;葡萄酒;烈酒</t>
  </si>
  <si>
    <t>JMQL 吉木丘林</t>
  </si>
  <si>
    <t>杭州众恒文旅发展有限公司</t>
  </si>
  <si>
    <t>葡萄酒;果酒（含酒精）;鸡尾酒;⽶酒;⻩酒;预先混合的酒精饮料（以啤酒为主的除外）;⽩酒;朗姆酒;烧酒;伏特加酒</t>
  </si>
  <si>
    <t>中谈</t>
  </si>
  <si>
    <t>⻩酒;烈酒;⽩兰地;⻘稞酒;⽶酒;烧酒;鸡尾酒;威⼠忌;⽩酒;葡萄酒</t>
  </si>
  <si>
    <t>坤得酒业</t>
  </si>
  <si>
    <t>杭州奥森维娅教育科技有限公司</t>
  </si>
  <si>
    <t>葡萄酒;汽酒;⻩酒;⽶酒;烧酒;酒精饮料（啤酒除外）;含⽔果酒精饮料;清酒;⾷⽤酒精;⻘稞酒</t>
  </si>
  <si>
    <t>瑞苗飘香</t>
  </si>
  <si>
    <t>成存梅</t>
  </si>
  <si>
    <t>⾷⽤酒精;蒸馏饮料;烈酒（饮料）;烧酒;酒精饮料（啤酒除外）;⽶酒;葡萄酒;⻩酒;果酒（含酒精）;⽩酒</t>
  </si>
  <si>
    <t>TAIJI PANDA</t>
  </si>
  <si>
    <t>太极熊猫实业有限公司</t>
  </si>
  <si>
    <t>朗姆酒;烧酒;含⽔果酒精饮料;威⼠忌;⻩酒;蜂蜜酒;⽩酒;⽶酒;鸡尾酒;葡萄酒</t>
  </si>
  <si>
    <t>奥鲁斯</t>
  </si>
  <si>
    <t>石家庄冠享电子商务有限公司</t>
  </si>
  <si>
    <t>⽶酒;⽩酒;⻩酒;红葡萄酒;果酒（含酒精）;伏特加酒;⽩兰地;酒精饮料（啤酒除外）;含⽔果酒精饮料;威⼠忌</t>
  </si>
  <si>
    <t>谷鉴粮</t>
  </si>
  <si>
    <t>果酒（含酒精）;酒精饮料原汁;⽩酒;开胃酒;⽶酒;烧酒;葡萄酒;烈酒（饮料）;含⽔果酒精饮料;⻩酒</t>
  </si>
  <si>
    <t>悦阳春</t>
  </si>
  <si>
    <t>越西县甜果儿农业开发有限公司</t>
  </si>
  <si>
    <t>果酒（含酒精）;蜂蜜酒;苦荞酒;鸡尾酒;⽩酒;葡萄酒;⽶酒;⾕物制蒸馏酒精饮料;⽩⼲酒（中国⽩酒）;⾼粱酒</t>
  </si>
  <si>
    <t>圣悟</t>
  </si>
  <si>
    <t>开胃酒;苹果酒;烈酒（饮料）;含酒精的饮料（啤酒除外）;果酒;利⼝酒;威⼠忌;鸡尾酒;葡萄酒;⽩酒</t>
  </si>
  <si>
    <t>苗申道</t>
  </si>
  <si>
    <t>贵州苗申道健康管理(集团)有限公司</t>
  </si>
  <si>
    <t>开胃酒;杨梅酒;酒精饮料（啤酒除外）;薄荷酒;葡萄酒;果酒;除啤酒外的酒精饮料;苹果酒</t>
  </si>
  <si>
    <t>铠尚</t>
  </si>
  <si>
    <t>合肥铠尚智能科技有限公司</t>
  </si>
  <si>
    <t>蒸馏饮料;鸡尾酒;威⼠忌;以葡萄酒为主的饮料;朗姆酒;⽩兰地;茴⾹酒（利⼝酒）;果酒（含酒精）;含⽔果酒精饮料;葡萄酒</t>
  </si>
  <si>
    <t>金月梅桂</t>
  </si>
  <si>
    <t>徐州淮海酒业有限公司</t>
  </si>
  <si>
    <t>⽩葡萄酒;果酒（含酒精）;鸡尾酒;酒精饮料浓缩汁;⻘梅酒;开胃酒;⽩酒;⽩兰地;梅酒;含⽔果酒精饮料</t>
  </si>
  <si>
    <t>竹小乐</t>
  </si>
  <si>
    <t>李俊萍372324********3220</t>
  </si>
  <si>
    <t>烧酒（烈酒）;酒精饮料（啤酒除外）;⽶酒;果酒（含酒精）;⽩酒;清酒（⽇本⽶酒）;烈酒（饮料）;葡萄酒;含⽔果酒精饮料;⻩酒</t>
  </si>
  <si>
    <t>清晖德运</t>
  </si>
  <si>
    <t>⽶酒;⽩⼲酒（中国⽩酒）;⽼酒（中国蒸馏烈酒）;烧酒;⻩酒;甜果酒;含⽔果酒精饮料;果酒（含酒精）;烈酒（饮料）;⽩酒</t>
  </si>
  <si>
    <t>寻龙叙</t>
  </si>
  <si>
    <t>⻩酒;酒精饮料（啤酒除外）;威⼠忌;烈酒（饮料）;伏特加酒;果酒（含酒精）;鸡尾酒;烧酒;朗姆酒;⽩酒</t>
  </si>
  <si>
    <t>OSTTE</t>
  </si>
  <si>
    <t>昆明清雾百货商行（个人独资）</t>
  </si>
  <si>
    <t>鸡尾酒;烧酒;清酒（⽇本⽶酒）;烈酒;葡萄酒;⽶酒;⻘稞酒;⽩酒;苦艾酒;酒精饮料（啤酒除外）</t>
  </si>
  <si>
    <t>瑨旺玉液</t>
  </si>
  <si>
    <t>山西瑨旺晟泰酒业有限公司</t>
  </si>
  <si>
    <t>鸡尾酒;果酒（含酒精）;葡萄酒;蜂蜜酒;以葡萄酒为主的饮料;⽶酒;⻩酒;⾷⽤酒精;⽩酒;⽩兰地</t>
  </si>
  <si>
    <t>胜泉夷水</t>
  </si>
  <si>
    <t>晏胜全</t>
  </si>
  <si>
    <t>蜂蜜酒;⾼粱酒;果酒（含酒精）;⻩酒;含酒精的饮料（啤酒除外）;由⾕物蒸馏的⽩酒;⽩⼲酒（中国⽩酒）;烧酒;⽩酒;烈酒</t>
  </si>
  <si>
    <t>三顾草庐孔明府</t>
  </si>
  <si>
    <t>张世峰</t>
  </si>
  <si>
    <t>利⼝酒;果酒;含酒精⽔果饮料;⻩酒;⽩酒;酒精饮料（啤酒除外）;葡萄酒;含⽔果酒精饮料;蒸馏饮料;烈酒</t>
  </si>
  <si>
    <t>甘小航</t>
  </si>
  <si>
    <t>甘肃省民航航空物流有限责任公司</t>
  </si>
  <si>
    <t>葡萄酒;⻘稞酒;开胃酒;鸡尾酒;⽩酒;⻩酒;⽶酒;烧酒（烈酒）;薄荷酒;蜂蜜酒</t>
  </si>
  <si>
    <t>2024/06/21</t>
  </si>
  <si>
    <t>迷途之犬</t>
  </si>
  <si>
    <t>王世明</t>
  </si>
  <si>
    <t>葡萄酒;酒精饮料原汁;烧酒;⽶酒;威⼠忌;鸡尾酒;含⽔果酒精饮料;⽩酒;烈酒（饮料）;果酒（含酒精）</t>
  </si>
  <si>
    <t>中龙安</t>
  </si>
  <si>
    <t>章老三（福建）生物科技有限公司</t>
  </si>
  <si>
    <t>烈酒（饮料）;苦味酒;开胃酒;威⼠忌;葡萄酒;蒸煮提取物（利⼝酒和烈酒）;果酒（含酒精）;清酒（⽇本⽶酒）;⻘稞酒;⻩酒</t>
  </si>
  <si>
    <t>本山龙</t>
  </si>
  <si>
    <t>安徽省古侠醉酒业集团有限公司</t>
  </si>
  <si>
    <t>果酒（含酒精）;葡萄酒;酒精饮料（啤酒除外）;⽩酒;⻩酒;⾷⽤酒精;蒸馏饮料;烈酒（饮料）;烧酒;清酒（⽇本⽶酒）</t>
  </si>
  <si>
    <t>米衡</t>
  </si>
  <si>
    <t>河北立创文化传播有限公司</t>
  </si>
  <si>
    <t>果酒（含酒精）;⻩酒;蜂蜜酒;烧酒;鸡尾酒;开胃酒;利⼝酒;酒精饮料（啤酒除外）;⽶酒;⽩酒</t>
  </si>
  <si>
    <t>义泉大叔</t>
  </si>
  <si>
    <t>安吉义泉生态农业专业合作社</t>
  </si>
  <si>
    <t>⽶酒;⽩⼲酒（中国⽩酒）;含⽔果酒精饮料;⽩酒;果酒（含酒精）;葡萄酒;开胃酒;⾕物制蒸馏酒精饮料;⻩酒;烧酒</t>
  </si>
  <si>
    <t>山里春封丁佳悦</t>
  </si>
  <si>
    <t>上海三里春酒店集团有限公司</t>
  </si>
  <si>
    <t>⽶酒;⽩酒;⾕物制蒸馏酒精饮料;苹果酒;果酒（含酒精）;露酒;葡萄酒;烈酒（饮料）;餐后酒（利⼝酒和烈酒）;蒸馏饮料</t>
  </si>
  <si>
    <t>莓妹诗</t>
  </si>
  <si>
    <t>厦门龄澜合伙企业（有限合伙）</t>
  </si>
  <si>
    <t>⽼酒（中国蒸馏烈酒）;鸡尾酒;烈酒（饮料）;果酒（含酒精）;⽩兰地;⻩酒;⽩酒;葡萄酒;威⼠忌;酒精饮料（啤酒除外）</t>
  </si>
  <si>
    <t>明门美</t>
  </si>
  <si>
    <t>遵义容洋汇酒业有限责任公司</t>
  </si>
  <si>
    <t>烈酒;⽼酒（中国蒸馏烈酒）;烧酒;⾼粱酒;葡萄酒;⽩酒;⽶酒;⻩酒;酒精饮料（啤酒除外）;果酒</t>
  </si>
  <si>
    <t>稻花香品如意</t>
  </si>
  <si>
    <t>湖北稻花香酒业股份有限公司</t>
  </si>
  <si>
    <t>果酒（含酒精）;酒精饮料原汁;酒精饮料（啤酒除外）;⽶酒;烈酒;葡萄酒;烧酒;⽩酒;开胃酒;⻩酒</t>
  </si>
  <si>
    <t>金禧台 酒</t>
  </si>
  <si>
    <t>贵州省仁怀市金禧台酒业有限公司</t>
  </si>
  <si>
    <t>⽩⼲酒（中国⽩酒）;果酒（含酒精）;⻩酒;烧酒;含酒精的饮料（啤酒除外）;烧酒（烈酒）;⽶酒;⽼酒（中国蒸馏烈酒）;烈性⼲酒;⽩酒</t>
  </si>
  <si>
    <t>润泰湿润地</t>
  </si>
  <si>
    <t>湖北省湿润地农业科技有限公司</t>
  </si>
  <si>
    <t>清酒（⽇本⽶酒）;酒精饮料（啤酒除外）;⾕物制蒸馏酒精饮料;⻩酒;⽶酒;烧酒;⽩酒;烈酒;葡萄酒;果酒（含酒精）</t>
  </si>
  <si>
    <t>蒙德索思</t>
  </si>
  <si>
    <t>索尔斯堡简易股份有限公司</t>
  </si>
  <si>
    <t>清酒（⽇本⽶酒）;含⽔果酒精饮料;葡萄酒;果酒（含酒精）;⻩酒;酒精饮料浓缩汁;利⼝酒;酒精饮料（啤酒除外）;⽩酒;烈酒（饮料）</t>
  </si>
  <si>
    <t>金汴宝</t>
  </si>
  <si>
    <t>葛守林410122********6577</t>
  </si>
  <si>
    <t>葡萄酒;苦味酒;⽩酒;果酒（含酒精）;烈酒（饮料）;餐后酒（利⼝酒和烈酒）;烧酒;⻘稞酒;酒精饮料原汁;⻩酒</t>
  </si>
  <si>
    <t>鸭喜香</t>
  </si>
  <si>
    <t>青岛帝勋洋酒有限公司</t>
  </si>
  <si>
    <t>威⼠忌;汽酒;朗姆酒;酒精饮料（啤酒除外）;伏特加酒;烈酒;葡萄酒;⽩兰地;利⼝酒;杜松⼦酒</t>
  </si>
  <si>
    <t>汴地之星</t>
  </si>
  <si>
    <t>丁铁家（412725********3518）</t>
  </si>
  <si>
    <t>开胃酒;烧酒;梨酒;⽩酒;蜂蜜酒;⻩酒;葡萄酒;果酒（含酒精）;樱桃酒;苹果酒</t>
  </si>
  <si>
    <t>徽顶大官人</t>
  </si>
  <si>
    <t>涡阳县徽顶生物科技有限责任公司</t>
  </si>
  <si>
    <t>蜂蜜酒;⻘梅酒;果酒（含酒精）;酒精饮料（啤酒除外）;⾷⽤酒精;⽩酒;⽶酒;鸡尾酒;⻩酒;露酒</t>
  </si>
  <si>
    <t>金战力</t>
  </si>
  <si>
    <t>山东佰氏特生物科技有限公司</t>
  </si>
  <si>
    <t>葡萄酒;开胃酒;⾷⽤酒精;⽩酒;黑覆盆⼦酒;烧酒;果酒（含酒精）;伏特加酒;⾕物制蒸馏酒精饮料;威⼠忌</t>
  </si>
  <si>
    <t>粮铭源</t>
  </si>
  <si>
    <t>酒精饮料（啤酒除外）;⽩酒;含酒精的饮料（啤酒除外）;果酒（含酒精）;⾼粱酒;⽼酒（中国蒸馏烈酒）;烧酒;⻩酒;⽩⼲酒（中国⽩酒）;烈酒（饮料）</t>
  </si>
  <si>
    <t>日月昌盛</t>
  </si>
  <si>
    <t>广西日月昌国际贸易有限公司</t>
  </si>
  <si>
    <t>含⽔果酒精饮料;清酒;烧酒;⽩酒;烈酒;⽩⼲酒（中国⽩酒）;⽶酒;葡萄酒;⻩酒;⾼粱酒</t>
  </si>
  <si>
    <t>孙绍铨字全太</t>
  </si>
  <si>
    <t>威⼠忌;鸡尾酒;酒精饮料（啤酒除外）;烧酒;⽶酒;烈酒;⽼酒（中国蒸馏烈酒）;⽩酒;⾼粱酒;葡萄酒</t>
  </si>
  <si>
    <t>海内梦</t>
  </si>
  <si>
    <t>刘宝林</t>
  </si>
  <si>
    <t>果酒（含酒精）;⽩兰地;烧酒;含⽔果酒精饮料;鸡尾酒;威⼠忌;⻩酒;开胃酒;⽩酒;烈酒（饮料）</t>
  </si>
  <si>
    <t>三里春封佳悦</t>
  </si>
  <si>
    <t>葡萄酒;露酒;⾕物制蒸馏酒精饮料;烈酒（饮料）;⽶酒;苹果酒;餐后酒（利⼝酒和烈酒）;果酒（含酒精）;蒸馏饮料;⽩酒</t>
  </si>
  <si>
    <t>欧地卡沐</t>
  </si>
  <si>
    <t>葡萄酒;利⼝酒;伏特加酒;⽩酒;果酒（含酒精）;果酒;⽩兰地;威⼠忌;露酒;蜂蜜酒</t>
  </si>
  <si>
    <t>庄元</t>
  </si>
  <si>
    <t>四川庄元生物科技有限责任公司</t>
  </si>
  <si>
    <t>甜果酒;⽩酒;朗姆酒;⻩酒;清酒（⽇本⽶酒）;烧酒;⽶酒;苹果酒;⻘稞酒;酸酒（低等葡萄酒）</t>
  </si>
  <si>
    <t>留耕道</t>
  </si>
  <si>
    <t>王城汇酒业（河南）有限责任公司</t>
  </si>
  <si>
    <t>烧酒;鸡尾酒;⽩酒;葡萄酒;⻩酒;开胃酒;含⽔果酒精饮料;烈酒（饮料）;⽶酒;酒精饮料（啤酒除外）</t>
  </si>
  <si>
    <t>斟万疆</t>
  </si>
  <si>
    <t>青岛尹耀春酒水有限公司</t>
  </si>
  <si>
    <t>烈酒（饮料）;⽼酒（中国蒸馏烈酒）;⽩⼲酒（中国⽩酒）;⾼粱酒;含酒精的饮料（啤酒除外）;⽩酒;酒精饮料（啤酒除外）;烧酒;⻩酒;果酒（含酒精）</t>
  </si>
  <si>
    <t>BEACONTAI</t>
  </si>
  <si>
    <t>酒精饮料（啤酒除外）;葡萄酒;烧酒;⽶酒;预先混合的酒精饮料（以啤酒为主的除外）;清酒;果酒（含酒精）;⽩酒;⻩酒;含⽔果酒精饮料</t>
  </si>
  <si>
    <t>倦与恋</t>
  </si>
  <si>
    <t>山东馨乐儿贸易有限公司</t>
  </si>
  <si>
    <t>清酒（⽇本⽶酒）;蜂蜜酒;⻘稞酒;⽩兰地;葡萄酒;果酒（含酒精）;含⽔果酒精饮料;开胃酒;鸡尾酒;⽩酒</t>
  </si>
  <si>
    <t>深小满</t>
  </si>
  <si>
    <t>常州零晨木业有限公司</t>
  </si>
  <si>
    <t>鸡尾酒;葡萄酒;⾼粱酒;烧酒;⽶酒;酒精饮料（啤酒除外）;威⼠忌;⽩酒;烈酒（饮料）;果酒（含酒精）</t>
  </si>
  <si>
    <t>宋佬祖</t>
  </si>
  <si>
    <t>⻩酒;⽩兰地;鸡尾酒;葡萄酒;烧酒;⽶酒;烈酒;威⼠忌;⽩酒;⻘稞酒</t>
  </si>
  <si>
    <t>赤宴尊</t>
  </si>
  <si>
    <t>朱强</t>
  </si>
  <si>
    <t>果酒（含酒精）;⽶酒;伏特加酒;⽩酒;梅酒;鸡尾酒;葡萄酒;果酒;威⼠忌;⻩酒</t>
  </si>
  <si>
    <t>生命凯旋</t>
  </si>
  <si>
    <t>伍锡剑</t>
  </si>
  <si>
    <t>葡萄酒;开胃酒;⽶酒;利⼝酒;⻩酒;烧酒;果酒（含酒精）;烈酒（饮料）;⽩酒;酒精饮料（啤酒除外）</t>
  </si>
  <si>
    <t>年创始王孙绍铨</t>
  </si>
  <si>
    <t>⽩酒;⽶酒;⽼酒（中国蒸馏烈酒）;烈酒;鸡尾酒;⾼粱酒;葡萄酒;威⼠忌;酒精饮料（啤酒除外）;烧酒</t>
  </si>
  <si>
    <t>紫红福禄财喜</t>
  </si>
  <si>
    <t>威⼠忌;⽩兰地;葡萄酒;⽶酒;蜂蜜酒;果酒（含酒精）;伏特加酒;鸡尾酒;⽩酒;烧酒</t>
  </si>
  <si>
    <t>笑春红</t>
  </si>
  <si>
    <t>田海双</t>
  </si>
  <si>
    <t>烧酒;果酒（含酒精）;⽶酒;⽩酒;⾕物制蒸馏酒精饮料</t>
  </si>
  <si>
    <t>山西天养元酒业有限公司</t>
  </si>
  <si>
    <t>⻩酒;开胃酒;烧酒;⽩酒;⽶酒;蒸馏饮料;酒精饮料（啤酒除外）;葡萄酒;⾷⽤酒精;果酒（含酒精）</t>
  </si>
  <si>
    <t>ZUI PAN GU</t>
  </si>
  <si>
    <t>河南醉盘古酒业有限公司</t>
  </si>
  <si>
    <t>烧酒;⻩酒;酒精饮料原汁;葡萄酒;蒸煮提取物（利⼝酒和烈酒）;⽩酒;果酒（含酒精）;⾷⽤酒精;烈酒（饮料）;⽶酒</t>
  </si>
  <si>
    <t>坦诺伊</t>
  </si>
  <si>
    <t>⽩兰地;威⼠忌;⽶酒;蜂蜜酒;酒精饮料（啤酒除外）;葡萄酒;以葡萄酒为主的饮料;⽩酒;朗姆酒;伏特加酒</t>
  </si>
  <si>
    <t>肖生华（362424********6431）</t>
  </si>
  <si>
    <t>果酒（含酒精）;葡萄酒;⽶酒;⽩酒;蒸馏饮料;⻩酒;含⽔果酒精饮料;烈酒（饮料）;酒精饮料（啤酒除外）;⾷⽤酒精</t>
  </si>
  <si>
    <t>九霖醇</t>
  </si>
  <si>
    <t>邓科峰</t>
  </si>
  <si>
    <t>果酒（含酒精）;苹果酒;⽶酒;威⼠忌;开胃酒;酒精饮料（啤酒除外）;⽩酒;鸡尾酒;烈酒（饮料）;蒸馏饮料</t>
  </si>
  <si>
    <t>潜川谷</t>
  </si>
  <si>
    <t>章洪华</t>
  </si>
  <si>
    <t>甜酒;果酒（含酒精）;⽶酒;⻩酒;果酒;⾼粱酒;葡萄酒;清酒;烧酒;⽩酒</t>
  </si>
  <si>
    <t>山里春封佳佳</t>
  </si>
  <si>
    <t>烈酒（饮料）;蒸馏饮料;⽶酒;⽩酒;葡萄酒;⾕物制蒸馏酒精饮料;餐后酒（利⼝酒和烈酒）;果酒（含酒精）;苹果酒;露酒</t>
  </si>
  <si>
    <t>候夏</t>
  </si>
  <si>
    <t>⾼粱酒;⽩酒;鸡尾酒;果酒（含酒精）;⽶酒;烧酒;葡萄酒;烈酒（饮料）;含⽔果酒精饮料;含酒精的饮料（啤酒除外）</t>
  </si>
  <si>
    <t>MONTESOURS</t>
  </si>
  <si>
    <t>果酒（含酒精）;清酒（⽇本⽶酒）;⻩酒;葡萄酒;⽩酒;含⽔果酒精饮料;利⼝酒;酒精饮料（啤酒除外）;烈酒（饮料）;酒精饮料浓缩汁</t>
  </si>
  <si>
    <t>MONTESQUIEU DE SOURS</t>
  </si>
  <si>
    <t>清酒（⽇本⽶酒）;烈酒（饮料）;⻩酒;⽩酒;利⼝酒;酒精饮料浓缩汁;葡萄酒;含⽔果酒精饮料;果酒（含酒精）;酒精饮料（啤酒除外）</t>
  </si>
  <si>
    <t>博克西姆</t>
  </si>
  <si>
    <t>博克西姆洋酒（上海）有限公司</t>
  </si>
  <si>
    <t>朗姆酒;果酒（含酒精）;蒸馏饮料;⽩酒;烈酒（饮料）;亚⼒酒;酒精饮料（啤酒除外）;预先混合的酒精饮料（以啤酒为主的除外）;⽶酒;威⼠忌</t>
  </si>
  <si>
    <t>黔菁酒业</t>
  </si>
  <si>
    <t>丽景餐饮有限公司</t>
  </si>
  <si>
    <t>⽶酒;果酒（含酒精）;鸡尾酒;⽩兰地;⽩酒;含⽔果酒精饮料;葡萄酒;⻩酒;⾷⽤酒精;酒精饮料（啤酒除外）</t>
  </si>
  <si>
    <t>高能森命</t>
  </si>
  <si>
    <t>⽩酒;开胃酒;⻘稞酒;烈酒（饮料）;⽶酒;⻩酒;果酒（含酒精）;鸡尾酒;葡萄酒;烧酒</t>
  </si>
  <si>
    <t>TAGI.</t>
  </si>
  <si>
    <t>上海塔闻贸易有限公司</t>
  </si>
  <si>
    <t>⻩酒;葡萄酒;⽩兰地;⽇本梅⼦酒;酒精饮料（啤酒除外）;鸡尾酒;威⼠忌;⽶酒;⽩酒;伏特加酒</t>
  </si>
  <si>
    <t>咸小二酒业</t>
  </si>
  <si>
    <t>兰陵有森商贸有限公司</t>
  </si>
  <si>
    <t>清酒;⽩酒;开胃酒;烧酒;烈酒（饮料）;⾷⽤酒精;果酒;汽酒;鸡尾酒;葡萄酒</t>
  </si>
  <si>
    <t>楚白春</t>
  </si>
  <si>
    <t>湖北省桃缘酒业有限公司</t>
  </si>
  <si>
    <t>果酒（含酒精）;鸡尾酒;烧酒;⻘稞酒;蜂蜜酒;⻩酒;⽩酒;⾕物制蒸馏酒精饮料;⾷⽤酒精;樱桃酒</t>
  </si>
  <si>
    <t>玺渊</t>
  </si>
  <si>
    <t>邱龙伟</t>
  </si>
  <si>
    <t>烈酒;⽩酒;清酒（⽇本⽶酒）;果酒（含酒精）;酒精饮料（啤酒除外）;⻩酒;⻘稞酒;葡萄酒;威⼠忌;开胃酒</t>
  </si>
  <si>
    <t>广西喜达婚庆服务有限公司</t>
  </si>
  <si>
    <t>葡萄酒;蒸馏饮料;⽶酒;⽩酒;汽酒;⻩酒;清酒（⽇本⽶酒）;烧酒;鸡尾酒;含⽔果酒精饮料</t>
  </si>
  <si>
    <t>汴地英雄</t>
  </si>
  <si>
    <t>果酒（含酒精）;⽩酒;葡萄酒;开胃酒;樱桃酒;⻩酒;梨酒;苹果酒;蜂蜜酒;烧酒</t>
  </si>
  <si>
    <t>苍老记忆</t>
  </si>
  <si>
    <t>史延新</t>
  </si>
  <si>
    <t>葡萄酒;威⼠忌;烧酒;果酒（含酒精）;⻩酒;⽶酒;⻘稞酒;⽩兰地;鸡尾酒;⽩酒</t>
  </si>
  <si>
    <t>越玖洲缸</t>
  </si>
  <si>
    <t>绍兴际阳酒业有限公司</t>
  </si>
  <si>
    <t>⻩酒;汽酒;果酒（含酒精）;⽶酒</t>
  </si>
  <si>
    <t>亨丽盛</t>
  </si>
  <si>
    <t>南阳市亨盛酒业有限公司</t>
  </si>
  <si>
    <t>⽩酒;葡萄酒;⽼酒（中国蒸馏烈酒）;果酒（含酒精）;⾷⽤酒精;⽶酒;鸡尾酒;⻩酒;酒精饮料（啤酒除外）;烧酒</t>
  </si>
  <si>
    <t>太瑞</t>
  </si>
  <si>
    <t>杭州千岛金久酒业有限公司</t>
  </si>
  <si>
    <t>⽩兰地;杜松⼦酒;朗姆酒;含⽔果酒精饮料;预先混合的酒精饮料（以啤酒为主的除外）;利⼝酒;汽酒;伏特加酒;威⼠忌;果酒</t>
  </si>
  <si>
    <t>妙手黔匠</t>
  </si>
  <si>
    <t>刘燕丽</t>
  </si>
  <si>
    <t>鸡尾酒;烧酒;威⼠忌;⽶酒;⽩兰地;蒸馏饮料;果酒（含酒精）;⽩酒;葡萄酒;⻩酒</t>
  </si>
  <si>
    <t>贵粮盛</t>
  </si>
  <si>
    <t>何飞</t>
  </si>
  <si>
    <t>⻩酒;葡萄酒;果酒;烈酒;鸡尾酒;⽩酒;除啤酒外的酒精饮料;清酒;⽶酒;烧酒</t>
  </si>
  <si>
    <t>养承康</t>
  </si>
  <si>
    <t>郑福娇</t>
  </si>
  <si>
    <t>葡萄酒;烈酒（饮料）;烧酒;汽酒;⽶酒;⽩酒;蜂蜜酒;⻘稞酒;开胃酒;⻩酒</t>
  </si>
  <si>
    <t>紫约</t>
  </si>
  <si>
    <t>紫约农业科技集团有限公司</t>
  </si>
  <si>
    <t>利口酒;黄酒;酒精饮料原汁;威士忌;米酒;烈酒（饮料）;白兰地;烧酒;白酒;果酒（含酒精）</t>
  </si>
  <si>
    <t>旧城仙庄</t>
  </si>
  <si>
    <t>河北雄安江石欣安科技有限公司</t>
  </si>
  <si>
    <t>白酒;混合威士忌酒;白葡萄酒;含酒精的水果鸡尾酒饮料;刺五加酒;含酒精水果饮料;露酒;桃红葡萄酒;高粱酒</t>
  </si>
  <si>
    <t>邯神青柔</t>
  </si>
  <si>
    <t>河北邯神酒业有限公司</t>
  </si>
  <si>
    <t>蒸馏饮料;含酒精⽔果饮料;鸡尾酒;葡萄酒;⻩酒;⾷⽤酒精;烈酒;利⼝酒;酒精饮料（啤酒除外）;⽩酒</t>
  </si>
  <si>
    <t>杰刻</t>
  </si>
  <si>
    <t>潍坊米悦美时品牌管理有限公司</t>
  </si>
  <si>
    <t>果酒（含酒精）;葡萄酒;利⼝酒;清酒（⽇本⽶酒）;朗姆酒;鸡尾酒;⽩兰地;杜松⼦酒;威⼠忌;伏特加酒</t>
  </si>
  <si>
    <t>帝飨春</t>
  </si>
  <si>
    <t>四川家飨醇酒业有限公司</t>
  </si>
  <si>
    <t>⾷⽤酒精;⽩酒;⽶酒;鸡尾酒;⻘稞酒;果酒（含酒精）;酒精饮料原汁;清酒（⽇本⽶酒）;威⼠忌;葡萄酒</t>
  </si>
  <si>
    <t>蒙索尔思</t>
  </si>
  <si>
    <t>清酒（⽇本⽶酒）;酒精饮料浓缩汁;⽩酒;含⽔果酒精饮料;⻩酒;果酒（含酒精）;酒精饮料（啤酒除外）;烈酒（饮料）;葡萄酒;利⼝酒</t>
  </si>
  <si>
    <t>信可董仁记</t>
  </si>
  <si>
    <t>绍兴信可贸易有限公司</t>
  </si>
  <si>
    <t>果酒（含酒精）;酒精饮料（啤酒除外）;⽶酒;清酒;烧酒;⽩兰地;烈酒（饮料）;葡萄酒;⻩酒;开胃酒</t>
  </si>
  <si>
    <t>神仙岁</t>
  </si>
  <si>
    <t>酒精饮料（啤酒除外）;⻩酒;开胃酒;烧酒;葡萄酒;利⼝酒;果酒（含酒精）;烈酒（饮料）;⽩酒;⽶酒</t>
  </si>
  <si>
    <t>贵州小金箍酒业有限公司</t>
  </si>
  <si>
    <t>鸡尾酒;清酒;葡萄酒;蜂蜜酒;酒精饮料（啤酒除外）;⽩⼲酒（中国⽩酒）;含⽔果酒精饮料;⻩酒;⽩酒;⽶酒</t>
  </si>
  <si>
    <t>秦佬祖</t>
  </si>
  <si>
    <t>鸡尾酒;⽶酒;⽩酒;烧酒;⻩酒;烈酒;⽩兰地;威⼠忌;⻘稞酒;葡萄酒</t>
  </si>
  <si>
    <t>柴旦红</t>
  </si>
  <si>
    <t>绍兴市和家园环境科技有限公司</t>
  </si>
  <si>
    <t>烧酒;⾷⽤酒精;威⼠忌;汽酒;清酒;⻩酒;鸡尾酒;⽩酒;⽶酒;红葡萄酒</t>
  </si>
  <si>
    <t>圣碧泉</t>
  </si>
  <si>
    <t>平阳县碧泉酒业加工厂</t>
  </si>
  <si>
    <t>含⽔果酒精饮料;⽼酒（中国蒸馏烈酒）;鸡尾酒;⽶酒;⽩酒;葡萄酒;烧酒;除啤酒外的酒精饮料;⻩酒;果酒（含酒精）</t>
  </si>
  <si>
    <t>江南太湖三山岛</t>
  </si>
  <si>
    <t>无锡露薇娅科技发展有限公司</t>
  </si>
  <si>
    <t>烧酒;烈酒;⽶酒;开胃酒;酒精饮料（啤酒除外）;⽩酒;⻩酒;葡萄酒;蒸煮提取物（利⼝酒和烈酒）;清酒（⽇本⽶酒）</t>
  </si>
  <si>
    <t>2024/06/22</t>
  </si>
  <si>
    <t>记园</t>
  </si>
  <si>
    <t>泉州市泉港区世可日用百货商行</t>
  </si>
  <si>
    <t>苹果酒;烈酒（饮料）;利⼝酒;鸡尾酒;威⼠忌;⽩酒;清酒;开胃酒;⻩酒;葡萄酒</t>
  </si>
  <si>
    <t>沃土青马</t>
  </si>
  <si>
    <t>胡正宇</t>
  </si>
  <si>
    <t>果酒（含酒精）;杨梅酒;烧酒;⽶酒;⽩酒;开胃酒;⻘梅酒;葡萄酒;酒精饮料（啤酒除外）;⻩酒</t>
  </si>
  <si>
    <t>果述</t>
  </si>
  <si>
    <t>张胜兵</t>
  </si>
  <si>
    <t>清酒（⽇本⽶酒）;葡萄酒;果酒;酒精饮料（啤酒除外）;⽩酒;⻩酒;烈酒（饮料）;威⼠忌;鸡尾酒;开胃酒</t>
  </si>
  <si>
    <t>ROKEDIA</t>
  </si>
  <si>
    <t>⽩兰地;起泡红葡萄酒;利⼝酒;威⼠忌;果酒（含酒精）;葡萄酒;⽶酒;伏特加酒;樱桃⽩兰地;鸡尾酒</t>
  </si>
  <si>
    <t>JACEN DEVIN</t>
  </si>
  <si>
    <t>昌邑置邦商贸有限责任公司</t>
  </si>
  <si>
    <t>威末酒;茴⾹酒;⽩兰地;威⼠忌;清酒;朗姆酒;杜松⼦酒;利⼝酒;伏特加酒;加烈葡萄酒</t>
  </si>
  <si>
    <t>宸门</t>
  </si>
  <si>
    <t>陕西宸门投资有限公司</t>
  </si>
  <si>
    <t>汽酒;苦味酒;⽢蔗制酒精饮料;朗姆酒;含酒精的⽓泡⽔;⽩酒;烧酒;⻘稞酒;朝鲜族⽶酒;⾕物制蒸馏酒精饮料</t>
  </si>
  <si>
    <t>俏班长</t>
  </si>
  <si>
    <t>李伍洲</t>
  </si>
  <si>
    <t>清酒（⽇本⽶酒）;⻩酒;开胃酒;烈酒（饮料）;⽩酒;蜂蜜酒;烧酒;⻘稞酒;威⼠忌;鸡尾酒</t>
  </si>
  <si>
    <t>樽才</t>
  </si>
  <si>
    <t>⽩酒;⻩酒;葡萄酒;果酒;威⼠忌;烈酒（饮料）;鸡尾酒;开胃酒;酒精饮料（啤酒除外）;清酒（⽇本⽶酒）</t>
  </si>
  <si>
    <t>契缘</t>
  </si>
  <si>
    <t>谢事成</t>
  </si>
  <si>
    <t>果酒;葡萄酒;烧酒;汽酒;⽩⼲酒（中国⽩酒）;酒精饮料（啤酒除外）;含酒精的⽓泡⽔;⽶酒;⻩酒;⽩酒</t>
  </si>
  <si>
    <t>君和烧坊</t>
  </si>
  <si>
    <t>河南三珍坊食品有限公司</t>
  </si>
  <si>
    <t>烈酒;露酒;含酒精的饮料（啤酒除外）;清酒;⽼酒（中国蒸馏烈酒）;⻩酒;果酒;⽩酒;烧酒;⽶酒</t>
  </si>
  <si>
    <t>谧码一号</t>
  </si>
  <si>
    <t>露酒;⻩酒;⽶酒;含酒精的饮料（啤酒除外）;梅酒;葡萄酒;果酒;佐餐酒;⽩酒;烧酒</t>
  </si>
  <si>
    <t>2024/06/24</t>
  </si>
  <si>
    <t>郑酿贵莱宾</t>
  </si>
  <si>
    <t>安徽雷池古韵电子商务有限公司</t>
  </si>
  <si>
    <t>果酒（含酒精）;烧酒;⽩酒;⻩酒;烈酒;⻘梅酒;烈酒（饮料）;⽶酒;红葡萄酒;果酒</t>
  </si>
  <si>
    <t>怪石山</t>
  </si>
  <si>
    <t>董超</t>
  </si>
  <si>
    <t>葡萄酒;酒精饮料（啤酒除外）;⽩酒;⻩酒;⾷⽤酒精;蒸馏饮料;烧酒;蒸煮提取物（利⼝酒和烈酒）;⽩兰地;果酒（含酒精）</t>
  </si>
  <si>
    <t>鹿吟年</t>
  </si>
  <si>
    <t>张永琼</t>
  </si>
  <si>
    <t>葡萄酒;威⼠忌;⽩酒;⽶酒;⻘稞酒;⻩酒;烈酒;烧酒;⽩兰地;鸡尾酒</t>
  </si>
  <si>
    <t>膳贝臣</t>
  </si>
  <si>
    <t>通化膳贝臣保健食品有限公司</t>
  </si>
  <si>
    <t>酒精饮料（啤酒除外）;鸡尾酒;⽶酒;烧酒;果酒（含酒精）;⽩酒;葡萄酒;烈酒（饮料）;蒸馏饮料;⻩酒</t>
  </si>
  <si>
    <t>潼门关</t>
  </si>
  <si>
    <t>张秀梅</t>
  </si>
  <si>
    <t>鸡尾酒;烈酒（饮料）;⻩酒;⽩酒;威⼠忌;果酒;葡萄酒;清酒（⽇本⽶酒）;开胃酒;酒精饮料（啤酒除外）</t>
  </si>
  <si>
    <t>CHATEAU TROIS COLLINES</t>
  </si>
  <si>
    <t>爱格瑞索依有限公司</t>
  </si>
  <si>
    <t>⽩兰地;杜松⼦酒;奶油利⼝酒;葡萄酒;起泡红葡萄酒;威⼠忌;朗姆酒;起泡⽩葡萄酒;⽩葡萄酒;利⼝酒</t>
  </si>
  <si>
    <t>京都大工匠</t>
  </si>
  <si>
    <t>北京皇家京都酒业有限公司</t>
  </si>
  <si>
    <t>黎芒</t>
  </si>
  <si>
    <t>侯力朝</t>
  </si>
  <si>
    <t>清酒;烧酒;葡萄汽酒;果酒（含酒精）;⽩兰地;以葡萄酒为主的饮料;薄荷酒;加⾹料的热葡萄酒;威⼠忌;鸡尾酒</t>
  </si>
  <si>
    <t>勇得泉</t>
  </si>
  <si>
    <t>毕会勇222323********4413</t>
  </si>
  <si>
    <t>开胃酒;威⼠忌;含⽔果酒精饮料;⽩兰地;烧酒;烈酒（饮料）;预先混合的酒精饮料（以啤酒为主的除外）;⻩酒;果酒（含酒精）;⽩酒</t>
  </si>
  <si>
    <t>宫良王</t>
  </si>
  <si>
    <t>张瑞强</t>
  </si>
  <si>
    <t>⽶酒;⾼粱酒;酒精饮料（啤酒除外）;清酒;烈酒;⽼酒（中国蒸馏烈酒）;威⼠忌;烧酒;⽩酒;红葡萄酒</t>
  </si>
  <si>
    <t>广东省清晨农牧科技有限公司</t>
  </si>
  <si>
    <t>⽩兰地;果酒;⽩酒;清酒;⻩酒;利⼝酒;⽶酒;葡萄酒;蜂蜜酒;鸡尾酒</t>
  </si>
  <si>
    <t>水月酙</t>
  </si>
  <si>
    <t>贵州恒坤酒业有限公司</t>
  </si>
  <si>
    <t>⽩酒;葡萄酒;⾼粱酒;酒精饮料（啤酒除外）;鸡尾酒;⽼酒（中国蒸馏烈酒）;烧酒;烈酒;⽶酒;威⼠忌</t>
  </si>
  <si>
    <t>水月瑧</t>
  </si>
  <si>
    <t>鸡尾酒;葡萄酒;酒精饮料（啤酒除外）;⽩酒;⽼酒（中国蒸馏烈酒）;⽶酒;⾼粱酒;烧酒;威⼠忌;烈酒</t>
  </si>
  <si>
    <t>LUNAR GATE 月亮门</t>
  </si>
  <si>
    <t>阜阳颍美酒业有限公司</t>
  </si>
  <si>
    <t>⽶酒;调制好的葡萄酒鸡尾酒;⽩葡萄酒;烧酒;红葡萄酒;⽩酒;酸酒（低等葡萄酒）;果酒（含酒精）;⻩酒;酒精饮料（啤酒除外）</t>
  </si>
  <si>
    <t>歆志信</t>
  </si>
  <si>
    <t>高桂程</t>
  </si>
  <si>
    <t>⽶酒;葡萄酒;含⽔果酒精饮料;清酒（⽇本⽶酒）;⻩酒;酒精饮料（啤酒除外）;烧酒;蜂蜜酒;鸡尾酒;⽩酒</t>
  </si>
  <si>
    <t>亚布都</t>
  </si>
  <si>
    <t>西藏财聚商贸有限公司</t>
  </si>
  <si>
    <t>开胃酒;葡萄酒;黄酒;含酒精的气泡水;烧酒;酒精饮料（啤酒除外）;米酒;白酒;白兰地;蜂蜜酒</t>
  </si>
  <si>
    <t>古沙</t>
  </si>
  <si>
    <t>果酒（含酒精）;⾕物制蒸馏酒精饮料;⽩酒;蒸馏饮料;⽼酒（中国蒸馏烈酒）;⾷⽤酒精;露酒;葡萄酒;酒精饮料（啤酒除外）;⻩酒</t>
  </si>
  <si>
    <t>嘻咪呔</t>
  </si>
  <si>
    <t>内蒙古嘻咪项目管理有限公司</t>
  </si>
  <si>
    <t>烧酒;酒精饮料（啤酒除外）;含⽔果酒精饮料;果酒（含酒精）;⽩酒;威⼠忌;预先混合的酒精饮料（以啤酒为主的除外）;含酒精的⽓泡⽔;⻘稞酒;⽩兰地</t>
  </si>
  <si>
    <t>鹿天祥</t>
  </si>
  <si>
    <t>葡萄酒;威⼠忌;⽩兰地;烧酒;⻩酒;⽩酒;⽶酒;鸡尾酒;⻘稞酒;烈酒</t>
  </si>
  <si>
    <t>臻发10337</t>
  </si>
  <si>
    <t>西安锦品链美业科技有限公司</t>
  </si>
  <si>
    <t>⽩酒;烧酒（烈酒）;果酒（含酒精）;蜂蜜酒;⽶酒;⽼酒（中国蒸馏烈酒）;⽩⼲酒（中国⽩酒）;⻩酒;烧酒;由⾕物蒸馏的⽩酒</t>
  </si>
  <si>
    <t>熵阙</t>
  </si>
  <si>
    <t>马利磊</t>
  </si>
  <si>
    <t>果酒（含酒精）;⻩酒;蒸馏饮料;⽩兰地;威⼠忌;⽩酒;烧酒;鸡尾酒;葡萄酒;⽶酒</t>
  </si>
  <si>
    <t>畅利</t>
  </si>
  <si>
    <t>王花</t>
  </si>
  <si>
    <t>樱桃酒;⽩酒;酒精饮料原汁;葡萄酒;⾼粱酒;梨酒;⽶酒;含⽔果酒精饮料;以葡萄酒为主的饮料;蜂蜜酒</t>
  </si>
  <si>
    <t>EVIJA</t>
  </si>
  <si>
    <t>南京四两银子严选酒业有限公司</t>
  </si>
  <si>
    <t>⽩兰地;威⼠忌;伏特加酒;朗姆酒;葡萄酒;烈酒（饮料）;果酒（含酒精）</t>
  </si>
  <si>
    <t>依北风</t>
  </si>
  <si>
    <t>保定舜展商贸有限公司</t>
  </si>
  <si>
    <t>⽩酒;烧酒;⽩兰地;鸡尾酒;朗姆酒;⻩酒;威⼠忌;酒精饮料（啤酒除外）;葡萄酒;果酒</t>
  </si>
  <si>
    <t>CALF PETER 小牛彼德</t>
  </si>
  <si>
    <t>上海牛榜样实业有限公司</t>
  </si>
  <si>
    <t>烧酒;酒精饮料（啤酒除外）;⻩酒;⽩酒;蜂蜜酒;葡萄酒;威⼠忌;果酒（含酒精）;烈酒（饮料）;⽶酒</t>
  </si>
  <si>
    <t>起麟</t>
  </si>
  <si>
    <t>贵州东沁酒业有限公司</t>
  </si>
  <si>
    <t>烈酒（饮料）;⾕物制蒸馏酒精饮料;苹果酒;⽩酒;餐后酒（利⼝酒和烈酒）;蒸馏饮料;⽶酒;葡萄酒;露酒;果酒（含酒精）</t>
  </si>
  <si>
    <t>封龙皇庭</t>
  </si>
  <si>
    <t>董士锋</t>
  </si>
  <si>
    <t>葡萄酒;威⼠忌;⽶酒;⻩酒;烈酒;⽔果汽酒;含⽔果酒精饮料;烧酒;⽩酒;果酒</t>
  </si>
  <si>
    <t>淘水听莺</t>
  </si>
  <si>
    <t>长治市上党区葛覃文化发展有限责任公司</t>
  </si>
  <si>
    <t>⾷⽤酒精;果酒（含酒精）;⽶酒;苦味酒;⽩⼲酒（中国⽩酒）;⽩酒;⾼粱酒;烧酒;⻩酒;酒精饮料（啤酒除外）</t>
  </si>
  <si>
    <t>槐之味</t>
  </si>
  <si>
    <t>李营</t>
  </si>
  <si>
    <t>利⼝酒;佐餐酒;⽼酒（中国蒸馏烈酒）;烧酒;⽩⼲酒（中国⽩酒）;果酒;葡萄酒;⽶酒;⾼粱酒;⽩酒</t>
  </si>
  <si>
    <t>创社和</t>
  </si>
  <si>
    <t>江苏创和生态农业集团有限公司</t>
  </si>
  <si>
    <t>⻩酒;葡萄酒;汽酒;⽩酒;⾷⽤酒精;⽶酒;酒精饮料（啤酒除外）;果酒（含酒精）;烧酒;烈酒</t>
  </si>
  <si>
    <t>常聚义</t>
  </si>
  <si>
    <t>贵州常聚义酒业有限公司</t>
  </si>
  <si>
    <t>烈酒（饮料）;⽩⼲酒（中国⽩酒）;⽼酒（中国蒸馏烈酒）;烈酒;葡萄酒;⾼粱酒;⽩酒;酒精饮料（啤酒除外）;果酒;鸡尾酒</t>
  </si>
  <si>
    <t>物换心仪</t>
  </si>
  <si>
    <t>青岛好易天下科技有限公司</t>
  </si>
  <si>
    <t>威⼠忌;⻩酒;除啤酒外的酒精饮料;⽩⼲酒（中国⽩酒）;⽼酒（中国蒸馏烈酒）;烧酒;葡萄酒;⻘稞酒;⽩酒;樱桃酒</t>
  </si>
  <si>
    <t>水月樽</t>
  </si>
  <si>
    <t>鸡尾酒;⾼粱酒;⽼酒（中国蒸馏烈酒）;烈酒;酒精饮料（啤酒除外）;威⼠忌;⽩酒;烧酒;⽶酒;葡萄酒</t>
  </si>
  <si>
    <t>韦金胜</t>
  </si>
  <si>
    <t>烧酒;红葡萄酒;⾼粱酒;梅酒;果酒;葡萄酒;⽶酒;⻩酒;⽩酒;开胃酒</t>
  </si>
  <si>
    <t>爱小娟</t>
  </si>
  <si>
    <t>青岛爱小娟供应链科技有限公司</t>
  </si>
  <si>
    <t>鸡尾酒;葡萄酒;⾼粱酒;烧酒;果酒;⽩葡萄酒;烧酒（烈酒）;⻩酒;⽩酒;果酒（含酒精）</t>
  </si>
  <si>
    <t>鸿运蓝途</t>
  </si>
  <si>
    <t>深圳市琦联智商贸有限公司</t>
  </si>
  <si>
    <t>鸡尾酒;蒸煮提取物（利⼝酒和烈酒）;果酒（含酒精）;开胃酒;⻩酒;⽩酒;苹果酒;⾕物制蒸馏酒精饮料;酒精饮料（啤酒除外）;葡萄酒</t>
  </si>
  <si>
    <t>卿无忧</t>
  </si>
  <si>
    <t>古进福</t>
  </si>
  <si>
    <t>⽩酒;烈酒;⽶酒;烧酒;鸡尾酒;酒精饮料（啤酒除外）;⻩酒;葡萄酒;甜酒;果酒</t>
  </si>
  <si>
    <t>澳贝美</t>
  </si>
  <si>
    <t>烈酒（饮料）;⻩酒;酒精饮料（啤酒除外）;⽶酒;烧酒;蜂蜜酒;威⼠忌;⽩酒;果酒（含酒精）;葡萄酒</t>
  </si>
  <si>
    <t>HANGTAOLEE</t>
  </si>
  <si>
    <t>成都佰佳印象餐饮管理有限公司</t>
  </si>
  <si>
    <t>薄荷酒;蒸馏饮料;酒精饮料（啤酒除外）;果酒（含酒精）;威⼠忌;⽩酒;鸡尾酒;葡萄酒;⻩酒;开胃酒</t>
  </si>
  <si>
    <t>淡雅紫陶王</t>
  </si>
  <si>
    <t>苏培磊</t>
  </si>
  <si>
    <t>果酒;烧酒;利⼝酒;酒精饮料（啤酒除外）;⻩酒;⽶酒;⽩酒;葡萄酒;⻘稞酒;蒸馏饮料</t>
  </si>
  <si>
    <t>尽善故</t>
  </si>
  <si>
    <t>山西经商有道酒业有限公司</t>
  </si>
  <si>
    <t>汽酒;⽩酒;开胃酒;蒸馏饮料;⻩酒;烈酒（饮料）;⽶酒;果酒（含酒精）;烧酒;利⼝酒</t>
  </si>
  <si>
    <t>星月归</t>
  </si>
  <si>
    <t>成都鼎晟坊商贸有限公司</t>
  </si>
  <si>
    <t>蜂蜜酒;含⽔果酒精饮料;⾕物制蒸馏酒精饮料;⽶酒;以葡萄酒为主的饮料;蒸馏饮料;果酒（含酒精）;开胃酒;⽢蔗制酒精饮料;酒精饮料（啤酒除外）</t>
  </si>
  <si>
    <t>郝国斌</t>
  </si>
  <si>
    <t>⻩酒;威⼠忌;⽶酒;⽩酒;酒精饮料（啤酒除外）;烧酒;葡萄酒;果酒（含酒精）;酒精饮料原汁;⾷⽤酒精</t>
  </si>
  <si>
    <t>昌祥钰权</t>
  </si>
  <si>
    <t>神农架林区昌祥玉泉养殖有限公司</t>
  </si>
  <si>
    <t>果酒（含酒精）;⽶酒;⾷⽤酒精;清酒;蒸煮提取物（利⼝酒和烈酒）;⻩酒;开胃酒;葡萄酒;烧酒;蜂蜜酒</t>
  </si>
  <si>
    <t>知天府</t>
  </si>
  <si>
    <t>彭州市景弘农业开发有限公司</t>
  </si>
  <si>
    <t>鸡尾酒;葡萄酒;天然汽酒;⾼粱酒;果酒;⽩酒;含酒精的饮料（啤酒除外）;威末酒;烈酒浓缩汁;甜酒</t>
  </si>
  <si>
    <t>吉林华润和善堂人参有限公司</t>
  </si>
  <si>
    <t>酒精饮料（啤酒除外）;⾷⽤酒精;果酒（含酒精）;烈酒（饮料）;⽩酒;含⽔果酒精饮料;烧酒;葡萄酒;酒精饮料原汁;酒精饮料浓缩汁</t>
  </si>
  <si>
    <t>谷村家</t>
  </si>
  <si>
    <t>李佳</t>
  </si>
  <si>
    <t>开胃酒;鸡尾酒;⾕物制蒸馏酒精饮料;果酒（含酒精）;⻩酒;⽶酒;汽酒;葡萄酒;烧酒;⽩酒</t>
  </si>
  <si>
    <t>九卜</t>
  </si>
  <si>
    <t>广州九卜数字科技股份有限公司</t>
  </si>
  <si>
    <t>⽶酒;果酒（含酒精）;鸡尾酒;烧酒;酒精饮料（啤酒除外）;酒精饮料原汁;葡萄酒;⽩酒;汽酒;⻩酒</t>
  </si>
  <si>
    <t>蔬太公</t>
  </si>
  <si>
    <t>陕西菜篮子生鲜农业开发有限公司</t>
  </si>
  <si>
    <t>果酒（含酒精）;烧酒;酒精饮料原汁;⽩酒;⽩兰地;酒精饮料（啤酒除外）;烈酒（饮料）;清酒（⽇本⽶酒）;⽶酒;葡萄酒</t>
  </si>
  <si>
    <t>桂月茗</t>
  </si>
  <si>
    <t>深圳桂月茗科技文化有限公司</t>
  </si>
  <si>
    <t>烈酒（饮料）;⽶酒;果酒（含酒精）;蒸煮提取物（利⼝酒和烈酒）;威⼠忌;葡萄酒;酒精饮料（啤酒除外）;鸡尾酒;清酒（⽇本⽶酒）;⽩酒</t>
  </si>
  <si>
    <t>彩君</t>
  </si>
  <si>
    <t>清酒（⽇本⽶酒）;果酒;朗姆酒;酒精饮料（啤酒除外）;葡萄酒;开胃酒;鸡尾酒;烧酒;⽩酒;利⼝酒</t>
  </si>
  <si>
    <t>淮玺</t>
  </si>
  <si>
    <t>卢真真</t>
  </si>
  <si>
    <t>果酒（含酒精）;佐餐酒;⽶酒;葡萄酒;烧酒;⾷⽤酒精;⽩酒;酒精饮料（啤酒除外）;酒精饮料浓缩汁;蒸煮提取物（利⼝酒和烈酒）</t>
  </si>
  <si>
    <t>龙运金玺</t>
  </si>
  <si>
    <t>宋敬</t>
  </si>
  <si>
    <t>酒精饮料（啤酒除外）;⾕物制蒸馏酒精饮料;⽼酒（中国蒸馏烈酒）;露酒;⽩酒;梅酒;葡萄酒;威⼠忌;⽩兰地;⾼粱酒</t>
  </si>
  <si>
    <t>蝶魄</t>
  </si>
  <si>
    <t>果酒（含酒精）;⽶酒;开胃酒;蒸馏饮料;⾕物制蒸馏酒精饮料;⽢蔗制酒精饮料;酒精饮料（啤酒除外）;含⽔果酒精饮料;以葡萄酒为主的饮料;蜂蜜酒</t>
  </si>
  <si>
    <t>典玉玺</t>
  </si>
  <si>
    <t>魏新岳</t>
  </si>
  <si>
    <t>果酒（含酒精）;烧酒;⾷⽤酒精;佐餐酒;酒精饮料（啤酒除外）;蒸煮提取物（利⼝酒和烈酒）;酒精饮料浓缩汁;⽶酒;葡萄酒;⽩酒</t>
  </si>
  <si>
    <t>富祜</t>
  </si>
  <si>
    <t>罗放平</t>
  </si>
  <si>
    <t>葡萄酒;果酒（含酒精）;含⽔果酒精饮料;开胃酒;⽶酒;⽩酒;⻩酒;鸡尾酒;烧酒;利⼝酒</t>
  </si>
  <si>
    <t>碧索世家</t>
  </si>
  <si>
    <t>峻鼎贸易（深圳）有限公司</t>
  </si>
  <si>
    <t>葡萄酒;⽩兰地;含酒精的⽓泡⽔;酒精饮料（啤酒除外）;起泡红葡萄酒;汽酒;葡萄汽酒;起泡⽩葡萄酒;天然汽酒;⻨芽威⼠忌</t>
  </si>
  <si>
    <t>拗瓮大师</t>
  </si>
  <si>
    <t>山西酒都甄选商贸有限公司</t>
  </si>
  <si>
    <t>葡萄酒;⽩酒;清酒（⽇本⽶酒）;酒精饮料（啤酒除外）;鸡尾酒;烈酒（饮料）;果酒（含酒精）;⽶酒;烧酒;⻩酒</t>
  </si>
  <si>
    <t>遇见故陵沱</t>
  </si>
  <si>
    <t>云阳县故陵镇故陵社区经济联合社</t>
  </si>
  <si>
    <t>⾷⽤酒精;⻩酒;⽩酒;葡萄酒;果酒;烈酒;清酒;烧酒;⽶酒;⾼粱酒</t>
  </si>
  <si>
    <t>云礼十六州</t>
  </si>
  <si>
    <t>云南拾肆益饮品有限公司</t>
  </si>
  <si>
    <t>烧酒;⽩酒;葡萄酒;⻩酒;果酒（含酒精）;汽酒;⽶酒;含⽔果酒精饮料;开胃酒;⻘稞酒</t>
  </si>
  <si>
    <t>路阳潘红松</t>
  </si>
  <si>
    <t>重庆瑞松大米加工坊（个人独资）</t>
  </si>
  <si>
    <t>葡萄酒;⾼粱酒;烈酒;⽩酒;果酒;烧酒;⻩酒;⾷⽤酒精;⽶酒;清酒</t>
  </si>
  <si>
    <t>邓仙临</t>
  </si>
  <si>
    <t>宜宾邓祖企业管理有限公司</t>
  </si>
  <si>
    <t>⽩酒;梨酒;⻘稞酒;烈酒;以葡萄酒为主的饮料;利⼝酒;红葡萄酒;烧酒;⻩酒;⽩⼲酒（中国⽩酒）</t>
  </si>
  <si>
    <t>古沙烧坊</t>
  </si>
  <si>
    <t>⽩酒;⻩酒;⽼酒（中国蒸馏烈酒）;蒸馏饮料;露酒;⾷⽤酒精;果酒（含酒精）;葡萄酒;酒精饮料（啤酒除外）;⾕物制蒸馏酒精饮料</t>
  </si>
  <si>
    <t>勃兰美</t>
  </si>
  <si>
    <t>长沙市果然纪生态有限公司</t>
  </si>
  <si>
    <t>含⽔果酒精饮料;⽶酒;鸡尾酒;威⼠忌;甜酒;葡萄酒;⽩兰地;⻩酒;⽩酒;果酒（含酒精）</t>
  </si>
  <si>
    <t>月蓉宸</t>
  </si>
  <si>
    <t>霍阳阳</t>
  </si>
  <si>
    <t>鸡尾酒;果酒（含酒精）;蒸馏饮料;烧酒;含水果酒精饮料;烈酒（饮料）;清酒;威士忌;酒精饮料原汁;白酒</t>
  </si>
  <si>
    <t>鉴度贡酒</t>
  </si>
  <si>
    <t>安徽一坛好酒业有限公司</t>
  </si>
  <si>
    <t>葡萄酒;酒精饮料（啤酒除外）;果酒（含酒精）;⽶酒;蒸煮提取物（利⼝酒和烈酒）;烧酒;开胃酒;蜂蜜酒;⽩酒;⻩酒</t>
  </si>
  <si>
    <t>ZEOSAN</t>
  </si>
  <si>
    <t>浙上（杭州）文化创意有限公司</t>
  </si>
  <si>
    <t>含⽔果酒精饮料;葡萄酒;威⼠忌;酒精饮料（啤酒除外）;⽩兰地;蒸馏饮料;⽶酒;⻩酒;⽩酒;果酒（含酒精）</t>
  </si>
  <si>
    <t>予集</t>
  </si>
  <si>
    <t>西安优嘉米特商业运营管理有限公司</t>
  </si>
  <si>
    <t>果酒（含酒精）;苹果酒;烈酒（饮料）;⾷⽤酒精;蒸馏饮料;⽩酒;鸡尾酒;葡萄酒;⽩兰地;烧酒</t>
  </si>
  <si>
    <t>松山叠翠</t>
  </si>
  <si>
    <t>磐石市红润种植养殖专业合作社联合社</t>
  </si>
  <si>
    <t>⽩兰地;威⼠忌;⽶酒;含⽔果酒精饮料;烧酒;⻩酒;开胃酒;葡萄酒;蜂蜜酒;⽩酒</t>
  </si>
  <si>
    <t>云怀守选</t>
  </si>
  <si>
    <t>贵州省仁怀市茅台镇原老酱酒业有限公司</t>
  </si>
  <si>
    <t>含⽔果酒精饮料;⽩酒;蒸馏饮料;烧酒;⻩酒;果酒（含酒精）;开胃酒;酒精饮料（啤酒除外）;葡萄酒;⾷⽤酒精</t>
  </si>
  <si>
    <t>宽窄古树</t>
  </si>
  <si>
    <t>中国国酒销售有限公司</t>
  </si>
  <si>
    <t>⽶酒;蜂蜜酒;⽩酒;葡萄酒;汽酒;鸡尾酒;⻩酒;酒精饮料原汁;除啤酒外的酒精饮料;果酒</t>
  </si>
  <si>
    <t>亚太通尼</t>
  </si>
  <si>
    <t>佛山市恒邦电梯工程有限公司</t>
  </si>
  <si>
    <t>烧酒;利⼝酒;⾷⽤酒精;葡萄酒;清酒（⽇本⽶酒）;⽩酒;烈酒（饮料）;果酒（含酒精）;⽶酒;⻩酒</t>
  </si>
  <si>
    <t>古林柳木沱</t>
  </si>
  <si>
    <t>云阳县故陵镇高坪村经济联合社</t>
  </si>
  <si>
    <t>⻩酒;⽶酒;烈酒;⾼粱酒;清酒;果酒;⽩酒;⾷⽤酒精;烧酒;葡萄酒</t>
  </si>
  <si>
    <t>浙儿点</t>
  </si>
  <si>
    <t>骆鑫辉</t>
  </si>
  <si>
    <t>烈酒（饮料）;朗姆酒;刺五加酒;含⽜奶的鸡尾酒;⽩兰地;鸡尾酒;清酒（⽇本⽶酒）;⽩酒;果酒（含酒精）;葡萄酒</t>
  </si>
  <si>
    <t>华鬯润源</t>
  </si>
  <si>
    <t>贵州华鬯润源酒业有限公司</t>
  </si>
  <si>
    <t>开胃酒;⽩⼲酒（中国⽩酒）;⻘稞酒;果酒（含酒精）;鸡尾酒;甜果酒;⽩酒;汽酒;葡萄酒</t>
  </si>
  <si>
    <t>茶悦飞花</t>
  </si>
  <si>
    <t>深圳茶悦飞花文化发展有限公司</t>
  </si>
  <si>
    <t>烈酒;⽩酒;甜果酒;葡萄酒;烧酒;甜酒;⽼酒（中国蒸馏烈酒）;果酒;⽶酒;含酒精的饮料（啤酒除外）</t>
  </si>
  <si>
    <t>匠台匠王</t>
  </si>
  <si>
    <t>贵州匠台酒业集团股份有限公司</t>
  </si>
  <si>
    <t>鸡尾酒;含⽔果酒精饮料;烈酒（饮料）;⽩酒;蒸馏饮料;酒精饮料（啤酒除外）;⽶酒;⻩酒;果酒（含酒精）;苹果酒</t>
  </si>
  <si>
    <t>彩情</t>
  </si>
  <si>
    <t>张科锦</t>
  </si>
  <si>
    <t>⽩酒;酒精饮料（啤酒除外）;烧酒;葡萄酒;清酒（⽇本⽶酒）;开胃酒;果酒;朗姆酒;利⼝酒;鸡尾酒</t>
  </si>
  <si>
    <t>川之旺</t>
  </si>
  <si>
    <t>烧酒;葡萄酒;鸡尾酒;朗姆酒;酒精饮料（啤酒除外）;开胃酒;利⼝酒;清酒（⽇本⽶酒）;果酒;⽩酒</t>
  </si>
  <si>
    <t>蒸馏饮料;⾷⽤酒精;露酒;⽩酒;⽼酒（中国蒸馏烈酒）;酒精饮料（啤酒除外）;果酒（含酒精）;⾕物制蒸馏酒精饮料;⻩酒;葡萄酒</t>
  </si>
  <si>
    <t>汩水潭</t>
  </si>
  <si>
    <t>何炼</t>
  </si>
  <si>
    <t>鸡尾酒;含⽔果酒精饮料;果酒（含酒精）;⻩酒;⽶酒;利⼝酒;开胃酒;葡萄酒;烧酒;⽩酒</t>
  </si>
  <si>
    <t>洛曼尼迪</t>
  </si>
  <si>
    <t>龙火凤（四川）电子商务有限公司</t>
  </si>
  <si>
    <t>含⽔果酒精饮料;威⼠忌;桃红葡萄酒;起泡红葡萄酒;调制好的葡萄酒鸡尾酒;鸡尾酒;果酒（含酒精）;葡萄酒;葡萄潘趣酒;⽩兰地</t>
  </si>
  <si>
    <t>金富仙</t>
  </si>
  <si>
    <t>王星星</t>
  </si>
  <si>
    <t>清酒;苹果酒;鸡尾酒;利⼝酒;烈酒（饮料）;果酒;葡萄酒;⽩酒;开胃酒;威⼠忌</t>
  </si>
  <si>
    <t>2024/06/25</t>
  </si>
  <si>
    <t>黔宅</t>
  </si>
  <si>
    <t>清酒;鸡尾酒;利⼝酒;威⼠忌;烈酒（饮料）;苹果酒;葡萄酒;⽩酒;开胃酒;果酒</t>
  </si>
  <si>
    <t>尘也</t>
  </si>
  <si>
    <t>莫日华</t>
  </si>
  <si>
    <t>蒸馏饮料;威⼠忌;⽶酒;烧酒;蒸煮提取物（利⼝酒和烈酒）;酒精饮料（啤酒除外）;⻩酒;⽩酒;果酒（含酒精）;葡萄酒</t>
  </si>
  <si>
    <t>九物铮选</t>
  </si>
  <si>
    <t>浙江铮选集团有限公司</t>
  </si>
  <si>
    <t>⻩酒;⽶酒;烧酒;葡萄酒;酒精饮料（啤酒除外）;果酒（含酒精）;鸡尾酒;烈酒（饮料）;清酒（⽇本⽶酒）;⽩酒</t>
  </si>
  <si>
    <t>马卜子</t>
  </si>
  <si>
    <t>乌拉特前旗云顺风农机专业合作社</t>
  </si>
  <si>
    <t>⽩酒;果酒;加烈葡萄酒;⾼粱酒;起泡红葡萄酒;以葡萄酒为主的开胃酒;甜酒;葡萄酒;桃红葡萄酒;红葡萄酒</t>
  </si>
  <si>
    <t>三聪</t>
  </si>
  <si>
    <t>广东新三聪电器有限公司</t>
  </si>
  <si>
    <t>清酒;果酒（含酒精）;鸡尾酒;葡萄酒;⾼粱酒;酒精饮料（啤酒除外）;⽔果汽酒;烧酒;⽩酒;烈酒（饮料）</t>
  </si>
  <si>
    <t>祥湖匠</t>
  </si>
  <si>
    <t>果酒（含酒精）;烈酒（饮料）;⽩酒;葡萄酒;烧酒;⻩酒;酒精饮料（啤酒除外）;苹果酒;⽶酒;含⽔果酒精饮料</t>
  </si>
  <si>
    <t>帝盟烧坊</t>
  </si>
  <si>
    <t>威⼠忌;烧酒;⽩酒;葡萄酒;烈酒（饮料）;⾕物制蒸馏酒精饮料;果酒（含酒精）;苹果酒;鸡尾酒;利⼝酒</t>
  </si>
  <si>
    <t>明生祥和</t>
  </si>
  <si>
    <t>浙江明生祥和科技有限公司</t>
  </si>
  <si>
    <t>以葡萄酒为主的饮料;酒精饮料原汁;烧酒;五加⽪酒（中国混合烈酒）;杨梅酒;⽩⼲酒（中国⽩酒）;果酒（含酒精）;葡萄酒;⻩酒;⽩酒</t>
  </si>
  <si>
    <t>D-QUEEN</t>
  </si>
  <si>
    <t>河北代世实业集团有限公司</t>
  </si>
  <si>
    <t>含酒精的充⽓饮料（啤酒除外）;清酒;除啤酒外的酒精饮料;葡萄酒;已调味的⻨芽酿制的酒精饮料（啤酒除外）;酒精饮料（啤酒除外）;预先混合的酒精饮料（以啤酒为主的除外）;鸡尾酒;含酒精的饮料（啤酒除外）;烈酒（饮料）</t>
  </si>
  <si>
    <t>惜也</t>
  </si>
  <si>
    <t>果酒（含酒精）;威⼠忌;蒸馏饮料;⻩酒;葡萄酒;酒精饮料（啤酒除外）;⽶酒;烧酒;⽩酒;蒸煮提取物（利⼝酒和烈酒）</t>
  </si>
  <si>
    <t>蕴粹</t>
  </si>
  <si>
    <t>钟靖瑛</t>
  </si>
  <si>
    <t>烧酒;葡萄酒;烈酒（饮料）;鸡尾酒;⻩酒;⽶酒;⽩酒;果酒（含酒精）;酒精饮料（啤酒除外）;清酒（⽇本⽶酒）</t>
  </si>
  <si>
    <t>AWIQLI</t>
  </si>
  <si>
    <t>诺和诺德公司</t>
  </si>
  <si>
    <t>烈酒（饮料）;含⽔果酒精饮料;蒸馏饮料;葡萄酒;鸡尾酒;汽酒;开胃酒;果酒（含酒精）;酒精饮料（啤酒除外）;⾷⽤酒精</t>
  </si>
  <si>
    <t>诗蜜琪品牌管理（上海）有限公司</t>
  </si>
  <si>
    <t>蒸煮提取物（利⼝酒和烈酒）;威⼠忌;酒精饮料（啤酒除外）;苹果酒;葡萄酒;⻘稞酒;⽶酒;伏特加酒;⽩兰地;果酒（含酒精）</t>
  </si>
  <si>
    <t>仁时</t>
  </si>
  <si>
    <t>刘永斌</t>
  </si>
  <si>
    <t>烈酒（饮料）;威⼠忌;⽶酒;开胃酒;酒精饮料（啤酒除外）;鸡尾酒;⻩酒;⽩酒;果酒（含酒精）;葡萄酒</t>
  </si>
  <si>
    <t>中峦</t>
  </si>
  <si>
    <t>海口美兰区州麦食品经营部（个体工商户）</t>
  </si>
  <si>
    <t>⻩酒;梅酒;⾼粱酒;烧酒;⽩酒;威⼠忌;葡萄酒;⽼酒（中国蒸馏烈酒）;果酒;酒精饮料（啤酒除外）</t>
  </si>
  <si>
    <t>CERRO NEVADO</t>
  </si>
  <si>
    <t>西班牙菲立斯酿酒有限公司</t>
  </si>
  <si>
    <t>餐后酒（利⼝酒和烈酒）;威⼠忌;汽酒;果酒（含酒精）;⽩酒;鸡尾酒;⽩兰地;酒精饮料（啤酒除外）;葡萄酒;开胃酒</t>
  </si>
  <si>
    <t>香见（大连）文化科技有限公司</t>
  </si>
  <si>
    <t>果酒;葡萄酒;⻩酒;清酒;⽶酒;威⼠忌;⽩酒;⽩兰地;烈酒;烧酒</t>
  </si>
  <si>
    <t>举头酩月</t>
  </si>
  <si>
    <t>王士威</t>
  </si>
  <si>
    <t>烈酒（饮料）;清酒（⽇本⽶酒）;酒精饮料（啤酒除外）;开胃酒;果酒;葡萄酒;威⼠忌;⽩酒;⻩酒;鸡尾酒</t>
  </si>
  <si>
    <t>歌斯特缪</t>
  </si>
  <si>
    <t>卓华私人有限公司</t>
  </si>
  <si>
    <t>桐茵溪</t>
  </si>
  <si>
    <t>贾奥非</t>
  </si>
  <si>
    <t>烈酒（饮料）;蒸馏饮料;鸡尾酒;含⽔果酒精饮料;⽩酒;果酒（含酒精）;威⼠忌;酒精饮料原汁;清酒;烧酒</t>
  </si>
  <si>
    <t>赏典</t>
  </si>
  <si>
    <t>邵鹏超</t>
  </si>
  <si>
    <t>清酒;苹果酒;鸡尾酒;葡萄酒;果酒;威⼠忌;⽩酒;开胃酒;利⼝酒;烈酒（饮料）</t>
  </si>
  <si>
    <t>顶阳神</t>
  </si>
  <si>
    <t>甘振钊</t>
  </si>
  <si>
    <t>⻩酒;酒精饮料原汁;汽酒;⽩酒;清酒;苦味酒;烧酒;⽶酒;朝鲜族⽶酒;果酒（含酒精）</t>
  </si>
  <si>
    <t>雄崛</t>
  </si>
  <si>
    <t>玩意文娱用品有限公司</t>
  </si>
  <si>
    <t>⽩酒;⻩酒;鸡尾酒;葡萄酒;⽶酒;烈酒（饮料）;⽩⼲酒（中国⽩酒）;威⼠忌;⾼粱酒;果酒（含酒精）</t>
  </si>
  <si>
    <t>晋遗</t>
  </si>
  <si>
    <t>李玉振</t>
  </si>
  <si>
    <t>烧酒;烈酒;⽶酒;⽩酒;⽼酒（中国蒸馏烈酒）;⾼粱酒;威⼠忌;酒精饮料（啤酒除外）;红葡萄酒;清酒</t>
  </si>
  <si>
    <t>谭发嫂</t>
  </si>
  <si>
    <t>郑利</t>
  </si>
  <si>
    <t>⾷⽤酒精;⽩酒;甜果酒;⽶酒;预先混合的酒精饮料（以啤酒为主的除外）;⻩酒;⽩兰地;果酒;烈酒;酒精饮料浓缩汁</t>
  </si>
  <si>
    <t>净联天下 净思源 联天下</t>
  </si>
  <si>
    <t>广东净联天下电器集团有限公司</t>
  </si>
  <si>
    <t>威⼠忌;甜酒;酒精饮料（啤酒除外）;果酒（含酒精）;鸡尾酒;⽶酒;葡萄酒;清酒（⽇本⽶酒）;⽩兰地;⽩酒</t>
  </si>
  <si>
    <t>相非相</t>
  </si>
  <si>
    <t>马永军</t>
  </si>
  <si>
    <t>酒精饮料（啤酒除外）;烈酒;葡萄酒;露酒;果酒;鸡尾酒;汽酒;威⼠忌;⽩酒;⽶酒</t>
  </si>
  <si>
    <t>河口瑶族自治县边民互市服务中心</t>
  </si>
  <si>
    <t>汽酒;⻩酒;葡萄酒;⽩酒;露酒;酒精饮料（啤酒除外）;烧酒;蒸煮提取物（利⼝酒和烈酒）;⾼粱酒;果酒（含酒精）</t>
  </si>
  <si>
    <t>袁荣根</t>
  </si>
  <si>
    <t>烧酒;葡萄酒;⻩酒;汽酒;⽶酒;蒸馏饮料;清酒（⽇本⽶酒）;鸡尾酒;⽩酒;开胃酒</t>
  </si>
  <si>
    <t>初美季</t>
  </si>
  <si>
    <t>钟云松</t>
  </si>
  <si>
    <t>⻘稞酒;烧酒;⽩酒;⾷⽤酒精;烈酒（饮料）;果酒（含酒精）;⽶酒;⻩酒;威⼠忌;含⽔果酒精饮料</t>
  </si>
  <si>
    <t>听目</t>
  </si>
  <si>
    <t>湖州君品酒业有限公司</t>
  </si>
  <si>
    <t>⽩酒;开胃酒;苹果酒;餐后酒（利⼝酒和烈酒）;⽶酒;烧酒;⻩酒;茴⾹酒（利⼝酒）;烈酒（饮料）;⾕物制蒸馏酒精饮料</t>
  </si>
  <si>
    <t>麦久购</t>
  </si>
  <si>
    <t>章强</t>
  </si>
  <si>
    <t>果酒;鸡尾酒;⽩葡萄酒;红葡萄酒;含⽔果酒精饮料;烧酒;威⼠忌;伏特加酒;含酒精的饮料（啤酒除外）;⽩酒</t>
  </si>
  <si>
    <t>精德真</t>
  </si>
  <si>
    <t>葡萄酒;伏特加酒;⻩酒;⾷⽤酒精;⾕物制蒸馏酒精饮料;果酒（含酒精）;⽩酒;⽩兰地;⽶酒;烧酒</t>
  </si>
  <si>
    <t>皇承帝德</t>
  </si>
  <si>
    <t>河北绿福达实业集团有限公司</t>
  </si>
  <si>
    <t>葡萄酒;⻘稞酒;果酒（含酒精）;含⽔果酒精饮料;烧酒;⽩酒;鸡尾酒;烈酒（饮料）;⽶酒;⻩酒</t>
  </si>
  <si>
    <t>浄雅荷风</t>
  </si>
  <si>
    <t>河北国尊酒业有限公司</t>
  </si>
  <si>
    <t>⾷⽤酒精;蒸馏饮料;葡萄酒;清酒;酒精饮料（啤酒除外）;烧酒;⻩酒;汽酒;⽩酒;果酒（含酒精）</t>
  </si>
  <si>
    <t>斗金印象</t>
  </si>
  <si>
    <t>湄潭荆桥贸易有限公司</t>
  </si>
  <si>
    <t>葡萄酒;清酒（⽇本⽶酒）;⽩酒;威⼠忌;果酒（含酒精）;⻩酒;鸡尾酒;烧酒;伏特加酒;⽩兰地</t>
  </si>
  <si>
    <t>甘苦人生</t>
  </si>
  <si>
    <t>上海福财园林艺术有限公司</t>
  </si>
  <si>
    <t>⽶酒;烧酒;蒸馏饮料;鸡尾酒;⻩酒;⽩酒;葡萄酒;酒精饮料（啤酒除外）;果酒（含酒精）;烈酒（饮料）</t>
  </si>
  <si>
    <t>鑫胜记</t>
  </si>
  <si>
    <t>王超</t>
  </si>
  <si>
    <t>酒精饮料浓缩汁;松叶酒;冷冻凝胶状的鸡尾酒;茴芹酒（利⼝酒）;咖啡利⼝酒;杜松⼦酒;五加⽪酒（中国混合烈酒）;⾕物制蒸馏酒精饮料;蝮蛇酒;已调味的⻨芽酿制的酒精饮料（啤酒除外）</t>
  </si>
  <si>
    <t>牛顺爽</t>
  </si>
  <si>
    <t>聂日东</t>
  </si>
  <si>
    <t>蒸馏饮料;蒸馏⽶酒（泡盛酒）;含⽔果酒精饮料;⾼粱酒;⽶酒;⽩酒;⻘梅酒;烧酒;葡萄酒;果酒（含酒精）</t>
  </si>
  <si>
    <t>中饶</t>
  </si>
  <si>
    <t>⻩酒;⽼酒（中国蒸馏烈酒）;葡萄酒;烧酒;⽩酒;⾼粱酒;威⼠忌;果酒;梅酒;酒精饮料（啤酒除外）</t>
  </si>
  <si>
    <t>独酷 561</t>
  </si>
  <si>
    <t>玛纳斯香海国际酒庄有限公司</t>
  </si>
  <si>
    <t>果酒（含酒精）;餐后酒（利⼝酒和烈酒）;酸酒（低等葡萄酒）;酒精饮料（啤酒除外）;含酒精的⽓泡⽔;蒸馏饮料;葡萄酒;⽩兰地;以葡萄酒为主的饮料;含⽔果酒精饮料</t>
  </si>
  <si>
    <t>天撒花</t>
  </si>
  <si>
    <t>吴正松</t>
  </si>
  <si>
    <t>开胃酒;酒精饮料（啤酒除外）;果酒（含酒精）;烧酒;餐后酒（利⼝酒和烈酒）;⽩酒;⽶酒;清酒（⽇本⽶酒）;葡萄酒;梨酒</t>
  </si>
  <si>
    <t>燕醉春</t>
  </si>
  <si>
    <t>王明叶</t>
  </si>
  <si>
    <t>威⼠忌;⽶酒;蒸煮提取物（利⼝酒和烈酒）;葡萄酒;清酒（⽇本⽶酒）;果酒（含酒精）;烈酒（饮料）;⽩酒;酒精饮料（啤酒除外）;鸡尾酒</t>
  </si>
  <si>
    <t>旨之源</t>
  </si>
  <si>
    <t>曹玉梅</t>
  </si>
  <si>
    <t>⾷⽤酒精;威⼠忌;果酒（含酒精）;烈酒（饮料）;⻩酒;⽶酒;含⽔果酒精饮料;⽩酒;⻘稞酒;烧酒</t>
  </si>
  <si>
    <t>山涧猕醉</t>
  </si>
  <si>
    <t>台州世合永粲生态农业专业合作社</t>
  </si>
  <si>
    <t>清酒（⽇本⽶酒）;杨梅酒;汽酒;⻩酒;葡萄酒;⽶酒;酒精饮料（啤酒除外）;⽩酒;果酒（含酒精）;鸡尾酒</t>
  </si>
  <si>
    <t>神赏</t>
  </si>
  <si>
    <t>开胃酒;威⼠忌;葡萄酒;利⼝酒;烈酒（饮料）;清酒;苹果酒;⽩酒;鸡尾酒;果酒</t>
  </si>
  <si>
    <t>邓谷</t>
  </si>
  <si>
    <t>荆凯</t>
  </si>
  <si>
    <t>⻩酒;果酒（含酒精）;⽶酒;酒精饮料（啤酒除外）;烧酒;⽩酒;葡萄酒;蒸馏饮料;⾷⽤酒精;烈酒（饮料）</t>
  </si>
  <si>
    <t>酌邦</t>
  </si>
  <si>
    <t>王康辉</t>
  </si>
  <si>
    <t>果酒（含酒精）;酒精饮料（啤酒除外）;葡萄酒;⻩酒;⽩酒;烈酒（饮料）;威⼠忌;酒精饮料原汁;鸡尾酒;⽶酒</t>
  </si>
  <si>
    <t>万桑</t>
  </si>
  <si>
    <t>开胃酒;鸡尾酒;烈酒（饮料）;清酒（⽇本⽶酒）;果酒;⽩酒;葡萄酒;⻩酒;威⼠忌;酒精饮料（啤酒除外）</t>
  </si>
  <si>
    <t>穿龙门</t>
  </si>
  <si>
    <t>肖丽雪</t>
  </si>
  <si>
    <t>鸡尾酒;⽩兰地;⽩酒;葡萄酒;烧酒;开胃酒;⽶酒;威⼠忌;烈酒（饮料）;⾼粱酒</t>
  </si>
  <si>
    <t>茗族红</t>
  </si>
  <si>
    <t>上海生跃实业有限公司</t>
  </si>
  <si>
    <t>果酒（含酒精）;⾕物制蒸馏酒精饮料;⻩酒;⽩酒;⻘稞酒;⾷⽤酒精;蒸馏饮料;葡萄酒;烧酒;⽶酒</t>
  </si>
  <si>
    <t>⾼粱酒;果酒（含酒精）;葡萄酒;烧酒;蒸煮提取物（利⼝酒和烈酒）;汽酒;⽩酒;酒精饮料（啤酒除外）;⻩酒;露酒</t>
  </si>
  <si>
    <t>皇承天德皇宫宴</t>
  </si>
  <si>
    <t>含⽔果酒精饮料;⻘稞酒;⽶酒;⽩酒;烧酒;⻩酒;鸡尾酒;葡萄酒;烈酒（饮料）;果酒（含酒精）</t>
  </si>
  <si>
    <t>执戟岁月</t>
  </si>
  <si>
    <t>李根明</t>
  </si>
  <si>
    <t>烈酒（饮料）;⾷⽤酒精;⾕物制蒸馏酒精饮料;烧酒;⽩酒;果酒（含酒精）;葡萄酒;酒精饮料原汁;⽶酒;⾼粱酒</t>
  </si>
  <si>
    <t>水扎某</t>
  </si>
  <si>
    <t>田永盛</t>
  </si>
  <si>
    <t>葡萄酒;⽶酒;⽼酒（中国蒸馏烈酒）;⽩酒;⻘稞酒;果酒;苦荞酒;⻩酒;甜酒;烧酒</t>
  </si>
  <si>
    <t>豪华巴士</t>
  </si>
  <si>
    <t>豪士食品（北京）集团有限公司</t>
  </si>
  <si>
    <t>⽶酒;⻩酒;蒸煮提取物（利⼝酒和烈酒）;葡萄酒;⽩⼲酒（中国⽩酒）;烧酒;酒精饮料（啤酒除外）;红葡萄酒;⽩酒;果酒（含酒精）</t>
  </si>
  <si>
    <t>CHEN'S JINLI 陈氏进利</t>
  </si>
  <si>
    <t>永嘉洛溪陈氏进利酒厂</t>
  </si>
  <si>
    <t>鸡尾酒;葡萄酒;⽶酒;烧酒;开胃酒;⾷⽤酒精;果酒（含酒精）;⻩酒;⽩酒;酒精饮料（啤酒除外）</t>
  </si>
  <si>
    <t>庄周佳铭</t>
  </si>
  <si>
    <t>王建立</t>
  </si>
  <si>
    <t>果酒（含酒精）;开胃酒;⽩酒;烈酒（饮料）;烧酒;⻩酒;葡萄酒;樱桃酒;⽶酒;含⽔果酒精饮料</t>
  </si>
  <si>
    <t>浄雅风华</t>
  </si>
  <si>
    <t>烧酒;酒精饮料（啤酒除外）;果酒（含酒精）;葡萄酒;清酒;⽩酒;⾷⽤酒精;蒸馏饮料;⻩酒;汽酒</t>
  </si>
  <si>
    <t>潮玖伽</t>
  </si>
  <si>
    <t>姜雷</t>
  </si>
  <si>
    <t>蒸馏饮料;⽩兰地;鸡尾酒;⽶酒;威⼠忌;果酒（含酒精）;葡萄酒;烧酒;⻩酒;⽩酒</t>
  </si>
  <si>
    <t>热果宝</t>
  </si>
  <si>
    <t>⾼粱酒;果酒（含酒精）;酒精饮料（啤酒除外）;汽酒;露酒;烧酒;⽩酒;蒸煮提取物（利⼝酒和烈酒）;⻩酒;葡萄酒</t>
  </si>
  <si>
    <t>常醉香韵</t>
  </si>
  <si>
    <t>董发宝</t>
  </si>
  <si>
    <t>⽩兰地;⽩酒;烈酒（饮料）;酒精饮料（啤酒除外）;⻩酒;鸡尾酒;果酒（含酒精）;⽶酒;⾷⽤酒精;葡萄酒</t>
  </si>
  <si>
    <t>知派</t>
  </si>
  <si>
    <t>烈酒（饮料）;⽩酒;开胃酒;葡萄酒;利⼝酒;苹果酒;鸡尾酒;威⼠忌;果酒;清酒</t>
  </si>
  <si>
    <t>蓝跑车</t>
  </si>
  <si>
    <t>浙江涌鑫酒业有限公司</t>
  </si>
  <si>
    <t>⽩酒;酒精饮料（啤酒除外）;⻩酒;烧酒;烈酒;⽶酒;⽼酒（中国蒸馏烈酒）;果酒;葡萄酒;⾼粱酒</t>
  </si>
  <si>
    <t>青勃</t>
  </si>
  <si>
    <t>贵州中食逐源生物科技有限责任公司</t>
  </si>
  <si>
    <t>果酒（含酒精）;鸡尾酒;葡萄酒;威⼠忌;烧酒;⽩酒;⾷⽤酒精;酒精饮料（啤酒除外）;⽶酒;含⽔果酒精饮料</t>
  </si>
  <si>
    <t>秉恭</t>
  </si>
  <si>
    <t>王建平</t>
  </si>
  <si>
    <t>威⼠忌;蒸馏饮料;蒸煮提取物（利⼝酒和烈酒）;葡萄酒;果酒（含酒精）;烧酒;⽩酒;酒精饮料（啤酒除外）;⻩酒;⽶酒</t>
  </si>
  <si>
    <t>仲花花</t>
  </si>
  <si>
    <t>嘉兴市如果爱科技发展有限公司</t>
  </si>
  <si>
    <t>⽶酒;利⼝酒;果酒（含酒精）;⽩酒;⽩兰地;樱桃酒;鸡尾酒;烈酒;烈酒（饮料）;朗姆酒</t>
  </si>
  <si>
    <t>初美纪</t>
  </si>
  <si>
    <t>⽶酒;⾷⽤酒精;烧酒;烈酒（饮料）;⻘稞酒;⻩酒;威⼠忌;含⽔果酒精饮料;果酒（含酒精）;⽩酒</t>
  </si>
  <si>
    <t>常香逸樽</t>
  </si>
  <si>
    <t>酒精饮料（啤酒除外）;⽶酒;⽩酒;⻩酒;⾷⽤酒精;葡萄酒;⽩兰地;烈酒（饮料）;鸡尾酒;果酒（含酒精）</t>
  </si>
  <si>
    <t>云迷离</t>
  </si>
  <si>
    <t>张保行</t>
  </si>
  <si>
    <t>⽩兰地;果酒（含酒精）;葡萄酒;清酒;烈酒（饮料）;威⼠忌;伏特加酒;⻩酒;⽩酒;鸡尾酒</t>
  </si>
  <si>
    <t>帝盟池</t>
  </si>
  <si>
    <t>⾕物制蒸馏酒精饮料;⽩酒;鸡尾酒;烈酒（饮料）;烧酒;利⼝酒;果酒（含酒精）;苹果酒;葡萄酒;威⼠忌</t>
  </si>
  <si>
    <t>红福龙</t>
  </si>
  <si>
    <t>杭州宏伙网络科技有限公司</t>
  </si>
  <si>
    <t>含⽔果酒精饮料;⽶酒;果酒（含酒精）;威⼠忌;蒸馏饮料;⻩酒;⽩酒;鸡尾酒;葡萄酒;酒精饮料（啤酒除外）</t>
  </si>
  <si>
    <t>晓色</t>
  </si>
  <si>
    <t>黄酒;白酒;开胃酒;鸡尾酒;酒精饮料（啤酒除外）;果酒;葡萄酒;烈酒（饮料）;清酒（日本米酒）;威士忌</t>
  </si>
  <si>
    <t>风酝起</t>
  </si>
  <si>
    <t>鸡尾酒;⻩酒;果酒;开胃酒;⽩酒;酒精饮料（啤酒除外）;烈酒（饮料）;威⼠忌;葡萄酒;清酒（⽇本⽶酒）</t>
  </si>
  <si>
    <t>北礼</t>
  </si>
  <si>
    <t>清酒;开胃酒;葡萄酒;利⼝酒;烈酒（饮料）;威⼠忌;果酒;苹果酒;⽩酒;鸡尾酒</t>
  </si>
  <si>
    <t>杜梦柳</t>
  </si>
  <si>
    <t>广州市番禺区玉雨商贸有限公司</t>
  </si>
  <si>
    <t>酒精饮料（啤酒除外）;⽶酒;葡萄酒;汽酒;甜酒;⻩酒;烧酒;烈酒;果酒（含酒精）;⽩酒</t>
  </si>
  <si>
    <t>金沟大河</t>
  </si>
  <si>
    <t>孟业</t>
  </si>
  <si>
    <t>烧酒;薄荷酒;⻩酒;⽩酒;⽶酒;果酒</t>
  </si>
  <si>
    <t>敬粮春</t>
  </si>
  <si>
    <t>衡登喜</t>
  </si>
  <si>
    <t>⽩酒;烧酒;果酒（含酒精）;烈酒（饮料）;葡萄酒;⽶酒;⻩酒;鸡尾酒;酒精饮料（啤酒除外）;⽼酒（中国蒸馏烈酒）</t>
  </si>
  <si>
    <t>锦汝泉</t>
  </si>
  <si>
    <t>王汝海</t>
  </si>
  <si>
    <t>烧酒;葡萄酒;⽶酒;⽩酒;⾷⽤酒精;果酒（含酒精）;烈酒（饮料）;酒精饮料原汁;酒精饮料（啤酒除外）;蒸馏饮料</t>
  </si>
  <si>
    <t>京日鲜</t>
  </si>
  <si>
    <t>大溪（北京）农产品供应链管理有限公司</t>
  </si>
  <si>
    <t>酒精饮料原汁;⻩酒;果酒（含酒精）;开胃酒;鸡尾酒;⾕物制蒸馏酒精饮料;含⽔果酒精饮料;以蒸馏酒为主的开胃酒;⽩酒;蜂蜜酒</t>
  </si>
  <si>
    <t>茶趍</t>
  </si>
  <si>
    <t>邹文全</t>
  </si>
  <si>
    <t>烈酒（饮料）;⽩酒;⻩酒;开胃酒;果酒（含酒精）;⾼粱酒;葡萄酒;⽶酒;烧酒;酒精饮料（啤酒除外）</t>
  </si>
  <si>
    <t>PPVEGA</t>
  </si>
  <si>
    <t>杭州通赛网络科技有限公司</t>
  </si>
  <si>
    <t>开胃酒;葡萄酒;威⼠忌;苹果酒;果酒（含酒精）;⾕物制蒸馏酒精饮料;以葡萄酒为主的饮料;⽶酒;含⽔果酒精饮料;鸡尾酒</t>
  </si>
  <si>
    <t>诺和期</t>
  </si>
  <si>
    <t>汽酒;含⽔果酒精饮料;葡萄酒;烈酒（饮料）;鸡尾酒;蒸馏饮料;⾷⽤酒精;酒精饮料（啤酒除外）;开胃酒;果酒（含酒精）</t>
  </si>
  <si>
    <t>登喜缘</t>
  </si>
  <si>
    <t>⽶酒;果酒（含酒精）;⽩酒;鸡尾酒;⻩酒;酒精饮料（啤酒除外）;⽼酒（中国蒸馏烈酒）;烧酒;葡萄酒;烈酒（饮料）</t>
  </si>
  <si>
    <t>祥湖名</t>
  </si>
  <si>
    <t>含⽔果酒精饮料;葡萄酒;⽶酒;果酒（含酒精）;烈酒（饮料）;酒精饮料（啤酒除外）;烧酒;⻩酒;⽩酒;苹果酒</t>
  </si>
  <si>
    <t>京舒</t>
  </si>
  <si>
    <t>李昊男</t>
  </si>
  <si>
    <t>烧酒;酒精饮料（啤酒除外）;果酒（含酒精）;⽶酒;伏特加酒;樱桃酒;威⼠忌;烈酒（饮料）;葡萄酒;⽩酒</t>
  </si>
  <si>
    <t>两广欢</t>
  </si>
  <si>
    <t>邓秀玲</t>
  </si>
  <si>
    <t>烧酒;果酒（含酒精）;⽩酒;威⼠忌;⻘稞酒;⻩酒;⾷⽤酒精;烈酒（饮料）;含⽔果酒精饮料;⽶酒</t>
  </si>
  <si>
    <t>翟鸿燊</t>
  </si>
  <si>
    <t>翟光耀232131********1930</t>
  </si>
  <si>
    <t>预先混合的酒精饮料（以啤酒为主的除外）;⾕物制蒸馏酒精饮料;已调味的⻨芽酿制的酒精饮料（啤酒除外）;⽩酒;葡萄酒;含⽔果酒精饮料;果酒（含酒精）;烧酒;酒精饮料（啤酒除外）;⽶酒</t>
  </si>
  <si>
    <t>宫福台</t>
  </si>
  <si>
    <t>⽩酒;鸡尾酒;利⼝酒;威⼠忌;烈酒（饮料）;清酒;葡萄酒;开胃酒;苹果酒;果酒</t>
  </si>
  <si>
    <t>任忠霖</t>
  </si>
  <si>
    <t>辽阳市白塔区静宏德金酒业</t>
  </si>
  <si>
    <t>⾕物制蒸馏酒精饮料;烧酒;葡萄酒;⽩酒;⻩酒;果酒（含酒精）;⽶酒;威⼠忌;烈酒（饮料）;蒸馏饮料</t>
  </si>
  <si>
    <t>佳加得佳</t>
  </si>
  <si>
    <t>醇运供应链管理（上海）有限公司</t>
  </si>
  <si>
    <t>⻩酒;⽩兰地;葡萄酒;威⼠忌;清酒;果酒;⽩酒;蒸煮提取物（利⼝酒和烈酒）;⽼酒（中国蒸馏烈酒）;⽶酒</t>
  </si>
  <si>
    <t>葡萄酒;⽶酒;⾷⽤酒精;烧酒;酒精饮料（啤酒除外）;开胃酒;⻩酒;果酒（含酒精）;鸡尾酒;⽩酒</t>
  </si>
  <si>
    <t>酒精饮料（啤酒除外）;果酒（含酒精）;葡萄酒;⽶酒;⾷⽤酒精;⽩酒;烧酒;鸡尾酒;威⼠忌;含⽔果酒精饮料</t>
  </si>
  <si>
    <t>悦芽</t>
  </si>
  <si>
    <t>三个六财税咨询管理（佛山）有限公司</t>
  </si>
  <si>
    <t>⽩酒;⽶酒;威⼠忌;烧酒;烈酒（饮料）;鸡尾酒;葡萄酒;果酒（含酒精）;清酒（⽇本⽶酒）;酒精饮料（啤酒除外）</t>
  </si>
  <si>
    <t>2024/06/26</t>
  </si>
  <si>
    <t>葡满川</t>
  </si>
  <si>
    <t>赵芳侠</t>
  </si>
  <si>
    <t>葡萄酒;⻩酒;开胃酒;清酒（⽇本⽶酒）;⽶酒;果酒（含酒精）;烧酒;烈酒（饮料）;甜酒;⽩酒</t>
  </si>
  <si>
    <t>金谷美玉</t>
  </si>
  <si>
    <t>贵州金谷裕坊酒业有限公司</t>
  </si>
  <si>
    <t>⽩酒;葡萄酒;樱桃酒;鸡尾酒;烧酒;梨酒;⽶酒;⻩酒;开胃酒</t>
  </si>
  <si>
    <t>高洲秋酿</t>
  </si>
  <si>
    <t>四川省宜宾高洲酒业有限责任公司</t>
  </si>
  <si>
    <t>⽶酒;葡萄酒;⽩酒;蒸馏饮料;⾕物制蒸馏酒精饮料;烈酒（饮料）;果酒（含酒精）;露酒;餐后酒（利⼝酒和烈酒）;苹果酒</t>
  </si>
  <si>
    <t>中萌</t>
  </si>
  <si>
    <t>刘晓龙</t>
  </si>
  <si>
    <t>⽩酒;苦荞酒;烈酒;薄荷酒;⽩⼲酒（中国⽩酒）;由⾕物蒸馏的⽩酒;⻘稞酒;⾼粱酒;⻩酒;烧酒</t>
  </si>
  <si>
    <t>诗情江山</t>
  </si>
  <si>
    <t>林坤生</t>
  </si>
  <si>
    <t>⽩酒;果酒;烧酒;⽼酒（中国蒸馏烈酒）;⾼粱酒;清酒;露酒;⽶酒;⽩⼲酒（中国⽩酒）;⻩酒</t>
  </si>
  <si>
    <t>匠长岁</t>
  </si>
  <si>
    <t>周迎梅</t>
  </si>
  <si>
    <t>⽶酒;酒精饮料（啤酒除外）;⻩酒;鸡尾酒;葡萄酒;烧酒;⾼粱酒;⽩酒;烧酒（烈酒）;果酒</t>
  </si>
  <si>
    <t>妃色清花</t>
  </si>
  <si>
    <t>许和杰</t>
  </si>
  <si>
    <t>⾷⽤酒精;⽩酒;烧酒;葡萄酒;⻩酒;清酒（⽇本⽶酒）;鸡尾酒;酒精饮料（啤酒除外）;⻘稞酒;果酒（含酒精）</t>
  </si>
  <si>
    <t>合悦禧</t>
  </si>
  <si>
    <t>王立新</t>
  </si>
  <si>
    <t>鸡尾酒;葡萄酒;果酒;⽼酒（中国蒸馏烈酒）;⽩酒;⻩酒;⾼粱酒;⻘稞酒;烧酒;⽶酒</t>
  </si>
  <si>
    <t>伍拾叁玖坊</t>
  </si>
  <si>
    <t>贵州茅匠酒业供应链管理有限公司</t>
  </si>
  <si>
    <t>⻩酒;果酒（含酒精）;葡萄酒;⾷⽤酒精;⽶酒;⽩酒;预先混合的酒精饮料（以啤酒为主的除外）;汽酒;开胃酒;⾼粱酒</t>
  </si>
  <si>
    <t>清江天工</t>
  </si>
  <si>
    <t>江西庆桓商贸有限公司</t>
  </si>
  <si>
    <t>⻩酒;⾼粱酒;果酒;葡萄酒;烈酒;⽩酒;红葡萄酒;⽶酒;烧酒;果酒（含酒精）</t>
  </si>
  <si>
    <t>SMITTEN</t>
  </si>
  <si>
    <t>浙江绍兴膜童贸易有限公司</t>
  </si>
  <si>
    <t>蒸馏饮料;清酒（⽇本⽶酒）;葡萄酒;⾷⽤酒精;⽩酒;酒精饮料（啤酒除外）;酒精饮料浓缩汁;酒精饮料原汁;⻩酒;威⼠忌</t>
  </si>
  <si>
    <t>麟王爷</t>
  </si>
  <si>
    <t>⽩酒;蒸馏饮料;⽶酒;酒精饮料（啤酒除外）;葡萄酒;⻩酒;烧酒;果酒（含酒精）;蒸煮提取物（利⼝酒和烈酒）;威⼠忌</t>
  </si>
  <si>
    <t>盼味来</t>
  </si>
  <si>
    <t>湖南君裕商贸有限公司</t>
  </si>
  <si>
    <t>⻩酒;葡萄酒;果酒（含酒精）;⽶酒;⽩兰地;⽩酒;烈酒（饮料）;鸡尾酒</t>
  </si>
  <si>
    <t>镇品如玉</t>
  </si>
  <si>
    <t>镇平县电子商务协会</t>
  </si>
  <si>
    <t>鸡尾酒;⽶酒;⻩酒;⾼粱酒;⽩酒;⻘梅酒;含酒精⽔果饮料;含酒精的⽔果鸡尾酒饮料;杨梅酒;含酒精的饮料（啤酒除外）</t>
  </si>
  <si>
    <t>二飞烟</t>
  </si>
  <si>
    <t>李富忠</t>
  </si>
  <si>
    <t>烈酒;预先混合的酒精饮料（以啤酒为主的除外）;⾷⽤酒精;果酒;⽩酒;鸡尾酒;葡萄酒;酒精饮料（啤酒除外）;烧酒;开胃酒</t>
  </si>
  <si>
    <t>顽旅</t>
  </si>
  <si>
    <t>王璞</t>
  </si>
  <si>
    <t>葡萄酒;威⼠忌;⾷⽤酒精;烧酒;含酒精的⽓泡⽔;⽶酒;⽩酒;⻩酒;伏特加酒;果酒（含酒精）</t>
  </si>
  <si>
    <t>麦卡姬</t>
  </si>
  <si>
    <t>贵州老工匠酒业有限公司</t>
  </si>
  <si>
    <t>⽼酒（中国蒸馏烈酒）;⽩兰地;⽶酒;果酒;⻩酒;利⼝酒;清酒;⽩酒;葡萄酒;烧酒</t>
  </si>
  <si>
    <t>USEEK</t>
  </si>
  <si>
    <t>北京有戏未来健康科技有限公司</t>
  </si>
  <si>
    <t>薄荷酒;⽩酒;果酒（含酒精）;含⽔果酒精饮料;朗姆酒;预先混合的酒精饮料（以啤酒为主的除外）;酒精饮料原汁;酒精饮料浓缩汁;苹果酒;酒精饮料（啤酒除外）</t>
  </si>
  <si>
    <t>丝途烧春</t>
  </si>
  <si>
    <t>烟台海润伯顿酒庄有限公司</t>
  </si>
  <si>
    <t>烧酒;清酒（⽇本⽶酒）;⽶酒;葡萄酒;⻩酒;果酒（含酒精）;鸡尾酒;烈酒（饮料）;酒精饮料（啤酒除外）;⽩酒</t>
  </si>
  <si>
    <t>夏缇露</t>
  </si>
  <si>
    <t>上海信鹏印刷器材有限公司</t>
  </si>
  <si>
    <t>⽩酒;鸡尾酒;葡萄酒;果酒（含酒精）;开胃酒;以葡萄酒为主的饮料;⽩兰地;威⼠忌;酒精饮料（啤酒除外）;清酒</t>
  </si>
  <si>
    <t>仲养酒坊</t>
  </si>
  <si>
    <t>恒慈堂健康管理（河南）有限责任公司</t>
  </si>
  <si>
    <t>⽩酒;葡萄酒;酒精饮料（啤酒除外）;果酒（含酒精）;鸡尾酒;⻩酒;烧酒;⽶酒;开胃酒;⻘稞酒</t>
  </si>
  <si>
    <t>高洲酿艺</t>
  </si>
  <si>
    <t>蒸馏饮料;葡萄酒;餐后酒（利⼝酒和烈酒）;烈酒（饮料）;⾕物制蒸馏酒精饮料;果酒（含酒精）;苹果酒;露酒;⽩酒;⽶酒</t>
  </si>
  <si>
    <t>赤情河</t>
  </si>
  <si>
    <t>⻩酒;⾼粱酒;烧酒（烈酒）;葡萄酒;酒精饮料（啤酒除外）;烧酒;⽶酒;果酒;⽩酒;鸡尾酒</t>
  </si>
  <si>
    <t>苐味王</t>
  </si>
  <si>
    <t>清酒;⽩酒;烈酒;⽩兰地;威⼠忌;鸡尾酒;葡萄酒;果酒;⽶酒;⻩酒</t>
  </si>
  <si>
    <t>蒋鼎兴</t>
  </si>
  <si>
    <t>因爱优选实业有限公司</t>
  </si>
  <si>
    <t>含⽔果酒精饮料;⾷⽤酒精;果酒（含酒精）;蜂蜜酒;⽶酒;苹果酒;烧酒;⻩酒;葡萄酒;⽩酒</t>
  </si>
  <si>
    <t>粱福韵</t>
  </si>
  <si>
    <t>漦台酒类销售（重庆）有限公司</t>
  </si>
  <si>
    <t>酒精饮料（啤酒除外）;⽩酒;烈酒;⽩⼲酒（中国⽩酒）;果酒;鸡尾酒;葡萄酒;⽼酒（中国蒸馏烈酒）;⾼粱酒;烈酒（饮料）</t>
  </si>
  <si>
    <t>仲养坊</t>
  </si>
  <si>
    <t>⻩酒;烧酒;鸡尾酒;果酒（含酒精）;⽶酒;酒精饮料（啤酒除外）;葡萄酒;⽩酒;⻘稞酒;开胃酒</t>
  </si>
  <si>
    <t>贵领公</t>
  </si>
  <si>
    <t>曾建国</t>
  </si>
  <si>
    <t>果酒（含酒精）;⽶酒;鸡尾酒;⽩酒;烧酒;烈酒（饮料）;清酒（⽇本⽶酒）;葡萄酒;酒精饮料（啤酒除外）;⻩酒</t>
  </si>
  <si>
    <t>盏载</t>
  </si>
  <si>
    <t>丁琨</t>
  </si>
  <si>
    <t>烧酒（烈酒）;酒精饮料浓缩汁;蒸煮提取物（利⼝酒和烈酒）;葡萄酒;⽩酒;烧酒;酒精饮料（啤酒除外）;⽶酒;⾷⽤酒精;果酒（含酒精）</t>
  </si>
  <si>
    <t>壶袭月</t>
  </si>
  <si>
    <t>李云梅</t>
  </si>
  <si>
    <t>⾷⽤酒精;⽩酒;烧酒;果酒（含酒精）;⽶酒;蒸煮提取物（利⼝酒和烈酒）;葡萄酒;烧酒（烈酒）;酒精饮料（啤酒除外）;酒精饮料浓缩汁</t>
  </si>
  <si>
    <t>淖尔王</t>
  </si>
  <si>
    <t>孙丽霞</t>
  </si>
  <si>
    <t>⽩酒;葡萄酒;⽶酒;⻘稞酒;烈酒（饮料）;烧酒;⾷⽤酒精;⾼粱酒;果酒（含酒精）;⻩酒</t>
  </si>
  <si>
    <t>沁之乌窑</t>
  </si>
  <si>
    <t>张少锋</t>
  </si>
  <si>
    <t>⻩酒;烧酒;⽩酒;果酒（含酒精）;葡萄酒;利⼝酒;⽩兰地;酒精饮料（啤酒除外）;开胃酒;⽶酒</t>
  </si>
  <si>
    <t>窖兴遥</t>
  </si>
  <si>
    <t>⾷⽤酒精;烧酒（烈酒）;酒精饮料浓缩汁;⽶酒;果酒（含酒精）;烧酒;酒精饮料（啤酒除外）;葡萄酒;蒸煮提取物（利⼝酒和烈酒）;⽩酒</t>
  </si>
  <si>
    <t>御泉师</t>
  </si>
  <si>
    <t>⻩酒;酒精饮料（啤酒除外）;鸡尾酒;⽩酒;葡萄酒;烧酒;烧酒（烈酒）;果酒;⾼粱酒;⽶酒</t>
  </si>
  <si>
    <t>奢力</t>
  </si>
  <si>
    <t>吉俊帮</t>
  </si>
  <si>
    <t>葡萄酒;烈酒（饮料）;⾕物制蒸馏酒精饮料;蒸馏饮料;⻘稞酒;⽩酒;含⽔果酒精饮料;⻩酒;朗姆酒;酒精饮料（啤酒除外）</t>
  </si>
  <si>
    <t>龙凤樾</t>
  </si>
  <si>
    <t>红树林食品有限公司</t>
  </si>
  <si>
    <t>酒精饮料（啤酒除外）;⽩酒;⻩酒;葡萄酒;⽩兰地;⾷⽤酒精;⽶酒;鸡尾酒;果酒（含酒精）;含⽔果酒精饮料</t>
  </si>
  <si>
    <t>THE OPPOSITES</t>
  </si>
  <si>
    <t>品美集团有限公司</t>
  </si>
  <si>
    <t>威⼠忌;含⽔果酒精饮料;预先混合的酒精饮料（以啤酒为主的除外）;朗姆酒;餐后酒（利⼝酒和烈酒）;葡萄酒;烈酒（饮料）;⽩兰地;⽩酒;利⼝酒</t>
  </si>
  <si>
    <t>圣天春晓</t>
  </si>
  <si>
    <t>李双宏</t>
  </si>
  <si>
    <t>果酒（含酒精）;烧酒;开胃酒;⽩酒;烈酒;⽶酒;预先混合的酒精饮料（以啤酒为主的除外）;含⽔果酒精饮料;蒸煮提取物（利⼝酒和烈酒）;⻩酒</t>
  </si>
  <si>
    <t>醉寮</t>
  </si>
  <si>
    <t>贵州醉寮酒业有限公司</t>
  </si>
  <si>
    <t>清酒（⽇本⽶酒）;烈酒（饮料）;⽩兰地;⻩酒;葡萄酒;⽩酒;⽶酒;伏特加酒;烧酒;威⼠忌</t>
  </si>
  <si>
    <t>THE LOST PEARL</t>
  </si>
  <si>
    <t>上海筑睦网络科技有限公司</t>
  </si>
  <si>
    <t>葡萄酒;威⼠忌;⽶酒;⽩酒;果酒（含酒精）;蒸馏饮料;鸡尾酒;酒精饮料（啤酒除外）;⻩酒;烈酒（饮料）</t>
  </si>
  <si>
    <t>晟贻</t>
  </si>
  <si>
    <t>山东晟贻文化产业有限公司</t>
  </si>
  <si>
    <t>⽩⼲酒（中国⽩酒）;⾼粱酒;⽼酒（中国蒸馏烈酒）;烈酒;⽶酒;烧酒;⽩酒;果酒;⻩酒;清酒</t>
  </si>
  <si>
    <t>金花浪</t>
  </si>
  <si>
    <t>浏阳市枨冲镇枨冲村村民委员会</t>
  </si>
  <si>
    <t>烈酒;⻩酒;果酒;葡萄酒;酒精饮料（啤酒除外）;⽶酒;⾼粱酒;甜酒;清酒;⽩酒</t>
  </si>
  <si>
    <t>崔小农</t>
  </si>
  <si>
    <t>崔平</t>
  </si>
  <si>
    <t>⾼粱酒;甜酒;红葡萄酒;已调味的蒸馏酒;⽩酒;⽶酒;果酒;⽼酒（中国蒸馏烈酒）;⻩酒;葡萄酒</t>
  </si>
  <si>
    <t>金坚玉润</t>
  </si>
  <si>
    <t>泸州青立酒类销售有限公司</t>
  </si>
  <si>
    <t>烈酒（饮料）;蒸馏饮料;烧酒;⽩酒;酒精饮料（啤酒除外）;预先混合的酒精饮料（以啤酒为主的除外）;含⽔果酒精饮料;果酒（含酒精）;葡萄酒;蒸煮提取物（利⼝酒和烈酒）</t>
  </si>
  <si>
    <t>畲宁</t>
  </si>
  <si>
    <t>金俊</t>
  </si>
  <si>
    <t>烧酒（烈酒）;露酒;威⼠忌;⻩酒;⾷⽤酒精;苦荞酒;葡萄酒;烈酒（饮料）;⽩酒;清酒</t>
  </si>
  <si>
    <t>潇远飘香</t>
  </si>
  <si>
    <t>张立宏</t>
  </si>
  <si>
    <t>汽酒;烧酒;⽩酒;葡萄酒;⾷⽤酒精;苹果酒;梨酒;樱桃酒;⽶酒;开胃酒</t>
  </si>
  <si>
    <t>首能</t>
  </si>
  <si>
    <t>李云</t>
  </si>
  <si>
    <t>鸡尾酒;葡萄酒;酒精饮料原汁;⽶酒;⽩酒;酒精饮料（啤酒除外）;⻩酒;果酒（含酒精）;威⼠忌;烈酒（饮料）</t>
  </si>
  <si>
    <t>福满州</t>
  </si>
  <si>
    <t>冉长飞</t>
  </si>
  <si>
    <t>艳云飞</t>
  </si>
  <si>
    <t>红河龙缘葡萄酒业有限公司</t>
  </si>
  <si>
    <t>餐后酒（利⼝酒和烈酒）;酒精饮料（啤酒除外）;含⽔果酒精饮料;⽩酒;开胃酒;⾕物制蒸馏酒精饮料;果酒（含酒精）;鸡尾酒;以葡萄酒为主的饮料;葡萄酒</t>
  </si>
  <si>
    <t>为乾</t>
  </si>
  <si>
    <t>果酒（含酒精）;蒸馏饮料;威⼠忌;烧酒;酒精饮料（啤酒除外）;⽩酒;蒸煮提取物（利⼝酒和烈酒）;⽶酒;葡萄酒;⻩酒</t>
  </si>
  <si>
    <t>锔钉</t>
  </si>
  <si>
    <t>李立</t>
  </si>
  <si>
    <t>⽶酒;果酒（含酒精）;以葡萄酒为主的饮料;利⼝酒;含⽔果酒精饮料;清酒（⽇本⽶酒）;威⼠忌;⽩兰地;伏特加酒;朗姆酒</t>
  </si>
  <si>
    <t>好架伙</t>
  </si>
  <si>
    <t>邵阳市嘉忆商贸有限公司</t>
  </si>
  <si>
    <t>酒精饮料（啤酒除外）;开胃酒;烈酒;⽶酒;⾷⽤酒精;蜂蜜酒;葡萄酒;鸡尾酒;⽩酒;果酒</t>
  </si>
  <si>
    <t>2024/06/27</t>
  </si>
  <si>
    <t>州贡酒</t>
  </si>
  <si>
    <t>贵州省仁怀市珍品酒业（集团）有限公司</t>
  </si>
  <si>
    <t>⾼粱酒;果酒;含酒精的饮料（啤酒除外）;⽶酒;⽩酒;酒精饮料（啤酒除外）;⻘稞酒;烧酒;⻩酒;葡萄酒</t>
  </si>
  <si>
    <t>荷英雄</t>
  </si>
  <si>
    <t>王福文</t>
  </si>
  <si>
    <t>⽩兰地;⽩酒;果酒（含酒精）;葡萄酒;⽶酒;烧酒;鸡尾酒;蒸馏饮料;⻩酒;威⼠忌</t>
  </si>
  <si>
    <t>豹酩</t>
  </si>
  <si>
    <t>贵州合酒股份有限公司</t>
  </si>
  <si>
    <t>烧酒;⻩酒;⾼粱酒;果酒;露酒;⽩酒;⽩⼲酒（中国⽩酒）;葡萄酒;烈酒;⽼酒（中国蒸馏烈酒）</t>
  </si>
  <si>
    <t>志汇台</t>
  </si>
  <si>
    <t>贵州省仁怀市祝酒师酒业有限公司</t>
  </si>
  <si>
    <t>果酒（含酒精）;葡萄酒;含酒精的⽓泡⽔;开胃酒;⽶酒;⽩酒;利⼝酒;⾕物制蒸馏酒精饮料;⻘稞酒;烧酒</t>
  </si>
  <si>
    <t>碧泉初舍</t>
  </si>
  <si>
    <t>周勋430321********6237</t>
  </si>
  <si>
    <t>⽶酒;葡萄酒;果酒（含酒精）;酒精饮料原汁;⽩⼲酒（中国⽩酒）;⻩酒;⽩酒;⾷⽤酒精;酒精饮料（啤酒除外）;⾕物制蒸馏酒精饮料</t>
  </si>
  <si>
    <t>朦朦醉</t>
  </si>
  <si>
    <t>芜湖初醉电子商务有限公司</t>
  </si>
  <si>
    <t>⻩酒;开胃酒;烈酒（饮料）;酒精饮料（啤酒除外）;葡萄酒;⽩酒;烧酒;⽶酒;⾷⽤酒精;果酒（含酒精）</t>
  </si>
  <si>
    <t>清数科技</t>
  </si>
  <si>
    <t>果酒;鸡尾酒;酒精饮料（啤酒除外）;烧酒;⽩酒;⾼粱酒;果酒（含酒精）;⽶酒;苹果酒;⾷⽤酒精</t>
  </si>
  <si>
    <t>曲止</t>
  </si>
  <si>
    <t>芬诺（珠海）企业管理有限公司</t>
  </si>
  <si>
    <t>果酒（含酒精）;清酒（⽇本⽶酒）;蒸馏饮料;鸡尾酒;⽩兰地;烈酒（饮料）;威⼠忌;⽶酒;⽩酒;葡萄酒</t>
  </si>
  <si>
    <t>都城宽窄</t>
  </si>
  <si>
    <t>天津天宝华酒类销售有限公司</t>
  </si>
  <si>
    <t>葡萄酒;⽩酒;蒸馏饮料;⽶酒;烧酒;⻩酒;烈酒（饮料）;酒精饮料（啤酒除外）;果酒（含酒精）;开胃酒</t>
  </si>
  <si>
    <t>植物精(北京)贸易有限公司</t>
  </si>
  <si>
    <t>汽酒;葡萄酒;鸡尾酒;威⼠忌;甜酒;果酒;烈酒;酒精饮料原汁;含⽔果酒精饮料;⼲型苹果酒</t>
  </si>
  <si>
    <t>北京海葵科技有限公司</t>
  </si>
  <si>
    <t>葡萄酒;果酒;蜂蜜酒;开胃酒;酒精饮料（啤酒除外）;鸡尾酒;烈酒;烧酒;⽩酒;⽶酒</t>
  </si>
  <si>
    <t>MOUNT INDIGO</t>
  </si>
  <si>
    <t>蓝色比利牛斯财产私人有限公司</t>
  </si>
  <si>
    <t>葡萄酒;酒精饮料（啤酒除外）;⽩葡萄酒;红葡萄酒;烈酒（饮料）;以葡萄酒为主的饮料;佐餐酒;开胃酒;威⼠忌;果酒（含酒精）</t>
  </si>
  <si>
    <t>XSRH</t>
  </si>
  <si>
    <t>荣航（福建）实业有限公司</t>
  </si>
  <si>
    <t>⾕物制蒸馏酒精饮料;⻩酒;以葡萄酒为主的饮料;酒精饮料（啤酒除外）;果酒（含酒精）;含酒精⽔果饮料;葡萄酒;含酒精的⽔果鸡尾酒饮料;⽶酒;含酒精的饮料（啤酒除外）</t>
  </si>
  <si>
    <t>苏萨零点</t>
  </si>
  <si>
    <t>江苏苏萨食品有限公司</t>
  </si>
  <si>
    <t>蜂蜜酒;酒精饮料原汁;⼲型苹果酒;薄荷酒;果酒;梨酒;含⽔果酒精饮料;葡萄酒;威⼠忌;樱桃酒</t>
  </si>
  <si>
    <t>偶得玉禄</t>
  </si>
  <si>
    <t>贵州偶得酒业有限公司</t>
  </si>
  <si>
    <t>清酒;果酒（含酒精）;烧酒;鸡尾酒;烈酒（饮料）;⽶酒;⻩酒;⽩酒;含酒精的饮料（啤酒除外）;葡萄酒</t>
  </si>
  <si>
    <t>克拉宝格莉</t>
  </si>
  <si>
    <t>蚌埠阿财老铺餐饮管理有限公司</t>
  </si>
  <si>
    <t>梅酒;葡萄酒;⽩酒;除啤酒外的酒精饮料;果酒;鸡尾酒;⽶酒;烧酒;甜酒;露酒</t>
  </si>
  <si>
    <t>钺马</t>
  </si>
  <si>
    <t>行唐桂隆食品有限公司</t>
  </si>
  <si>
    <t>⽶酒;葡萄酒;烧酒;果酒（含酒精）;⻩酒;伏特加酒;开胃酒;⽩兰地;预先混合的酒精饮料（以啤酒为主的除外）;⽩酒</t>
  </si>
  <si>
    <t>喜百春</t>
  </si>
  <si>
    <t>贵州百春酒业有限公司</t>
  </si>
  <si>
    <t>⾼粱酒;⽩⼲酒（中国⽩酒）;果酒;酒精饮料（啤酒除外）;⽩酒;烧酒;⽶酒;⽼酒（中国蒸馏烈酒）;⻩酒;蒸煮提取物（利⼝酒和烈酒）</t>
  </si>
  <si>
    <t>济南超意兴餐饮有限公司</t>
  </si>
  <si>
    <t>威⼠忌;⽶酒;⻩酒;⽩酒;葡萄酒;苦味酒;烈酒（饮料）;薄荷酒;清酒（⽇本⽶酒）;苹果酒</t>
  </si>
  <si>
    <t>蔓月草</t>
  </si>
  <si>
    <t>蔓月草（天津）生物科技有限公司</t>
  </si>
  <si>
    <t>果酒（含酒精）;蒸馏饮料;苹果酒;⽩酒;烈酒（饮料）;葡萄酒;鸡尾酒;含⽔果酒精饮料</t>
  </si>
  <si>
    <t>衡昌漫盏</t>
  </si>
  <si>
    <t>⻘稞酒;⽩⼲酒（中国⽩酒）;开胃酒;五加⽪酒（中国混合烈酒）;烧酒;⽩酒;蒸煮提取物（利⼝酒和烈酒）;⾼粱酒;由⾕物蒸馏的⽩酒;⻩酒</t>
  </si>
  <si>
    <t>隆昌泽福</t>
  </si>
  <si>
    <t>王加红</t>
  </si>
  <si>
    <t>蜂蜜酒;由⾕物蒸馏的⽩酒;⾼粱酒;⽼酒（中国蒸馏烈酒）;清酒;葡萄酒;⾷⽤酒精;⽶酒;⽩酒;果酒</t>
  </si>
  <si>
    <t>榴住阳光</t>
  </si>
  <si>
    <t>罗进</t>
  </si>
  <si>
    <t>葡萄酒;清酒（⽇本⽶酒）;⻩酒;⽩酒;威⼠忌;鸡尾酒;烈酒（饮料）;酒精饮料（啤酒除外）;开胃酒;果酒</t>
  </si>
  <si>
    <t>泽尔美</t>
  </si>
  <si>
    <t>吉林省五叶吉品农业科技有限公司</t>
  </si>
  <si>
    <t>⽶酒;⻩酒;⽩兰地;烈酒（饮料）;汽酒;⽩酒;烧酒;葡萄酒;清酒（⽇本⽶酒）;酒精饮料（啤酒除外）</t>
  </si>
  <si>
    <t>土拿么</t>
  </si>
  <si>
    <t>重庆德旗企业管理有限公司</t>
  </si>
  <si>
    <t>薄荷酒;酒精饮料（啤酒除外）;⻩酒;含⽔果酒精饮料;⽩酒;蒸馏饮料;葡萄酒;威⼠忌;开胃酒;果酒（含酒精）</t>
  </si>
  <si>
    <t>⽩酒;果酒;⻩酒;含酒精的饮料（啤酒除外）;酒精饮料（啤酒除外）;⻘稞酒;⾼粱酒;⽶酒;葡萄酒;烧酒</t>
  </si>
  <si>
    <t>酒精饮料（啤酒除外）;烧酒;⾼粱酒;⻘稞酒;含酒精的饮料（啤酒除外）;果酒;⽶酒;葡萄酒;⻩酒;⽩酒</t>
  </si>
  <si>
    <t>GOGO ROOSTER</t>
  </si>
  <si>
    <t>上海悦彤汇餐饮管理有限公司</t>
  </si>
  <si>
    <t>汽酒;⻩酒;蒸馏饮料;⽩酒;鸡尾酒;酒精饮料（啤酒除外）;葡萄酒;果酒;清酒;烧酒</t>
  </si>
  <si>
    <t>铂悦豪曼</t>
  </si>
  <si>
    <t>湖北铂悦豪曼电商科技有限公司</t>
  </si>
  <si>
    <t>清酒（⽇本⽶酒）;含⽔果酒精饮料;果酒（含酒精）;含酒精的鸡尾酒混合饮品;预调甜酒;⻩酒;⽶酒;⽩酒;威⼠忌;葡萄酒</t>
  </si>
  <si>
    <t>晚照霞</t>
  </si>
  <si>
    <t>广州博瑞贸易发展有限公司</t>
  </si>
  <si>
    <t>以葡萄酒为主的饮料;⽩⼲酒（中国⽩酒）;⽼酒（中国蒸馏烈酒）;⽩酒;⽩葡萄酒;果酒;葡萄酒;酒精饮料（啤酒除外）;红葡萄酒;⽩兰地</t>
  </si>
  <si>
    <t>华胥朱雀</t>
  </si>
  <si>
    <t>贵州华胥根脉酒业有限公司</t>
  </si>
  <si>
    <t>含酒精的⽓泡⽔;樱桃酒;朝鲜族⽶酒;烧酒;茴⾹酒（利⼝酒）;蜂蜜酒;⻩酒;果酒（含酒精）;⽩酒;葡萄酒</t>
  </si>
  <si>
    <t>四川省心田科技有限公司</t>
  </si>
  <si>
    <t>果酒（含酒精）;蒸馏饮料;⾼粱酒;果酒;由⾕物蒸馏的⽩酒;葡萄酒;⽶酒;烧酒;⽩酒;烧酒（烈酒）</t>
  </si>
  <si>
    <t>喜从容</t>
  </si>
  <si>
    <t>海南喜从容健康产业有限公司</t>
  </si>
  <si>
    <t>含⽔果酒精饮料;开胃酒;⽩酒;酒精饮料（啤酒除外）;⽶酒;葡萄酒;利⼝酒;苹果酒;烈酒（饮料）;果酒（含酒精）</t>
  </si>
  <si>
    <t>玉见兰生</t>
  </si>
  <si>
    <t>广东图美科技发展有限公司</t>
  </si>
  <si>
    <t>烧酒;果酒（含酒精）;⽩酒;鸡尾酒;酒精饮料（啤酒除外）;清酒（⽇本⽶酒）;⻩酒;⽶酒;烈酒（饮料）;葡萄酒</t>
  </si>
  <si>
    <t>观葚</t>
  </si>
  <si>
    <t>赖小辉</t>
  </si>
  <si>
    <t>⻩酒;⾷⽤酒精;果酒（含酒精）;⽩兰地;伏特加酒;威⼠忌;烈酒（饮料）;葡萄酒;朗姆酒;⽩酒</t>
  </si>
  <si>
    <t>樊粱</t>
  </si>
  <si>
    <t>重庆贵酱酒业有限公司</t>
  </si>
  <si>
    <t>⽩酒;烈酒;果酒（含酒精）;⽶酒;烧酒;葡萄酒;酒精饮料（啤酒除外）;⻩酒;甜酒;⾼粱酒</t>
  </si>
  <si>
    <t>李渡福袋</t>
  </si>
  <si>
    <t>江西李渡酒业有限公司</t>
  </si>
  <si>
    <t>⽶酒;酒精饮料（啤酒除外）;果酒（含酒精）;⽩酒;威⼠忌;利⼝酒;⻩酒;预先混合的酒精饮料（以啤酒为主的除外）;葡萄酒;烈酒（饮料）</t>
  </si>
  <si>
    <t>尧母醇</t>
  </si>
  <si>
    <t>河北尧城制酒有限公司</t>
  </si>
  <si>
    <t>⽩酒;酒精饮料（啤酒除外）;葡萄酒;⻩酒;梨酒;烧酒;烧酒（烈酒）;烈酒;刺五加酒;⽶酒</t>
  </si>
  <si>
    <t>金鼎古</t>
  </si>
  <si>
    <t>邱会明</t>
  </si>
  <si>
    <t>⽶酒;烧酒;⽩酒;樱桃酒;⻩酒;果酒（含酒精）;蜂蜜酒;梨酒;⻘稞酒;⾷⽤酒精</t>
  </si>
  <si>
    <t>魏州湖</t>
  </si>
  <si>
    <t>邯郸市迈柯建筑工程有限公司</t>
  </si>
  <si>
    <t>汽酒;⽼酒（中国蒸馏烈酒）;烧酒;⽶酒;⾷⽤酒精;⽩酒;⾼粱酒;果酒;红葡萄酒;⽩兰地</t>
  </si>
  <si>
    <t>福凤典</t>
  </si>
  <si>
    <t>靳晓丹</t>
  </si>
  <si>
    <t>⽩酒;⽶酒;葡萄酒;酒精饮料浓缩汁;⾷⽤酒精;果酒（含酒精）;烧酒;蒸煮提取物（利⼝酒和烈酒）;酒精饮料（啤酒除外）;⾼粱酒</t>
  </si>
  <si>
    <t>⾼粱酒;葡萄酒;⽩酒;果酒;酒精饮料（啤酒除外）;⻘稞酒;⽶酒;⻩酒;烧酒;含酒精的饮料（啤酒除外）</t>
  </si>
  <si>
    <t>峂享</t>
  </si>
  <si>
    <t>天津颐景天健康管理有限公司</t>
  </si>
  <si>
    <t>葡萄酒;⻩酒;含⽔果酒精饮料;⽶酒;⽩兰地;薄荷酒;果酒（含酒精）;⻘稞酒;⽼酒（中国蒸馏烈酒）;⽩酒</t>
  </si>
  <si>
    <t>候金令</t>
  </si>
  <si>
    <t>深圳市枫桦教育有限公司</t>
  </si>
  <si>
    <t>葡萄酒;酒精饮料浓缩汁;酒精饮料（啤酒除外）;⽩酒;⽶酒;⻩酒;烧酒;酒精饮料原汁;蒸煮提取物（利⼝酒和烈酒）</t>
  </si>
  <si>
    <t>浓园</t>
  </si>
  <si>
    <t>赵波</t>
  </si>
  <si>
    <t>果酒;⻩酒;酒精饮料（啤酒除外）;烈酒（饮料）;威⼠忌;开胃酒;⽩酒;清酒（⽇本⽶酒）;葡萄酒;鸡尾酒</t>
  </si>
  <si>
    <t>京相</t>
  </si>
  <si>
    <t>果酒（含酒精）;⽩酒;⽶酒;烧酒;⻩酒;葡萄酒;伏特加酒;开胃酒;预先混合的酒精饮料（以啤酒为主的除外）;⽩兰地</t>
  </si>
  <si>
    <t>响八方</t>
  </si>
  <si>
    <t>浙江响叭方科技有限公司</t>
  </si>
  <si>
    <t>清酒（⽇本⽶酒）;酒精饮料原汁;威⼠忌;鸡尾酒;蒸馏饮料;烧酒;⽩酒;⽶酒;汽酒;烈酒（饮料）</t>
  </si>
  <si>
    <t>祖英雄</t>
  </si>
  <si>
    <t>蒸馏饮料;烧酒;葡萄酒;⽩兰地;⽶酒;果酒（含酒精）;鸡尾酒;⻩酒;威⼠忌;⽩酒</t>
  </si>
  <si>
    <t>汉唐倾</t>
  </si>
  <si>
    <t>葡萄酒;⽶酒;果酒（含酒精）;⻩酒;⽩酒;烧酒;鸡尾酒;蒸馏饮料;威⼠忌;⽩兰地</t>
  </si>
  <si>
    <t>醇誉福</t>
  </si>
  <si>
    <t>葡萄酒;食用酒精;高粱酒;果酒（含酒精）;蒸煮提取物（利口酒和烈酒）;酒精饮料（啤酒除外）;酒精饮料浓缩汁;烧酒;白酒;米酒</t>
  </si>
  <si>
    <t>戊子熙焱</t>
  </si>
  <si>
    <t>浙江美源能源有限公司</t>
  </si>
  <si>
    <t>葡萄酒;清酒（⽇本⽶酒）;烧酒;开胃酒;⽩酒;蒸馏饮料;⽩兰地;酒精饮料（啤酒除外）;餐后酒（利⼝酒和烈酒）;含酒精的⽓泡⽔</t>
  </si>
  <si>
    <t>紫明贡</t>
  </si>
  <si>
    <t>永沙</t>
  </si>
  <si>
    <t>杨红梅372901********1823</t>
  </si>
  <si>
    <t>烧酒;含酒精⽔果饮料;葡萄酒;⻩酒;由⾕物蒸馏的⽩酒;⽼酒（中国蒸馏烈酒）;⽩酒;果酒;⽶酒;⽩⼲酒（中国⽩酒）</t>
  </si>
  <si>
    <t>绿荫老人</t>
  </si>
  <si>
    <t>河南老坚决企业管理有限公司</t>
  </si>
  <si>
    <t>⽩⼲酒（中国⽩酒）;⽼酒（中国蒸馏烈酒）;葡萄酒;烧酒;含酒精的⽔果鸡尾酒饮料;梨酒;⾼粱酒;红葡萄酒;⽩酒;以葡萄酒为主的饮料</t>
  </si>
  <si>
    <t>余大嘴</t>
  </si>
  <si>
    <t>江西康之康中药科技有限公司</t>
  </si>
  <si>
    <t>果酒（含酒精）;⽩酒;鸡尾酒;葡萄酒;⽶酒;烧酒;⽩兰地;⻩酒;蒸馏饮料;威⼠忌</t>
  </si>
  <si>
    <t>孙家原</t>
  </si>
  <si>
    <t>孙宁</t>
  </si>
  <si>
    <t>烧酒;果酒（含酒精）;刺五加酒;烈酒;⽶酒;酒精饮料（啤酒除外）;开胃酒;蒸馏饮料;⽩酒;葡萄酒</t>
  </si>
  <si>
    <t>偶得玉财</t>
  </si>
  <si>
    <t>含酒精的饮料（啤酒除外）;果酒（含酒精）;烧酒;葡萄酒;清酒;⻩酒;⽩酒;鸡尾酒;烈酒（饮料）;⽶酒</t>
  </si>
  <si>
    <t>樽酌梦</t>
  </si>
  <si>
    <t>蒸煮提取物（利⼝酒和烈酒）;⽶酒;⽩酒;烧酒;葡萄酒;酒精饮料（啤酒除外）;果酒（含酒精）;⾷⽤酒精;酒精饮料浓缩汁;烧酒（烈酒）</t>
  </si>
  <si>
    <t>富仁翁</t>
  </si>
  <si>
    <t>陈灿522130********0438</t>
  </si>
  <si>
    <t>葡萄酒;⾷⽤酒精;含⽔果酒精饮料;烈酒;⽶酒;⽩酒;蒸馏饮料;开胃酒;酒精饮料浓缩汁;酒精饮料（啤酒除外）</t>
  </si>
  <si>
    <t>路漫酿造</t>
  </si>
  <si>
    <t>台州市路漫文化传媒有限公司</t>
  </si>
  <si>
    <t>鸡尾酒;朗姆酒;清酒（⽇本⽶酒）;苹果酒;⽩兰地;果酒（含酒精）;蜂蜜酒;葡萄酒;⽶酒;酒精饮料（啤酒除外）</t>
  </si>
  <si>
    <t>河南元迪乳业有限公司</t>
  </si>
  <si>
    <t>苹果酒;柑⾹酒;⽶酒;果酒（含酒精）;餐后酒（利⼝酒和烈酒）;蜂蜜酒;樱桃酒;蒸馏饮料;鸡尾酒;葡萄酒</t>
  </si>
  <si>
    <t>哈不大</t>
  </si>
  <si>
    <t>青岛颐康再生健康管理有限公司</t>
  </si>
  <si>
    <t>果酒（含酒精）;蜂蜜酒;酒精饮料（啤酒除外）;鸡尾酒;烈酒（饮料）;威⼠忌;朗姆酒;以葡萄酒为主的饮料;⽩酒;葡萄酒</t>
  </si>
  <si>
    <t>稻福玺</t>
  </si>
  <si>
    <t>⽩酒;⽶酒;蒸煮提取物（利⼝酒和烈酒）;酒精饮料浓缩汁;⾷⽤酒精;烧酒;酒精饮料（啤酒除外）;⾼粱酒;果酒（含酒精）;葡萄酒</t>
  </si>
  <si>
    <t>平行的文明</t>
  </si>
  <si>
    <t>丝路视觉科技股份有限公司</t>
  </si>
  <si>
    <t>⻩酒;葡萄酒;清酒（⽇本⽶酒）;烧酒;鸡尾酒;⽶酒;烈酒（饮料）;⽩酒;果酒（含酒精）;酒精饮料（啤酒除外）</t>
  </si>
  <si>
    <t>赣民</t>
  </si>
  <si>
    <t>卢宏</t>
  </si>
  <si>
    <t>烧酒;⽶酒;葡萄酒;⻩酒;烈酒（饮料）;果酒（含酒精）;⽩酒;⾼粱酒;酒精饮料（啤酒除外）;鸡尾酒</t>
  </si>
  <si>
    <t>巫春百</t>
  </si>
  <si>
    <t>黄定高512228********5634</t>
  </si>
  <si>
    <t>⽩酒;烈酒;露酒;⽩⼲酒（中国⽩酒）;果酒;⾼粱酒;烧酒;⽶酒;蒸煮提取物（利⼝酒和烈酒）;酒精饮料（啤酒除外）</t>
  </si>
  <si>
    <t>汉坛芳</t>
  </si>
  <si>
    <t>张奎军</t>
  </si>
  <si>
    <t>⻩酒;烈酒（饮料）;威⼠忌;果酒;开胃酒;葡萄酒;⽩酒;清酒（⽇本⽶酒）;鸡尾酒;酒精饮料（啤酒除外）</t>
  </si>
  <si>
    <t>2024/06/28</t>
  </si>
  <si>
    <t>湘庐宣</t>
  </si>
  <si>
    <t>万春芬</t>
  </si>
  <si>
    <t>⽶酒;利⼝酒;⽩酒;酒精饮料（啤酒除外）;⻩酒;葡萄酒;⾷⽤酒精;果酒（含酒精）;烧酒;清酒（⽇本⽶酒）</t>
  </si>
  <si>
    <t>大漠美姬</t>
  </si>
  <si>
    <t>姬雪儿</t>
  </si>
  <si>
    <t>果酒（含酒精）;鸡尾酒;⽩酒;葡萄酒;含⽔果酒精饮料;⽩兰地;伏特加酒;开胃酒;⽶酒;酒精饮料（啤酒除外）</t>
  </si>
  <si>
    <t>故香见</t>
  </si>
  <si>
    <t>孙亚旗</t>
  </si>
  <si>
    <t>果酒（含酒精）;鸡尾酒;葡萄酒;酒精饮料（啤酒除外）;⽩酒;⽶酒;⻩酒;⾷⽤酒精;⽩兰地;含⽔果酒精饮料</t>
  </si>
  <si>
    <t>金富黔</t>
  </si>
  <si>
    <t>邵艳轻41042********5644X</t>
  </si>
  <si>
    <t>苹果酒;开胃酒;烈酒（饮料）;鸡尾酒;清酒;葡萄酒;含酒精的饮料（啤酒除外）;果酒;⻘稞酒;⽩酒</t>
  </si>
  <si>
    <t>庐赛泉</t>
  </si>
  <si>
    <t>王勋国</t>
  </si>
  <si>
    <t>葡萄酒;⽩兰地;⽶酒;⾕物制蒸馏酒精饮料;⻩酒;⽩酒;⾷⽤酒精;果酒（含酒精）;烈酒（饮料）;烧酒</t>
  </si>
  <si>
    <t>贵迎众</t>
  </si>
  <si>
    <t>黄子鑫</t>
  </si>
  <si>
    <t>烈酒;鸡尾酒;⽩兰地;威⼠忌;⽶酒;烧酒;葡萄酒;⻘稞酒;⻩酒;⽩酒</t>
  </si>
  <si>
    <t>贡彻</t>
  </si>
  <si>
    <t>⽩兰地;⻘稞酒;⽩酒;葡萄酒;⽶酒;烧酒;鸡尾酒;⻩酒;威⼠忌;烈酒</t>
  </si>
  <si>
    <t>汉汷</t>
  </si>
  <si>
    <t>邓剑波</t>
  </si>
  <si>
    <t>⽩酒;清酒（⽇本⽶酒）;⽶酒;烧酒;烈酒（饮料）;⾕物制蒸馏酒精饮料;开胃酒;酒精饮料（啤酒除外）;果酒（含酒精）;葡萄酒</t>
  </si>
  <si>
    <t>徽忆人</t>
  </si>
  <si>
    <t>安徽中皖酒业有限公司</t>
  </si>
  <si>
    <t>以葡萄酒为主的饮料;烧酒;⽩酒;烈酒;预先混合的酒精饮料（以啤酒为主的除外）;露酒;含⽔果酒精饮料;⻩酒;果酒（含酒精）;利⼝酒</t>
  </si>
  <si>
    <t>玛弟奴</t>
  </si>
  <si>
    <t>张盛开</t>
  </si>
  <si>
    <t>利⼝酒;果酒（含酒精）;烈酒（饮料）;蒸馏饮料;⽩酒;酒精饮料（啤酒除外）;⻩酒;⽶酒;烧酒;葡萄酒</t>
  </si>
  <si>
    <t>仙果果</t>
  </si>
  <si>
    <t>仙果果（西安）贸易有限公司</t>
  </si>
  <si>
    <t>苹果酒;葡萄酒;果酒（含酒精）;梨酒;含⽔果酒精饮料;汽酒;烈酒（饮料）;蒸馏饮料;以葡萄酒为主的饮料;⽩酒</t>
  </si>
  <si>
    <t>迟予</t>
  </si>
  <si>
    <t>葡闻嘉道（北京）进出口贸易有限公司</t>
  </si>
  <si>
    <t>威⼠忌;汽酒;⽩酒;鸡尾酒;果酒（含酒精）;⽶酒;烈酒（饮料）;⽩兰地;甜酒;葡萄酒</t>
  </si>
  <si>
    <t>稻中花</t>
  </si>
  <si>
    <t>四川稻中花生态农业开发有限公司</t>
  </si>
  <si>
    <t>烈酒（饮料）;⽩酒;葡萄酒;苹果酒;烧酒;鸡尾酒;清酒;含⽔果酒精饮料;果酒;酒精饮料（啤酒除外）</t>
  </si>
  <si>
    <t>芬芳金尼兹</t>
  </si>
  <si>
    <t>蒸馏饮料;⻩酒;葡萄酒;烈酒（饮料）;⽶酒;烧酒;⽩酒;利⼝酒;酒精饮料（啤酒除外）;果酒（含酒精）</t>
  </si>
  <si>
    <t>音乐会</t>
  </si>
  <si>
    <t>北京八达岭文旅集团有限公司</t>
  </si>
  <si>
    <t>⽶酒;⽩酒;葡萄酒;酒精饮料（啤酒除外）;⻩酒;烈酒（饮料）;威⼠忌;鸡尾酒;⽩兰地;果酒（含酒精）</t>
  </si>
  <si>
    <t>上海豪缘实业发展有限公司</t>
  </si>
  <si>
    <t>福美合运</t>
  </si>
  <si>
    <t>天津武清供销有限公司</t>
  </si>
  <si>
    <t>开胃酒;葡萄酒;预先混合的酒精饮料（以啤酒为主的除外）;果酒（含酒精）;⻩酒;酒精饮料原汁;⽩酒;蒸馏饮料;朗姆酒;⽩兰地</t>
  </si>
  <si>
    <t>迎庆年</t>
  </si>
  <si>
    <t>烧酒;⽶酒;⽩酒;⻩酒;烈酒;⽩兰地;威⼠忌;⻘稞酒;葡萄酒;鸡尾酒</t>
  </si>
  <si>
    <t>SHENG TAI DONG CANG</t>
  </si>
  <si>
    <t>郝庆</t>
  </si>
  <si>
    <t>⽶酒;⻘稞酒;果酒（含酒精）;烧酒;酒精饮料（啤酒除外）;⻩酒;⽩酒;开胃酒;葡萄酒;鸡尾酒</t>
  </si>
  <si>
    <t>普梦号</t>
  </si>
  <si>
    <t>丽江涑爽商贸有限公司</t>
  </si>
  <si>
    <t>⽩酒;鸡尾酒;果酒（含酒精）;烧酒;烈酒（饮料）;⽶酒;酒精饮料（啤酒除外）;葡萄酒;汽酒;⻩酒</t>
  </si>
  <si>
    <t>银仕</t>
  </si>
  <si>
    <t>酒精饮料（啤酒除外）;烧酒;⻩酒;⽩酒;果酒（含酒精）;蒸馏饮料;烈酒（饮料）;⽶酒;利⼝酒;葡萄酒</t>
  </si>
  <si>
    <t>千一秀源</t>
  </si>
  <si>
    <t>湖北鸿保农业开发有限公司</t>
  </si>
  <si>
    <t>⽩酒;果酒（含酒精）;清酒（⽇本⽶酒）;烧酒;⾕物制蒸馏酒精饮料;酒精饮料原汁;葡萄酒;⾷⽤酒精;酒精饮料浓缩汁;含⽔果酒精饮料</t>
  </si>
  <si>
    <t>宝寅</t>
  </si>
  <si>
    <t>付元良</t>
  </si>
  <si>
    <t>⻩酒;烈酒（饮料）;威⼠忌;朗姆酒;葡萄酒;伏特加酒;⽩酒;清酒（⽇本⽶酒）;⽶酒;含⽔果酒精饮料</t>
  </si>
  <si>
    <t>古酩侯</t>
  </si>
  <si>
    <t>贾英豪</t>
  </si>
  <si>
    <t>果酒（含酒精）;烧酒;⽶酒;⽩酒;⾼粱酒;蒸煮提取物（利⼝酒和烈酒）;酒精饮料（啤酒除外）;酒精饮料浓缩汁;⾷⽤酒精;葡萄酒</t>
  </si>
  <si>
    <t>林顿威尔  LINTON WILL</t>
  </si>
  <si>
    <t>罗群群</t>
  </si>
  <si>
    <t>烈酒（饮料）;⻩酒;⽩酒;鸡尾酒;汽酒;蒸馏饮料;烧酒;开胃酒;果酒（含酒精）;薄荷酒</t>
  </si>
  <si>
    <t>大峡谷漫境</t>
  </si>
  <si>
    <t>贵州大峡谷酿酒有限公司</t>
  </si>
  <si>
    <t>⽩酒;清酒;⾼粱酒;威⼠忌;餐后酒（利⼝酒和烈酒）;鸡尾酒;⽶酒;葡萄酒;果酒;⽼酒（中国蒸馏烈酒）</t>
  </si>
  <si>
    <t>千田万亩  QTWM</t>
  </si>
  <si>
    <t>彭泉铭</t>
  </si>
  <si>
    <t>⽩酒;已调味的蒸馏酒;开胃酒;⽼酒（中国蒸馏烈酒）;烧酒;⻩酒;预先混合的酒精饮料（以啤酒为主的除外）;梅酒;⽶酒;烈酒</t>
  </si>
  <si>
    <t>羲皇图腾</t>
  </si>
  <si>
    <t>周口市博物馆</t>
  </si>
  <si>
    <t>葡萄酒;烈酒;汽酒;果酒（含酒精）;鸡尾酒;苹果酒;开胃酒;清酒;⽩酒;含酒精的饮料（啤酒除外）</t>
  </si>
  <si>
    <t>埃珂珅</t>
  </si>
  <si>
    <t>何风伟中</t>
  </si>
  <si>
    <t>威⼠忌;⽩酒;烧酒;葡萄酒;鸡尾酒;利⼝酒;蒸馏饮料;⽶酒;果酒（含酒精）;含⽔果酒精饮料</t>
  </si>
  <si>
    <t>康甲壹号</t>
  </si>
  <si>
    <t>湖北康甲酒业股份有限公司</t>
  </si>
  <si>
    <t>烧酒;⽶酒;葡萄酒;⾷⽤酒精;烈酒（饮料）;⻩酒;果酒（含酒精）;蒸煮提取物（利⼝酒和烈酒）;利⼝酒;⽩酒</t>
  </si>
  <si>
    <t>群声</t>
  </si>
  <si>
    <t>⽩酒;⻩酒;葡萄酒;烧酒;⻘稞酒;⽶酒;鸡尾酒;酒精饮料（啤酒除外）;果酒（含酒精）;烈酒（饮料）</t>
  </si>
  <si>
    <t>九窖道</t>
  </si>
  <si>
    <t>丽利星食品有限公司</t>
  </si>
  <si>
    <t>含⽔果酒精饮料;鸡尾酒;⽩酒;果酒（含酒精）;⽶酒;葡萄酒;酒精饮料（啤酒除外）;⻩酒;⽩兰地;⾷⽤酒精</t>
  </si>
  <si>
    <t>希金德</t>
  </si>
  <si>
    <t>希洛建筑科技（广东）有限公司</t>
  </si>
  <si>
    <t>贡曲川</t>
  </si>
  <si>
    <t>鸡尾酒;⽩酒;烧酒;威⼠忌;⽶酒;葡萄酒;烈酒;⽩兰地;⻘稞酒;⻩酒</t>
  </si>
  <si>
    <t>诗恬 MSWEETY</t>
  </si>
  <si>
    <t>苏州特立独行食品有限公司</t>
  </si>
  <si>
    <t>烈酒（饮料）;⽩兰地;⻘梅酒;杨梅酒;⽩酒;含酒精的饮料（啤酒除外）;含酒精的⽔果鸡尾酒饮料;⻩酒;果酒（含酒精）;葡萄酒</t>
  </si>
  <si>
    <t>庆福门</t>
  </si>
  <si>
    <t>含酒精的饮料（啤酒除外）;⻘稞酒;鸡尾酒;果酒;⽩酒;苹果酒;开胃酒;烈酒（饮料）;清酒;葡萄酒</t>
  </si>
  <si>
    <t>湘酣</t>
  </si>
  <si>
    <t>湖南湘温企业管理集团有限公司</t>
  </si>
  <si>
    <t>⽩酒;⽩⼲酒（中国⽩酒）;已调味的蒸馏酒;露酒;烈酒;烧酒;⻩酒;葡萄酒;⽶酒;⾼粱酒</t>
  </si>
  <si>
    <t>古河雪</t>
  </si>
  <si>
    <t>上海天琴文化传媒有限公司</t>
  </si>
  <si>
    <t>葡萄酒;含⽔果酒精饮料;酒精饮料（啤酒除外）;⻩酒;汽酒;烈酒（饮料）;⽩酒</t>
  </si>
  <si>
    <t>龙酿财</t>
  </si>
  <si>
    <t>冯雨阳</t>
  </si>
  <si>
    <t>汽酒;果酒;开胃酒;酒精饮料（啤酒除外）;白酒;黄酒;米酒;威士忌;甜酒;杨梅酒</t>
  </si>
  <si>
    <t>康梦琪</t>
  </si>
  <si>
    <t>王甲荣</t>
  </si>
  <si>
    <t>烧酒;⾼粱酒;烈酒（饮料）;⽩酒;蒸馏饮料;⻩酒;⽩⼲酒（中国⽩酒）;烧酒（烈酒）;由⾕物蒸馏的⽩酒;威⼠忌</t>
  </si>
  <si>
    <t>咸桂</t>
  </si>
  <si>
    <t>湖北咸桂品牌管理有限公司</t>
  </si>
  <si>
    <t>⽶酒;鸡尾酒;葡萄酒;果酒（含酒精）;含⽔果酒精饮料;蒸馏饮料;烈酒（饮料）;烧酒;酒精饮料（啤酒除外）;⽩酒</t>
  </si>
  <si>
    <t>翌律</t>
  </si>
  <si>
    <t>上海翌案法律咨询有限公司</t>
  </si>
  <si>
    <t>⽩⼲酒（中国⽩酒）;果酒（含酒精）</t>
  </si>
  <si>
    <t>迷趣时光</t>
  </si>
  <si>
    <t>吕英</t>
  </si>
  <si>
    <t>烧酒;蜂蜜酒;⽩酒;葡萄酒;果酒（含酒精）;⽩⼲酒（中国⽩酒）;烈酒（饮料）;⾷⽤酒精;⽩兰地;⻩酒</t>
  </si>
  <si>
    <t>南京云锦研究所有限公司</t>
  </si>
  <si>
    <t>果酒（含酒精）;⽩酒;汽酒;葡萄酒;鸡尾酒;烈酒（饮料）;⽶酒;甜酒;蒸馏饮料;酒精饮料（啤酒除外）</t>
  </si>
  <si>
    <t>百长泉</t>
  </si>
  <si>
    <t>吉林省葛圣酒业有限公司</t>
  </si>
  <si>
    <t>⽩酒;烧酒（烈酒）;⽼酒（中国蒸馏烈酒）;⽩⼲酒（中国⽩酒）;⾼粱酒;伏特加酒;清酒;露酒;⻩酒;蒸煮提取物（利⼝酒和烈酒）</t>
  </si>
  <si>
    <t>江南茗册</t>
  </si>
  <si>
    <t>丹崖茗韵茶业（福建福州）有限公司</t>
  </si>
  <si>
    <t>威⼠忌;⽩酒;含酒精的饮料（啤酒除外）;红葡萄酒;鸡尾酒;葡萄酒;⽼酒（中国蒸馏烈酒）;⽩葡萄酒;⽩兰地;⽶酒</t>
  </si>
  <si>
    <t>太缸</t>
  </si>
  <si>
    <t>绍兴市绍一缸酒业有限公司</t>
  </si>
  <si>
    <t>果酒（含酒精）;鸡尾酒;酒精饮料（啤酒除外）;葡萄酒;⽩酒;⻩酒;清酒（⽇本⽶酒）;⽶酒;烧酒;汽酒</t>
  </si>
  <si>
    <t>蜂羚纪</t>
  </si>
  <si>
    <t>云南蜂羚记实业有限公司</t>
  </si>
  <si>
    <t>⽶酒;烈酒（饮料）;烧酒;⾷⽤酒精;⻘稞酒;威⼠忌;⽩酒;含⽔果酒精饮料;果酒（含酒精）;⻩酒</t>
  </si>
  <si>
    <t>南尹边邑</t>
  </si>
  <si>
    <t>赤水市志扬商贸有限公司</t>
  </si>
  <si>
    <t>威⼠忌;朗姆酒;⾼粱酒;⽩酒;果酒（含酒精）;伏特加酒;烈酒;利⼝酒;开胃酒;⽩葡萄酒</t>
  </si>
  <si>
    <t>玛尚廷</t>
  </si>
  <si>
    <t>安徽穆医堂医疗科技有限公司</t>
  </si>
  <si>
    <t>开胃酒;果酒（含酒精）;汽酒;酒精饮料（啤酒除外）;葡萄酒;⻘稞酒;⻩酒;清酒;⽩酒;烧酒</t>
  </si>
  <si>
    <t>PARTYSKY</t>
  </si>
  <si>
    <t>动力酷尊（广州）酒业有限责任公司</t>
  </si>
  <si>
    <t>含⽔果酒精饮料;⽶酒;开胃酒;朗姆酒;酒精饮料（啤酒除外）;伏特加酒;汽酒;利⼝酒;威⼠忌;鸡尾酒</t>
  </si>
  <si>
    <t>四时悠然·节气张</t>
  </si>
  <si>
    <t>九同（天津）广告传媒有限责任公司</t>
  </si>
  <si>
    <t>果酒（含酒精）;葡萄酒;汽酒;⻩酒;⽩酒;含⽔果酒精饮料;酒精饮料（啤酒除外）;⽶酒;烧酒;清酒（⽇本⽶酒）</t>
  </si>
  <si>
    <t>醉莫愁天禄</t>
  </si>
  <si>
    <t>世嘉利集团有限公司</t>
  </si>
  <si>
    <t>⻩酒;威⼠忌;含酒精的鸡尾酒混合饮品;烧酒;葡萄酒;⽩酒;⽩兰地;⾷⽤酒精;⽩⼲酒（中国⽩酒）;汽酒</t>
  </si>
  <si>
    <t>果蓝朵尔</t>
  </si>
  <si>
    <t>内蒙古果壳文化传播有限公司</t>
  </si>
  <si>
    <t>含酒精蛋奶酒;酒精饮料（啤酒除外）;含酒精的⽔果鸡尾酒饮料;含酒精⽔果饮料;含酒精的饮料（啤酒除外）;含⽜奶的鸡尾酒;含酒精的充⽓饮料（啤酒除外）;已调味的蒸馏酒;含⽔果酒精饮料;除啤酒外的酒精饮料</t>
  </si>
  <si>
    <t>柔谏</t>
  </si>
  <si>
    <t>盛卿峪</t>
  </si>
  <si>
    <t>朗姆酒;⾷⽤酒精;威⼠忌;烈酒（饮料）;葡萄酒;⽩酒;⻩酒;清酒;果酒（含酒精）;⽩兰地</t>
  </si>
  <si>
    <t>汉香赋</t>
  </si>
  <si>
    <t>烈酒（饮料）;⽩酒;清酒;威⼠忌;⾷⽤酒精;果酒（含酒精）;⻩酒;朗姆酒;葡萄酒;⽩兰地</t>
  </si>
  <si>
    <t>粮天迎</t>
  </si>
  <si>
    <t>买胜利</t>
  </si>
  <si>
    <t>鸡尾酒;⽩兰地;⽩酒;⻩酒;烧酒;葡萄酒;蒸馏饮料;威⼠忌;⽶酒;果酒（含酒精）</t>
  </si>
  <si>
    <t>祖沙尊</t>
  </si>
  <si>
    <t>鸡尾酒;⽩酒;⻩酒;果酒（含酒精）;烧酒;威⼠忌;⽶酒;蒸馏饮料;葡萄酒;⽩兰地</t>
  </si>
  <si>
    <t>贵咏平</t>
  </si>
  <si>
    <t>⻩酒;烧酒;⽶酒;⽩兰地;烈酒;威⼠忌;⽩酒;鸡尾酒;葡萄酒;⻘稞酒</t>
  </si>
  <si>
    <t>张晓</t>
  </si>
  <si>
    <t>⽼酒（中国蒸馏烈酒）;葡萄酒;烈酒;⾼粱酒;鸡尾酒;⽶酒;蜂蜜酒;果酒;⽩酒;甜酒</t>
  </si>
  <si>
    <t>美天禄</t>
  </si>
  <si>
    <t>⽩⼲酒（中国⽩酒）;含酒精的鸡尾酒混合饮品;⾷⽤酒精;⻩酒;⽩酒;⽩兰地;汽酒;烧酒;威⼠忌;葡萄酒</t>
  </si>
  <si>
    <t>勋杰</t>
  </si>
  <si>
    <t>威⼠忌;⽩兰地;⽩酒;葡萄酒;烈酒（饮料）;⻩酒;清酒;朗姆酒;果酒（含酒精）;⾷⽤酒精</t>
  </si>
  <si>
    <t>龙酿禧</t>
  </si>
  <si>
    <t>果酒;⽩酒;威⼠忌;⽶酒;⻩酒;开胃酒;酒精饮料（啤酒除外）;杨梅酒;汽酒;甜酒</t>
  </si>
  <si>
    <t>常荣耀</t>
  </si>
  <si>
    <t>贵州常荣烧坊酒业有限公司</t>
  </si>
  <si>
    <t>烈酒（饮料）;⻩酒;⽩兰地;⽩酒;果酒（含酒精）;威⼠忌;⽶酒;开胃酒;薄荷酒;鸡尾酒</t>
  </si>
  <si>
    <t>黍里香</t>
  </si>
  <si>
    <t>宿迁市黍里香酒业有限公司</t>
  </si>
  <si>
    <t>苹果酒;朗姆酒;葡萄酒;烧酒;蜂蜜酒;⻩酒;⽩酒;清酒（⽇本⽶酒）;威⼠忌;⽶酒</t>
  </si>
  <si>
    <t>喜相庆</t>
  </si>
  <si>
    <t>黄朝新</t>
  </si>
  <si>
    <t>清酒（⽇本⽶酒）;⻩酒;⻘稞酒;烧酒;⽶酒;薄荷酒;烈酒（饮料）;酒精饮料（啤酒除外）;果酒（含酒精）;⽩酒</t>
  </si>
  <si>
    <t>汉秦川</t>
  </si>
  <si>
    <t>果酒;含⽔果酒精饮料;蜂蜜酒;葡萄酒;酒精饮料浓缩汁;⽶酒;汽酒;⻘稞酒;⽩酒;威⼠忌</t>
  </si>
  <si>
    <t>漫小新</t>
  </si>
  <si>
    <t>漫小新企业发展（上海）有限公司</t>
  </si>
  <si>
    <t>酒精饮料（啤酒除外）;鸡尾酒;薄荷酒;含⽔果酒精饮料;果酒（含酒精）;⾼粱酒;⽶酒;威⼠忌;葡萄酒;烧酒;⻩酒;蒸馏饮料;⽩酒;含酒精的潘趣酒;汽酒;⽩兰地</t>
  </si>
  <si>
    <t>醉莫愁美禄</t>
  </si>
  <si>
    <t>⽩⼲酒（中国⽩酒）;⽩酒;葡萄酒;含酒精的鸡尾酒混合饮品;⽩兰地;⾷⽤酒精;烧酒;汽酒;威⼠忌;⻩酒</t>
  </si>
  <si>
    <t>老奔</t>
  </si>
  <si>
    <t>何改忠</t>
  </si>
  <si>
    <t>⾼粱酒;⽶酒;⻘稞酒;利⼝酒;鸡尾酒;⽩酒;蜂蜜酒;苦荞酒;葡萄酒;烈酒（饮料）</t>
  </si>
  <si>
    <t>台酿酒洲</t>
  </si>
  <si>
    <t>⻩酒;⽩酒;甜酒;清酒;烧酒;⽶酒;果酒;含酒精的饮料（啤酒除外）;⻘梅酒;汽酒</t>
  </si>
  <si>
    <t>迎福潭 YINGFUTANJIU</t>
  </si>
  <si>
    <t>王燕仿</t>
  </si>
  <si>
    <t>烧酒;烈酒（饮料）;酒精饮料（啤酒除外）;⽶酒;⽩酒;⻩酒;鸡尾酒;葡萄酒;⾷⽤酒精;⻘稞酒</t>
  </si>
  <si>
    <t>蒙辽王</t>
  </si>
  <si>
    <t>蔺海强</t>
  </si>
  <si>
    <t>⻘稞酒;⾼粱酒;⽩酒;露酒;烧酒;⻩酒;葡萄酒;酒精饮料（啤酒除外）;⽶酒;果酒（含酒精）</t>
  </si>
  <si>
    <t>古蜀碧穹</t>
  </si>
  <si>
    <t>四川古蜀坊酒业有限责任公司</t>
  </si>
  <si>
    <t>酒精饮料（啤酒除外）;⽩酒;⾼粱酒;果酒（含酒精）;⽩⼲酒（中国⽩酒）;葡萄酒;酒精饮料原汁;烈酒;鸡尾酒;清酒（⽇本⽶酒）</t>
  </si>
  <si>
    <t>祥龙千御</t>
  </si>
  <si>
    <t>山东黄王酿酒有限公司</t>
  </si>
  <si>
    <t>果酒;含⽔果酒精饮料;烧酒;⻩酒;⾼粱酒;⽩⼲酒（中国⽩酒）;葡萄酒;⽶酒;⽼酒（中国蒸馏烈酒）;⽩酒</t>
  </si>
  <si>
    <t>彝乡见</t>
  </si>
  <si>
    <t>常威威</t>
  </si>
  <si>
    <t>葡萄酒;含⽔果酒精饮料;⽩兰地;酒精饮料（啤酒除外）;⻩酒;⽶酒;鸡尾酒;⾷⽤酒精;果酒（含酒精）;⽩酒</t>
  </si>
  <si>
    <t>上苔醉悦</t>
  </si>
  <si>
    <t>北京全民良子电子商务有限公司</t>
  </si>
  <si>
    <t>果酒（含酒精）;⾷⽤酒精;葡萄酒;酒精饮料（啤酒除外）;⽩酒;清酒（⽇本⽶酒）;威⼠忌;酒精饮料原汁;预先混合的酒精饮料（以啤酒为主的除外）;蒸馏饮料</t>
  </si>
  <si>
    <t>鸿盛王</t>
  </si>
  <si>
    <t>王叔培</t>
  </si>
  <si>
    <t>鸡尾酒;果酒（含酒精）;⽩酒;烧酒;⽩兰地;酒精饮料（啤酒除外）;葡萄酒;烈酒（饮料）;威⼠忌;⽶酒</t>
  </si>
  <si>
    <t>邈富</t>
  </si>
  <si>
    <t>北京创想浩远科贸有限公司</t>
  </si>
  <si>
    <t>鸡尾酒;⽩酒;⽶酒;⻩酒;蒸馏饮料;葡萄酒;酒精饮料原汁;蒸煮提取物（利⼝酒和烈酒）;梅酒;果酒</t>
  </si>
  <si>
    <t>贺贺喜</t>
  </si>
  <si>
    <t>鸡尾酒;葡萄酒;樱桃酒;梨酒;⽩酒;果酒（含酒精）;蜂蜜酒;⻩酒;苹果酒;⽶酒</t>
  </si>
  <si>
    <t>优尼特蝴蝶</t>
  </si>
  <si>
    <t>优尼特葡萄酒集团农业合作公司</t>
  </si>
  <si>
    <t>骆驼平房里</t>
  </si>
  <si>
    <t>内蒙古骆驼酒业集团股份有限公司</t>
  </si>
  <si>
    <t>烧酒;⾷⽤酒精;烈酒（饮料）;⽩酒;⽶酒;⻘稞酒;⻩酒;果酒（含酒精）;酒精饮料（啤酒除外）;葡萄酒</t>
  </si>
  <si>
    <t>冠侯台</t>
  </si>
  <si>
    <t>贵州冠侯台酒业有限公司</t>
  </si>
  <si>
    <t>⽩葡萄酒;威⼠忌;⽩酒;⾼粱酒;果酒（含酒精）;烈酒;开胃酒;朗姆酒;利⼝酒;伏特加酒</t>
  </si>
  <si>
    <t>坛奈</t>
  </si>
  <si>
    <t>蒋佳成</t>
  </si>
  <si>
    <t>酒精饮料（啤酒除外）;⽩酒;⻩酒;果酒（含酒精）;烧酒;烈酒（饮料）;薄荷酒;清酒（⽇本⽶酒）;⽶酒;葡萄酒</t>
  </si>
  <si>
    <t>嚞医堂</t>
  </si>
  <si>
    <t>⽩酒;酒精饮料（啤酒除外）;果酒（含酒精）;汽酒;清酒;⻘稞酒;⻩酒;葡萄酒;开胃酒;烧酒</t>
  </si>
  <si>
    <t>朴峰</t>
  </si>
  <si>
    <t>宋海霞</t>
  </si>
  <si>
    <t>⽩酒;⽶酒;果酒;含⽔果酒精饮料;⾷⽤酒精;烧酒;苦味酒;葡萄酒;烈酒;⻩酒</t>
  </si>
  <si>
    <t>绍东关</t>
  </si>
  <si>
    <t>绍兴上虞阿舅啦电子商务有限公司</t>
  </si>
  <si>
    <t>果酒（含酒精）;⻩酒;⽩酒;酒精饮料浓缩汁;酒精饮料（啤酒除外）;葡萄酒;樱桃酒;⽶酒;烧酒;含⽔果酒精饮料</t>
  </si>
  <si>
    <t>仕梦台</t>
  </si>
  <si>
    <t>果酒（含酒精）;葡萄酒;⻩酒;朗姆酒;⽩兰地;⾷⽤酒精;清酒;威⼠忌;烈酒（饮料）;⽩酒</t>
  </si>
  <si>
    <t>宝坪落凼湾</t>
  </si>
  <si>
    <t>云阳县宝坪镇产业发展服务中心</t>
  </si>
  <si>
    <t>葡萄酒;⾼粱酒;清酒;⾷⽤酒精;甜酒;果酒;⽩酒;⻩酒;⽶酒;烧酒</t>
  </si>
  <si>
    <t>庞泉晋喜福</t>
  </si>
  <si>
    <t>山西庞泉酒庄有限公司</t>
  </si>
  <si>
    <t>葡萄酒;白酒;烈酒浓缩汁;烈酒（饮料）;黄酒;白干酒（中国白酒）;高粱酒;蒸煮提取物（利口酒和烈酒）;食用酒精;烧酒</t>
  </si>
  <si>
    <t>本草章</t>
  </si>
  <si>
    <t>中酒国品(北京)电子商务有限公司</t>
  </si>
  <si>
    <t>葡萄酒;清酒（⽇本⽶酒）;酒精饮料（啤酒除外）;⽶酒;甜酒;果酒（含酒精）;烧酒;⽩酒;烈酒（饮料）;⻩酒</t>
  </si>
  <si>
    <t>君盛强</t>
  </si>
  <si>
    <t>⻩酒;果酒（含酒精）;酒精饮料（啤酒除外）;⽩酒;葡萄酒;开胃酒;汽酒;清酒;烧酒;⻘稞酒</t>
  </si>
  <si>
    <t>湘庐仙</t>
  </si>
  <si>
    <t>果酒（含酒精）;⽩酒;⻩酒;烧酒;酒精饮料（啤酒除外）;葡萄酒;⾷⽤酒精;利⼝酒;清酒（⽇本⽶酒）;⽶酒</t>
  </si>
  <si>
    <t>洋乡</t>
  </si>
  <si>
    <t>丁涛</t>
  </si>
  <si>
    <t>⽩酒;果酒（含酒精）;蒸馏饮料;酒精饮料（啤酒除外）;烈酒（饮料）;⻩酒;葡萄酒;⽩兰地;威⼠忌;⽶酒</t>
  </si>
  <si>
    <t>罗盘针</t>
  </si>
  <si>
    <t>北京高必林贸易有限公司</t>
  </si>
  <si>
    <t>烧酒;⽶酒;朗姆酒;伏特加酒;烈酒（饮料）;葡萄酒;⽩酒;⽩兰地;威⼠忌;果酒（含酒精）</t>
  </si>
  <si>
    <t>众声</t>
  </si>
  <si>
    <t>⻩酒;酒精饮料（啤酒除外）;烈酒（饮料）;果酒（含酒精）;烧酒;⽩酒;葡萄酒;⻘稞酒;⽶酒;鸡尾酒</t>
  </si>
  <si>
    <t>富贵皇樽</t>
  </si>
  <si>
    <t>⽶酒;杨梅酒;汽酒;果酒;酒精饮料（啤酒除外）;开胃酒;甜酒;⽩酒;⻩酒;威⼠忌</t>
  </si>
  <si>
    <t>愿荣烧坊</t>
  </si>
  <si>
    <t>汽酒;⻩酒;⽶酒;果酒;开胃酒;威⼠忌;酒精饮料（啤酒除外）;甜酒;⽩酒;杨梅酒</t>
  </si>
  <si>
    <t>晋福梦</t>
  </si>
  <si>
    <t>酒精饮料（啤酒除外）;开胃酒;⻩酒;威⼠忌;⽩酒;汽酒;⽶酒;果酒;甜酒;杨梅酒</t>
  </si>
  <si>
    <t>徵医堂</t>
  </si>
  <si>
    <t>清酒;葡萄酒;汽酒;烧酒;⻘稞酒;酒精饮料（啤酒除外）;开胃酒;⻩酒;果酒（含酒精）;⽩酒</t>
  </si>
  <si>
    <t>琥瘾</t>
  </si>
  <si>
    <t>黄江</t>
  </si>
  <si>
    <t>威⼠忌;⻩酒;红葡萄酒;葡萄酒;起泡⽩葡萄酒;⽩酒;⽼酒（中国蒸馏烈酒）;蜂蜜酒;⻘梅酒;樱桃酒</t>
  </si>
  <si>
    <t>云优臻优鲜</t>
  </si>
  <si>
    <t>云南臻优鲜农业有限公司</t>
  </si>
  <si>
    <t>⽶酒;鸡尾酒;⽩酒;蜂蜜酒;混合威⼠忌酒;含⽔果酒精饮料;烈酒;⻘梅酒;杨梅酒;樱桃酒</t>
  </si>
  <si>
    <t>蒸馏饮料;烈酒（饮料）;苹果酒;以葡萄酒为主的饮料;含⽔果酒精饮料;汽酒;葡萄酒;⽩酒;果酒（含酒精）;梨酒</t>
  </si>
  <si>
    <t>卓族</t>
  </si>
  <si>
    <t>魏见军</t>
  </si>
  <si>
    <t>开胃酒;鸡尾酒;清酒（⽇本⽶酒）;威⼠忌;果酒;葡萄酒;⽩酒;烈酒（饮料）;酒精饮料（啤酒除外）;⻩酒</t>
  </si>
  <si>
    <t>梦苏匠</t>
  </si>
  <si>
    <t>江苏双沟酒业股份有限公司</t>
  </si>
  <si>
    <t>⽩酒;烧酒;开胃酒;蒸煮提取物（利⼝酒和烈酒）;葡萄酒;烈酒（饮料）;酒精饮料（啤酒除外）;蒸馏饮料;果酒（含酒精）;鸡尾酒</t>
  </si>
  <si>
    <t>畲家金贝</t>
  </si>
  <si>
    <t>福安市潭头镇渔溪洋村股份经济联合社</t>
  </si>
  <si>
    <t>果酒（含酒精）;⾕物制蒸馏酒精饮料;蒸馏饮料;烈酒（饮料）;⻩酒;酒精饮料（啤酒除外）;⾷⽤酒精;⽶酒;烧酒;⽩酒</t>
  </si>
  <si>
    <t>闻嵩</t>
  </si>
  <si>
    <t>宿迁市洋河镇华伟酒厂</t>
  </si>
  <si>
    <t>葡萄酒;酒精饮料（啤酒除外）;⽶酒;酒精饮料原汁;⻩酒;果酒（含酒精）;鸡尾酒;⾷⽤酒精;⽩酒;烧酒</t>
  </si>
  <si>
    <t>兔闪闪</t>
  </si>
  <si>
    <t>果酒（含酒精）;烧酒;酒精饮料（啤酒除外）;⻘稞酒;清酒;⽩酒;葡萄酒;开胃酒;汽酒;⻩酒</t>
  </si>
  <si>
    <t>楠溪故里</t>
  </si>
  <si>
    <t>潘敢忠</t>
  </si>
  <si>
    <t>蜂蜜酒;烧酒;樱桃酒;梨酒;苹果酒;⽶酒;果酒;⽩酒;⻩酒</t>
  </si>
  <si>
    <t>京冉</t>
  </si>
  <si>
    <t>山东九恒私募基金管理有限公司</t>
  </si>
  <si>
    <t>⽩⼲酒（中国⽩酒）;⽼酒（中国蒸馏烈酒）;餐后酒（利⼝酒和烈酒）;清酒;烧酒;⾼粱酒;红葡萄酒;⻩酒;⽩酒;⽶酒</t>
  </si>
  <si>
    <t>九品丞</t>
  </si>
  <si>
    <t>⾷⽤酒精;⻩酒;鸡尾酒;果酒（含酒精）;含⽔果酒精饮料;酒精饮料（啤酒除外）;⽩兰地;⽶酒;葡萄酒;⽩酒</t>
  </si>
  <si>
    <t>水浒山</t>
  </si>
  <si>
    <t>临沂嘉印包装设计有限公司</t>
  </si>
  <si>
    <t>⾷⽤酒精;鸡尾酒;⽩酒;烈酒（饮料）;烧酒;汽酒;葡萄酒;开胃酒;清酒;果酒（含酒精）</t>
  </si>
  <si>
    <t>醉壶华樽</t>
  </si>
  <si>
    <t>⾷⽤酒精;露酒;⾼粱酒;果酒（含酒精）;⾕物制蒸馏酒精饮料;⻘梅酒;⽼酒（中国蒸馏烈酒）;葡萄酒;⽩酒;酒精饮料（啤酒除外）</t>
  </si>
  <si>
    <t>华鼎光辉</t>
  </si>
  <si>
    <t>开胃酒;威⼠忌;果酒;⽩酒;甜酒;⻩酒;汽酒;杨梅酒;⽶酒;酒精饮料（啤酒除外）</t>
  </si>
  <si>
    <t>露十七</t>
  </si>
  <si>
    <t>漯河市优点文化传播有限公司</t>
  </si>
  <si>
    <t>⽩兰地;烈酒（饮料）;酒精饮料（啤酒除外）;⽶酒;⻩酒;烧酒;葡萄酒;果酒;⽩酒;清酒</t>
  </si>
  <si>
    <t>甜美富华</t>
  </si>
  <si>
    <t>姜成</t>
  </si>
  <si>
    <t>以葡萄酒为主的饮料;果酒（含酒精）;汽酒;⾕物制蒸馏酒精饮料;蒸馏饮料;鸡尾酒;⽩酒</t>
  </si>
  <si>
    <t>龙津小将</t>
  </si>
  <si>
    <t>姬向东</t>
  </si>
  <si>
    <t>烧酒;威⼠忌;蒸馏饮料;⽩酒;酒精饮料（啤酒除外）;果酒（含酒精）;鸡尾酒;葡萄酒;烈酒（饮料）;⽶酒</t>
  </si>
  <si>
    <t>冈仁金山</t>
  </si>
  <si>
    <t>北京寻茶之旅科技有限公司</t>
  </si>
  <si>
    <t>威⼠忌;⽩酒;葡萄酒;酒精饮料（啤酒除外）;⽩兰地;果酒（含酒精）;鸡尾酒;清酒（⽇本⽶酒）;烧酒;⻩酒</t>
  </si>
  <si>
    <t>比利&amp;杰森实验室</t>
  </si>
  <si>
    <t>中山市正华酒业有限公司</t>
  </si>
  <si>
    <t>酒精饮料（啤酒除外）;葡萄酒;烈酒;含酒精的鸡尾酒混合饮品;汽酒;以葡萄酒为主的饮料;鸡尾酒;果酒（含酒精）;⽩酒;含酒精的⽓泡⽔</t>
  </si>
  <si>
    <t>桃小泡</t>
  </si>
  <si>
    <t>王世睿</t>
  </si>
  <si>
    <t>樱桃酒;葡萄酒;酒精饮料（啤酒除外）;含⽔果酒精饮料;⾷⽤酒精;果酒（含酒精）;鸡尾酒;⽶酒;⻩酒;⽩酒</t>
  </si>
  <si>
    <t>锦上龙凤</t>
  </si>
  <si>
    <t>广东智劲科技有限公司</t>
  </si>
  <si>
    <t>利⼝酒;⽩酒;鸡尾酒;威⼠忌;烈酒（饮料）;⽩兰地;葡萄酒;酒精饮料（啤酒除外）;果酒（含酒精）;汽酒</t>
  </si>
  <si>
    <t>2024/06/29</t>
  </si>
  <si>
    <t>TAXODIUM</t>
  </si>
  <si>
    <t>落羽杉(北京)健康科技有限公司</t>
  </si>
  <si>
    <t>果酒（含酒精）;⻩酒;烈酒（饮料）;酒精饮料原汁;⽶酒;⾷⽤酒精;蒸馏饮料;含酒精的⽓泡⽔;⽩酒;鸡尾酒;⽩兰地;清酒（⽇本⽶酒）;含⽔果酒精饮料;汽酒;威⼠忌;酒精饮料浓缩汁;朗姆酒;烧酒;葡萄酒</t>
  </si>
  <si>
    <t>锦醇泽</t>
  </si>
  <si>
    <t>刘立金</t>
  </si>
  <si>
    <t>葡萄酒;烧酒;酒精饮料浓缩汁;⽩酒;烧酒（烈酒）;⾷⽤酒精;酒精饮料（啤酒除外）;⽶酒;果酒（含酒精）;蒸煮提取物（利⼝酒和烈酒）</t>
  </si>
  <si>
    <t>大辽福幸福</t>
  </si>
  <si>
    <t>法库大福红高粱酒业有限公司</t>
  </si>
  <si>
    <t>果酒（含酒精）;葡萄酒;烧酒;⽩酒;酒精饮料（啤酒除外）;⻩酒;鸡尾酒;蒸馏饮料;烈酒（饮料）;⽶酒</t>
  </si>
  <si>
    <t>状缘同荣</t>
  </si>
  <si>
    <t>状缘酒业（四川）有限公司</t>
  </si>
  <si>
    <t>⽩⼲酒（中国⽩酒）;⻩酒;威⼠忌;伏特加酒;⽩酒;开胃酒;鸡尾酒;葡萄酒;⽩兰地;烧酒</t>
  </si>
  <si>
    <t>熎蒂酒业</t>
  </si>
  <si>
    <t>秦永平</t>
  </si>
  <si>
    <t>鸡尾酒;含⽔果酒精饮料;酒精饮料（啤酒除外）;蜂蜜酒;⽩兰地;果酒（含酒精）;开胃酒;⽩酒;烧酒;葡萄酒</t>
  </si>
  <si>
    <t>富益</t>
  </si>
  <si>
    <t>贾葱41042********7642X</t>
  </si>
  <si>
    <t>苹果酒;果酒;开胃酒;鸡尾酒;⻘稞酒;含酒精的饮料（啤酒除外）;葡萄酒;清酒;烈酒（饮料）;⽩酒</t>
  </si>
  <si>
    <t>梅掼</t>
  </si>
  <si>
    <t>石伟强（身份证号码：350623********8816）</t>
  </si>
  <si>
    <t>葡萄酒;威⼠忌;酒精饮料（啤酒除外）;⻘梅酒;⽶酒;⻩酒;果酒（含酒精）;鸡尾酒;⽩酒;⽩兰地</t>
  </si>
  <si>
    <t>满酝粹</t>
  </si>
  <si>
    <t>⽩酒;烧酒（烈酒）;蒸煮提取物（利⼝酒和烈酒）;葡萄酒;烧酒;酒精饮料浓缩汁;酒精饮料（啤酒除外）;⽶酒;⾷⽤酒精;果酒（含酒精）</t>
  </si>
  <si>
    <t>爱䴙䴘</t>
  </si>
  <si>
    <t>检科院商务服务（北京）有限公司</t>
  </si>
  <si>
    <t>预先混合的酒精饮料（以啤酒为主的除外）;烧酒;葡萄酒;鸡尾酒;酒精饮料（啤酒除外）;⽩酒;以葡萄酒为主的饮料;清酒（⽇本⽶酒）;⽶酒;⽼酒（中国蒸馏烈酒）</t>
  </si>
  <si>
    <t>⽩酒;酒精饮料（啤酒除外）;鸡尾酒;果酒（含酒精）;葡萄酒;利⼝酒;威⼠忌;烈酒（饮料）;⽩兰地;汽酒</t>
  </si>
  <si>
    <t>博阳河</t>
  </si>
  <si>
    <t>九江科林建筑装饰材料有限公司</t>
  </si>
  <si>
    <t>含⽔果酒精饮料;葡萄酒;⽩酒;果酒（含酒精）;⽶酒;酒精饮料（啤酒除外）;⻩酒;⾷⽤酒精;烧酒;鸡尾酒</t>
  </si>
  <si>
    <t>康益易石</t>
  </si>
  <si>
    <t>山东康益麦饭石科技研究有限公司</t>
  </si>
  <si>
    <t>烈酒（饮料）;⻘稞酒;⽶酒;烧酒;⻩酒;果酒（含酒精）;葡萄酒;清酒（⽇本⽶酒）;⽩酒;含⽔果酒精饮料</t>
  </si>
  <si>
    <t>次里龙布</t>
  </si>
  <si>
    <t>朗姆酒;鸡尾酒;烈酒（饮料）;果酒（含酒精）;烧酒;⽩酒;⾕物制蒸馏酒精饮料;⽩兰地;汽酒;⽶酒</t>
  </si>
  <si>
    <t>萄小泡</t>
  </si>
  <si>
    <t>孟礼韩</t>
  </si>
  <si>
    <t>⾷⽤酒精;果酒（含酒精）;酒精饮料（啤酒除外）;⻩酒;⽩兰地;葡萄酒;⽶酒;含⽔果酒精饮料;⽩酒;鸡尾酒</t>
  </si>
  <si>
    <t>鑫圣佑</t>
  </si>
  <si>
    <t>周杨</t>
  </si>
  <si>
    <t>蒸馏饮料;⽩酒;⾕物制蒸馏酒精饮料;以葡萄酒为主的饮料;利⼝酒;烈酒（饮料）;⽶酒;⻩酒;⾷⽤酒精;清酒（⽇本⽶酒）</t>
  </si>
  <si>
    <t>烈酒（饮料）;⽩兰地;酒精饮料（啤酒除外）;利⼝酒;鸡尾酒;果酒（含酒精）;⽩酒;汽酒;葡萄酒;威⼠忌</t>
  </si>
  <si>
    <t>PPVG 贝贝•王国</t>
  </si>
  <si>
    <t>⾕物制蒸馏酒精饮料;以葡萄酒为主的饮料;威⼠忌;含⽔果酒精饮料;果酒（含酒精）;葡萄酒;⽶酒;开胃酒;鸡尾酒;苹果酒</t>
  </si>
  <si>
    <t>玺莉冰</t>
  </si>
  <si>
    <t>芝尼轩国际贸易（深圳）有限公司</t>
  </si>
  <si>
    <t>桃红葡萄酒;白葡萄酒;红葡萄酒;起泡白葡萄酒;白酒;果酒（含酒精）;白兰地;葡萄酒;起泡红葡萄酒;威士忌</t>
  </si>
  <si>
    <t>入煌</t>
  </si>
  <si>
    <t>敦煌市康源惠商贸有限公司</t>
  </si>
  <si>
    <t>⻘稞酒;葡萄酒;伏特加酒;烧酒;⽩⼲酒（中国⽩酒）;⾼粱酒;烈酒;⽼酒（中国蒸馏烈酒）;⽩酒</t>
  </si>
  <si>
    <t>杏山美</t>
  </si>
  <si>
    <t>陈佩卿</t>
  </si>
  <si>
    <t>威⼠忌;清酒（⽇本⽶酒）;⻩酒;蜂蜜酒;烈酒（饮料）;果酒（含酒精）;⽶酒;葡萄酒;鸡尾酒;⽩酒</t>
  </si>
  <si>
    <t>2024/06/30</t>
  </si>
  <si>
    <t>似禾年</t>
  </si>
  <si>
    <t>葡萄酒;果酒;酒精饮料（啤酒除外）;开胃酒;⽩酒;烈酒（饮料）;清酒（⽇本⽶酒）;威⼠忌;⻩酒;鸡尾酒</t>
  </si>
  <si>
    <t>臻素诚</t>
  </si>
  <si>
    <t>天津官匠食品有限公司</t>
  </si>
  <si>
    <t>⽶酒;薄荷酒;⻘稞酒;鸡尾酒;⻩酒;⽩酒;汽酒;烧酒;酒精饮料（啤酒除外）;果酒</t>
  </si>
  <si>
    <t>杜遗老号</t>
  </si>
  <si>
    <t>刘金红</t>
  </si>
  <si>
    <t>⽩酒;烧酒;果酒（含酒精）;葡萄酒;⻩酒;清酒（⽇本⽶酒）;酒精饮料（啤酒除外）;⽶酒;汽酒;烈酒（饮料）</t>
  </si>
  <si>
    <t>牧樽台</t>
  </si>
  <si>
    <t>储佳玲</t>
  </si>
  <si>
    <t>烧酒;威⼠忌;⾷⽤酒精;⻘稞酒;烈酒（饮料）;含⽔果酒精饮料;⻩酒;⽶酒;⽩酒;果酒（含酒精）</t>
  </si>
  <si>
    <t>懒猴 LORIS</t>
  </si>
  <si>
    <t>成都春华广告制作有限公司</t>
  </si>
  <si>
    <t>烧酒;含酒精的饮料（啤酒除外）;果酒;烈酒浓缩汁;甜酒;⽶酒;清酒;开胃酒;⽩酒;⻩酒</t>
  </si>
  <si>
    <t>醉美秀市</t>
  </si>
  <si>
    <t>江西秀市酒业有限公司</t>
  </si>
  <si>
    <t>⽩酒;⻩酒;酒精饮料（啤酒除外）;⽩兰地;⽶酒;威⼠忌;⻘稞酒;烧酒;烈酒（饮料）;葡萄酒</t>
  </si>
  <si>
    <t>粮游春</t>
  </si>
  <si>
    <t>河南闹乐网络科技有限公司</t>
  </si>
  <si>
    <t>葡萄酒;烧酒;酒精饮料原汁;蒸馏饮料;⽩酒;⻩酒;烈酒（饮料）;酒精饮料（啤酒除外）;蒸煮提取物（利⼝酒和烈酒）;⽶酒</t>
  </si>
  <si>
    <t>帝酒壶</t>
  </si>
  <si>
    <t>刘庚秀</t>
  </si>
  <si>
    <t>烧酒（烈酒）;⽶酒;酒精饮料（啤酒除外）;⾷⽤酒精;威⼠忌;⾼粱酒;⽩酒;⽩⼲酒（中国⽩酒）;葡萄酒;开胃酒</t>
  </si>
  <si>
    <t>黔人梦</t>
  </si>
  <si>
    <t>烧酒（烈酒）;⽩⼲酒（中国⽩酒）;⾷⽤酒精;⽩酒;葡萄酒;⽶酒;开胃酒;酒精饮料（啤酒除外）;⾼粱酒;威⼠忌</t>
  </si>
  <si>
    <t>仁善贵</t>
  </si>
  <si>
    <t>⾼粱酒;威⼠忌;⽶酒;⽩⼲酒（中国⽩酒）;葡萄酒;⽩酒;酒精饮料（啤酒除外）;开胃酒;烧酒（烈酒）;⾷⽤酒精</t>
  </si>
  <si>
    <t>晋乡人</t>
  </si>
  <si>
    <t>开胃酒;葡萄酒;酒精饮料（啤酒除外）;威⼠忌;⽩⼲酒（中国⽩酒）;⾷⽤酒精;⽩酒;烧酒（烈酒）;⾼粱酒;⽶酒</t>
  </si>
  <si>
    <t>貔龙</t>
  </si>
  <si>
    <t>汽酒;含酒精的⽓泡⽔;⽶酒;⻩酒;⽩酒;⽩⼲酒（中国⽩酒）;葡萄酒;酒精饮料（啤酒除外）;烧酒;果酒</t>
  </si>
  <si>
    <t>OUOETY</t>
  </si>
  <si>
    <t>东阳市琴泉电子商务商行</t>
  </si>
  <si>
    <t>梨酒;杨梅酒;鸡尾酒;⻩酒;⽶酒;甜酒;烧酒;葡萄酒;果酒（含酒精）;⽩酒</t>
  </si>
  <si>
    <t>贵酌师</t>
  </si>
  <si>
    <t>金邦海</t>
  </si>
  <si>
    <t>威⼠忌;烧酒;果酒（含酒精）;⽩酒;烈酒（饮料）;⻘稞酒;葡萄酒;鸡尾酒;汽酒;⽶酒</t>
  </si>
  <si>
    <t>申令</t>
  </si>
  <si>
    <t>息县519便利店</t>
  </si>
  <si>
    <t>露酒;威⼠忌;甜酒;含酒精的饮料（啤酒除外）;⽩酒;烧酒;⽩兰地;⽶酒;果酒;⻩酒</t>
  </si>
  <si>
    <t>关西围</t>
  </si>
  <si>
    <t>⽩酒;果酒;烈酒浓缩汁;清酒;⻩酒;⽶酒;烧酒;含酒精的饮料（啤酒除外）;甜酒;开胃酒</t>
  </si>
  <si>
    <t>孔遗老号</t>
  </si>
  <si>
    <t>李长云</t>
  </si>
  <si>
    <t>葡萄酒;烈酒（饮料）;烧酒;酒精饮料（啤酒除外）;汽酒;清酒（⽇本⽶酒）;⽶酒;⽩酒;果酒（含酒精）;⻩酒</t>
  </si>
  <si>
    <t>千秋华章</t>
  </si>
  <si>
    <t>北京天安鸿运商贸有限公司</t>
  </si>
  <si>
    <t>鸡尾酒;烈酒（饮料）;⽶酒;清酒（⽇本⽶酒）;果酒（含酒精）;⽩酒;葡萄酒;蒸煮提取物（利⼝酒和烈酒）;⻩酒;酒精饮料（啤酒除外）</t>
  </si>
  <si>
    <t>杏福齐天</t>
  </si>
  <si>
    <t>李佳程</t>
  </si>
  <si>
    <t>蒸馏饮料;开胃酒;酒精饮料（啤酒除外）;果酒（含酒精）;⽩酒;含⽔果酒精饮料;朗姆酒;葡萄酒;清酒（⽇本⽶酒）;鸡尾酒</t>
  </si>
  <si>
    <t>乾六一</t>
  </si>
  <si>
    <t>杨帆</t>
  </si>
  <si>
    <t>威⼠忌;⽩酒;餐后酒（利⼝酒和烈酒）;清酒（⽇本⽶酒）;⽩兰地;果酒;由⾕物蒸馏的⽩酒;⽼酒（中国蒸馏烈酒）;烧酒（烈酒）;蒸煮提取物（利⼝酒和烈酒）</t>
  </si>
  <si>
    <t>琼昌烧坊</t>
  </si>
  <si>
    <t>⽶酒;葡萄酒;⽩酒;⽩⼲酒（中国⽩酒）;⾷⽤酒精;威⼠忌;开胃酒;烧酒（烈酒）;酒精饮料（啤酒除外）;⾼粱酒</t>
  </si>
  <si>
    <t>春日探险</t>
  </si>
  <si>
    <t>杭州象迪咪科技技术有限公司</t>
  </si>
  <si>
    <t>含⽔果酒精饮料;⽶酒;预先混合的酒精饮料（以啤酒为主的除外）;葡萄酒;烈酒（饮料）;汽酒;⻩酒;⽩酒;果酒（含酒精）;开胃酒</t>
  </si>
  <si>
    <t>武灵京怪</t>
  </si>
  <si>
    <t>湖北武灵京怪电子商务有限公司</t>
  </si>
  <si>
    <t>⾕物制蒸馏酒精饮料;葡萄酒;烈酒（饮料）;⽩酒;⾷⽤酒精;⽼酒（中国蒸馏烈酒）;果酒（含酒精）;⽶酒;烧酒;酒精饮料（啤酒除外）</t>
  </si>
  <si>
    <t>商图腾</t>
  </si>
  <si>
    <t>四川酌悦酒业有限公司</t>
  </si>
  <si>
    <t>烈酒浓缩汁;清酒;烧酒;开胃酒;⽶酒;鸡尾酒;⻩酒;⽩酒;果酒;除啤酒外的酒精饮料</t>
  </si>
  <si>
    <t>鲁情</t>
  </si>
  <si>
    <t>何阿林411024********2518</t>
  </si>
  <si>
    <t>开胃酒;⻘稞酒;苹果酒;果酒;清酒;含酒精的饮料（啤酒除外）;⽩酒;烈酒（饮料）;鸡尾酒;葡萄酒</t>
  </si>
  <si>
    <t>匠山颂</t>
  </si>
  <si>
    <t>彭美根</t>
  </si>
  <si>
    <t>果酒（含酒精）;餐后酒（利⼝酒和烈酒）;葡萄酒;⻩酒;⽩酒;烈酒（饮料）;酒精饮料（啤酒除外）;烧酒;⽶酒;酒精饮料原汁</t>
  </si>
  <si>
    <t>飘雅</t>
  </si>
  <si>
    <t>贵州裕贡古老酒业有限公司</t>
  </si>
  <si>
    <t>烧酒;果酒（含酒精）;葡萄酒;⽼酒（中国蒸馏烈酒）;以葡萄酒为主的饮料;汽酒;⽩酒;⽶酒;⽩⼲酒（中国⽩酒）;⻩酒</t>
  </si>
  <si>
    <t>2024/07/01</t>
  </si>
  <si>
    <t>爽亮亮</t>
  </si>
  <si>
    <t>⻩酒;以葡萄酒为主的饮料;烧酒;⽶酒;⽩⼲酒（中国⽩酒）;汽酒;⽼酒（中国蒸馏烈酒）;果酒（含酒精）;葡萄酒;⽩酒</t>
  </si>
  <si>
    <t>嘉瑶醇</t>
  </si>
  <si>
    <t>朱远洪</t>
  </si>
  <si>
    <t>果酒;⽩酒;烧酒;烈酒（饮料）;⾼粱酒;烈酒;⽶酒;烧酒（烈酒）;甜酒;草莓酒</t>
  </si>
  <si>
    <t>QILIN MASTER</t>
  </si>
  <si>
    <t>陈美娟</t>
  </si>
  <si>
    <t>清酒;⽩兰地;威⼠忌;鸡尾酒;⾼粱酒;酒精饮料（啤酒除外）;⽶酒;果酒;⽩酒;葡萄酒</t>
  </si>
  <si>
    <t>石澜涧</t>
  </si>
  <si>
    <t>林善营</t>
  </si>
  <si>
    <t>果酒（含酒精）;蒸馏饮料;柑⾹酒;餐后酒（利⼝酒和烈酒）;利⼝酒;薄荷酒;苹果酒;杜松⼦酒;鸡尾酒;葡萄酒</t>
  </si>
  <si>
    <t>鹤公辞</t>
  </si>
  <si>
    <t>木红辉贸易有限公司</t>
  </si>
  <si>
    <t>⻩酒;⽩兰地;鸡尾酒;⾷⽤酒精;⽶酒;含⽔果酒精饮料;果酒（含酒精）;葡萄酒;⽩酒;酒精饮料（啤酒除外）</t>
  </si>
  <si>
    <t>恩莉</t>
  </si>
  <si>
    <t>云南创忆恩莉商贸有限公司</t>
  </si>
  <si>
    <t>酒精饮料（啤酒除外）;烧酒;葡萄酒;果酒（含酒精）;蒸煮提取物（利⼝酒和烈酒）;⽶酒;酒精饮料原汁;清酒（⽇本⽶酒）;⽩酒;烈酒（饮料）</t>
  </si>
  <si>
    <t>个个禄</t>
  </si>
  <si>
    <t>烧酒;⽼酒（中国蒸馏烈酒）;⻩酒;⽶酒;葡萄酒;以葡萄酒为主的饮料;⽩⼲酒（中国⽩酒）;⽩酒;果酒（含酒精）;汽酒</t>
  </si>
  <si>
    <t>玉想</t>
  </si>
  <si>
    <t>⽼酒（中国蒸馏烈酒）;汽酒;以葡萄酒为主的饮料;烧酒;⽩酒;⽶酒;⽩⼲酒（中国⽩酒）;果酒（含酒精）;⻩酒;葡萄酒</t>
  </si>
  <si>
    <t>石春娥</t>
  </si>
  <si>
    <t>陆尧</t>
  </si>
  <si>
    <t>⽩酒;伏特加酒;烧酒;葡萄酒;威⼠忌;果酒（含酒精）;鸡尾酒;⽶酒;烈酒（饮料）;⻩酒</t>
  </si>
  <si>
    <t>久源酒萌</t>
  </si>
  <si>
    <t>天津市宝坻区久源烟酒销售店</t>
  </si>
  <si>
    <t>⾷⽤酒精;果酒;⽩酒;烈酒;酒精饮料（啤酒除外）;烈性⼲酒;含⽔果酒精饮料;⻩酒;含酒精的⽓泡⽔;⽶酒</t>
  </si>
  <si>
    <t>璟樽小酿沁园春</t>
  </si>
  <si>
    <t>酒精饮料（啤酒除外）;⻩酒;烧酒;伏特加酒;葡萄酒;清酒（⽇本⽶酒）;开胃酒;⽩酒;⽶酒;果酒（含酒精）</t>
  </si>
  <si>
    <t>BEAUPHELIE</t>
  </si>
  <si>
    <t>天芈农业科技（宁夏）有限公司</t>
  </si>
  <si>
    <t>开胃酒;⽩酒;果酒（含酒精）;烧酒;酒精饮料（啤酒除外）;烈酒（饮料）;⻩酒;清酒（⽇本⽶酒）;⽶酒;葡萄酒</t>
  </si>
  <si>
    <t>金刺赢</t>
  </si>
  <si>
    <t>深圳市金刺赢运营管理有限公司</t>
  </si>
  <si>
    <t>果酒（含酒精）;酒精饮料原汁;红葡萄酒;⽩葡萄酒;⽩酒;⽩兰地;含酒精⽔果饮料;⽶酒;⽔果汽酒;甜酒</t>
  </si>
  <si>
    <t>鹿窖天下</t>
  </si>
  <si>
    <t>李静</t>
  </si>
  <si>
    <t>葡萄酒;烧酒;露酒;清酒;⽼酒（中国蒸馏烈酒）;⽩酒;⽶酒;⾷⽤酒精;烈酒;⽩⼲酒（中国⽩酒）</t>
  </si>
  <si>
    <t>希煜</t>
  </si>
  <si>
    <t>北京希煜网络科技有限公司</t>
  </si>
  <si>
    <t>⽶酒;鸡尾酒;⽩兰地;烧酒;葡萄酒;⽩酒;烈酒（饮料）;果酒（含酒精）;酒精饮料（啤酒除外）;烈酒</t>
  </si>
  <si>
    <t>龙福凤</t>
  </si>
  <si>
    <t>王学荣</t>
  </si>
  <si>
    <t>⽩葡萄酒;果酒;烧酒;⽩酒;⽼酒（中国蒸馏烈酒）;酒精饮料（啤酒除外）;利⼝酒;⽶酒;⾼粱酒;烈酒</t>
  </si>
  <si>
    <t>龟仙君</t>
  </si>
  <si>
    <t>深圳臻果季贸易有限公司</t>
  </si>
  <si>
    <t>⾷⽤酒精;烧酒（烈酒）;⽩⼲酒（中国⽩酒）;⽩酒;⽼酒（中国蒸馏烈酒）;⾼粱酒;果酒;果酒（含酒精）;烈酒;烧酒</t>
  </si>
  <si>
    <t>君顶天逸</t>
  </si>
  <si>
    <t>君顶葡萄酒控股有限公司</t>
  </si>
  <si>
    <t>利⼝酒;葡萄酒;酒精饮料原汁;苹果酒;蒸馏饮料;含⽔果酒精饮料;烧酒;果酒（含酒精）;⽩兰地;酒精饮料（啤酒除外）</t>
  </si>
  <si>
    <t>施四海</t>
  </si>
  <si>
    <t>张顺民</t>
  </si>
  <si>
    <t>果酒（含酒精）;⽶酒;酒精饮料（啤酒除外）;⽩酒;⻩酒;含⽔果酒精饮料;⾷⽤酒精;葡萄酒;⽩兰地;鸡尾酒</t>
  </si>
  <si>
    <t>DOMAINE DE LA ROCHELIERRE 罗西利埃</t>
  </si>
  <si>
    <t>湖北万米思特国际贸易有限公司</t>
  </si>
  <si>
    <t>⽩酒;果酒（含酒精）;甜果酒;葡萄酒;开胃酒;烧酒（烈酒）;⽶酒;烈酒（饮料）;以葡萄酒为主的饮料;鸡尾酒</t>
  </si>
  <si>
    <t>画界三剑客</t>
  </si>
  <si>
    <t>贵州滋者供应链管理有限公司</t>
  </si>
  <si>
    <t>⻩酒;⽶酒;酒精饮料（啤酒除外）;烈酒（饮料）;果酒（含酒精）;开胃酒;含⽔果酒精饮料;⽩酒;蒸煮提取物（利⼝酒和烈酒）;蒸馏饮料</t>
  </si>
  <si>
    <t>今定</t>
  </si>
  <si>
    <t>宜宾富东商贸有限公司</t>
  </si>
  <si>
    <t>果酒（含酒精）;酒精饮料（啤酒除外）;⽶酒;含酒精的⽓泡⽔;薄荷酒;伏特加酒;威⼠忌;⽩酒;⻩酒;⻘稞酒</t>
  </si>
  <si>
    <t>氿友荟</t>
  </si>
  <si>
    <t>安徽国驾贸易有限公司</t>
  </si>
  <si>
    <t>烧酒;⻘稞酒;⽩酒;⽩兰地;鸡尾酒;⻩酒;果酒（含酒精）;开胃酒;⽶酒;葡萄酒</t>
  </si>
  <si>
    <t>边陲小镇</t>
  </si>
  <si>
    <t>高雁鹏</t>
  </si>
  <si>
    <t>烈酒（饮料）;酒精饮料（啤酒除外）;烧酒;清酒（⽇本⽶酒）;⽩酒;果酒（含酒精）;鸡尾酒;⽶酒;葡萄酒;⻩酒</t>
  </si>
  <si>
    <t>AYAHIBIKI</t>
  </si>
  <si>
    <t>萨摩酒造株式会社</t>
  </si>
  <si>
    <t>清酒;烈酒;由⾕物蒸馏的⽩酒;清酒（⽇本⽶酒）;酒精饮料（啤酒除外）;⾕物制蒸馏酒精饮料;蒸馏⽶酒（泡盛酒）;烧酒（烈酒）;烧酒</t>
  </si>
  <si>
    <t>汉唐解密</t>
  </si>
  <si>
    <t>山东醉卧苍山酒业有限公司</t>
  </si>
  <si>
    <t>苹果酒;酒精饮料（啤酒除外）;汽酒;含⽔果酒精饮料;葡萄酒;樱桃酒;果酒（含酒精）;鸡尾酒;⽩酒;蜂蜜酒</t>
  </si>
  <si>
    <t>清樽酉苑•逸</t>
  </si>
  <si>
    <t>贵州泓尊商贸有限责任公司</t>
  </si>
  <si>
    <t>酒精饮料原汁;⻩酒;果酒（含酒精）;酒精饮料（啤酒除外）;威⼠忌;⽼酒（中国蒸馏烈酒）;烈酒;⾷⽤酒精;⽩兰地;⽩酒</t>
  </si>
  <si>
    <t>龙仙凤</t>
  </si>
  <si>
    <t>烧酒;酒精饮料（啤酒除外）;利⼝酒;⽶酒;⽼酒（中国蒸馏烈酒）;烈酒;果酒;⾼粱酒;⽩葡萄酒;⽩酒</t>
  </si>
  <si>
    <t>大师树</t>
  </si>
  <si>
    <t>魏浩</t>
  </si>
  <si>
    <t>烧酒;开胃酒;鸡尾酒;⽩酒;⻩酒;酒精饮料（啤酒除外）;果酒（含酒精）;清酒（⽇本⽶酒）;葡萄酒;蜂蜜酒</t>
  </si>
  <si>
    <t>尊贵蓝</t>
  </si>
  <si>
    <t>徐严森</t>
  </si>
  <si>
    <t>烈酒（饮料）;⽶酒;葡萄酒;酒精饮料浓缩汁;蒸馏饮料;果酒（含酒精）;酒精饮料（啤酒除外）;⽩酒;烧酒;含⽔果酒精饮料</t>
  </si>
  <si>
    <t>匠长情</t>
  </si>
  <si>
    <t>烧酒;⽩酒;⽩葡萄酒;⽶酒;果酒;⾼粱酒;酒精饮料（啤酒除外）;利⼝酒;⽼酒（中国蒸馏烈酒）;烈酒</t>
  </si>
  <si>
    <t>心新美</t>
  </si>
  <si>
    <t>烧酒;汽酒;葡萄酒;⻩酒;⽼酒（中国蒸馏烈酒）;⽩酒;果酒（含酒精）;⽩⼲酒（中国⽩酒）;以葡萄酒为主的饮料;⽶酒</t>
  </si>
  <si>
    <t>田氏金源</t>
  </si>
  <si>
    <t>张金荣</t>
  </si>
  <si>
    <t>果酒;烈酒（饮料）;⽶酒;葡萄酒;⽩酒;露酒;⾼粱酒;⽩兰地;烧酒;樱桃酒</t>
  </si>
  <si>
    <t>佳点喜</t>
  </si>
  <si>
    <t>刘华青</t>
  </si>
  <si>
    <t>葡萄酒;烈酒（饮料）;开胃酒;鸡尾酒;⻩酒;⽩酒;酒精饮料（啤酒除外）;果酒（含酒精）;烧酒;⽶酒</t>
  </si>
  <si>
    <t>半步闲</t>
  </si>
  <si>
    <t>宜宾大坛酒业有限公司</t>
  </si>
  <si>
    <t>⽩酒;⽩⼲酒（中国⽩酒）;蒸馏⽶酒（泡盛酒）;⻩酒;由⾕物蒸馏的⽩酒;⽶酒;烈酒;⾼粱酒;烧酒;⽼酒（中国蒸馏烈酒）</t>
  </si>
  <si>
    <t>天海䘵</t>
  </si>
  <si>
    <t>烟台天海禄海洋食品有限公司</t>
  </si>
  <si>
    <t>果酒（含酒精）;⽩兰地;威⼠忌;酒精饮料（啤酒除外）;含酒精的⽓泡⽔;⽩酒;葡萄酒;烈酒（饮料）;含⽔果酒精饮料;已调味的⻨芽酿制的酒精饮料（啤酒除外）</t>
  </si>
  <si>
    <t>贡咏樽</t>
  </si>
  <si>
    <t>王洋</t>
  </si>
  <si>
    <t>开胃酒;威⼠忌;烈酒（饮料）;⽩酒;鸡尾酒;⻩酒;蜂蜜酒;清酒（⽇本⽶酒）;烧酒;⻘稞酒</t>
  </si>
  <si>
    <t>项遇陈州</t>
  </si>
  <si>
    <t>陈镜茹</t>
  </si>
  <si>
    <t>酒精饮料原汁;酒精饮料（啤酒除外）;⻩酒;⽶酒;烈酒（饮料）;⽩酒;已调味的⻨芽酿制的酒精饮料（啤酒除外）;⾕物制蒸馏酒精饮料;果酒（含酒精）;酒精饮料浓缩汁</t>
  </si>
  <si>
    <t>广州正盈医疗器械有限公司</t>
  </si>
  <si>
    <t>果酒（含酒精）;鸡尾酒;葡萄酒;烈酒（饮料）;清酒（⽇本⽶酒）;露酒;餐后酒（利⼝酒和烈酒）;⽩酒;⽶酒;朗姆酒</t>
  </si>
  <si>
    <t>CI CORREO IMPERIAL 康丽奥庄园</t>
  </si>
  <si>
    <t>宁波都特国际贸易有限公司</t>
  </si>
  <si>
    <t>⽩酒;⻩酒;果酒（含酒精）;烧酒;威⼠忌;葡萄酒;伏特加酒;朗姆酒;⽶酒;以葡萄酒为主的饮料</t>
  </si>
  <si>
    <t>朱大男320525********4113</t>
  </si>
  <si>
    <t>葡萄酒;烧酒;清酒（⽇本⽶酒）;⻩酒;⻘稞酒;果酒（含酒精）;烈酒（饮料）;⽶酒;⽩酒;汽酒</t>
  </si>
  <si>
    <t>匡禾</t>
  </si>
  <si>
    <t>玉环市博谷坊果蔬种植专业合作社</t>
  </si>
  <si>
    <t>⾕物制蒸馏酒精饮料;果酒（含酒精）;⽩酒;威⼠忌;鸡尾酒;⽔果汽酒;酒精饮料（啤酒除外）;⽶酒;酒精饮料原汁;含⽔果酒精饮料</t>
  </si>
  <si>
    <t>科拉图</t>
  </si>
  <si>
    <t>黄聪华</t>
  </si>
  <si>
    <t>蒸馏饮料;⽩酒;蒸煮提取物（利⼝酒和烈酒）;果酒（含酒精）;烧酒;威⼠忌;酒精饮料（啤酒除外）;⻩酒;⽶酒;葡萄酒</t>
  </si>
  <si>
    <t>寻找嘟啦</t>
  </si>
  <si>
    <t>嘟啦科技云南有限公司</t>
  </si>
  <si>
    <t>⾷⽤酒精;果酒（含酒精）;蜂蜜酒;酒精饮料（啤酒除外）;威⼠忌;鸡尾酒;⽶酒;葡萄酒;⽩酒;含⽔果酒精饮料</t>
  </si>
  <si>
    <t>贵州省仁怀市子来福酒业销售有限公司</t>
  </si>
  <si>
    <t>葡萄酒;果酒;⽩酒;⻩酒;威⼠忌;⽼酒（中国蒸馏烈酒）;清酒;⽶酒;蒸煮提取物（利⼝酒和烈酒）;⽩兰地</t>
  </si>
  <si>
    <t>传塞</t>
  </si>
  <si>
    <t>葡萄酒;⻩酒;⽶酒;⽩⼲酒（中国⽩酒）;果酒（含酒精）;⽼酒（中国蒸馏烈酒）;汽酒;烧酒;以葡萄酒为主的饮料;⽩酒</t>
  </si>
  <si>
    <t>棵棵禄</t>
  </si>
  <si>
    <t>汽酒;烧酒;葡萄酒;⽩酒;⽩⼲酒（中国⽩酒）;果酒（含酒精）;⻩酒;⽶酒;⽼酒（中国蒸馏烈酒）;以葡萄酒为主的饮料</t>
  </si>
  <si>
    <t>青岛科华泽创新科技有限公司</t>
  </si>
  <si>
    <t>⻘稞酒;薄荷酒;⽼酒（中国蒸馏烈酒）;杨梅酒;樱桃酒;⻩酒;蒸馏饮料;含酒精⽔果饮料;威⼠忌;葡萄酒;烧酒;⽩酒</t>
  </si>
  <si>
    <t>狍炮兄弟</t>
  </si>
  <si>
    <t>果酒（含酒精）;烈酒（饮料）;开胃酒;酒精饮料（啤酒除外）;⽩酒;葡萄酒;鸡尾酒;⻩酒;⽶酒;烧酒</t>
  </si>
  <si>
    <t>全塘日瓦</t>
  </si>
  <si>
    <t>张小武</t>
  </si>
  <si>
    <t>果酒（含酒精）;苹果酒;葡萄酒</t>
  </si>
  <si>
    <t>夜枭雄</t>
  </si>
  <si>
    <t>王丽清</t>
  </si>
  <si>
    <t>葡萄酒;⻩酒;⽩酒;⾷⽤酒精;⽶酒;果酒;酒精饮料（啤酒除外）;⽩兰地;鸡尾酒;威⼠忌</t>
  </si>
  <si>
    <t>蛮优趣</t>
  </si>
  <si>
    <t>王高齐412825********2010</t>
  </si>
  <si>
    <t>烧酒;⻩酒;蜂蜜酒;葡萄酒;⽩酒;⻘稞酒;樱桃酒;开胃酒;⽶酒;烈酒（饮料）</t>
  </si>
  <si>
    <t>万年佰惠</t>
  </si>
  <si>
    <t>万年县佰惠堂大药房（个人独资）</t>
  </si>
  <si>
    <t>⽩酒;利⼝酒;果酒（含酒精）;酒精饮料（啤酒除外）;⻩酒;鸡尾酒;烈酒（饮料）;⾷⽤酒精;葡萄酒;⽶酒</t>
  </si>
  <si>
    <t>隆桥驿</t>
  </si>
  <si>
    <t>上海大有经贸有限公司</t>
  </si>
  <si>
    <t>含⽔果酒精饮料;⻩酒;酒精饮料（啤酒除外）;果酒（含酒精）;烈酒（饮料）;酒精饮料浓缩汁;⽶酒;烧酒;⽩酒;葡萄酒</t>
  </si>
  <si>
    <t>天佑德</t>
  </si>
  <si>
    <t>青海互助天佑德青稞酒股份有限公司</t>
  </si>
  <si>
    <t>⻘稞酒;⽩酒;⽩兰地;含⽔果酒精饮料;威⼠忌;葡萄酒;果酒（含酒精）;烧酒;鸡尾酒;利⼝酒</t>
  </si>
  <si>
    <t>绩麻</t>
  </si>
  <si>
    <t>王小丽</t>
  </si>
  <si>
    <t>⽶酒;酒精饮料（啤酒除外）;烈酒;葡萄酒;烧酒;果酒;鸡尾酒;⽩酒;⻩酒;酒精饮料浓缩汁</t>
  </si>
  <si>
    <t>香舰</t>
  </si>
  <si>
    <t>王振达</t>
  </si>
  <si>
    <t>果酒（含酒精）;葡萄酒;⻩酒;酒精饮料（啤酒除外）;⾷⽤酒精;⽩酒;鸡尾酒;⽩兰地;⽶酒;含⽔果酒精饮料</t>
  </si>
  <si>
    <t>明间</t>
  </si>
  <si>
    <t>贵州明府宴酒业有限公司</t>
  </si>
  <si>
    <t>⻩酒;⽶酒;⽼酒（中国蒸馏烈酒）;⾼粱酒;烈酒;果酒;烧酒;⽩酒;葡萄酒;酒精饮料（啤酒除外）</t>
  </si>
  <si>
    <t>想柔迷</t>
  </si>
  <si>
    <t>⽼酒（中国蒸馏烈酒）;果酒（含酒精）;汽酒;以葡萄酒为主的饮料;葡萄酒;⽩⼲酒（中国⽩酒）;烧酒;⽶酒;⽩酒;⻩酒</t>
  </si>
  <si>
    <t>果淋雨</t>
  </si>
  <si>
    <t>葡萄酒;⻩酒;⽶酒;⽼酒（中国蒸馏烈酒）;果酒（含酒精）;汽酒;⽩⼲酒（中国⽩酒）;以葡萄酒为主的饮料;烧酒;⽩酒</t>
  </si>
  <si>
    <t>广纵</t>
  </si>
  <si>
    <t>烧酒;⻘稞酒;⻩酒;烈酒（饮料）;清酒（⽇本⽶酒）;威⼠忌;蜂蜜酒;⽩酒;开胃酒;鸡尾酒</t>
  </si>
  <si>
    <t>福吉斯</t>
  </si>
  <si>
    <t>黑龙江省坎皮纳食品有限公司</t>
  </si>
  <si>
    <t>葡萄酒;⽶酒;威⼠忌;⻩酒;清酒（⽇本⽶酒）;开胃酒;烧酒;⽩酒;鸡尾酒;果酒（含酒精）</t>
  </si>
  <si>
    <t>心特丽</t>
  </si>
  <si>
    <t>周期养</t>
  </si>
  <si>
    <t>⾷⽤酒精;⻩酒;酒精饮料浓缩汁;酒精饮料原汁;⽩酒;⽶酒;果酒（含酒精）;烈酒（饮料）;含⽔果酒精饮料;酒精饮料（啤酒除外）</t>
  </si>
  <si>
    <t>古赤东方</t>
  </si>
  <si>
    <t>习水古赤酒业有限公司</t>
  </si>
  <si>
    <t>⾷⽤酒精;⽩酒;果酒;葡萄酒;⽩⼲酒（中国⽩酒）;⻩酒;烈酒;露酒;⾼粱酒;酒精饮料原汁</t>
  </si>
  <si>
    <t>遊囍</t>
  </si>
  <si>
    <t>上海好牛实业有限公司</t>
  </si>
  <si>
    <t>⻩酒;⽩酒;烧酒（烈酒）;烈酒（饮料）;⽶酒;清酒（⽇本⽶酒）;果酒（含酒精）;鸡尾酒;含⽔果酒精饮料;开胃酒</t>
  </si>
  <si>
    <t>盛邦普特</t>
  </si>
  <si>
    <t>徐艳琴</t>
  </si>
  <si>
    <t>⻩酒;酒精饮料（啤酒除外）;含⽔果酒精饮料;⽩酒;烈酒（饮料）;⽶酒;烧酒;伏特加酒;葡萄酒;清酒</t>
  </si>
  <si>
    <t>茂小视</t>
  </si>
  <si>
    <t>茂名市声屏科技有限公司</t>
  </si>
  <si>
    <t>⽶酒;⽩酒;⽩兰地;果酒（含酒精）;蒸馏饮料;由⾕物蒸馏的⽩酒;烧酒;葡萄酒;鸡尾酒;含⽔果酒精饮料</t>
  </si>
  <si>
    <t>东方古赤</t>
  </si>
  <si>
    <t>酒精饮料原汁;烈酒;果酒;葡萄酒;露酒;⾷⽤酒精;⾼粱酒;⽩⼲酒（中国⽩酒）;⽩酒;⻩酒</t>
  </si>
  <si>
    <t>青味想</t>
  </si>
  <si>
    <t>⽶酒;果酒;葡萄酒;蜂蜜酒;酒精饮料（啤酒除外）;清酒;烧酒;开胃酒;⻩酒;⽩酒</t>
  </si>
  <si>
    <t>褚池</t>
  </si>
  <si>
    <t>郭雄</t>
  </si>
  <si>
    <t>⻩酒;清酒（⽇本⽶酒）;威⼠忌;果酒;鸡尾酒;酒精饮料（啤酒除外）;葡萄酒;⽩酒;开胃酒;烈酒（饮料）</t>
  </si>
  <si>
    <t>华锦时代</t>
  </si>
  <si>
    <t>锦茅（北京）酒业有限公司</t>
  </si>
  <si>
    <t>鸡尾酒;蒸馏饮料;⽩酒;果酒（含酒精）;⽶酒;葡萄酒;酒精饮料（啤酒除外）;烧酒;烈酒（饮料）;威⼠忌</t>
  </si>
  <si>
    <t>横山里</t>
  </si>
  <si>
    <t>吴菊芬</t>
  </si>
  <si>
    <t>⽩酒;烈酒（饮料）;酒精饮料（啤酒除外）;烧酒;⽶酒;葡萄酒;⽩兰地;含酒精的⽓泡⽔;鸡尾酒;果酒（含酒精）</t>
  </si>
  <si>
    <t>BOZHENHUI</t>
  </si>
  <si>
    <t>安徽德旺达商贸有限公司</t>
  </si>
  <si>
    <t>果酒（含酒精）;⾕物制蒸馏酒精饮料;甜酒;酒精饮料（啤酒除外）;佐餐酒;含⽔果酒精饮料;酒精饮料浓缩汁;清酒;预先混合的酒精饮料（以啤酒为主的除外）;开胃酒</t>
  </si>
  <si>
    <t>菲尔巴克</t>
  </si>
  <si>
    <t>宋灵芝</t>
  </si>
  <si>
    <t>⽩酒;酒精饮料（啤酒除外）;开胃酒;蒸馏饮料;汽酒;含⽔果酒精饮料;酒精饮料浓缩汁;酒精饮料原汁;预先混合的酒精饮料（以啤酒为主的除外）;葡萄酒</t>
  </si>
  <si>
    <t>聚耀铭</t>
  </si>
  <si>
    <t>贵州新帅酒业集团有限公司</t>
  </si>
  <si>
    <t>果酒（含酒精）;烧酒;清酒;烈酒;⽼酒（中国蒸馏烈酒）;⽩酒;甜酒;⽶酒;⻩酒;葡萄酒</t>
  </si>
  <si>
    <t>楚贤合</t>
  </si>
  <si>
    <t>湖北贤合醉酒业有限公司</t>
  </si>
  <si>
    <t>⽩酒;果酒（含酒精）;葡萄酒;⻩酒;⽶酒;开胃酒;含⽔果酒精饮料;⾕物制蒸馏酒精饮料;烧酒;⾷⽤酒精</t>
  </si>
  <si>
    <t>蜀洲仙</t>
  </si>
  <si>
    <t>成都市蜀洲仙商贸有限公司</t>
  </si>
  <si>
    <t>⻩酒;果酒（含酒精）;鸡尾酒;葡萄酒;烈酒（饮料）;⽶酒;⽩酒;烧酒;蒸馏饮料;酒精饮料（啤酒除外）</t>
  </si>
  <si>
    <t>围凤</t>
  </si>
  <si>
    <t>青岛五粮香酿酒有限公司</t>
  </si>
  <si>
    <t>⽩⼲酒（中国⽩酒）;烧酒;露酒;由⾕物蒸馏的⽩酒;⾼粱酒;⽩酒;含酒精的饮料（啤酒除外）;除啤酒外的酒精饮料;已调味的蒸馏酒;⽼酒（中国蒸馏烈酒）</t>
  </si>
  <si>
    <t>竹宁农食记</t>
  </si>
  <si>
    <t>长宁县红商电子商务有限公司</t>
  </si>
  <si>
    <t>蒸馏饮料;⽩酒;⽶酒;果酒（含酒精）;⽢蔗制酒精饮料;⾕物制蒸馏酒精饮料;酒精饮料原汁;酒精饮料浓缩汁;酒精饮料（啤酒除外）;含⽔果酒精饮料</t>
  </si>
  <si>
    <t>徽巨</t>
  </si>
  <si>
    <t>烧酒;⻩酒;⽩酒;葡萄酒;酒精饮料（啤酒除外）;鸡尾酒;烈酒;酒精饮料浓缩汁;果酒;⽶酒</t>
  </si>
  <si>
    <t>屈午</t>
  </si>
  <si>
    <t>高福全</t>
  </si>
  <si>
    <t>葡萄酒;⽩酒;⽶酒;果酒（含酒精）;威⼠忌;⾷⽤酒精;⽩兰地;鸡尾酒;蒸馏饮料;烧酒</t>
  </si>
  <si>
    <t>SKVA</t>
  </si>
  <si>
    <t>吉佳食品有限公司</t>
  </si>
  <si>
    <t>葡萄酒;⽩酒;⻩酒;⾷⽤酒精;果酒（含酒精）;烈酒（饮料）;⽩兰地;威⼠忌;伏特加酒;朗姆酒</t>
  </si>
  <si>
    <t>白御福</t>
  </si>
  <si>
    <t>烈酒（饮料）;⻘稞酒;开胃酒;威⼠忌;⻩酒;烧酒;清酒（⽇本⽶酒）;蜂蜜酒;⽩酒;鸡尾酒</t>
  </si>
  <si>
    <t>何鲜太</t>
  </si>
  <si>
    <t>王君</t>
  </si>
  <si>
    <t>酒精饮料（啤酒除外）;葡萄酒;⻩酒;⽩酒;含⽔果酒精饮料;开胃酒;鸡尾酒;蜂蜜酒;⽶酒;烧酒</t>
  </si>
  <si>
    <t>花溪沐前进</t>
  </si>
  <si>
    <t>本溪花溪沐温泉酒店有限公司</t>
  </si>
  <si>
    <t>汽酒;⽶酒;鸡尾酒;⻩酒;烈酒（饮料）;果酒;烧酒;葡萄酒;⻘梅酒;⽩酒</t>
  </si>
  <si>
    <t>雨露雾霜</t>
  </si>
  <si>
    <t>七台河市海翼商贸有限公司</t>
  </si>
  <si>
    <t>烧酒;白酒;葡萄酒;含水果酒精饮料;酒精饮料（啤酒除外）;果酒（含酒精）;蒸馏饮料;鸡尾酒;酒精饮料原汁;预先混合的酒精饮料（以啤酒为主的除外）</t>
  </si>
  <si>
    <t>酒都马掌坊</t>
  </si>
  <si>
    <t>宜宾市翠屏区光全食品有限责任公司</t>
  </si>
  <si>
    <t>利⼝酒;烈酒;⽩酒;烧酒;⾼粱酒;伏特加酒;⽩葡萄酒;⽩兰地;清酒;⽶酒</t>
  </si>
  <si>
    <t>栗德久</t>
  </si>
  <si>
    <t>薛梅</t>
  </si>
  <si>
    <t>酒精饮料（啤酒除外）;果酒;⽩酒;烈酒;露酒;鸡尾酒;威⼠忌;伏特加酒;葡萄酒;朗姆酒</t>
  </si>
  <si>
    <t>靓淮</t>
  </si>
  <si>
    <t>安徽溢瓶香食品发展有限公司</t>
  </si>
  <si>
    <t>⽩酒;⽶酒;⻩酒;烈酒（饮料）;烧酒;鸡尾酒;葡萄酒;汽酒;⻘稞酒;酒精饮料（啤酒除外）</t>
  </si>
  <si>
    <t>扁担杆</t>
  </si>
  <si>
    <t>宿迁瑞行智慧城市科技有限公司</t>
  </si>
  <si>
    <t>樱桃酒;伏特加酒;果酒（含酒精）;⽩酒;开胃酒;烈酒;酒精饮料（啤酒除外）;⽶酒;烧酒;清酒</t>
  </si>
  <si>
    <t>阮灵池</t>
  </si>
  <si>
    <t>开胃酒;酒精饮料（啤酒除外）;利⼝酒;⽩兰地;⽶酒;威⼠忌;果酒;⽩酒;葡萄酒;清酒（⽇本⽶酒）</t>
  </si>
  <si>
    <t>喜三对</t>
  </si>
  <si>
    <t>长沙喜三对品牌管理有限公司</t>
  </si>
  <si>
    <t>⽩兰地;⽩酒;烧酒;蒸馏饮料;⾷⽤酒精;果酒（含酒精）;烈酒（饮料）;酒精饮料原汁;含⽔果酒精饮料;葡萄酒</t>
  </si>
  <si>
    <t>京都金山</t>
  </si>
  <si>
    <t>北京金晟润商贸有限公司</t>
  </si>
  <si>
    <t>烧酒;烈酒（饮料）;汽酒;含⽔果酒精饮料;朗姆酒;伏特加酒;⻩酒;清酒（⽇本⽶酒）;⽩酒;威⼠忌</t>
  </si>
  <si>
    <t>北隆河谷鹤鸣 DOMAINE DES REMIZIERES</t>
  </si>
  <si>
    <t>⽩酒;葡萄酒;开胃酒;甜果酒;⽶酒;以葡萄酒为主的饮料;果酒（含酒精）;鸡尾酒;烈酒（饮料）;烧酒（烈酒）</t>
  </si>
  <si>
    <t>武汉玉米快跑食品有限公司</t>
  </si>
  <si>
    <t>果酒（含酒精）;开胃酒;烈酒（饮料）;⾕物制蒸馏酒精饮料;⽩酒;烧酒;⽶酒;⻘稞酒;⻩酒;利⼝酒</t>
  </si>
  <si>
    <t>武辛圣浆</t>
  </si>
  <si>
    <t>长沙增开餐饮管理有限公司</t>
  </si>
  <si>
    <t>⽩酒;⻩酒;烧酒;⽩兰地;清酒（⽇本⽶酒）;⾕物制蒸馏酒精饮料;果酒（含酒精）;⻘稞酒;威⼠忌;⽶酒</t>
  </si>
  <si>
    <t>和颉</t>
  </si>
  <si>
    <t>云南坤易生物技术有限公司</t>
  </si>
  <si>
    <t>蒸馏饮料;⽶酒;⽼酒（中国蒸馏烈酒）;已调味的蒸馏酒;⽩酒;⽩⼲酒（中国⽩酒）;开胃酒;烧酒;由⾕物蒸馏的⽩酒;酒精饮料（啤酒除外）</t>
  </si>
  <si>
    <t>老乡三</t>
  </si>
  <si>
    <t>清酒;烈酒;樱桃酒;酒精饮料（啤酒除外）;伏特加酒;开胃酒;⽩酒;果酒（含酒精）;⽶酒;烧酒</t>
  </si>
  <si>
    <t>⻩酒;⽩酒;朗姆酒;烧酒;烈酒（饮料）;清酒（⽇本⽶酒）;威⼠忌;汽酒;伏特加酒;含⽔果酒精饮料</t>
  </si>
  <si>
    <t>⻘稞酒;汽酒;果酒（含酒精）;⽩酒;烈酒（饮料）;清酒（⽇本⽶酒）;葡萄酒;烧酒;⻩酒;⽶酒</t>
  </si>
  <si>
    <t>益酝承</t>
  </si>
  <si>
    <t>欧阳兆磊</t>
  </si>
  <si>
    <t>⾷⽤酒精;⽩酒;果酒（含酒精）;酒精饮料浓缩汁;烧酒;蒸煮提取物（利⼝酒和烈酒）;葡萄酒;烧酒（烈酒）;⽶酒;酒精饮料（啤酒除外）</t>
  </si>
  <si>
    <t>2024/07/02</t>
  </si>
  <si>
    <t>铭德宝晟</t>
  </si>
  <si>
    <t>西安德宝晟汽车服务有限公司</t>
  </si>
  <si>
    <t>⽩酒;⽩⼲酒（中国⽩酒）;⾼粱酒;鸡尾酒;开胃酒;威⼠忌;红葡萄酒;⽔果汽酒;⽶酒;蜂蜜酒</t>
  </si>
  <si>
    <t>彩龙飞舞</t>
  </si>
  <si>
    <t>露酒;⽶酒;⻩酒;⽩酒;清酒;含酒精的饮料（啤酒除外）;汽酒;果酒;鸡尾酒</t>
  </si>
  <si>
    <t>黄角山</t>
  </si>
  <si>
    <t>四川聚焦电子商务有限公司</t>
  </si>
  <si>
    <t>⾼粱酒;含酒精的饮料（啤酒除外）;⻩酒;⽩⼲酒（中国⽩酒）;⻘梅酒;⽼酒（中国蒸馏烈酒）;⽶酒;烧酒（烈酒）;果酒;⽩酒</t>
  </si>
  <si>
    <t>小禾九农</t>
  </si>
  <si>
    <t>甘肃小河生态农业有限公司</t>
  </si>
  <si>
    <t>⾼粱酒;果酒（含酒精）;酒精饮料（啤酒除外）;⽶酒;威⼠忌;烈酒（饮料）;烧酒;鸡尾酒;葡萄酒;⽩酒</t>
  </si>
  <si>
    <t>神州熊王</t>
  </si>
  <si>
    <t>王承明</t>
  </si>
  <si>
    <t>薄荷酒;葡萄酒;⽩兰地;蒸馏饮料;苹果酒;鸡尾酒;果酒（含酒精）;⽶酒;烧酒;⽩酒</t>
  </si>
  <si>
    <t>HJP</t>
  </si>
  <si>
    <t>清远市豪久药业有限责任公司</t>
  </si>
  <si>
    <t>果酒（含酒精）;葡萄酒;⽩酒;果酒;⾷⽤酒精;烧酒;利⼝酒;⽶酒;露酒;含酒精的饮料（啤酒除外）</t>
  </si>
  <si>
    <t>贵望铁</t>
  </si>
  <si>
    <t>郑灿</t>
  </si>
  <si>
    <t>蜂蜜酒;⽩酒;酒精饮料（啤酒除外）;⽶酒;葡萄酒;酒精饮料原汁;含⽔果酒精饮料;⻩酒;鸡尾酒;果酒（含酒精）</t>
  </si>
  <si>
    <t>寸山田</t>
  </si>
  <si>
    <t>天津百年藤国际贸易有限公司</t>
  </si>
  <si>
    <t>葡萄酒;烈酒（饮料）;⻩酒;⽩酒;⽩兰地;⽶酒;伏特加酒;果酒（含酒精）;酒精饮料（啤酒除外）;鸡尾酒</t>
  </si>
  <si>
    <t>牟池</t>
  </si>
  <si>
    <t>贵州牟池酒业有限公司</t>
  </si>
  <si>
    <t>蒸煮提取物（利口酒和烈酒）;开胃酒;酒精饮料（啤酒除外）;黄酒;果酒（含酒精）;葡萄酒;烈酒（饮料）;烧酒;米酒;白酒</t>
  </si>
  <si>
    <t>冰檀</t>
  </si>
  <si>
    <t>骆云清</t>
  </si>
  <si>
    <t>伏特加酒;⻩酒;⾷⽤酒精;威⼠忌;烈酒（饮料）;果酒（含酒精）;⽩兰地;朗姆酒;⽩酒;葡萄酒</t>
  </si>
  <si>
    <t>狐咬咬</t>
  </si>
  <si>
    <t>泰安中玖电子商务有限公司</t>
  </si>
  <si>
    <t>⻩酒;⽩酒;混合威⼠忌酒;威⼠忌;朗姆酒;⾷⽤酒精;果酒（含酒精）;预先混合的酒精饮料（以啤酒为主的除外）;葡萄酒;以葡萄酒为主的开胃酒</t>
  </si>
  <si>
    <t>鸿师爷</t>
  </si>
  <si>
    <t>四川省江诚一味餐饮管理有限公司</t>
  </si>
  <si>
    <t>清酒;⽶酒;⽩兰地;威⼠忌;⽩酒;烧酒;烈酒（饮料）;葡萄酒;酒精饮料（啤酒除外）;⻩酒</t>
  </si>
  <si>
    <t>七根杨</t>
  </si>
  <si>
    <t>湖北古月坊品牌运营管理有限公司</t>
  </si>
  <si>
    <t>果酒（含酒精）;威⼠忌;葡萄酒;鸡尾酒;⽩酒;薄荷酒;⻘稞酒;蒸馏饮料;烧酒;预先混合的酒精饮料（以啤酒为主的除外）</t>
  </si>
  <si>
    <t>易龙禧珠</t>
  </si>
  <si>
    <t>佛山市易龙禧珠茶业有限公司</t>
  </si>
  <si>
    <t>葡萄酒;烈酒（饮料）;⽶酒;⻩酒;烧酒;清酒（⽇本⽶酒）;蒸馏饮料;利⼝酒;酒精饮料（啤酒除外）;鸡尾酒</t>
  </si>
  <si>
    <t>一桂十养</t>
  </si>
  <si>
    <t>中泰福寿康养集团有限公司</t>
  </si>
  <si>
    <t>葡萄酒;蜂蜜酒;⻩酒;酒精饮料（啤酒除外）;⽶酒;⾕物制蒸馏酒精饮料;苹果酒;清酒;⽩酒;果酒</t>
  </si>
  <si>
    <t>御樽泱</t>
  </si>
  <si>
    <t>⾷⽤酒精;蒸煮提取物（利⼝酒和烈酒）;⽶酒;⽩酒;烧酒;酒精饮料浓缩汁;果酒（含酒精）;酒精饮料（啤酒除外）;葡萄酒;烧酒（烈酒）</t>
  </si>
  <si>
    <t>吉冽</t>
  </si>
  <si>
    <t>黄烨</t>
  </si>
  <si>
    <t>樱桃酒;葡萄酒;⽶酒;酒精饮料（啤酒除外）;⽩酒;⻩酒;果酒（含酒精）;烧酒;以葡萄酒为主的饮料;⻘稞酒</t>
  </si>
  <si>
    <t>谷豫沙</t>
  </si>
  <si>
    <t>宁波谷颂河酒业有限公司</t>
  </si>
  <si>
    <t>烈酒（饮料）;果酒（含酒精）;含酒精⽔果饮料;预先混合的酒精饮料（以啤酒为主的除外）;酒精饮料（啤酒除外）;⽶酒;⻩酒;⽩酒;⽼酒（中国蒸馏烈酒）;葡萄酒</t>
  </si>
  <si>
    <t>味择同路</t>
  </si>
  <si>
    <t>王小浪</t>
  </si>
  <si>
    <t>伏特加酒;⾼粱酒;露酒;威⼠忌;⽩酒;朗姆酒;⻩酒;烧酒;葡萄酒;⻘稞酒</t>
  </si>
  <si>
    <t>托纳伊</t>
  </si>
  <si>
    <t>宁波英永进出口有限公司</t>
  </si>
  <si>
    <t>含酒精的⽓泡⽔;⽩葡萄酒;红葡萄酒;葡萄汽酒;葡萄酒;含酒精⽔果饮料;含酒精的⽔果鸡尾酒饮料;果酒;酒精饮料原汁;⽩酒</t>
  </si>
  <si>
    <t>淮品天成</t>
  </si>
  <si>
    <t>倪奎</t>
  </si>
  <si>
    <t>⽩酒;清酒（⽇本⽶酒）;威⼠忌;烧酒;⾼粱酒;⽩兰地;鸡尾酒;⻩酒;果酒（含酒精）;⽶酒</t>
  </si>
  <si>
    <t>歌娇</t>
  </si>
  <si>
    <t>广州神农品牌管理有限公司</t>
  </si>
  <si>
    <t>清酒（⽇本⽶酒）;⽩酒;威⼠忌;蒸馏饮料;酒精饮料（啤酒除外）;葡萄酒;鸡尾酒;⽩兰地;烧酒;果酒</t>
  </si>
  <si>
    <t>酿江尊</t>
  </si>
  <si>
    <t>烧酒（烈酒）;酒精饮料浓缩汁;⽶酒;⾷⽤酒精;⽩酒;烧酒;果酒（含酒精）;蒸煮提取物（利⼝酒和烈酒）;葡萄酒;酒精饮料（啤酒除外）</t>
  </si>
  <si>
    <t>古芝源汉方</t>
  </si>
  <si>
    <t>贵州凤冈古芝源生物科技有限公司</t>
  </si>
  <si>
    <t>葡萄酒;蝮蛇酒;⽩酒;松叶酒;烈酒（饮料）;⻩酒;果酒（含酒精）;苦味酒;利⼝酒;开胃酒</t>
  </si>
  <si>
    <t>草原情未了</t>
  </si>
  <si>
    <t>内蒙古澳天力商贸有限公司</t>
  </si>
  <si>
    <t>开胃酒;烧酒;果酒（含酒精）;葡萄酒;⻘稞酒;⻩酒;⽩酒;烈酒（饮料）;酒精饮料（啤酒除外）;⽶酒</t>
  </si>
  <si>
    <t>多元色彩（上海）科技有限公司</t>
  </si>
  <si>
    <t>⽩兰地;朗姆酒;酒精饮料（啤酒除外）;⻩酒;清酒;⽩酒;鸡尾酒;葡萄酒;⽶酒;威⼠忌</t>
  </si>
  <si>
    <t>甘度</t>
  </si>
  <si>
    <t>袁梅新</t>
  </si>
  <si>
    <t>鸡尾酒;果酒（含酒精）;利⼝酒;⽩酒;伏特加酒;酒精饮料（啤酒除外）;⽶酒;葡萄酒;烈酒（饮料）;⻩酒</t>
  </si>
  <si>
    <t>匡王猛士</t>
  </si>
  <si>
    <t>耿迎春</t>
  </si>
  <si>
    <t>葡萄酒;清酒;⻩酒;烧酒;⽶酒;预先混合的酒精饮料（以啤酒为主的除外）;果酒（含酒精）;⽩酒;酒精饮料（啤酒除外）;含⽔果酒精饮料</t>
  </si>
  <si>
    <t>七五蜂农</t>
  </si>
  <si>
    <t>富平县真蜂农生物科技有限公司</t>
  </si>
  <si>
    <t>⽶酒;烈酒;果酒（含酒精）;烧酒;果酒;甜酒;蜂蜜酒;⽩酒;⽼酒（中国蒸馏烈酒）;露酒</t>
  </si>
  <si>
    <t>中穆友吉庆</t>
  </si>
  <si>
    <t>中穆新能源有限公司</t>
  </si>
  <si>
    <t>⽶酒;葡萄酒;烈酒;伏特加酒;酒精饮料浓缩汁;汽酒;⽩酒;⻘稞酒;果酒;烧酒</t>
  </si>
  <si>
    <t>觅泽</t>
  </si>
  <si>
    <t>陕西臻硒水贸易有限公司</t>
  </si>
  <si>
    <t>果酒（含酒精）;⽩兰地;⽩酒;甜酒;烧酒;威⼠忌;⽶酒;⻩酒;葡萄酒;苹果酒</t>
  </si>
  <si>
    <t>朝红鹿</t>
  </si>
  <si>
    <t>临泉县红鹿畜牧养殖有限公司</t>
  </si>
  <si>
    <t>蒸馏⽶酒（泡盛酒）;⽩⼲酒（中国⽩酒）;露酒;烧酒（烈酒）;苦荞酒;果酒（含酒精）;葡萄酒;⻩酒;已调味的蒸馏酒;⽶酒</t>
  </si>
  <si>
    <t>吾塬坡</t>
  </si>
  <si>
    <t>唐甜甜</t>
  </si>
  <si>
    <t>⽩兰地;⽩酒;葡萄酒;鸡尾酒;酒精饮料（啤酒除外）;果酒（含酒精）;烈酒（饮料）;⻩酒;⽶酒;威⼠忌</t>
  </si>
  <si>
    <t>京海蓝天</t>
  </si>
  <si>
    <t>开胃酒;鸡尾酒;⽩酒;烈酒（饮料）;烧酒;果酒（含酒精）;葡萄酒;⽶酒;伏特加酒;酒精饮料（啤酒除外）</t>
  </si>
  <si>
    <t>黍匠</t>
  </si>
  <si>
    <t>宋宴酒业（贵州）有限公司</t>
  </si>
  <si>
    <t>蒸煮提取物（利⼝酒和烈酒）;清酒;⾷⽤酒精;果酒;⽼酒（中国蒸馏烈酒）;由⾕物蒸馏的⽩酒;烧酒（烈酒）;⽩酒;⾼粱酒;烈酒</t>
  </si>
  <si>
    <t>蜀月望</t>
  </si>
  <si>
    <t>陈肖</t>
  </si>
  <si>
    <t>烧酒（烈酒）;⾷⽤酒精;酒精饮料浓缩汁;葡萄酒;果酒（含酒精）;烧酒;酒精饮料（啤酒除外）;蒸煮提取物（利⼝酒和烈酒）;⽩酒;⽶酒</t>
  </si>
  <si>
    <t>万缘顺</t>
  </si>
  <si>
    <t>绍兴市越城区百缘顺酒业（个体工商户）</t>
  </si>
  <si>
    <t>⽩酒;酒精饮料（啤酒除外）;果酒（含酒精）;露酒;鸡尾酒;烈酒（饮料）;葡萄酒;含⽔果酒精饮料;清酒（⽇本⽶酒）;⻩酒</t>
  </si>
  <si>
    <t>兆衡</t>
  </si>
  <si>
    <t>兆衡控股（北京）有限公司</t>
  </si>
  <si>
    <t>苹果酒;鸡尾酒;⽶酒;蒸馏饮料;葡萄酒;⻩酒;汽酒;烧酒;⽩酒;⻘稞酒</t>
  </si>
  <si>
    <t>阿萨中东料理</t>
  </si>
  <si>
    <t>云南麦迪纳餐饮服务有限公司</t>
  </si>
  <si>
    <t>威末酒;红葡萄酒;苦荞酒;露酒;⽶酒;烧酒;杜松⼦酒;⽼酒（中国蒸馏烈酒）;清酒;⻘稞酒</t>
  </si>
  <si>
    <t>臻沟</t>
  </si>
  <si>
    <t>王晨</t>
  </si>
  <si>
    <t>⽩⼲酒（中国⽩酒）;⽶酒;含酒精的饮料（啤酒除外）;⻩酒;由⾕物蒸馏的⽩酒;果酒;烈酒;葡萄酒;⽩酒;⾷⽤酒精</t>
  </si>
  <si>
    <t>思状酒</t>
  </si>
  <si>
    <t>杭州托浦贸易有限公司</t>
  </si>
  <si>
    <t>津生良酉</t>
  </si>
  <si>
    <t>天泽（天津）生物科技有限公司</t>
  </si>
  <si>
    <t>⽩酒;⽶酒;烈酒（饮料）;清酒（⽇本⽶酒）;酒精饮料（啤酒除外）;鸡尾酒;烧酒;果酒（含酒精）;葡萄酒;⻩酒</t>
  </si>
  <si>
    <t>福建智富家数字信息科技有限公司</t>
  </si>
  <si>
    <t>果酒;⽩兰地;⽩酒;清酒;⻩酒;葡萄酒;酒精饮料（啤酒除外）;鸡尾酒;烈酒（饮料）;开胃酒</t>
  </si>
  <si>
    <t>威一厦</t>
  </si>
  <si>
    <t>黄圣然</t>
  </si>
  <si>
    <t>葡萄酒;酒精饮料（啤酒除外）;鸡尾酒;⻩酒;⽩酒;果酒（含酒精）;清酒（⽇本⽶酒）;烈酒（饮料）;烧酒;威⼠忌</t>
  </si>
  <si>
    <t>东圣酒星</t>
  </si>
  <si>
    <t>四川省东圣酒业股份有限公司</t>
  </si>
  <si>
    <t>⽩酒;⽩⼲酒（中国⽩酒）;⽼酒（中国蒸馏烈酒）;⾷⽤酒精;烈酒;蒸煮提取物（利⼝酒和烈酒）;果酒（含酒精）;餐后酒（利⼝酒和烈酒）;烧酒;含酒精的饮料（啤酒除外）</t>
  </si>
  <si>
    <t>桑续</t>
  </si>
  <si>
    <t>孙四妹</t>
  </si>
  <si>
    <t>葡萄酒;果酒（含酒精）;烈酒（饮料）;⻩酒;⻘稞酒;清酒（⽇本⽶酒）;酒精饮料（啤酒除外）;烧酒;⽶酒;⽩酒</t>
  </si>
  <si>
    <t>洪武雄图</t>
  </si>
  <si>
    <t>吴棣明</t>
  </si>
  <si>
    <t>葡萄酒;酒精饮料（啤酒除外）;果酒;含酒精的⽓泡⽔;⻩酒;汽酒;⽩酒;⽩⼲酒（中国⽩酒）;⽶酒;烧酒</t>
  </si>
  <si>
    <t>栗乡礼遇</t>
  </si>
  <si>
    <t>陕西羊山牧歌旅游开发有限公司</t>
  </si>
  <si>
    <t>酒精饮料（啤酒除外）;⻩酒;果酒（含酒精）;蒸馏饮料;葡萄酒;⽩酒;含酒精⽔果饮料;酒精饮料原汁;⽶酒;黑醋栗酒</t>
  </si>
  <si>
    <t>荣漾</t>
  </si>
  <si>
    <t>大理荣漾核桃机械制造有限公司</t>
  </si>
  <si>
    <t>薄荷酒;果酒（含酒精）;含⽔果酒精饮料;开胃酒;酒精饮料（啤酒除外）;威⼠忌;⻩酒;蒸馏饮料;⽩酒;葡萄酒</t>
  </si>
  <si>
    <t>崔熹</t>
  </si>
  <si>
    <t>深圳市金汐企业咨询管理有限公司</t>
  </si>
  <si>
    <t>⽩酒;酒精饮料（啤酒除外）;⽶酒;清酒（⽇本⽶酒）;果酒（含酒精）;⻩酒;鸡尾酒;烈酒（饮料）;烧酒;葡萄酒</t>
  </si>
  <si>
    <t>小宴纪</t>
  </si>
  <si>
    <t>河南润瀚玻璃有限公司</t>
  </si>
  <si>
    <t>清酒;⻩酒;果酒;伏特加酒;葡萄酒;蜂蜜酒;⽩酒;威⼠忌;⽶酒;烧酒</t>
  </si>
  <si>
    <t>瓦霁</t>
  </si>
  <si>
    <t>四川圣鑫不锈钢有限责任公司</t>
  </si>
  <si>
    <t>威⼠忌;苹果酒;果酒（含酒精）;葡萄酒;⻘稞酒;酒精饮料浓缩汁;含酒精的⽓泡⽔;薄荷酒;伏特加酒;以葡萄酒为主的饮料</t>
  </si>
  <si>
    <t>颂西河</t>
  </si>
  <si>
    <t>⽩酒;果酒;⾼粱酒;烈酒（饮料）;⾷⽤酒精;葡萄酒;烧酒;⽶酒;⻩酒;甜酒</t>
  </si>
  <si>
    <t>赣君府</t>
  </si>
  <si>
    <t>罗贵洪</t>
  </si>
  <si>
    <t>⽩兰地;⽶酒;葡萄酒;威⼠忌;烧酒;⽩酒;果酒（含酒精）;伏特加酒;⻩酒;朗姆酒</t>
  </si>
  <si>
    <t>赤岩滩</t>
  </si>
  <si>
    <t>利⼝酒;⽩酒;葡萄酒;烈酒（饮料）;⾼粱酒;⽶酒;烧酒;⻩酒;⾷⽤酒精;⾕物制蒸馏酒精饮料</t>
  </si>
  <si>
    <t>盐执</t>
  </si>
  <si>
    <t>广州盐执品牌管理有限公司</t>
  </si>
  <si>
    <t>果酒;⻩酒;含⽔果酒精饮料;甜酒;酒精饮料（啤酒除外）;以朗姆酒为主的饮料;⽼酒（中国蒸馏烈酒）;⽩酒;烈酒;预先混合的酒精饮料（以啤酒为主的除外）</t>
  </si>
  <si>
    <t>秋刀</t>
  </si>
  <si>
    <t>海口龙华坡训商行</t>
  </si>
  <si>
    <t>烈酒（饮料）;⽩酒;⻩酒;威⼠忌;⽩兰地;伏特加酒;果酒（含酒精）;鸡尾酒;⾕物制蒸馏酒精饮料;⽶酒</t>
  </si>
  <si>
    <t>华夏天融堂</t>
  </si>
  <si>
    <t>佑臻锦泰（盐城）生物科技有限公司</t>
  </si>
  <si>
    <t>酒精饮料（啤酒除外）;除啤酒外的酒精饮料;预先混合的酒精饮料（以啤酒为主的除外）;含酒精的饮料（啤酒除外）;烈酒（饮料）;已调味的⻨芽酿制的酒精饮料（啤酒除外）;含酒精的充⽓饮料（啤酒除外）;⽩酒;果酒;含⽔果酒精饮料</t>
  </si>
  <si>
    <t>甘也</t>
  </si>
  <si>
    <t>李雪菲</t>
  </si>
  <si>
    <t>果酒（含酒精）;酒精饮料（啤酒除外）;预先混合的酒精饮料（以啤酒为主的除外）;⽩酒;蒸馏饮料;威⼠忌;含⽔果酒精饮料;⾕物制蒸馏酒精饮料;含酒精的⽓泡⽔;清酒（⽇本⽶酒）</t>
  </si>
  <si>
    <t>荒野风物</t>
  </si>
  <si>
    <t>杭州市西湖区星语风吟文化创意工作室（个体工商户）</t>
  </si>
  <si>
    <t>鸡尾酒;利⼝酒;烈酒（饮料）;酒精饮料（啤酒除外）;⽶酒;果酒（含酒精）;葡萄酒;清酒（⽇本⽶酒）;蒸馏饮料;汽酒</t>
  </si>
  <si>
    <t>韶仙翁</t>
  </si>
  <si>
    <t>韶关市东福康养产业投资有限公司</t>
  </si>
  <si>
    <t>⽶酒;葡萄酒;果酒（含酒精）;⾕物制蒸馏酒精饮料;烧酒;⽩酒;酒精饮料（啤酒除外）;酒精饮料原汁;⾷⽤酒精;⽼酒（中国蒸馏烈酒）</t>
  </si>
  <si>
    <t>百秋台</t>
  </si>
  <si>
    <t>唐云落</t>
  </si>
  <si>
    <t>果酒（含酒精）;⽩酒;葡萄酒;烧酒;⻩酒;苦味酒;杜松⼦酒;利⼝酒;蜂蜜酒;⽶酒</t>
  </si>
  <si>
    <t>舒聚莱</t>
  </si>
  <si>
    <t>深圳维特亚商贸有限公司</t>
  </si>
  <si>
    <t>⽩酒;酒精饮料原汁;甜果酒;⾼粱酒;烧酒（烈酒）;烧酒;鸡尾酒;烈酒（饮料）;⽶酒;果酒（含酒精）</t>
  </si>
  <si>
    <t>⽩酒;葡萄酒;⻩酒;烈酒（饮料）;⽩兰地;果酒;清酒;酒精饮料（啤酒除外）;开胃酒;鸡尾酒</t>
  </si>
  <si>
    <t>寸山园</t>
  </si>
  <si>
    <t>烈酒（饮料）;⽶酒;葡萄酒;⽩酒;鸡尾酒;伏特加酒;果酒（含酒精）;⻩酒;⽩兰地;酒精饮料（啤酒除外）</t>
  </si>
  <si>
    <t>幸程</t>
  </si>
  <si>
    <t>代书宇</t>
  </si>
  <si>
    <t>威⼠忌;⽶酒;⽩兰地;清酒（⽇本⽶酒）;葡萄酒;果酒（含酒精）;烧酒;预先混合的酒精饮料（以啤酒为主的除外）;鸡尾酒;朗姆酒</t>
  </si>
  <si>
    <t>慕默</t>
  </si>
  <si>
    <t>云南云忆科技有限公司</t>
  </si>
  <si>
    <t>含⽔果酒精饮料;⾕物制蒸馏酒精饮料;蜂蜜酒;果酒（含酒精）;含酒精的⽓泡⽔;⽶酒;蒸馏饮料;⽩酒;烧酒;葡萄酒</t>
  </si>
  <si>
    <t>尚岭博韵</t>
  </si>
  <si>
    <t>海南尚岭博韵商贸有限公司</t>
  </si>
  <si>
    <t>葡萄酒;⽶酒;甜酒;果酒;清酒（⽇本⽶酒）;⻩酒;果酒（含酒精）;⽩酒;鸡尾酒;⽩⼲酒（中国⽩酒）</t>
  </si>
  <si>
    <t>CHAISHENGYUAN</t>
  </si>
  <si>
    <t>柴慧青</t>
  </si>
  <si>
    <t>开胃酒;鸡尾酒;清酒（⽇本⽶酒）;黑醋栗酒;⻩酒;⽩兰地;苹果酒;葡萄酒;酒精饮料（啤酒除外）;果酒（含酒精）</t>
  </si>
  <si>
    <t>宴醉归</t>
  </si>
  <si>
    <t>古蔺玉仙醇酒类销售有限公司</t>
  </si>
  <si>
    <t>果酒（含酒精）;含⽔果酒精饮料;⽩酒;烧酒;鸡尾酒;⽶酒;汽酒;⽼酒（中国蒸馏烈酒）;葡萄酒;⻩酒</t>
  </si>
  <si>
    <t>尘愿</t>
  </si>
  <si>
    <t>四川甘瑞一霖酒业有限责任公司</t>
  </si>
  <si>
    <t>⻘梅酒;⻩酒;果酒;汽酒;葡萄酒;酒精饮料（啤酒除外）;佐餐酒;⾼粱酒;⽶酒;⽩酒</t>
  </si>
  <si>
    <t>玄若泉</t>
  </si>
  <si>
    <t>重庆希夷酒业有限公司</t>
  </si>
  <si>
    <t>⽩酒;蜂蜜酒;汽酒;烧酒;葡萄酒;烈酒（饮料）;果酒（含酒精）;⽶酒;⻩酒;开胃酒</t>
  </si>
  <si>
    <t>鹅宝宝</t>
  </si>
  <si>
    <t>周宏亮</t>
  </si>
  <si>
    <t>酒精饮料（啤酒除外）;烈酒（饮料）;葡萄酒;餐后酒（利⼝酒和烈酒）;⽩酒;清酒（⽇本⽶酒）;⻩酒;鸡尾酒;开胃酒;果酒（含酒精）</t>
  </si>
  <si>
    <t>浏康</t>
  </si>
  <si>
    <t>福州市闽侯华茅酒业有限公司</t>
  </si>
  <si>
    <t>伏特加酒;⽶酒;⻩酒;果酒（含酒精）;⽩酒;烧酒;葡萄酒;⻘稞酒;朗姆酒;烈酒（饮料）</t>
  </si>
  <si>
    <t>桐庐华创文化传媒有限公司</t>
  </si>
  <si>
    <t>鸡尾酒;果酒（含酒精）;⽩酒;葡萄酒;烧酒;蒸馏饮料;⽶酒;⻩酒;烈酒（饮料）;含⽔果酒精饮料</t>
  </si>
  <si>
    <t>韵藏·汉</t>
  </si>
  <si>
    <t>遵义市佑仁酒业有限公司</t>
  </si>
  <si>
    <t>⽩酒;餐后酒（利⼝酒和烈酒）;利⼝酒;⽼酒（中国蒸馏酒）;⽩⼲酒（中国⽩酒）;果酒（含酒精）;烧酒（烈酒）;葡萄酒;⾼粱酒;苹果酒</t>
  </si>
  <si>
    <t>德善台</t>
  </si>
  <si>
    <t>吴小春</t>
  </si>
  <si>
    <t>开胃酒;⽶酒;酒精饮料(啤酒除外);果酒;烧酒;清酒;葡萄酒;蒸煮提取物(利⼝酒和烈酒);⻩酒;⽩酒</t>
  </si>
  <si>
    <t>每人潮</t>
  </si>
  <si>
    <t>天津津帝酒业有限公司</t>
  </si>
  <si>
    <t>⽩兰地;汽酒;⽩酒;烧酒;⻩酒;清酒;⽶酒;葡萄酒;利⼝酒;果酒</t>
  </si>
  <si>
    <t>聪聪明典</t>
  </si>
  <si>
    <t>河南仙谷酒业有限公司</t>
  </si>
  <si>
    <t>⻘稞酒;⾷⽤酒精;⾕物制蒸馏酒精饮料;烧酒;汽酒;⻩酒;烈酒（饮料）;预先混合的酒精饮料（以啤酒为主的除外）;酒精饮料原汁;⽩酒</t>
  </si>
  <si>
    <t>村溪树</t>
  </si>
  <si>
    <t>唐冬强</t>
  </si>
  <si>
    <t>葡萄酒;⽩兰地;朗姆酒;伏特加酒;威⼠忌;⻩酒;⽩酒;⾷⽤酒精;烈酒（饮料）;果酒（含酒精）</t>
  </si>
  <si>
    <t>戎马状元</t>
  </si>
  <si>
    <t>余楚玲</t>
  </si>
  <si>
    <t>威⼠忌;酒精饮料（啤酒除外）;烈酒;鸡尾酒;清酒（⽇本⽶酒）;⽩酒;果酒（含酒精）;开胃酒;葡萄酒;⻩酒</t>
  </si>
  <si>
    <t>野纳</t>
  </si>
  <si>
    <t>张丽宁</t>
  </si>
  <si>
    <t>葡萄酒;酒精饮料（啤酒除外）;利⼝酒;⻩酒;果酒（含酒精）;鸡尾酒;⽶酒;⽩酒;伏特加酒;烈酒（饮料）</t>
  </si>
  <si>
    <t>古巷上</t>
  </si>
  <si>
    <t>福建省泷澄健康管理有限公司</t>
  </si>
  <si>
    <t>威⼠忌;开胃酒;清酒（⽇本⽶酒）;果酒（含酒精）;烈酒（饮料）;葡萄酒;朗姆酒;⽩酒;鸡尾酒;⽶酒</t>
  </si>
  <si>
    <t>青岛国信会展酒店发展有限公司</t>
  </si>
  <si>
    <t>⽶酒;烈酒（饮料）;威⼠忌;⻩酒;⽩兰地;⽩酒;果酒（含酒精）;葡萄酒;酒精饮料（啤酒除外）;鸡尾酒</t>
  </si>
  <si>
    <t>炼梅师</t>
  </si>
  <si>
    <t>香港皇家米兰有限公司</t>
  </si>
  <si>
    <t>果酒（含酒精）;⽩酒;烈酒（饮料）;酒精饮料（啤酒除外）;⾷⽤酒精;葡萄酒;含⽔果酒精饮料;⽶酒;⻩酒;开胃酒</t>
  </si>
  <si>
    <t>寸山舍</t>
  </si>
  <si>
    <t>果酒（含酒精）;⽩兰地;⽩酒;葡萄酒;鸡尾酒;烈酒（饮料）;⽶酒;⻩酒;伏特加酒;酒精饮料（啤酒除外）</t>
  </si>
  <si>
    <t>鱼钱传</t>
  </si>
  <si>
    <t>史开锐</t>
  </si>
  <si>
    <t>⽶酒;汽酒;⾼粱酒;⽩酒;酒精饮料（啤酒除外）;果酒（含酒精）;威⼠忌;烈酒（饮料）;葡萄酒;烧酒</t>
  </si>
  <si>
    <t>东圣私藏酒庄</t>
  </si>
  <si>
    <t>烧酒;⽼酒（中国蒸馏烈酒）;餐后酒（利⼝酒和烈酒）;⾷⽤酒精;烈酒;果酒（含酒精）;蒸煮提取物（利⼝酒和烈酒）;⽩⼲酒（中国⽩酒）;含酒精的饮料（啤酒除外）;⽩酒</t>
  </si>
  <si>
    <t>稻疆鸿</t>
  </si>
  <si>
    <t>李国旗</t>
  </si>
  <si>
    <t>鸡尾酒;威⼠忌;烈酒;⽩酒;清酒（⽇本⽶酒）;葡萄酒;⻩酒;果酒（含酒精）;酒精饮料（啤酒除外）;⽶酒</t>
  </si>
  <si>
    <t>探草纲目</t>
  </si>
  <si>
    <t>于红</t>
  </si>
  <si>
    <t>⽩兰地;⽶酒;清酒（⽇本⽶酒）;⻩酒;烧酒;果酒（含酒精）;酒精饮料（啤酒除外）;⻘稞酒;葡萄酒;⽩酒</t>
  </si>
  <si>
    <t>猛薡妃</t>
  </si>
  <si>
    <t>陕西汇盈天佳科技集团有限公司</t>
  </si>
  <si>
    <t>⻩酒;⾷⽤酒精;烈酒;果酒（含酒精）;酒精饮料原汁;葡萄酒;⽶酒;⾼粱酒;⽩酒;鸡尾酒</t>
  </si>
  <si>
    <t>朕烟雨</t>
  </si>
  <si>
    <t>嘉兴市越界文化传播有限公司</t>
  </si>
  <si>
    <t>⽶酒;葡萄酒;开胃酒;威⼠忌;含⽔果酒精饮料;鸡尾酒;⻩酒;⽩兰地;⽩酒;烧酒</t>
  </si>
  <si>
    <t>木莱巴赫</t>
  </si>
  <si>
    <t>福建比科夫供应链有限公司</t>
  </si>
  <si>
    <t>⽩兰地;酒精饮料（啤酒除外）;朗姆酒;伏特加酒;威⼠忌;⽶酒;果酒;利⼝酒;鸡尾酒</t>
  </si>
  <si>
    <t>木元酒</t>
  </si>
  <si>
    <t>白酒</t>
  </si>
  <si>
    <t>黔竺</t>
  </si>
  <si>
    <t>果酒（含酒精）;利⼝酒;蜂蜜酒;⻩酒;杜松⼦酒;烧酒;⽶酒;苦味酒;葡萄酒;⽩酒</t>
  </si>
  <si>
    <t>众口福 福</t>
  </si>
  <si>
    <t>东莞市众口福粮油食品有限公司</t>
  </si>
  <si>
    <t>柑⾹酒;葡萄酒;烧酒;⻩酒;⽼酒（中国蒸馏烈酒）;⽩酒;果酒（含酒精）;蜂蜜酒;⽶酒;⾷⽤酒精</t>
  </si>
  <si>
    <t>岭先小将</t>
  </si>
  <si>
    <t>湛江市岭先酒业有限公司</t>
  </si>
  <si>
    <t>⽩酒;烈酒;露酒;⽼酒（中国蒸馏烈酒）;果酒（含酒精）;⽩⼲酒（中国⽩酒）;⽶酒;蒸馏⽶酒（泡盛酒）;⾼粱酒;果酒</t>
  </si>
  <si>
    <t>精丝猴</t>
  </si>
  <si>
    <t>云南精丝猴精酿科技有限公司</t>
  </si>
  <si>
    <t>烧酒;⽩酒;葡萄酒;威⼠忌;酒精饮料（啤酒除外）;鸡尾酒;果酒（含酒精）;烈酒（饮料）;蒸馏饮料;⽶酒</t>
  </si>
  <si>
    <t>重窖天下</t>
  </si>
  <si>
    <t>孙灿强</t>
  </si>
  <si>
    <t>⽩酒;果酒;清酒;露酒;⾷⽤酒精;⽼酒（中国蒸馏烈酒）;⽶酒;⾼粱酒;⻩酒;烧酒</t>
  </si>
  <si>
    <t>BEICHENSHAN</t>
  </si>
  <si>
    <t>厦门龙阙实业有限公司</t>
  </si>
  <si>
    <t>⻩酒;葡萄酒;威⼠忌;清酒;⽶酒;⽩酒;烧酒;⾼粱酒;酒精饮料（啤酒除外）;伏特加酒</t>
  </si>
  <si>
    <t>朝屿</t>
  </si>
  <si>
    <t>宁夏朝露酒庄有限公司</t>
  </si>
  <si>
    <t>葡萄酒;鸡尾酒;⻩酒;开胃酒;杜松⼦酒;蒸馏饮料;⽶酒;苹果酒;蒸煮提取物（利⼝酒和烈酒）;⽩酒</t>
  </si>
  <si>
    <t>泸龙工匠</t>
  </si>
  <si>
    <t>泸州金杯酿酒厂</t>
  </si>
  <si>
    <t>葡萄酒;⽩酒;果酒（含酒精）;由⾕物蒸馏的⽩酒;预先混合的酒精饮料（以啤酒为主的除外）;⾕物制蒸馏酒精饮料;⾷⽤酒精;烧酒;⻩酒;以葡萄酒为主的饮料</t>
  </si>
  <si>
    <t>景汐湖</t>
  </si>
  <si>
    <t>宁波景晞进出口有限公司</t>
  </si>
  <si>
    <t>鸡尾酒;以朗姆酒为主的饮料;汽酒;⾷⽤酒精;⾕物制蒸馏酒精饮料;威⼠忌;酒精饮料原汁;⽩酒;葡萄酒;果酒（含酒精）</t>
  </si>
  <si>
    <t>钟永根汉方</t>
  </si>
  <si>
    <t>⽩酒;松叶酒;苦味酒;蝮蛇酒;烈酒（饮料）;开胃酒;葡萄酒;⻩酒;利⼝酒;果酒（含酒精）</t>
  </si>
  <si>
    <t>雅世涵舍</t>
  </si>
  <si>
    <t>⽩酒;⾼粱酒;葡萄酒;威⼠忌;鸡尾酒;烧酒;⻩酒;果酒;烈酒;⽶酒</t>
  </si>
  <si>
    <t>华凤鹿</t>
  </si>
  <si>
    <t>丁志丰</t>
  </si>
  <si>
    <t>⻩酒;⽩兰地;鸡尾酒;⾼粱酒;威⼠忌;果酒（含酒精）;⽩酒;烧酒;清酒（⽇本⽶酒）;⽶酒</t>
  </si>
  <si>
    <t>虞淳欢</t>
  </si>
  <si>
    <t>葡萄酒;果酒（含酒精）;烧酒（烈酒）;酒精饮料浓缩汁;⽩酒;蒸煮提取物（利⼝酒和烈酒）;⾷⽤酒精;酒精饮料（啤酒除外）;⽶酒;烧酒</t>
  </si>
  <si>
    <t>佤山情酒</t>
  </si>
  <si>
    <t>涂小彬</t>
  </si>
  <si>
    <t>含⽔果酒精饮料;⻩酒;红葡萄酒;⽩酒;⽶酒;酒精饮料原汁;预先混合的酒精饮料（以啤酒为主的除外）;清酒;酒精饮料（啤酒除外）;烧酒</t>
  </si>
  <si>
    <t>蒸煮提取物(利⼝酒和烈酒);开胃酒;⻩酒;清酒;酒精饮料(啤酒除外);烧酒;⽩酒;⽶酒;葡萄酒;果酒</t>
  </si>
  <si>
    <t>颂悟</t>
  </si>
  <si>
    <t>⻩酒;⽩酒;⾷⽤酒精;朗姆酒;果酒（含酒精）;烈酒（饮料）;伏特加酒;威⼠忌;葡萄酒;⽩兰地</t>
  </si>
  <si>
    <t>樽江度</t>
  </si>
  <si>
    <t>蒸煮提取物（利⼝酒和烈酒）;葡萄酒;⽶酒;⾷⽤酒精;酒精饮料浓缩汁;烧酒（烈酒）;酒精饮料（啤酒除外）;⽩酒;烧酒;果酒（含酒精）</t>
  </si>
  <si>
    <t>融穗</t>
  </si>
  <si>
    <t>贵阳皇廷酒店有限责任公司</t>
  </si>
  <si>
    <t>⽩酒;⻩酒;⽩⼲酒（中国⽩酒）;⽼酒（中国蒸馏烈酒）;红葡萄酒;已调味的蒸馏酒;由⾕物蒸馏的⽩酒;⻘稞酒;果酒（含酒精）;⽶酒</t>
  </si>
  <si>
    <t>朕十全</t>
  </si>
  <si>
    <t>开胃酒;烧酒;含⽔果酒精饮料;威⼠忌;⽩兰地;鸡尾酒;⻩酒;葡萄酒;⽩酒;⽶酒</t>
  </si>
  <si>
    <t>古喜宿</t>
  </si>
  <si>
    <t>威⼠忌;开胃酒;烈酒（饮料）;⽩酒;清酒（⽇本⽶酒）;葡萄酒;朗姆酒;鸡尾酒;果酒（含酒精）;⽶酒</t>
  </si>
  <si>
    <t>景傣老夜猫</t>
  </si>
  <si>
    <t>岩温罕（532801********0535）</t>
  </si>
  <si>
    <t>蒸馏饮料;果酒（含酒精）;烈酒（饮料）;酒精饮料（啤酒除外）;含⽔果酒精饮料;葡萄酒;⾷⽤酒精;⽩酒;⻩酒;⽶酒</t>
  </si>
  <si>
    <t>甑小湖</t>
  </si>
  <si>
    <t>南平市湖人杨梅专业合作社</t>
  </si>
  <si>
    <t>鸡尾酒;蒸馏饮料;⽶酒;汽酒;清酒（⽇本⽶酒）;⻩酒;⽩酒;含⽔果酒精饮料;葡萄酒;烧酒</t>
  </si>
  <si>
    <t>山东鲁建电工有限公司</t>
  </si>
  <si>
    <t>含⽔果酒精饮料;⽩酒;⽶酒;⻩酒;清酒（⽇本⽶酒）;⽩兰地;威⼠忌;酒精饮料（啤酒除外）;烈酒（饮料）;葡萄酒</t>
  </si>
  <si>
    <t>MUHLEBACH</t>
  </si>
  <si>
    <t>果酒;鸡尾酒;利⼝酒;⽩兰地;酒精饮料（啤酒除外）;伏特加酒;⽶酒;威⼠忌;朗姆酒</t>
  </si>
  <si>
    <t>萌狐笔记</t>
  </si>
  <si>
    <t>果酒（含酒精）;预先混合的酒精饮料（以啤酒为主的除外）;混合威⼠忌酒;威⼠忌;以葡萄酒为主的开胃酒;葡萄酒;朗姆酒;⻩酒;⽩酒;⾷⽤酒精</t>
  </si>
  <si>
    <t>泸隐上</t>
  </si>
  <si>
    <t>果酒（含酒精）;⽩酒;威⼠忌;烧酒;红葡萄酒;开胃酒;鸡尾酒;清酒（⽇本⽶酒）;汽酒;⽶酒</t>
  </si>
  <si>
    <t>TIPTOEING</t>
  </si>
  <si>
    <t>廖炜轩</t>
  </si>
  <si>
    <t>酒精饮料（啤酒除外）;烈酒（饮料）;汽酒;鸡尾酒;蒸馏饮料;⾕物制蒸馏酒精饮料;利⼝酒;餐后酒（利⼝酒和烈酒）;含⽔果酒精饮料;酒精饮料浓缩汁</t>
  </si>
  <si>
    <t>蜀薏人</t>
  </si>
  <si>
    <t>北京圣颜商贸有限公司</t>
  </si>
  <si>
    <t>⽩酒;开胃酒;果酒（含酒精）;烧酒;清酒（⽇本⽶酒）;酒精饮料（啤酒除外）;葡萄酒;汽酒;⾷⽤酒精;⽩兰地</t>
  </si>
  <si>
    <t>2024/07/03</t>
  </si>
  <si>
    <t>魏西施</t>
  </si>
  <si>
    <t>魏薇露</t>
  </si>
  <si>
    <t>⽩酒;威⼠忌;汽酒;葡萄酒;⽶酒;鸡尾酒;⻩酒;⽩兰地;酒精饮料（啤酒除外）;果酒（含酒精）</t>
  </si>
  <si>
    <t>草地成汗</t>
  </si>
  <si>
    <t>武国山</t>
  </si>
  <si>
    <t>烧酒;果酒（含酒精）;⽩酒;酒精饮料（啤酒除外）;鸡尾酒;⻩酒;利⼝酒;⻘稞酒;烈酒（饮料）;汽酒</t>
  </si>
  <si>
    <t>鑫月圆</t>
  </si>
  <si>
    <t>王明月</t>
  </si>
  <si>
    <t>鸡尾酒;⽢蔗汁酿朗姆酒;⽢蔗制酒精饮料;⽩兰地;⽩葡萄酒;果酒（含酒精）;烈酒（饮料）;烈酒;桃红葡萄酒;葡萄酒</t>
  </si>
  <si>
    <t>观龙鼎</t>
  </si>
  <si>
    <t>王琛</t>
  </si>
  <si>
    <t>⽩兰地;⽩酒;威⼠忌;鸡尾酒;烈酒（饮料）;酒精饮料（啤酒除外）;烧酒;⽶酒;葡萄酒;果酒（含酒精）</t>
  </si>
  <si>
    <t>顾淳</t>
  </si>
  <si>
    <t>钟健良</t>
  </si>
  <si>
    <t>⽶酒;果酒（含酒精）;蜂蜜酒;⽩酒;葡萄酒;烈酒（饮料）;含⽔果酒精饮料;梨酒;⻘稞酒;⻩酒</t>
  </si>
  <si>
    <t>青金崇樽</t>
  </si>
  <si>
    <t>崇州市人生酒业有限公司</t>
  </si>
  <si>
    <t>⽩酒;葡萄酒;含⽔果酒精饮料;⻘稞酒;⾷⽤酒精;⾕物制蒸馏酒精饮料;烈酒;⽼酒（中国蒸馏烈酒）;⽶酒;果酒</t>
  </si>
  <si>
    <t>榴恋四季-LIU LIAN SI JI-LIULIANSIJI</t>
  </si>
  <si>
    <t>正秋水果进出口集团股份公司</t>
  </si>
  <si>
    <t>烧酒;⽩酒;葡萄酒;⽩兰地;鸡尾酒;烈酒（饮料）;威⼠忌;⽶酒;⻩酒;果酒（含酒精）</t>
  </si>
  <si>
    <t>龙洞香</t>
  </si>
  <si>
    <t>重庆龙洞香酒类销售有限公司</t>
  </si>
  <si>
    <t>苦荞酒;⽶酒;⽩⼲酒（中国⽩酒）;果酒;⽩酒;⾷⽤酒精;⾼粱酒;开胃酒;烧酒;鸡尾酒</t>
  </si>
  <si>
    <t>印圣归来</t>
  </si>
  <si>
    <t>徐操</t>
  </si>
  <si>
    <t>酒精饮料（啤酒除外）;果酒（含酒精）;蜂蜜酒;⽶酒;⻩酒;⽩酒;烧酒;汽酒;⾷⽤酒精;蒸馏饮料</t>
  </si>
  <si>
    <t>河谷翔鹤楼</t>
  </si>
  <si>
    <t>巴启浩</t>
  </si>
  <si>
    <t>⻩酒;⽩⼲酒（中国⽩酒）;⽶酒;以葡萄酒为主的饮料;烧酒（烈酒）;果酒（含酒精）;葡萄酒;⽩酒;鸡尾酒;薄荷酒</t>
  </si>
  <si>
    <t>光禄山</t>
  </si>
  <si>
    <t>河北柏坡岭贸易有限公司</t>
  </si>
  <si>
    <t>葡萄酒;鸡尾酒;⽩酒;⾼粱酒;烈酒（饮料）;果酒（含酒精）;酒精饮料（啤酒除外）;烧酒;⻩酒;⽶酒</t>
  </si>
  <si>
    <t>开元鼎新</t>
  </si>
  <si>
    <t>河南品膳御要餐饮管理有限公司</t>
  </si>
  <si>
    <t>鸡尾酒;以葡萄酒为主的饮料;果酒（含酒精）;葡萄酒;⽶酒;含⽔果酒精饮料;酒精饮料（啤酒除外）;烧酒;⽩酒;烈酒（饮料）</t>
  </si>
  <si>
    <t>京朝仙</t>
  </si>
  <si>
    <t>余丽媚</t>
  </si>
  <si>
    <t>烈酒（饮料）;⽶酒;预先混合的酒精饮料（以啤酒为主的除外）;烧酒;⽩酒;利⼝酒;含⽔果酒精饮料;红葡萄酒;⻩酒;蒸馏饮料</t>
  </si>
  <si>
    <t>蜀定叁泉</t>
  </si>
  <si>
    <t>四川叁勤商贸有限责任公司</t>
  </si>
  <si>
    <t>⽩酒;开胃酒;含⽔果酒精饮料;果酒（含酒精）;葡萄酒;朗姆酒;伏特加酒;酒精饮料（啤酒除外）;鸡尾酒;威⼠忌</t>
  </si>
  <si>
    <t>扬州酱星捷餐饮有限公司</t>
  </si>
  <si>
    <t>伏特加酒;⽩酒;红葡萄酒;果酒;烈酒;⻩酒;⾼粱酒;酒精饮料（啤酒除外）;烧酒;⽶酒</t>
  </si>
  <si>
    <t>天鹅兰特庄园</t>
  </si>
  <si>
    <t>澳大利亚天鹅酿酒有限公司</t>
  </si>
  <si>
    <t>⽩酒;酒精饮料（啤酒除外）;蒸馏饮料;鸡尾酒;蒸煮提取物（利⼝酒和烈酒）;汽酒;果酒（含酒精）;葡萄酒;威⼠忌;⽩兰地</t>
  </si>
  <si>
    <t>冮南传奇</t>
  </si>
  <si>
    <t>江苏民安酒业有限公司</t>
  </si>
  <si>
    <t>⽩酒;果酒（含酒精）;威⼠忌;汽酒;酒精饮料（啤酒除外）;蒸馏饮料;利⼝酒;⽶酒;葡萄酒;⻩酒</t>
  </si>
  <si>
    <t>酩赫</t>
  </si>
  <si>
    <t>黄金良</t>
  </si>
  <si>
    <t>清酒（⽇本⽶酒）;果酒;烈酒（饮料）;⻩酒;葡萄酒;酒精饮料（啤酒除外）;开胃酒;威⼠忌;鸡尾酒;⽩酒</t>
  </si>
  <si>
    <t>敬华春</t>
  </si>
  <si>
    <t>陈敬华</t>
  </si>
  <si>
    <t>果酒（含酒精）;烈酒（饮料）;鸡尾酒;葡萄酒;⽩酒;烧酒;清酒（⽇本⽶酒）;酒精饮料（啤酒除外）;⻩酒;⽶酒</t>
  </si>
  <si>
    <t>徽侯</t>
  </si>
  <si>
    <t>白涛</t>
  </si>
  <si>
    <t>⽶酒;⻩酒;苦荞酒;露酒;清酒;果酒（含酒精）;葡萄酒;烧酒;⽩酒;⾼粱酒</t>
  </si>
  <si>
    <t>中孚三春液</t>
  </si>
  <si>
    <t>山西中孚酒业有限公司</t>
  </si>
  <si>
    <t>⽩酒;由⾕物蒸馏的⽩酒;⾼粱酒;⽩⼲酒（中国⽩酒）;果酒（含酒精）;⽼酒（中国蒸馏烈酒）;烧酒;露酒;烧酒（烈酒）;烈酒（饮料）</t>
  </si>
  <si>
    <t>财祉</t>
  </si>
  <si>
    <t>⻘稞酒;⽶酒;⾕物制蒸馏酒精饮料;⾷⽤酒精;烈酒;⽼酒（中国蒸馏烈酒）;葡萄酒;含⽔果酒精饮料;⽩酒;果酒</t>
  </si>
  <si>
    <t>黑尊严选</t>
  </si>
  <si>
    <t>大唐（香港）服饰科技有限公司</t>
  </si>
  <si>
    <t>威⼠忌;烈酒;⽼酒（中国蒸馏烈酒）;⽩酒;葡萄酒;烈酒（饮料）;⽩兰地;烧酒;⾷⽤酒精;开胃酒</t>
  </si>
  <si>
    <t>黔支云</t>
  </si>
  <si>
    <t>支云酒业集团有限公司</t>
  </si>
  <si>
    <t>烧酒;⾷⽤酒精;⽩酒;⻩酒;果酒;蒸煮提取物（利⼝酒和烈酒）;⻘稞酒;酒精饮料（啤酒除外）;烈酒;鸡尾酒</t>
  </si>
  <si>
    <t>TUTUMATE</t>
  </si>
  <si>
    <t>武汉市凸凸文化娱乐有限公司</t>
  </si>
  <si>
    <t>含⽔果酒精饮料;含酒精的⽓泡⽔;⽩酒;果酒（含酒精）;以葡萄酒为主的饮料;餐后酒（利⼝酒和烈酒）;预先混合的酒精饮料（以啤酒为主的除外）;汽酒;酒精饮料（啤酒除外）;鸡尾酒</t>
  </si>
  <si>
    <t>益君香</t>
  </si>
  <si>
    <t>谭吉川</t>
  </si>
  <si>
    <t>鸡尾酒;果酒（含酒精）;⽩酒;⽩兰地;⽶酒;预先混合的酒精饮料（以啤酒为主的除外）;⻩酒;葡萄酒;威⼠忌;酒精饮料（啤酒除外）</t>
  </si>
  <si>
    <t>淘健</t>
  </si>
  <si>
    <t>中投国泰（深圳）金融投资有限公司</t>
  </si>
  <si>
    <t>清酒（⽇本⽶酒）;葡萄酒;蜂蜜酒;威⼠忌;⽩兰地;烈酒（饮料）;⽩酒;苹果酒;汽酒;开胃酒</t>
  </si>
  <si>
    <t>银蹄</t>
  </si>
  <si>
    <t>北京歪马科技有限公司</t>
  </si>
  <si>
    <t>⽩酒;烧酒;果酒（含酒精）;葡萄酒;烈酒（饮料）;开胃酒;汽酒;鸡尾酒;威⼠忌;酒精饮料（啤酒除外）</t>
  </si>
  <si>
    <t>美丽惊喜</t>
  </si>
  <si>
    <t>上海谦裳科技有限公司</t>
  </si>
  <si>
    <t>苹果酒;⻘稞酒;⽶酒;果酒;酒精饮料（啤酒除外）;烧酒;⽩酒;开胃酒;⻩酒;葡萄酒</t>
  </si>
  <si>
    <t>宝信昌</t>
  </si>
  <si>
    <t>宝信昌(北京)中医研究院</t>
  </si>
  <si>
    <t>果酒（含酒精）;⽩酒;开胃酒;汽酒;清酒;薄荷酒;苦味酒;烧酒;⾕物制蒸馏酒精饮料;葡萄酒</t>
  </si>
  <si>
    <t>牡丹倾</t>
  </si>
  <si>
    <t>刘鲜艳</t>
  </si>
  <si>
    <t>果酒（含酒精）;鸡尾酒;威⼠忌;葡萄酒;⽩酒;⻩酒;蒸馏饮料;⽩兰地;烧酒;⽶酒</t>
  </si>
  <si>
    <t>寿康山</t>
  </si>
  <si>
    <t>刘春丽</t>
  </si>
  <si>
    <t>蒸馏饮料;清酒（⽇本⽶酒）;⽩酒;烧酒;利⼝酒;烧酒（烈酒）;⽼酒（中国蒸馏烈酒）;⽩⼲酒（中国⽩酒）;开胃酒;葡萄酒</t>
  </si>
  <si>
    <t>全丰优选</t>
  </si>
  <si>
    <t>四川全丰酒业有限责任公司</t>
  </si>
  <si>
    <t>酒精饮料（啤酒除外）;已调味的⻨芽酿制的酒精饮料（啤酒除外）;苦味酒;⻩酒;餐后酒（利⼝酒和烈酒）;果酒（含酒精）;汽酒;烧酒;⽩酒;⾷⽤酒精</t>
  </si>
  <si>
    <t>麓和</t>
  </si>
  <si>
    <t>宁夏醇聚葡萄酒文化传播有限公司</t>
  </si>
  <si>
    <t>烈酒;葡萄酒;⽩兰地;桃红葡萄酒;起泡红葡萄酒;⽩葡萄酒;起泡⽩葡萄酒;酒精饮料（啤酒除外）;加烈葡萄酒;红葡萄酒</t>
  </si>
  <si>
    <t>北文荒八</t>
  </si>
  <si>
    <t>李彦含</t>
  </si>
  <si>
    <t>鸡尾酒;⽶酒;⽩酒;烧酒;⻩酒;葡萄酒;⽩兰地;果酒;含⽔果酒精饮料;⽼酒（中国蒸馏烈酒）</t>
  </si>
  <si>
    <t>青衣女倌</t>
  </si>
  <si>
    <t>天津市蒹葭苍苍文化传媒有限公司</t>
  </si>
  <si>
    <t>烧酒;⾷⽤酒精;⾼粱酒;鸡尾酒;果酒（含酒精）;葡萄酒;⽶酒;威⼠忌;酒精饮料（啤酒除外）;⽩酒</t>
  </si>
  <si>
    <t>亦健亦美（南通）供应链管理有限公司</t>
  </si>
  <si>
    <t>烈酒（饮料）;⽩酒;⾷⽤酒精;葡萄酒;汽酒;果酒（含酒精）;开胃酒;⽶酒;⻩酒;烧酒</t>
  </si>
  <si>
    <t>HAM-KHAK</t>
  </si>
  <si>
    <t>厦门七尚酒店管理集团有限公司</t>
  </si>
  <si>
    <t>烧酒;葡萄酒;酒精饮料（啤酒除外）;威⼠忌;⻩酒;果酒（含酒精）;鸡尾酒;⽩兰地;⽩酒;清酒（⽇本⽶酒）</t>
  </si>
  <si>
    <t>归秀</t>
  </si>
  <si>
    <t>尹明</t>
  </si>
  <si>
    <t>⽩酒;鸡尾酒;烈酒（饮料）;⻩酒;⾷⽤酒精;酒精饮料（啤酒除外）;⽶酒;葡萄酒;威⼠忌;果酒（含酒精）</t>
  </si>
  <si>
    <t>津爷</t>
  </si>
  <si>
    <t>天津市大强酒业贸易有限公司</t>
  </si>
  <si>
    <t>汽酒;⽶酒;葡萄酒;烧酒;果酒;清酒;⽩酒;⻩酒;利⼝酒;⽩兰地</t>
  </si>
  <si>
    <t>福鹿人</t>
  </si>
  <si>
    <t>可可莱特食品有限公司</t>
  </si>
  <si>
    <t>⽩兰地;⽶酒;果酒（含酒精）;⾷⽤酒精;鸡尾酒;酒精饮料（啤酒除外）;⻩酒;葡萄酒;含⽔果酒精饮料;⽩酒</t>
  </si>
  <si>
    <t>酩扬清选</t>
  </si>
  <si>
    <t>山西酩扬酒厂股份有限公司</t>
  </si>
  <si>
    <t>⽶酒;以葡萄酒为主的饮料;⻩酒;⽼酒（中国蒸馏烈酒）;⽩⼲酒（中国⽩酒）;烈酒（饮料）;⽩酒;⾕物制蒸馏酒精饮料;烧酒;果酒（含酒精）</t>
  </si>
  <si>
    <t>芝莱迪卡</t>
  </si>
  <si>
    <t>青岛盛久源酒庄有限公司</t>
  </si>
  <si>
    <t>⽩酒;葡萄酒;加烈葡萄酒;果酒;威⼠忌;烧酒;樱桃酒;烧酒（烈酒）;⽩兰地;利⼝酒</t>
  </si>
  <si>
    <t>诗博士</t>
  </si>
  <si>
    <t>礼博士文化科技（北京）有限公司</t>
  </si>
  <si>
    <t>开胃酒;⽩葡萄酒;⽩酒;甜果酒;果酒;烈酒（饮料）;清酒;红葡萄酒;果酒（含酒精）;蒸馏饮料;酒精饮料（啤酒除外）;含⽔果酒精饮料;以葡萄酒为主的饮料;含酒精⽔果饮料;⽶酒;清酒（⽇本⽶酒）</t>
  </si>
  <si>
    <t>圣羽诺</t>
  </si>
  <si>
    <t>广州市玖富酒业贸易有限公司</t>
  </si>
  <si>
    <t>蒸煮提取物（利⼝酒和烈酒）;伏特加酒;果酒（含酒精）;清酒;⽩兰地;葡萄酒;朗姆酒;威⼠忌;樱桃酒;烈酒（饮料）</t>
  </si>
  <si>
    <t>淄峰汇</t>
  </si>
  <si>
    <t>冯振波37030********5591X</t>
  </si>
  <si>
    <t>果酒（含酒精）;威⼠忌;葡萄酒;⽩兰地;⻩酒;鸡尾酒;⽶酒;烧酒;烈酒（饮料）;⽩酒</t>
  </si>
  <si>
    <t>光禄晴岚</t>
  </si>
  <si>
    <t>⾼粱酒;果酒（含酒精）;⽶酒;酒精饮料（啤酒除外）;⻩酒;烈酒（饮料）;⽩酒;葡萄酒;烧酒;鸡尾酒</t>
  </si>
  <si>
    <t>龙洞香苗祖蚩尤传承老酒</t>
  </si>
  <si>
    <t>⾷⽤酒精;⽶酒;⽩酒;⾼粱酒;苦荞酒;开胃酒;烧酒;果酒;⽩⼲酒（中国⽩酒）;鸡尾酒</t>
  </si>
  <si>
    <t>储鑫浔</t>
  </si>
  <si>
    <t>哈尔滨磊岩商贸有限公司</t>
  </si>
  <si>
    <t>⽩酒;烧酒;⻩酒;烈酒（饮料）;⽶酒;葡萄酒;酒精饮料（啤酒除外）;以葡萄酒为主的开胃酒;果酒（含酒精）;鸡尾酒</t>
  </si>
  <si>
    <t>爨宝子</t>
  </si>
  <si>
    <t>云南三迤酒业有限公司</t>
  </si>
  <si>
    <t>果酒（含酒精）;除啤酒外的酒精饮料;⾕物制蒸馏酒精饮料;清酒;⽩酒;露酒;⽼酒（中国蒸馏烈酒）;⻘稞酒;⾼粱酒;烧酒</t>
  </si>
  <si>
    <t>福鹿师</t>
  </si>
  <si>
    <t>蓝晶食品有限公司</t>
  </si>
  <si>
    <t>⻩酒;⽩兰地;酒精饮料（啤酒除外）;含⽔果酒精饮料;鸡尾酒;⾷⽤酒精;果酒（含酒精）;葡萄酒;⽩酒;⽶酒</t>
  </si>
  <si>
    <t>敬华贡</t>
  </si>
  <si>
    <t>烧酒;果酒（含酒精）;⻩酒;鸡尾酒;⽩酒;烈酒（饮料）;清酒（⽇本⽶酒）;⽶酒;酒精饮料（啤酒除外）;葡萄酒</t>
  </si>
  <si>
    <t>城式元味</t>
  </si>
  <si>
    <t>厦门盈号投资管理有限公司</t>
  </si>
  <si>
    <t>果酒（含酒精）;苹果酒;葡萄酒;烈酒（饮料）;⾼粱酒;⽩兰地;威⼠忌;清酒（⽇本⽶酒）;鸡尾酒;酒精饮料（啤酒除外）</t>
  </si>
  <si>
    <t>蓝马日记</t>
  </si>
  <si>
    <t>名创洁丽（广州）生物科技有限公司</t>
  </si>
  <si>
    <t>酒精饮料（啤酒除外）;清酒（⽇本⽶酒）;烧酒;蒸馏饮料;威⼠忌;葡萄酒;开胃酒;⽩酒;果酒（含酒精）;⽶酒</t>
  </si>
  <si>
    <t>伍荆酿</t>
  </si>
  <si>
    <t>松滋市利民柑桔种植专业合作社</t>
  </si>
  <si>
    <t>⽩酒;⽶酒;⽼酒（中国蒸馏烈酒）;烧酒;由⾕物蒸馏的⽩酒;⾼粱酒;烈酒;⽩⼲酒（中国⽩酒）;⻩酒;苦荞酒</t>
  </si>
  <si>
    <t>墨物</t>
  </si>
  <si>
    <t>麦观志</t>
  </si>
  <si>
    <t>⽶酒;葡萄酒;⻩酒;果酒（含酒精）;含⽔果酒精饮料;⻘稞酒;⽩酒;烈酒（饮料）;梨酒;蜂蜜酒</t>
  </si>
  <si>
    <t>北京大有宫廷文化科技有限公司</t>
  </si>
  <si>
    <t>酒精饮料（啤酒除外）;蒸煮提取物（利⼝酒和烈酒）;葡萄酒;⽶酒;烧酒;果酒;⽩兰地;⻩酒;⻘稞酒;汽酒</t>
  </si>
  <si>
    <t>璟岳</t>
  </si>
  <si>
    <t>酒精饮料（啤酒除外）;起泡⽩葡萄酒;起泡红葡萄酒;⽩葡萄酒;桃红葡萄酒;加烈葡萄酒;红葡萄酒;葡萄酒;烈酒;⽩兰地</t>
  </si>
  <si>
    <t>存舍</t>
  </si>
  <si>
    <t>⽶酒;烈酒（饮料）;含⽔果酒精饮料;⽩酒;蜂蜜酒;⻘稞酒;果酒（含酒精）;葡萄酒;梨酒;⻩酒</t>
  </si>
  <si>
    <t>旺源发</t>
  </si>
  <si>
    <t>夏青</t>
  </si>
  <si>
    <t>葡萄酒;⻩酒;果酒;甜酒;汽酒;烧酒;⽩酒;烈酒;酒精饮料（啤酒除外）;⽶酒</t>
  </si>
  <si>
    <t>碰山魈</t>
  </si>
  <si>
    <t>柒氿捌佳酿供应链（珠海）有限公司</t>
  </si>
  <si>
    <t>葡萄酒;米酒;果酒（含酒精）;白酒;清酒（日本米酒）;蜂蜜酒;烈酒（饮料）;黄酒;鸡尾酒;含水果酒精饮料</t>
  </si>
  <si>
    <t>几冠</t>
  </si>
  <si>
    <t>重庆狼润酒业有限公司</t>
  </si>
  <si>
    <t>果酒（含酒精）;⽩酒;餐后酒（利⼝酒和烈酒）;开胃酒;茴芹酒（利⼝酒）;烈酒（饮料）;梨酒;⽶酒;⽢蔗制酒精饮料;威⼠忌</t>
  </si>
  <si>
    <t>卓养康</t>
  </si>
  <si>
    <t>四川省洞子窖酒业有限公司</t>
  </si>
  <si>
    <t>果酒（含酒精）;⾷⽤酒精;⽶酒;含酒精的鸡尾酒混合饮品;露酒;⽩酒;⾼粱酒</t>
  </si>
  <si>
    <t>淮扬十二食辰</t>
  </si>
  <si>
    <t>江苏桐知文化传媒有限公司</t>
  </si>
  <si>
    <t>酒精饮料（啤酒除外）;葡萄酒;烈酒（饮料）;威⼠忌;蒸馏饮料;果酒（含酒精）;烧酒;⽩酒;鸡尾酒;⽶酒</t>
  </si>
  <si>
    <t>吉兆鸟</t>
  </si>
  <si>
    <t>甘碧君</t>
  </si>
  <si>
    <t>酒精饮料原汁;⻩酒;⽶酒;果酒（含酒精）;⽩葡萄酒;烈酒（饮料）;⽩酒;汽酒;烧酒;葡萄酒</t>
  </si>
  <si>
    <t>支云臻仙</t>
  </si>
  <si>
    <t>蒸煮提取物（利⼝酒和烈酒）;⾷⽤酒精;⽩酒;⻩酒;⻘稞酒;烧酒;烈酒;酒精饮料（啤酒除外）;果酒;鸡尾酒</t>
  </si>
  <si>
    <t>走马灯</t>
  </si>
  <si>
    <t>游富股份有限公司</t>
  </si>
  <si>
    <t>⾕物制蒸馏酒精饮料;⽶酒;酒精饮料（啤酒除外）;烧酒;果酒;清酒（⽇本⽶酒）;含酒精的⽓泡⽔</t>
  </si>
  <si>
    <t>武当令</t>
  </si>
  <si>
    <t>武当令（湖北）大健康产业有限公司</t>
  </si>
  <si>
    <t>烈酒（饮料）;⽩兰地;威⼠忌;酒精饮料浓缩汁;鸡尾酒;⻩酒;果酒（含酒精）;葡萄酒;开胃酒;⽩酒</t>
  </si>
  <si>
    <t>土本根</t>
  </si>
  <si>
    <t>南阳土根农业有限公司</t>
  </si>
  <si>
    <t>果酒;⾷⽤酒精;已调味的蒸馏酒;⽩酒;⽶酒;露酒;酒精饮料原汁;酒精饮料（啤酒除外）;⻩酒;葡萄酒</t>
  </si>
  <si>
    <t>茀水台</t>
  </si>
  <si>
    <t>北京朱兰信息科技研究院</t>
  </si>
  <si>
    <t>烧酒;酒精饮料（啤酒除外）;烈酒（饮料）;⽶酒;鸡尾酒;果酒（含酒精）;葡萄酒;清酒;⽩酒;⻩酒</t>
  </si>
  <si>
    <t>易捷速购</t>
  </si>
  <si>
    <t>中国石化销售股份有限公司</t>
  </si>
  <si>
    <t>葡萄酒;⽶酒;酒精饮料（啤酒除外）;酒精饮料原汁;鸡尾酒;烧酒;蒸馏饮料;清酒;含⽔果酒精饮料;⻩酒</t>
  </si>
  <si>
    <t>ZIYOGE 自由集</t>
  </si>
  <si>
    <t>大连昕宝甄选传媒有限公司</t>
  </si>
  <si>
    <t>果酒（含酒精）;开胃酒;葡萄酒;烈酒（饮料）;⽩酒;⻩酒;鸡尾酒;清酒（⽇本⽶酒）;⽶酒;烧酒</t>
  </si>
  <si>
    <t>赣乡见</t>
  </si>
  <si>
    <t>党世豪</t>
  </si>
  <si>
    <t>酒精饮料（啤酒除外）;鸡尾酒;⻩酒;果酒（含酒精）;⽩酒;⾷⽤酒精;葡萄酒;含⽔果酒精饮料;⽶酒;⽩兰地</t>
  </si>
  <si>
    <t>狼润</t>
  </si>
  <si>
    <t>果酒（含酒精）;⽢蔗制酒精饮料;餐后酒（利⼝酒和烈酒）;威⼠忌;茴芹酒（利⼝酒）;烈酒（饮料）;⽩酒;开胃酒;梨酒;⽶酒</t>
  </si>
  <si>
    <t>馨屿</t>
  </si>
  <si>
    <t>酒精饮料（啤酒除外）;葡萄酒;烈酒;桃红葡萄酒;⽩葡萄酒;起泡⽩葡萄酒;⽩兰地;加烈葡萄酒;红葡萄酒;起泡红葡萄酒</t>
  </si>
  <si>
    <t>聆仙</t>
  </si>
  <si>
    <t>云南展名农业科技有限公司</t>
  </si>
  <si>
    <t>果酒（含酒精）;蒸馏饮料;⽼酒（中国蒸馏烈酒）;酒精饮料（啤酒除外）;鸡尾酒;烧酒;⽩酒;清酒;⽶酒;⾕物制蒸馏酒精饮料</t>
  </si>
  <si>
    <t>黎锦醇</t>
  </si>
  <si>
    <t>陈辉</t>
  </si>
  <si>
    <t>⻩酒;朗姆酒;⽩兰地;⽶酒;葡萄汽酒;开胃酒;⽩酒;威⼠忌;甜酒;果酒（含酒精）</t>
  </si>
  <si>
    <t>DWEGOBABY</t>
  </si>
  <si>
    <t>蔡悦友</t>
  </si>
  <si>
    <t>餐后酒（利⼝酒和烈酒）;开胃酒;苹果酒;杜松⼦酒;果酒（含酒精）;蒸馏饮料;葡萄酒;茴⾹酒（利⼝酒）;⽶酒;茴芹酒（利⼝酒）</t>
  </si>
  <si>
    <t>鲁香一品</t>
  </si>
  <si>
    <t>山东黄河三角洲酒业有限公司</t>
  </si>
  <si>
    <t>酒精饮料（啤酒除外）;蒸馏饮料;⽩酒;⽼酒（中国蒸馏烈酒）;⽶酒;果酒（含酒精）;烧酒;蒸馏⽶酒（泡盛酒）;⽩兰地;葡萄酒</t>
  </si>
  <si>
    <t>神拓</t>
  </si>
  <si>
    <t>神拓生物技术（杭州）有限公司</t>
  </si>
  <si>
    <t>⽶酒;鸡尾酒;威⼠忌;酒精饮料浓缩汁;⻩酒;烈酒（饮料）;烧酒;苦味酒;利⼝酒;果酒（含酒精）</t>
  </si>
  <si>
    <t>喜支云</t>
  </si>
  <si>
    <t>酒精饮料（啤酒除外）;⻘稞酒;⾷⽤酒精;果酒;⻩酒;烧酒;⽩酒;鸡尾酒;蒸煮提取物（利⼝酒和烈酒）;烈酒</t>
  </si>
  <si>
    <t>小芳梦</t>
  </si>
  <si>
    <t>杭州临平区小芳连锁商场</t>
  </si>
  <si>
    <t>⽩酒;汽酒;清酒（⽇本⽶酒）;⻩酒;酒精饮料（啤酒除外）;含⽔果酒精饮料;⽶酒;烧酒;果酒（含酒精）;葡萄酒</t>
  </si>
  <si>
    <t>兆立普</t>
  </si>
  <si>
    <t>安徽兆立普医疗器械有限公司</t>
  </si>
  <si>
    <t>酒精饮料（啤酒除外）;⽶酒;⾕物制蒸馏酒精饮料;烈酒;⽼酒（中国蒸馏烈酒）;果酒;葡萄酒;⻩酒;⽩酒;开胃酒</t>
  </si>
  <si>
    <t>胜财艾米尔</t>
  </si>
  <si>
    <t>临夏胜财建设集团有限公司</t>
  </si>
  <si>
    <t>烈酒（饮料）;果酒（含酒精）;葡萄酒;⽶酒;酒精饮料（啤酒除外）;蒸煮提取物（利⼝酒和烈酒）;⻩酒;⽩酒;梨酒;烧酒</t>
  </si>
  <si>
    <t>唐风品牌管理（唐山）有限公司</t>
  </si>
  <si>
    <t>蒸馏饮料;葡萄酒;⻩酒;薄荷酒;含⽔果酒精饮料;⽩酒;果酒（含酒精）;威⼠忌;酒精饮料（啤酒除外）;开胃酒</t>
  </si>
  <si>
    <t>海娇</t>
  </si>
  <si>
    <t>葡萄酒;甜酒;含酒精⽔果饮料;⽼酒（中国蒸馏烈酒）;⽩⼲酒（中国⽩酒）;⽶酒;⻩酒;果酒;清酒;酒精饮料原汁</t>
  </si>
  <si>
    <t>天明特</t>
  </si>
  <si>
    <t>四川省崇州市川贺酒厂</t>
  </si>
  <si>
    <t>开胃酒;蒸煮提取物（利⼝酒和烈酒）;⽩酒;烧酒;酒精饮料（啤酒除外）;⻩酒;果酒（含酒精）;葡萄酒;含⽔果酒精饮料;⽶酒</t>
  </si>
  <si>
    <t>书博士</t>
  </si>
  <si>
    <t>蒸馏饮料;烈酒（饮料）;⽶酒;⾷⽤酒精;以葡萄酒为主的饮料;烧酒;⽩酒;开胃酒;亚⼒酒;葡萄酒;清酒（⽇本⽶酒）;含⽔果酒精饮料;果酒（含酒精）</t>
  </si>
  <si>
    <t>贝拉地球</t>
  </si>
  <si>
    <t>陈蒂克33078********1041X</t>
  </si>
  <si>
    <t>威⼠忌;⻩酒;⽶酒;含⽔果酒精饮料;烧酒;开胃酒;⽩酒;果酒;鸡尾酒;汽酒</t>
  </si>
  <si>
    <t>皖莱秋</t>
  </si>
  <si>
    <t>江西巴莱多科技有限公司</t>
  </si>
  <si>
    <t>葡萄酒;⾕物制蒸馏酒精饮料;⾼粱酒;烧酒;蒸馏饮料;⽩酒;由⾕物蒸馏的⽩酒;果酒（含酒精）;⽶酒;⾷⽤酒精;酒精饮料（啤酒除外）</t>
  </si>
  <si>
    <t>华誉湘盘</t>
  </si>
  <si>
    <t>宋巧荣</t>
  </si>
  <si>
    <t>烧酒;鸡尾酒;酒精饮料（啤酒除外）;⽩酒;果酒（含酒精）;葡萄酒;⽶酒;⾷⽤酒精;⻩酒;酒精饮料原汁</t>
  </si>
  <si>
    <t>杜与白</t>
  </si>
  <si>
    <t>刘波</t>
  </si>
  <si>
    <t>葡萄酒;威⼠忌;酒精饮料（啤酒除外）;⽩酒;开胃酒;⻩酒;鸡尾酒;清酒（⽇本⽶酒）;果酒;烈酒（饮料）</t>
  </si>
  <si>
    <t>桃醉川</t>
  </si>
  <si>
    <t>陈名会</t>
  </si>
  <si>
    <t>葡萄酒;含⽔果酒精饮料;鸡尾酒;⻩酒;⽶酒;⾷⽤酒精;酒精饮料（啤酒除外）;⽩酒;⽩兰地;果酒（含酒精）</t>
  </si>
  <si>
    <t>水金夜</t>
  </si>
  <si>
    <t>达州市水金液商贸有限公司</t>
  </si>
  <si>
    <t>葡萄酒;蒸馏饮料;⽶酒;汽酒;⾷⽤酒精;果酒（含酒精）;烈酒（饮料）;⽩酒;酒精饮料（啤酒除外）;清酒（⽇本⽶酒）</t>
  </si>
  <si>
    <t>醉重仙 酒</t>
  </si>
  <si>
    <t>冉特尤</t>
  </si>
  <si>
    <t>⾼粱酒;⾷⽤酒精;⽩⼲酒（中国⽩酒）;果酒;⽶酒;⽩酒;苦荞酒;开胃酒;鸡尾酒;烧酒</t>
  </si>
  <si>
    <t>青月花</t>
  </si>
  <si>
    <t>山西晋村酒厂有限公司</t>
  </si>
  <si>
    <t>苹果酒;梨酒;⽩酒;⽩⼲酒（中国⽩酒）;⾼粱酒;⽼酒（中国蒸馏烈酒）;⽶酒;⾕物制蒸馏酒精饮料;烈酒;薄荷酒</t>
  </si>
  <si>
    <t>知己时光</t>
  </si>
  <si>
    <t>⻘稞酒;含⽔果酒精饮料;梨酒;蜂蜜酒;葡萄酒;⻩酒;果酒（含酒精）;烈酒（饮料）;⽩酒;⽶酒</t>
  </si>
  <si>
    <t>果醉柏</t>
  </si>
  <si>
    <t>上海萃可品牌管理有限公司</t>
  </si>
  <si>
    <t>以葡萄酒为主的饮料;⽩酒;果酒（含酒精）;酒精饮料原汁;含⽔果酒精饮料;⻘稞酒;葡萄酒;汽酒;⽶酒;烧酒</t>
  </si>
  <si>
    <t>观吉山</t>
  </si>
  <si>
    <t>山东润世酒业有限公司</t>
  </si>
  <si>
    <t>烈酒（饮料）;酒精饮料（啤酒除外）;烧酒;清酒（⽇本⽶酒）;甜酒;果酒（含酒精）;葡萄酒;⻩酒;⽩酒;⽶酒</t>
  </si>
  <si>
    <t>冲洞子</t>
  </si>
  <si>
    <t>含酒精的鸡尾酒混合饮品;⽶酒;露酒;果酒;⾷⽤酒精;⽩酒</t>
  </si>
  <si>
    <t>旭名酒业</t>
  </si>
  <si>
    <t>⻩酒;威⼠忌;鸡尾酒;烈酒（饮料）;酒精饮料（啤酒除外）;⽩酒;果酒;葡萄酒;清酒（⽇本⽶酒）;开胃酒</t>
  </si>
  <si>
    <t>百界玺宴</t>
  </si>
  <si>
    <t>厦门云尚若谷设计有限公司</t>
  </si>
  <si>
    <t>果酒（含酒精）;果酒;威⼠忌;预先混合的酒精饮料（以啤酒为主的除外）;清酒;⽶酒;鸡尾酒;以葡萄酒为主的饮料;⽩酒;含⽔果酒精饮料</t>
  </si>
  <si>
    <t>KAUAI</t>
  </si>
  <si>
    <t>天津市河西区心动运营科技工作室（个人独资）</t>
  </si>
  <si>
    <t>烈酒（饮料）;葡萄酒;蒸馏饮料;预先混合的酒精饮料（以啤酒为主的除外）;酒精饮料（啤酒除外）;⽩酒;含⽔果酒精饮料;酒精饮料原汁;清酒;鸡尾酒</t>
  </si>
  <si>
    <t>顾禾</t>
  </si>
  <si>
    <t>⻩酒;含⽔果酒精饮料;葡萄酒;梨酒;⽩酒;⻘稞酒;果酒（含酒精）;烈酒（饮料）;⽶酒;蜂蜜酒</t>
  </si>
  <si>
    <t>玉君</t>
  </si>
  <si>
    <t>佛山鸿业品牌管理有限责任公司</t>
  </si>
  <si>
    <t>酒精饮料（啤酒除外）;⽩酒;蒸煮提取物（利⼝酒和烈酒）;烈酒（饮料）;⾷⽤酒精;葡萄酒;酒精饮料原汁;开胃酒;蒸馏饮料;果酒（含酒精）</t>
  </si>
  <si>
    <t>叶施甘霖</t>
  </si>
  <si>
    <t>南平市建阳区叶施甘霖茶业有限公司</t>
  </si>
  <si>
    <t>清酒（⽇本⽶酒）;鸡尾酒;⽩酒;梅酒;⻘稞酒;⻩酒;葡萄酒;果酒（含酒精）;开胃酒;威⼠忌</t>
  </si>
  <si>
    <t>紫江西源</t>
  </si>
  <si>
    <t>开阳我家老酒坊</t>
  </si>
  <si>
    <t>⻘稞酒;含⽔果酒精饮料;烧酒;⾷⽤酒精;鸡尾酒;⽶酒;朗姆酒;⽩兰地;酒精饮料原汁;⽩酒</t>
  </si>
  <si>
    <t>今麦郎</t>
  </si>
  <si>
    <t>今麦郎饮品股份有限公司</t>
  </si>
  <si>
    <t>果酒（含酒精）;酒精饮料（啤酒除外）;烈酒（饮料）;⽩酒;⽢蔗制烈酒;烧酒;⻩酒;鸡尾酒;⽶酒;葡萄酒</t>
  </si>
  <si>
    <t>河北厨掌门商务科技有限公司</t>
  </si>
  <si>
    <t>烈酒（饮料）;餐后酒（利⼝酒和烈酒）;葡萄酒;果酒（含酒精）;开胃酒;酒精饮料原汁;酒精饮料（啤酒除外）;鸡尾酒;⻘稞酒;⽩酒</t>
  </si>
  <si>
    <t>云尚清谈</t>
  </si>
  <si>
    <t>广州清谈炸鸡有限公司</t>
  </si>
  <si>
    <t>葡萄酒;酒精饮料（啤酒除外）;朝鲜烧酒;⽶酒;天然汽酒;果酒（含酒精）;蜂蜜酒;⽩⼲酒（中国⽩酒）;马格利酒（朝鲜传统⽶酒）;⽩酒</t>
  </si>
  <si>
    <t>鲁璨</t>
  </si>
  <si>
    <t>东营裕隆农业科技有限公司</t>
  </si>
  <si>
    <t>果酒（含酒精）;开胃酒;鸡尾酒;⽩酒;酒精饮料（啤酒除外）;⽶酒;烧酒;⻩酒;⽩兰地;葡萄酒</t>
  </si>
  <si>
    <t>程字天酿</t>
  </si>
  <si>
    <t>石家庄酒友会商贸有限公司</t>
  </si>
  <si>
    <t>柠乐</t>
  </si>
  <si>
    <t>含⽔果酒精饮料;酸酒（低等葡萄酒）;烧酒;以葡萄酒为主的饮料;⽩酒;威⼠忌;果酒（含酒精）;葡萄酒;伏特加酒;利⼝酒</t>
  </si>
  <si>
    <t>蒙溯鲜</t>
  </si>
  <si>
    <t>葡萄酒;⽩兰地;清酒（⽇本⽶酒）;果酒（含酒精）;开胃酒;鸡尾酒;利⼝酒;威⼠忌;烧酒;薄荷酒</t>
  </si>
  <si>
    <t>九窖满</t>
  </si>
  <si>
    <t>黄展成</t>
  </si>
  <si>
    <t>威⼠忌;⽩酒;⻩酒;鸡尾酒;酒精饮料（啤酒除外）;果酒（含酒精）;葡萄酒;清酒（⽇本⽶酒）;开胃酒;烈酒</t>
  </si>
  <si>
    <t>2024/07/04</t>
  </si>
  <si>
    <t>贝一</t>
  </si>
  <si>
    <t>贝一食品（山东）有限公司</t>
  </si>
  <si>
    <t>鸡尾酒;威⼠忌;酒精饮料（啤酒除外）;烈酒（饮料）;酒精饮料原汁;葡萄酒;清酒（⽇本⽶酒）;⽶酒;伏特加酒;⽩酒</t>
  </si>
  <si>
    <t>泓辉</t>
  </si>
  <si>
    <t>承德泓辉双合淀粉有限公司</t>
  </si>
  <si>
    <t>清酒（⽇本⽶酒）;⽶酒;酒精饮料（啤酒除外）;含⽔果酒精饮料;预先混合的酒精饮料（以啤酒为主的除外）;烧酒;⽩酒;果酒（含酒精）;烈酒（饮料）;⾕物制蒸馏酒精饮料</t>
  </si>
  <si>
    <t>城都往事</t>
  </si>
  <si>
    <t>保定市阳新商贸有限公司</t>
  </si>
  <si>
    <t>葡萄酒;蜂蜜酒;酒精饮料（啤酒除外）;⽶酒;果酒（含酒精）;开胃酒;烈酒（饮料）;⽩酒;起泡红葡萄酒;烧酒</t>
  </si>
  <si>
    <t>斟龙浔</t>
  </si>
  <si>
    <t>邹承浩</t>
  </si>
  <si>
    <t>果酒（含酒精）;⽩酒;烈酒（饮料）;⾷⽤酒精;⽩兰地;朗姆酒;⻩酒;威⼠忌;葡萄酒;伏特加酒</t>
  </si>
  <si>
    <t>漫驼铃市集</t>
  </si>
  <si>
    <t>薄荷酒;果酒（含酒精）;葡萄酒;酒精饮料（啤酒除外）;果酒;起泡⽩葡萄酒;⽩葡萄酒;鸡尾酒;⽔果汽酒;葡萄汽酒</t>
  </si>
  <si>
    <t>邑清正通</t>
  </si>
  <si>
    <t>北京澳德投资集团有限公司</t>
  </si>
  <si>
    <t>⽩酒;开胃酒;果酒（含酒精）;葡萄酒;以葡萄酒为主的饮料;烈酒;利⼝酒;威⼠忌;酒精饮料（啤酒除外）;⽩兰地</t>
  </si>
  <si>
    <t>京台豪磊</t>
  </si>
  <si>
    <t>烈酒（饮料）;果酒（含酒精）;⽩⼲酒（中国⽩酒）;除啤酒外的酒精饮料;葡萄酒;鸡尾酒;由⾕物蒸馏的⽩酒;⽩酒;含酒精的饮料（啤酒除外）;⻩酒</t>
  </si>
  <si>
    <t>宁瑾天成</t>
  </si>
  <si>
    <t>邹芳</t>
  </si>
  <si>
    <t>清酒（⽇本⽶酒）;烧酒;⾼粱酒;威⼠忌;⻩酒;⽩酒;鸡尾酒;果酒（含酒精）;⽩兰地;⽶酒</t>
  </si>
  <si>
    <t>蒙领冠</t>
  </si>
  <si>
    <t>刘孟雪</t>
  </si>
  <si>
    <t>果酒（含酒精）;含⽔果酒精饮料;⽩酒;⻩酒;鸡尾酒;⾷⽤酒精;酒精饮料（啤酒除外）;葡萄酒;⽩兰地;⽶酒</t>
  </si>
  <si>
    <t>东坡明月酒</t>
  </si>
  <si>
    <t>山东润竹山文化旅游发展有限公司</t>
  </si>
  <si>
    <t>⻩酒;⾼粱酒;含⽔果酒精饮料;⽩⼲酒（中国⽩酒）;酒精饮料（啤酒除外）;烧酒;果酒（含酒精）;葡萄酒;威⼠忌</t>
  </si>
  <si>
    <t>学平姐姐</t>
  </si>
  <si>
    <t>学平大健康产业集团有限公司</t>
  </si>
  <si>
    <t>含酒精的充⽓饮料（啤酒除外）;葡萄酒;⽶酒;烈酒;⾷⽤酒精;蜂蜜酒;酒精饮料（啤酒除外）;⽩酒;开胃酒;果酒（含酒精）</t>
  </si>
  <si>
    <t>七彩泸</t>
  </si>
  <si>
    <t>朱亚峰</t>
  </si>
  <si>
    <t>威⼠忌;鸡尾酒;⽶酒;果酒（含酒精）;⽩兰地;⽩酒;葡萄酒;⻩酒;烧酒;蒸馏饮料</t>
  </si>
  <si>
    <t>OKT</t>
  </si>
  <si>
    <t>赵亚洲</t>
  </si>
  <si>
    <t>葡萄酒;含⽔果酒精饮料;果酒（含酒精）;⾷⽤酒精;⽩兰地;鸡尾酒;酒精饮料（啤酒除外）;⽩酒;⻩酒;⽶酒</t>
  </si>
  <si>
    <t>先锋小伙</t>
  </si>
  <si>
    <t>苹果酒;葡萄酒;蜂蜜酒;⻩酒;⽩酒;烧酒;开胃酒;梨酒;樱桃酒;果酒（含酒精）</t>
  </si>
  <si>
    <t>永维远康</t>
  </si>
  <si>
    <t>文山永维气体有限公司</t>
  </si>
  <si>
    <t>利⼝酒;⽶酒;烈酒（饮料）;以葡萄酒为主的饮料;红葡萄酒;开胃酒;⽩酒;⻩酒;含酒精的饮料（啤酒除外）;烧酒</t>
  </si>
  <si>
    <t>柳度清花</t>
  </si>
  <si>
    <t>孙帅帅</t>
  </si>
  <si>
    <t>⻩酒;利⼝酒;葡萄酒;清酒（⽇本⽶酒）;⽼酒（中国蒸馏烈酒）;烧酒;果酒（含酒精）;开胃酒;⽩酒;酒精饮料（啤酒除外）</t>
  </si>
  <si>
    <t>寿仙极</t>
  </si>
  <si>
    <t>京都乐寿堂品牌管理（石家庄）合伙企业（有限合伙）</t>
  </si>
  <si>
    <t>⻘稞酒;⽩兰地;酒精饮料（啤酒除外）;清酒（⽇本⽶酒）;⻩酒;⽶酒;伏特加酒;汽酒;威⼠忌;⽩酒</t>
  </si>
  <si>
    <t>联丰合</t>
  </si>
  <si>
    <t>北京鸿丰合商贸有限公司</t>
  </si>
  <si>
    <t>⽶酒;⻩酒;烈酒（饮料）;开胃酒;鸡尾酒;葡萄酒;果酒（含酒精）;酒精饮料（啤酒除外）;烧酒;⽩酒</t>
  </si>
  <si>
    <t>TRAVELING CAMEL BELL MARKET</t>
  </si>
  <si>
    <t>鸡尾酒;葡萄酒;葡萄汽酒;起泡⽩葡萄酒;果酒;果酒（含酒精）;薄荷酒;酒精饮料（啤酒除外）;⽔果汽酒;⽩葡萄酒</t>
  </si>
  <si>
    <t>赤元玄气</t>
  </si>
  <si>
    <t>贵州奇生堂医疗科技有限公司</t>
  </si>
  <si>
    <t>果酒（含酒精）;开胃酒;⻩酒;天然汽酒;⽼酒（中国蒸馏烈酒）;加烈葡萄酒;烈酒;鸡尾酒;⽩酒;酒精饮料（啤酒除外）</t>
  </si>
  <si>
    <t>玖号贵和</t>
  </si>
  <si>
    <t>河南贵和酱香酒业有限公司</t>
  </si>
  <si>
    <t>果酒（含酒精）;⽩酒;酒精饮料原汁;含⽔果酒精饮料;烧酒;汽酒;葡萄酒;⽶酒;鸡尾酒;开胃酒</t>
  </si>
  <si>
    <t>江小嘟</t>
  </si>
  <si>
    <t>⽶酒;⻩酒;鸡尾酒;清酒（⽇本⽶酒）;葡萄酒;⽩酒;果酒（含酒精）;烈酒（饮料）;酒精饮料（啤酒除外）;烧酒</t>
  </si>
  <si>
    <t>吾浡莲醇</t>
  </si>
  <si>
    <t>伍剑新</t>
  </si>
  <si>
    <t>烈酒（饮料）;果酒;果酒（含酒精）</t>
  </si>
  <si>
    <t>金川县安宁镇八角碉村股份经济合作联合社</t>
  </si>
  <si>
    <t>蒸馏饮料;葡萄酒;烧酒;果酒（含酒精）;酒精饮料（啤酒除外）;⾷⽤酒精;开胃酒;烈酒（饮料）;含⽔果酒精饮料;⽶酒</t>
  </si>
  <si>
    <t>杏树贝</t>
  </si>
  <si>
    <t>内蒙古庞泉洒业有限公司</t>
  </si>
  <si>
    <t>餐后酒（利⼝酒和烈酒）;⽩⼲酒（中国⽩酒）;苹果酒;⻩酒;烧酒;⾼粱酒;果酒（含酒精）;葡萄酒;烈酒（饮料）;⾷⽤酒精;烈酒浓缩汁;⽩酒</t>
  </si>
  <si>
    <t>赤圳御霄</t>
  </si>
  <si>
    <t>赤圳酒业（深圳）有限公司</t>
  </si>
  <si>
    <t>⽩酒;⽶酒;烧酒;葡萄酒;蒸馏饮料;酒精饮料（啤酒除外）;⻩酒;烈酒;除啤酒外的酒精饮料;果酒</t>
  </si>
  <si>
    <t>北京转转精神科技有限责任公司</t>
  </si>
  <si>
    <t>烈酒（饮料）;⽩酒;果酒（含酒精）;蒸馏饮料;⾷⽤酒精;酒精饮料（啤酒除外）;⽩兰地;⻩酒;葡萄酒;威⼠忌</t>
  </si>
  <si>
    <t>卡慕希</t>
  </si>
  <si>
    <t>李佳龙</t>
  </si>
  <si>
    <t>鸡尾酒;酒精饮料（啤酒除外）;伏特加酒;利⼝酒;葡萄酒;汽酒;⽩兰地;果酒（含酒精）;开胃酒;威⼠忌</t>
  </si>
  <si>
    <t>自酉时</t>
  </si>
  <si>
    <t>果酒;果酒（含酒精）;⻩酒;含酒精的⽓泡⽔;以葡萄酒为主的饮料;含酒精⽔果饮料;薄荷酒;⽶酒;⻘稞酒;⽩酒</t>
  </si>
  <si>
    <t>酩小福 NINGXIAOFU</t>
  </si>
  <si>
    <t>刘春节</t>
  </si>
  <si>
    <t>⻩酒;果酒（含酒精）;威⼠忌;⽶酒;烈酒（饮料）;含⽔果酒精饮料;⻘稞酒;⾷⽤酒精;烧酒;⽩酒</t>
  </si>
  <si>
    <t>荣轩源</t>
  </si>
  <si>
    <t>驻马店市经济开发区曾荣商贸有限公司</t>
  </si>
  <si>
    <t>⽩酒;伏特加酒;⽩兰地;烈酒（饮料）;威⼠忌;果酒（含酒精）;樱桃酒;鸡尾酒;葡萄酒;酒精饮料（啤酒除外）</t>
  </si>
  <si>
    <t>帅香春</t>
  </si>
  <si>
    <t>重庆江茅酒业有限公司</t>
  </si>
  <si>
    <t>蒸煮提取物（利⼝酒和烈酒）;鸡尾酒;果酒（含酒精）;酒精饮料浓缩汁;⻩酒;⽩酒;蜂蜜酒;葡萄酒;⽶酒;烧酒</t>
  </si>
  <si>
    <t>青阳县地忠宝藏农业有限责任公司</t>
  </si>
  <si>
    <t>葡萄酒;⻩酒;酒精饮料（啤酒除外）;果酒;烈酒;⽶酒;蒸馏饮料;烧酒;⽩酒;清酒</t>
  </si>
  <si>
    <t>宜兴市双宜商贸有限公司</t>
  </si>
  <si>
    <t>含酒精的饮料（啤酒除外）;清酒;老酒（中国蒸馏烈酒）;黄酒;葡萄酒;威士忌;果酒（含酒精）;白兰地;米酒;白酒</t>
  </si>
  <si>
    <t>重庆通渝科技有限公司</t>
  </si>
  <si>
    <t>⾕物制蒸馏酒精饮料;葡萄酒;烈酒（饮料）;⽩兰地;果酒（含酒精）;以葡萄酒为主的饮料;烧酒;⻘稞酒;⽩酒;威⼠忌</t>
  </si>
  <si>
    <t>梦兰福</t>
  </si>
  <si>
    <t>杨则军</t>
  </si>
  <si>
    <t>⽩兰地;⽩酒;朗姆酒;伏特加酒;果酒（含酒精）;烈酒（饮料）;⾷⽤酒精;⻩酒;威⼠忌;葡萄酒</t>
  </si>
  <si>
    <t>置鼎</t>
  </si>
  <si>
    <t>刘诗斌</t>
  </si>
  <si>
    <t>果酒（含酒精）;⾼粱酒;葡萄酒;鸡尾酒;酒精饮料（啤酒除外）;⻩酒;⽩酒;烧酒;⽶酒;⾷⽤酒精</t>
  </si>
  <si>
    <t>东麓拉妃</t>
  </si>
  <si>
    <t>宁夏百岁红枸杞产业有限公司</t>
  </si>
  <si>
    <t>烈酒;⽩兰地;果酒;⽩⼲酒（中国⽩酒）;葡萄酒;红葡萄酒;烈酒（饮料）;桃红葡萄酒;露酒;⽩酒</t>
  </si>
  <si>
    <t>彝月</t>
  </si>
  <si>
    <t>凉山州彝月实业有限公司</t>
  </si>
  <si>
    <t>鸡尾酒;⽩酒;薄荷酒;烈酒（饮料）;烧酒;果酒（含酒精）;葡萄酒;威⼠忌;⽶酒;开胃酒</t>
  </si>
  <si>
    <t>酉旧忆</t>
  </si>
  <si>
    <t>果酒;⽶酒;以葡萄酒为主的饮料;薄荷酒;含酒精的⽓泡⽔;⻘稞酒;含酒精⽔果饮料;⽩酒;⻩酒;果酒（含酒精）</t>
  </si>
  <si>
    <t>鸿丰合</t>
  </si>
  <si>
    <t>⽩酒;酒精饮料（啤酒除外）;烈酒（饮料）;⽶酒;开胃酒;葡萄酒;果酒（含酒精）;⻩酒;鸡尾酒;烧酒</t>
  </si>
  <si>
    <t>山西誉滴酒业有限公司</t>
  </si>
  <si>
    <t>⽶酒;⾕物制蒸馏酒精饮料;烧酒;果酒;⻩酒;葡萄酒;清酒;⽩酒;⾼粱酒;蒸馏饮料</t>
  </si>
  <si>
    <t>聚帆</t>
  </si>
  <si>
    <t>田敏</t>
  </si>
  <si>
    <t>果酒;酒精饮料（啤酒除外）;烈酒;⾼粱酒;葡萄酒;⽩酒;烈酒（饮料）;鸡尾酒;⽼酒（中国蒸馏烈酒）;⽩⼲酒（中国⽩酒）</t>
  </si>
  <si>
    <t>天酉常</t>
  </si>
  <si>
    <t>薄荷酒;果酒（含酒精）;⽶酒;含酒精的⽓泡⽔;果酒;⻘稞酒;含酒精⽔果饮料;⽩酒;以葡萄酒为主的饮料;⻩酒</t>
  </si>
  <si>
    <t>酉天常</t>
  </si>
  <si>
    <t>果酒（含酒精）;⻘稞酒;以葡萄酒为主的饮料;⽩酒;⽶酒;⻩酒;含酒精⽔果饮料;薄荷酒;含酒精的⽓泡⽔;果酒</t>
  </si>
  <si>
    <t>赤圳</t>
  </si>
  <si>
    <t>除啤酒外的酒精饮料;果酒;葡萄酒;酒精饮料（啤酒除外）;蒸馏饮料;烧酒;⻩酒;⽶酒;烈酒;⽩酒</t>
  </si>
  <si>
    <t>艾厘</t>
  </si>
  <si>
    <t>重庆艾厘餐饮管理有限公司</t>
  </si>
  <si>
    <t>鸡尾酒;含⽔果酒精饮料;果酒（含酒精）;以葡萄酒为主的饮料;⽩兰地;⽶酒;⾕物制蒸馏酒精饮料;⽩酒;开胃酒;亚⼒酒</t>
  </si>
  <si>
    <t>自酉仁</t>
  </si>
  <si>
    <t>薄荷酒;果酒（含酒精）;果酒;含酒精⽔果饮料;⻘稞酒;⽩酒;含酒精的⽓泡⽔;⻩酒;以葡萄酒为主的饮料;⽶酒</t>
  </si>
  <si>
    <t>川东臣</t>
  </si>
  <si>
    <t>郝海生</t>
  </si>
  <si>
    <t>葡萄酒;果酒;烧酒;鸡尾酒;含酒精的饮料（啤酒除外）;⾼粱酒;⻩酒;⽩酒;清酒;威⼠忌</t>
  </si>
  <si>
    <t>崟界武香</t>
  </si>
  <si>
    <t>湖南武香航耀生态农业有限公司</t>
  </si>
  <si>
    <t>由⾕物蒸馏的⽩酒;⽩酒;⽶酒;⾷⽤酒精;蜂蜜酒;⾕物制蒸馏酒精饮料;果酒（含酒精）;烧酒;⻩酒;葡萄酒</t>
  </si>
  <si>
    <t>尚品腾飞</t>
  </si>
  <si>
    <t>保定励标贸易有限公司</t>
  </si>
  <si>
    <t>⽩兰地;伏特加酒;⽩酒;烈酒;朗姆酒;苹果酒;葡萄酒;⽶酒;鸡尾酒;威⼠忌</t>
  </si>
  <si>
    <t>旧渝</t>
  </si>
  <si>
    <t>重庆钰鑫实业集团有限公司</t>
  </si>
  <si>
    <t>⽩酒;酒精饮料浓缩汁;酒精饮料原汁;威⼠忌;烧酒;⻩酒;果酒（含酒精）;⻘稞酒;⽶酒;鸡尾酒</t>
  </si>
  <si>
    <t>酉中流</t>
  </si>
  <si>
    <t>含酒精⽔果饮料;⽶酒;果酒（含酒精）;⽩酒;以葡萄酒为主的饮料;含酒精的⽓泡⽔;果酒;薄荷酒;⻘稞酒;⻩酒</t>
  </si>
  <si>
    <t>MATIGOU</t>
  </si>
  <si>
    <t>陕西马蹄沟产业园管理有限公司</t>
  </si>
  <si>
    <t>葡萄酒;鸡尾酒;⽼酒（中国蒸馏烈酒）;⽶酒;露酒;⻩酒;果酒（含酒精）;蜂蜜酒;酒精饮料（啤酒除外）;⽩酒</t>
  </si>
  <si>
    <t>云南地标运营产业发展有限公司</t>
  </si>
  <si>
    <t>⻨芽威⼠忌;红葡萄酒;⽩酒;除啤酒外的酒精饮料;酒精饮料原汁;由⾕物蒸馏的⽩酒;⽔果汽酒;威⼠忌;⾼粱酒;果酒</t>
  </si>
  <si>
    <t>著歌</t>
  </si>
  <si>
    <t>酒投传说（河南）酒业有限公司</t>
  </si>
  <si>
    <t>果酒（含酒精）;酒精饮料（啤酒除外）;⻩酒;⽶酒;烧酒（烈酒）;含酒精的饮料（啤酒除外）;鸡尾酒;清酒（⽇本⽶酒）;⽩酒;烈酒（饮料）</t>
  </si>
  <si>
    <t>韵窖天下</t>
  </si>
  <si>
    <t>李朝俊</t>
  </si>
  <si>
    <t>果酒（含酒精）;⾷⽤酒精;⽩酒;⽼酒（中国蒸馏烈酒）;露酒;果酒;⽶酒;烧酒;⻩酒;清酒</t>
  </si>
  <si>
    <t>宋河粮液小宋潮</t>
  </si>
  <si>
    <t>薄荷酒;果酒（含酒精）;鸡尾酒;葡萄酒;清酒（⽇本⽶酒）;酒精饮料（啤酒除外）;酒精饮料原汁;⽩酒;开胃酒;⽶酒</t>
  </si>
  <si>
    <t>乐时醒</t>
  </si>
  <si>
    <t>伏特加酒;威⼠忌;⽩酒;酒精饮料（啤酒除外）;⻩酒;汽酒;清酒（⽇本⽶酒）;⽶酒;⻘稞酒;⽩兰地</t>
  </si>
  <si>
    <t>烟台喀纳斯酒业有限公司</t>
  </si>
  <si>
    <t>⽩葡萄酒;酸酒（低等葡萄酒）;加⾹料的热葡萄酒;葡萄潘趣酒;红葡萄酒;调制好的葡萄酒鸡尾酒;果酒;以葡萄酒为主的开胃酒;以葡萄酒为主的饮料;葡萄酒</t>
  </si>
  <si>
    <t>保承</t>
  </si>
  <si>
    <t>厦门市湖里区廉承食品店（个体工商户）</t>
  </si>
  <si>
    <t>烈酒（饮料）;苹果酒;茴芹酒（利⼝酒）;开胃酒;葡萄酒;⽩酒;酒精饮料（啤酒除外）;亚⼒酒;伏特加酒;⽩兰地</t>
  </si>
  <si>
    <t>羽籁</t>
  </si>
  <si>
    <t>⽩兰地;烈酒（饮料）;⽩酒;⾷⽤酒精;朗姆酒;⻩酒;伏特加酒;果酒（含酒精）;葡萄酒;威⼠忌</t>
  </si>
  <si>
    <t>津缘龙尊</t>
  </si>
  <si>
    <t>葡萄酒;⽼酒（中国蒸馏烈酒）;红葡萄酒;酒精饮料原汁;烈酒;⽩酒;露酒;果酒（含酒精）;⻩酒;酒精饮料（啤酒除外）</t>
  </si>
  <si>
    <t>挠福来</t>
  </si>
  <si>
    <t>青龙满族自治县捞福来餐饮服务有限公司</t>
  </si>
  <si>
    <t>酒精饮料（啤酒除外）;⽩酒;⽶酒;烧酒;苹果酒;果酒（含酒精）;开胃酒;葡萄酒;⻩酒;⻘稞酒</t>
  </si>
  <si>
    <t>君酌韵品</t>
  </si>
  <si>
    <t>开胃酒;⽩兰地;梨酒;樱桃酒;烧酒;鸡尾酒;葡萄酒;⽩酒;⻩酒;⽶酒</t>
  </si>
  <si>
    <t>雷刀</t>
  </si>
  <si>
    <t>雷刀超声（浙江）机械有限公司</t>
  </si>
  <si>
    <t>果酒（含酒精）;餐后酒（利⼝酒和烈酒）;葡萄酒;⽶酒;⽩酒;烧酒;鸡尾酒;烈酒（饮料）;酒精饮料（啤酒除外）;清酒（⽇本⽶酒）</t>
  </si>
  <si>
    <t>自酉方</t>
  </si>
  <si>
    <t>薄荷酒;果酒（含酒精）;含酒精的⽓泡⽔;⽩酒;含酒精⽔果饮料;⻩酒;⻘稞酒;⽶酒;果酒;以葡萄酒为主的饮料</t>
  </si>
  <si>
    <t>出彩燕赵</t>
  </si>
  <si>
    <t>邢成辉</t>
  </si>
  <si>
    <t>果酒（含酒精）;威⼠忌;⾷⽤酒精;鸡尾酒;⻩酒;⽩酒;烧酒;清酒;蒸馏饮料;葡萄酒</t>
  </si>
  <si>
    <t>风暴者</t>
  </si>
  <si>
    <t>⻩酒;⽶酒;葡萄酒;⽩兰地;蒸馏饮料;烧酒;⽩酒;果酒（含酒精）;鸡尾酒;威⼠忌</t>
  </si>
  <si>
    <t>煤之花</t>
  </si>
  <si>
    <t>山西彤康食品有限公司</t>
  </si>
  <si>
    <t>果酒（含酒精）;利⼝酒;⽩兰地;鸡尾酒;⽩酒;葡萄酒;汽酒;含⽔果酒精饮料;酒精饮料（啤酒除外）;酒精饮料原汁</t>
  </si>
  <si>
    <t>玉福根</t>
  </si>
  <si>
    <t>张秀根</t>
  </si>
  <si>
    <t>⽩兰地;⽩⼲酒（中国⽩酒）;⽼酒（中国蒸馏烈酒）;⽩酒;⾕物制蒸馏酒精饮料;烧酒;烈酒;五加⽪酒（中国混合烈酒）;葡萄酒;⽶酒</t>
  </si>
  <si>
    <t>自酉心</t>
  </si>
  <si>
    <t>果酒（含酒精）;⽶酒;⻘稞酒;⽩酒;含酒精⽔果饮料;含酒精的⽓泡⽔;以葡萄酒为主的饮料;薄荷酒;果酒;⻩酒</t>
  </si>
  <si>
    <t>大石栏二锅头</t>
  </si>
  <si>
    <t>保定紫嫣商贸有限公司</t>
  </si>
  <si>
    <t>⽩酒;烧酒</t>
  </si>
  <si>
    <t>金石壹品福</t>
  </si>
  <si>
    <t>徐广霞</t>
  </si>
  <si>
    <t>伏特加酒;清酒;烈酒（饮料）;⽩酒;葡萄酒;⽶酒;⻩酒;利⼝酒;果酒;⽩兰地</t>
  </si>
  <si>
    <t>辰小北</t>
  </si>
  <si>
    <t>安徽辰北建设有限公司</t>
  </si>
  <si>
    <t>果酒（含酒精）;蒸馏饮料;果酒;⽩酒;甜酒;⽩⼲酒（中国⽩酒）;含酒精⽔果饮料;⽩葡萄酒;⽶酒;红葡萄酒</t>
  </si>
  <si>
    <t>西花秋果</t>
  </si>
  <si>
    <t>餐后酒（利⼝酒和烈酒）;葡萄酒;烧酒;苹果酒;⽩酒;⽩⼲酒（中国⽩酒）;⾷⽤酒精;烈酒浓缩汁;⾼粱酒;烈酒（饮料）;⻩酒;果酒（含酒精）</t>
  </si>
  <si>
    <t>浈</t>
  </si>
  <si>
    <t>烈酒（饮料）;⽩酒;⽩⼲酒（中国⽩酒）;烈酒浓缩汁;葡萄酒;⻩酒;⾼粱酒;果酒（含酒精）;⾷⽤酒精;苹果酒;餐后酒（利⼝酒和烈酒）;烧酒</t>
  </si>
  <si>
    <t>赤圳御坤</t>
  </si>
  <si>
    <t>⽩酒;果酒;⽶酒;烧酒;蒸馏饮料;除啤酒外的酒精饮料;葡萄酒;酒精饮料（啤酒除外）;烈酒;⻩酒</t>
  </si>
  <si>
    <t>大嘴鲸</t>
  </si>
  <si>
    <t>宁波市海曙良品生活用品有限公司</t>
  </si>
  <si>
    <t>鸡尾酒;蒸馏饮料;葡萄酒;果酒（含酒精）;杨梅酒;⻩酒;烈酒（饮料）;酒精饮料（啤酒除外）;⽶酒;威⼠忌</t>
  </si>
  <si>
    <t>佬爸清</t>
  </si>
  <si>
    <t>海南金椰热带水果研发有限公司</t>
  </si>
  <si>
    <t>烈酒（饮料）;果酒（含酒精）;烧酒;酒精饮料（啤酒除外）;⽶酒;蒸馏饮料;葡萄酒;鸡尾酒;⽩酒;⻩酒</t>
  </si>
  <si>
    <t>BAOZHUGONG</t>
  </si>
  <si>
    <t>广西煲珠公餐饮管理有限公司</t>
  </si>
  <si>
    <t>含⽔果酒精饮料;含酒精的饮料（啤酒除外）;威⼠忌;果酒;⻩酒;烧酒（烈酒）;甜酒;⽶酒;葡萄酒;⽩⼲酒（中国⽩酒）</t>
  </si>
  <si>
    <t>云下尧市</t>
  </si>
  <si>
    <t>湖南文皓科技有限公司</t>
  </si>
  <si>
    <t>⽩酒;⽶酒;⻩酒;烧酒;苹果酒;⾕物制蒸馏酒精饮料;葡萄酒;甜酒;果酒（含酒精）;烈酒（饮料）</t>
  </si>
  <si>
    <t>花馥贵</t>
  </si>
  <si>
    <t>厦门市铨智硕商贸有限公司</t>
  </si>
  <si>
    <t>果酒（含酒精）;⽩兰地;酒精饮料（啤酒除外）;鸡尾酒;葡萄酒;⽩酒;威⼠忌;⻩酒;蒸煮提取物（利⼝酒和烈酒）;酒精饮料原汁</t>
  </si>
  <si>
    <t>SUNYEEJOY</t>
  </si>
  <si>
    <t>威⼠忌;果酒（含酒精）;葡萄酒;⽩酒;⽼酒（中国蒸馏烈酒）;⽩兰地;⽶酒;含酒精的饮料（啤酒除外）;清酒;⻩酒</t>
  </si>
  <si>
    <t>五方口袋湾</t>
  </si>
  <si>
    <t>大英口袋湾家庭农场</t>
  </si>
  <si>
    <t>餐后酒（利⼝酒和烈酒）;葡萄酒;⾼粱酒;⽶酒;⽩酒;酒精饮料原汁;含⽔果酒精饮料;烈酒（饮料）;酒精饮料（啤酒除外）;果酒（含酒精）</t>
  </si>
  <si>
    <t>澳袋丽三度边界</t>
  </si>
  <si>
    <t>河南国蒲进出口贸易有限公司</t>
  </si>
  <si>
    <t>烧酒;清酒;⽶酒;⽩酒;烈酒;葡萄酒;汽酒;⻩酒;⽩兰地;果酒</t>
  </si>
  <si>
    <t>纯凤</t>
  </si>
  <si>
    <t>李新学</t>
  </si>
  <si>
    <t>鸡尾酒;威⼠忌;葡萄酒;⽶酒;果酒（含酒精）;⽩酒;⻩酒;⻘稞酒;含⽔果酒精饮料;烧酒</t>
  </si>
  <si>
    <t>春秋·永鸣</t>
  </si>
  <si>
    <t>李永宏</t>
  </si>
  <si>
    <t>葡萄酒;果酒（含酒精）;鸡尾酒;烈酒（饮料）;⽶酒;清酒（⽇本⽶酒）;⻩酒;⽩酒;烧酒;酒精饮料（啤酒除外）</t>
  </si>
  <si>
    <t>2024/07/05</t>
  </si>
  <si>
    <t>壹樽玖郡</t>
  </si>
  <si>
    <t>容武</t>
  </si>
  <si>
    <t>烧酒;葡萄酒;含⽔果酒精饮料;果酒（含酒精）;蒸馏饮料;柑⾹酒;蜂蜜酒;⽶酒;⽩酒;五加⽪酒（中国混合烈酒）</t>
  </si>
  <si>
    <t>森命恋</t>
  </si>
  <si>
    <t>传艾有道（北京）健康科技中心（个人独资）</t>
  </si>
  <si>
    <t>果酒（含酒精）;⽩酒;⾕物制蒸馏酒精饮料;以葡萄酒为主的饮料;⻩酒;⽶酒;葡萄酒;含⽔果酒精饮料;汽酒;酒精饮料浓缩汁</t>
  </si>
  <si>
    <t>大藤树</t>
  </si>
  <si>
    <t>广西泽灵科技有限公司</t>
  </si>
  <si>
    <t>葡萄酒;⽶酒;烈酒（饮料）;⽩兰地;⽩酒;果酒（含酒精）;蜂蜜酒;利⼝酒;酒精饮料（啤酒除外）;⻩酒</t>
  </si>
  <si>
    <t>元气邦</t>
  </si>
  <si>
    <t>沈道正</t>
  </si>
  <si>
    <t>⻩酒;⽩酒;蜂蜜酒;⽶酒;果酒（含酒精）;开胃酒;苦味酒;烧酒;烈酒（饮料）;清酒（⽇本⽶酒）</t>
  </si>
  <si>
    <t>双瑞福</t>
  </si>
  <si>
    <t>李正义</t>
  </si>
  <si>
    <t>⾼粱酒;⽩酒;葡萄酒;鸡尾酒;朗姆酒;果酒（含酒精）;⽶酒;开胃酒;烈酒;⽩兰地</t>
  </si>
  <si>
    <t>匠悦福</t>
  </si>
  <si>
    <t>李宝刚</t>
  </si>
  <si>
    <t>⽩酒;⽶酒;烧酒;⾼粱酒;烈酒;果酒;酒精饮料（啤酒除外）;⻩酒;清酒;葡萄酒</t>
  </si>
  <si>
    <t>盛合畛果</t>
  </si>
  <si>
    <t>中盛合信产业发展（山东）有限公司</t>
  </si>
  <si>
    <t>⽶酒;葡萄酒;酒精饮料（啤酒除外）;果酒;⽔果汽酒;⽩酒;以葡萄酒为主的开胃酒;果酒（含酒精）;开胃酒;含⽔果酒精饮料</t>
  </si>
  <si>
    <t>崔督府</t>
  </si>
  <si>
    <t>崔振平</t>
  </si>
  <si>
    <t>⻩酒;葡萄酒;清酒;酒精饮料原汁;含⽔果酒精饮料;⽩酒;汽酒;⽶酒;露酒;果酒（含酒精）</t>
  </si>
  <si>
    <t>崔康</t>
  </si>
  <si>
    <t>贵州董程酿酒有限公司</t>
  </si>
  <si>
    <t>葡萄酒;⽩酒;烈酒;烈酒（饮料）;⻩酒;⾷⽤酒精;果酒（含酒精）;⻘稞酒;⽶酒;汽酒</t>
  </si>
  <si>
    <t>怪妹 QUEER QUEEN</t>
  </si>
  <si>
    <t>上海灵在文化传播工作室</t>
  </si>
  <si>
    <t>果酒（含酒精）;酒精饮料原汁;酒精饮料（啤酒除外）;⽩酒;⽶酒;葡萄酒;蒸馏饮料;鸡尾酒;烈酒（饮料）;⾷⽤酒精</t>
  </si>
  <si>
    <t>超集蛙</t>
  </si>
  <si>
    <t>中科数字乡村发展中心（深圳）有限公司</t>
  </si>
  <si>
    <t>果酒;⻘稞酒;⽶酒;鸡尾酒;⻩酒;烧酒;威⼠忌;葡萄酒;⽩酒;利⼝酒</t>
  </si>
  <si>
    <t>未太医</t>
  </si>
  <si>
    <t>刘兰</t>
  </si>
  <si>
    <t>伏特加酒;威⼠忌;⽩酒;葡萄酒;烈酒;果酒;清酒;汽酒;⽶酒;⻩酒</t>
  </si>
  <si>
    <t>小满堂器</t>
  </si>
  <si>
    <t>山东春玉文化有限公司</t>
  </si>
  <si>
    <t>开胃酒;⾷⽤酒精;苹果酒;⽩兰地;⽶酒;酒精饮料（啤酒除外）;⽩酒;果酒（含酒精）;烧酒;葡萄酒</t>
  </si>
  <si>
    <t>青深雅健</t>
  </si>
  <si>
    <t>大连圣泰利商贸有限公司</t>
  </si>
  <si>
    <t>⻘稞酒;含⽔果酒精饮料;烧酒;果酒（含酒精）;⽩酒;酸酒（低等葡萄酒）;苹果酒;葡萄酒;樱桃酒;蒸馏饮料</t>
  </si>
  <si>
    <t>清照欣悦</t>
  </si>
  <si>
    <t>汽酒;⽩酒;果酒（含酒精）;苹果酒;开胃酒;⻩酒;葡萄酒;酒精饮料（啤酒除外）;⽶酒;酸酒（低等葡萄酒）</t>
  </si>
  <si>
    <t>GOODERFULL</t>
  </si>
  <si>
    <t>谷达福供应链管理（大连）有限公司</t>
  </si>
  <si>
    <t>烧酒;已调味的⻨芽酿制的酒精饮料（啤酒除外）;⽩酒;⾷⽤酒精;含⽔果酒精饮料;以葡萄酒为主的饮料;烈酒（饮料）;开胃酒;餐后酒（利⼝酒和烈酒）;⾕物制蒸馏酒精饮料</t>
  </si>
  <si>
    <t>洞府潭</t>
  </si>
  <si>
    <t>临泉相如食品有限公司</t>
  </si>
  <si>
    <t>鸡尾酒;⽩兰地;蒸馏饮料;⽶酒;酒精饮料（啤酒除外）;果酒;⻩酒;蒸煮提取物（利⼝酒和烈酒）;烧酒;⽩酒</t>
  </si>
  <si>
    <t>壶杏欢</t>
  </si>
  <si>
    <t>白伟光</t>
  </si>
  <si>
    <t>含⽔果酒精饮料;⽩兰地;⾷⽤酒精;葡萄酒;酒精饮料（啤酒除外）;鸡尾酒;⽩酒;⻩酒;果酒（含酒精）;⽶酒</t>
  </si>
  <si>
    <t>亁益麓</t>
  </si>
  <si>
    <t>广州兆丰文化发展有限公司</t>
  </si>
  <si>
    <t>酒精饮料（啤酒除外）;⽩酒;果酒（含酒精）;葡萄酒;鸡尾酒;餐后酒（利⼝酒和烈酒）;⽩兰地;利⼝酒;威⼠忌;酒精饮料原汁</t>
  </si>
  <si>
    <t>芬德拉</t>
  </si>
  <si>
    <t>味醇香（厦门）酒业有限公司</t>
  </si>
  <si>
    <t>鸡尾酒;烧酒;果酒（含酒精）;酒精饮料（啤酒除外）;烈酒（饮料）;⻩酒;⽶酒;⽩酒;葡萄酒;清酒（⽇本⽶酒）</t>
  </si>
  <si>
    <t>勇养</t>
  </si>
  <si>
    <t>沈阳市铁西区邓硬餐饮中心</t>
  </si>
  <si>
    <t>开胃酒;烧酒;⽩酒;烈酒（饮料）;清酒;果酒（含酒精）;⽶酒;⻩酒;葡萄酒;烈酒</t>
  </si>
  <si>
    <t>特可莱</t>
  </si>
  <si>
    <t>广西中投华农控股有限责任公司</t>
  </si>
  <si>
    <t>⽩酒;苹果酒;⽶酒;含⽔果酒精饮料;以葡萄酒为主的饮料;鸡尾酒;⻩酒;伏特加酒;五加⽪酒（中国混合烈酒）;果酒（含酒精）</t>
  </si>
  <si>
    <t>予如予沫</t>
  </si>
  <si>
    <t>昆明予如予沫供应链有限公司</t>
  </si>
  <si>
    <t>汉庄宗云号</t>
  </si>
  <si>
    <t>贵州汉庄酒业（集团）有限公司</t>
  </si>
  <si>
    <t>鸡尾酒;果酒（含酒精）;苹果酒;利⼝酒;⽩酒;烧酒;葡萄酒;威⼠忌;汽酒;烈酒（饮料）</t>
  </si>
  <si>
    <t>今德健</t>
  </si>
  <si>
    <t>深圳市深创深科技有限公司</t>
  </si>
  <si>
    <t>果酒（含酒精）;烧酒;葡萄酒;威⼠忌;烧酒（烈酒）;⻩酒;⽩酒;甜酒;⽼酒（中国蒸馏烈酒）;⽶酒</t>
  </si>
  <si>
    <t>唐犇记</t>
  </si>
  <si>
    <t>唐天逊</t>
  </si>
  <si>
    <t>鸡尾酒;酒精饮料（啤酒除外）;烈酒（饮料）;蒸馏饮料;汽酒;葡萄酒;酒精饮料原汁;果酒（含酒精）;⽩酒;威⼠忌</t>
  </si>
  <si>
    <t>鑫玖道</t>
  </si>
  <si>
    <t>河南筑米商贸有限公司</t>
  </si>
  <si>
    <t>⽩酒;酒精饮料（啤酒除外）;⽶酒;⽼酒（中国蒸馏烈酒）;烧酒;蒸煮提取物（利⼝酒和烈酒）;⾼粱酒;果酒;⽩⼲酒（中国⽩酒）;⻩酒</t>
  </si>
  <si>
    <t>黄贤通</t>
  </si>
  <si>
    <t>美肽坊生物科技（深圳）有限公司</t>
  </si>
  <si>
    <t>果酒;鸡尾酒;⻩酒;⽶酒;烧酒;酒精饮料（啤酒除外）;汽酒;⽩酒;葡萄酒;清酒</t>
  </si>
  <si>
    <t>酷思其</t>
  </si>
  <si>
    <t>内蒙古科为投资有限公司</t>
  </si>
  <si>
    <t>葡萄酒;⻩酒;⽶酒;烈酒（饮料）;威⼠忌;⽩兰地;⽩酒;果酒（含酒精）;鸡尾酒;酒精饮料（啤酒除外）</t>
  </si>
  <si>
    <t>永言绍绵</t>
  </si>
  <si>
    <t>浙江种草咖啡有限公司</t>
  </si>
  <si>
    <t>⽩酒;烧酒;葡萄酒;⽶酒;果酒;含⽔果酒精饮料;薄荷酒;开胃酒;⻩酒;酒精饮料（啤酒除外）</t>
  </si>
  <si>
    <t>豫见福顺晟</t>
  </si>
  <si>
    <t>西华县农福种植专业合作社</t>
  </si>
  <si>
    <t>烧酒;⽩兰地;开胃酒;⽩酒;⻩酒;⽶酒;酒精饮料(啤酒除外);威⼠忌;鸡尾酒;烈酒(饮料)</t>
  </si>
  <si>
    <t>玉鸾香</t>
  </si>
  <si>
    <t>酒精饮料（啤酒除外）;⽩酒;果酒;烧酒;⾼粱酒;葡萄酒;清酒;烈酒;⽶酒;⻩酒</t>
  </si>
  <si>
    <t>众和巨发</t>
  </si>
  <si>
    <t>新疆众和巨发商贸有限公司</t>
  </si>
  <si>
    <t>烈酒（饮料）;⻩酒;⾷⽤酒精;葡萄酒;伏特加酒;果酒（含酒精）;⽩酒;威⼠忌;酒精饮料（啤酒除外）;⽩兰地</t>
  </si>
  <si>
    <t>百谷黔隆</t>
  </si>
  <si>
    <t>贵州百谷王酒业有限公司</t>
  </si>
  <si>
    <t>⽩酒;⻩酒;烧酒;葡萄酒;⽩兰地;果酒（含酒精）;⽶酒;鸡尾酒;酒精饮料（啤酒除外）;⻘稞酒</t>
  </si>
  <si>
    <t>华悦福</t>
  </si>
  <si>
    <t>葡萄酒;烈酒;⾼粱酒;⽶酒;⻩酒;清酒;烧酒;酒精饮料（啤酒除外）;⽩酒;果酒</t>
  </si>
  <si>
    <t>放翁宋酿</t>
  </si>
  <si>
    <t>绍兴市未来公用事业产业发展有限公司</t>
  </si>
  <si>
    <t>⽩兰地;酒精饮料（啤酒除外）;葡萄酒;⽶酒;清酒（⽇本⽶酒）;⽩酒;开胃酒;鸡尾酒;烧酒;⻩酒</t>
  </si>
  <si>
    <t>润括</t>
  </si>
  <si>
    <t>灵璧润括商贸有限公司</t>
  </si>
  <si>
    <t>葡萄酒;苹果酒;烈酒;烧酒;利⼝酒;⻩酒;⽩酒;清酒;鸡尾酒</t>
  </si>
  <si>
    <t>雅女淳</t>
  </si>
  <si>
    <t>李明朱</t>
  </si>
  <si>
    <t>⽩酒;蒸馏饮料;鸡尾酒;酒精饮料（啤酒除外）;⽶酒;利⼝酒;果酒（含酒精）;烈酒（饮料）;烧酒（烈酒）;⻩酒</t>
  </si>
  <si>
    <t>一品莎</t>
  </si>
  <si>
    <t>李庆洪</t>
  </si>
  <si>
    <t>苹果酒;葡萄酒;⻩酒;烧酒;⽩兰地;汽酒;威⼠忌;⽩酒;蒸馏饮料;⽶酒</t>
  </si>
  <si>
    <t>同源中尚</t>
  </si>
  <si>
    <t>茂名市电白区同源中尚种植专业合作社</t>
  </si>
  <si>
    <t>烈酒（饮料）;含⽔果酒精饮料;葡萄酒;蜂蜜酒;⾷⽤酒精;烧酒;⻩酒;⽶酒;⽩酒;果酒（含酒精）</t>
  </si>
  <si>
    <t>SUPER GRASS</t>
  </si>
  <si>
    <t>西安优普投资有限公司</t>
  </si>
  <si>
    <t>威⼠忌;⻩酒;开胃酒;葡萄酒;烧酒;⾷⽤酒精;⽩酒;果酒（含酒精）;清酒;⽶酒</t>
  </si>
  <si>
    <t>犇唐羴</t>
  </si>
  <si>
    <t>海南云福兴企业管理有限公司</t>
  </si>
  <si>
    <t>葡萄酒;含⽔果酒精饮料;果酒（含酒精）;蒸馏饮料;⻩酒;⽩酒;开胃酒;利⼝酒;酒精饮料浓缩汁;⾕物制蒸馏酒精饮料</t>
  </si>
  <si>
    <t>法恩莎</t>
  </si>
  <si>
    <t>江苏尊荣文化传媒有限公司</t>
  </si>
  <si>
    <t>⽩酒;蒸煮提取物（利⼝酒和烈酒）;烈酒（饮料）;酒精饮料原汁;威⼠忌;果酒（含酒精）;⽩兰地;酒精饮料（啤酒除外）;葡萄酒;⻘稞酒</t>
  </si>
  <si>
    <t>特可莱·茶牛</t>
  </si>
  <si>
    <t>苹果酒;鸡尾酒;⽶酒;⽩酒;⻩酒;伏特加酒;五加⽪酒（中国混合烈酒）;以葡萄酒为主的饮料;含⽔果酒精饮料;果酒（含酒精）</t>
  </si>
  <si>
    <t>赤贵人</t>
  </si>
  <si>
    <t>李茂</t>
  </si>
  <si>
    <t>餐后酒（利⼝酒和烈酒）;果酒（含酒精）;苹果酒;⽩酒;露酒;⽶酒;⾕物制蒸馏酒精饮料;葡萄酒;烈酒（饮料）;蒸馏饮料</t>
  </si>
  <si>
    <t>春秋·永鸣 YONG WHISTLE</t>
  </si>
  <si>
    <t>葡萄酒;酒精饮料（啤酒除外）;⻩酒;鸡尾酒;烈酒（饮料）;清酒（⽇本⽶酒）;果酒（含酒精）;烧酒;⽶酒;⽩酒</t>
  </si>
  <si>
    <t>深圳市飘之雪食品有限公司</t>
  </si>
  <si>
    <t>⽩酒;⽶酒;酒精饮料（啤酒除外）;⾼粱酒;葡萄酒;⽼酒（中国蒸馏烈酒）;⻩酒;果酒;烧酒;烈酒</t>
  </si>
  <si>
    <t>绍绵</t>
  </si>
  <si>
    <t>⻩酒;⽩酒;开胃酒;含⽔果酒精饮料;酒精饮料（啤酒除外）;烧酒;薄荷酒;果酒;葡萄酒;⽶酒</t>
  </si>
  <si>
    <t>载仔</t>
  </si>
  <si>
    <t>⽩酒;葡萄酒;⽶酒;酒精饮料（啤酒除外）;鸡尾酒;清酒;蜂蜜酒;含⽔果酒精饮料;⽩⼲酒（中国⽩酒）;⻩酒</t>
  </si>
  <si>
    <t>荷上水井</t>
  </si>
  <si>
    <t>普定陌上荷海农业产业发展有限责任公司</t>
  </si>
  <si>
    <t>烈酒（饮料）;⾷⽤酒精;烧酒;⽼酒（中国蒸馏烈酒）;清酒;汽酒;果酒（含酒精）;⽩酒;葡萄酒;⽶酒</t>
  </si>
  <si>
    <t>迪宸宇</t>
  </si>
  <si>
    <t>江门市贝丽纸业有限公司</t>
  </si>
  <si>
    <t>果酒;⽩兰地;⽩酒;伏特加酒;⽶酒;威⼠忌;葡萄酒;鸡尾酒;朗姆酒;烈酒（饮料）</t>
  </si>
  <si>
    <t>鸿福通</t>
  </si>
  <si>
    <t>江苏鸿海服务外包有限公司</t>
  </si>
  <si>
    <t>开胃酒;⽩酒;⽩兰地;葡萄酒;鸡尾酒;烈酒（饮料）;伏特加酒;⽶酒;⻩酒;威⼠忌</t>
  </si>
  <si>
    <t>仁德和</t>
  </si>
  <si>
    <t>北京仁德和酒业有限公司</t>
  </si>
  <si>
    <t>鸡尾酒;烈酒（饮料）;汽酒;⻩酒;⽶酒;葡萄酒;⽩酒;果酒（含酒精）;酒精饮料（啤酒除外）;利⼝酒</t>
  </si>
  <si>
    <t>唯昵定</t>
  </si>
  <si>
    <t>四川纵格数字科技有限公司</t>
  </si>
  <si>
    <t>蒸馏饮料;鸡尾酒;葡萄酒;威⼠忌;⽶酒;⻩酒;果酒（含酒精）;⽩兰地;⽩酒;烈酒（饮料）</t>
  </si>
  <si>
    <t>先能</t>
  </si>
  <si>
    <t>潘帮锦</t>
  </si>
  <si>
    <t>开胃酒;清酒;葡萄酒;⾷⽤酒精;⻩酒;⽶酒;果酒;汽酒;甜酒;⽩酒</t>
  </si>
  <si>
    <t>禹为</t>
  </si>
  <si>
    <t>景德镇禹为瓷业有限公司</t>
  </si>
  <si>
    <t>烧酒;苹果酒;鸡尾酒;葡萄酒;蜂蜜酒;⻩酒;⽶酒;⽩酒;开胃酒;⾷⽤酒精</t>
  </si>
  <si>
    <t>茶洋里</t>
  </si>
  <si>
    <t>福建品品香茶业有限公司</t>
  </si>
  <si>
    <t>鸡尾酒;⽶酒;清酒（⽇本⽶酒）;葡萄酒;汽酒;蜂蜜酒;含⽔果酒精饮料;⻩酒;⽩酒;果酒（含酒精）</t>
  </si>
  <si>
    <t>雅女缘</t>
  </si>
  <si>
    <t>鸡尾酒;烈酒（饮料）;果酒（含酒精）;⽶酒;酒精饮料（啤酒除外）;烧酒（烈酒）;⽩酒;蒸馏饮料;利⼝酒;⻩酒</t>
  </si>
  <si>
    <t>鲂鱼赪尾</t>
  </si>
  <si>
    <t>深圳市汇酩商贸有限公司</t>
  </si>
  <si>
    <t>起泡红葡萄酒;鸡尾酒;威⼠忌;⽩酒;葡萄酒;以葡萄酒为主的饮料;红葡萄酒;果酒（含酒精）;烧酒（烈酒）;含⽔果酒精饮料</t>
  </si>
  <si>
    <t>海盛和</t>
  </si>
  <si>
    <t>海盛和蓝色海洋科技（青岛）有限公司</t>
  </si>
  <si>
    <t>⽶酒;蒸馏饮料;葡萄酒;烈酒;甜果酒;酒精饮料原汁;含⽔果酒精饮料;⽩酒;⻩酒;⽩兰地</t>
  </si>
  <si>
    <t>千王一杯沧海</t>
  </si>
  <si>
    <t>⽶酒;⽩酒;清酒（⽇本⽶酒）;烧酒;酒精饮料（啤酒除外）;⽩兰地;葡萄酒;果酒（含酒精）;鸡尾酒;威⼠忌</t>
  </si>
  <si>
    <t>杏缘道</t>
  </si>
  <si>
    <t>李宾</t>
  </si>
  <si>
    <t>酒精饮料（啤酒除外）;⽩酒;鸡尾酒;果酒（含酒精）;⽶酒;含⽔果酒精饮料;⾷⽤酒精;⻩酒;⽩兰地;葡萄酒</t>
  </si>
  <si>
    <t>奢莱特</t>
  </si>
  <si>
    <t>中浦耐杯(北京)贸易有限公司</t>
  </si>
  <si>
    <t>苦艾酒;利⼝酒;开胃酒;预先混合的酒精饮料（以啤酒为主的除外）;鸡尾酒;含奶油利⼝酒;已调味的蒸馏酒;烈酒（饮料）;除啤酒外的酒精饮料;伏特加酒</t>
  </si>
  <si>
    <t>湄南绿科</t>
  </si>
  <si>
    <t>西安湄南生物科技股份有限公司</t>
  </si>
  <si>
    <t>葡萄酒;威⼠忌;⽩兰地;酒精饮料（啤酒除外）;⽩酒;伏特加酒;⻩酒;果酒（含酒精）;烈酒（饮料）;⾷⽤酒精</t>
  </si>
  <si>
    <t>白龙</t>
  </si>
  <si>
    <t>鸡尾酒;⽩酒;蒸馏饮料;葡萄酒;烧酒;⻩酒;果酒（含酒精）;威⼠忌;⽶酒;⽩兰地</t>
  </si>
  <si>
    <t>谷达福</t>
  </si>
  <si>
    <t>烈酒（饮料）;⾕物制蒸馏酒精饮料;含⽔果酒精饮料;开胃酒;烧酒;餐后酒（利⼝酒和烈酒）;以葡萄酒为主的饮料;⽩酒;⾷⽤酒精;已调味的⻨芽酿制的酒精饮料（啤酒除外）</t>
  </si>
  <si>
    <t>漫天朱霞</t>
  </si>
  <si>
    <t>果酒（含酒精）;起泡红葡萄酒;⽩酒;以葡萄酒为主的饮料;威⼠忌;含⽔果酒精饮料;红葡萄酒;烧酒（烈酒）;葡萄酒;鸡尾酒</t>
  </si>
  <si>
    <t>燕都京韵</t>
  </si>
  <si>
    <t>北京燕都京韵食品科技有限公司</t>
  </si>
  <si>
    <t>威⼠忌;⽩酒;⽩兰地;苹果酒;薄荷酒;伏特加酒;果酒（含酒精）;鸡尾酒;酒精饮料（啤酒除外）;葡萄酒</t>
  </si>
  <si>
    <t>精诚亿创</t>
  </si>
  <si>
    <t>云南精诚生物科技有限公司</t>
  </si>
  <si>
    <t>葡萄酒;⾷⽤酒精;⽩酒;开胃酒;甜果酒;烈酒（饮料）;酒精饮料（啤酒除外）;果酒（含酒精）;⽶酒;鸡尾酒</t>
  </si>
  <si>
    <t>宋棉</t>
  </si>
  <si>
    <t>义乌市姚驰电子商务有限公司</t>
  </si>
  <si>
    <t>酒精饮料原汁;葡萄酒;酒精饮料（啤酒除外）;果酒（含酒精）;含酒精的⽓泡⽔</t>
  </si>
  <si>
    <t>海口三叶虫投资合伙企业（有限合伙）</t>
  </si>
  <si>
    <t>⽩酒;含酒精的⽓泡⽔;酒精饮料（啤酒除外）;果酒;⽶酒;葡萄酒;汽酒;威⼠忌;含酒精的充⽓饮料（啤酒除外）;鸡尾酒</t>
  </si>
  <si>
    <t>老翁门</t>
  </si>
  <si>
    <t>张佳越13092********9321X</t>
  </si>
  <si>
    <t>⽩酒;含酒精的饮料（啤酒除外）;烈酒（饮料）;苹果酒;⻘稞酒;葡萄酒;开胃酒;果酒;清酒;鸡尾酒</t>
  </si>
  <si>
    <t>2024/07/06</t>
  </si>
  <si>
    <t>酒小蒙</t>
  </si>
  <si>
    <t>广州酒便荟网络科技有限公司</t>
  </si>
  <si>
    <t>鸡尾酒;酒精饮料原汁;⽩酒;威⼠忌;红葡萄酒;伏特加酒;清酒（⽇本⽶酒）;酒精饮料（啤酒除外）;⽶酒;烧酒</t>
  </si>
  <si>
    <t>美丽芝虂</t>
  </si>
  <si>
    <t>安徽精力元药业有限公司</t>
  </si>
  <si>
    <t>烧酒;鸡尾酒;⽶酒;⻩酒;⽩酒;果酒;葡萄酒;甜酒;蒸煮提取物（利⼝酒和烈酒）;露酒</t>
  </si>
  <si>
    <t>天石齐地陨石</t>
  </si>
  <si>
    <t>淄博石来运转陨石生物科技有限公司</t>
  </si>
  <si>
    <t>⽩酒;烧酒;烈酒（饮料）;⽶酒;酒精饮料（啤酒除外）;开胃酒;酒精饮料原汁;⻩酒;葡萄酒;果酒（含酒精）</t>
  </si>
  <si>
    <t>西双版纳大渡岗生态茶业有限公司</t>
  </si>
  <si>
    <t>清酒（⽇本⽶酒）;⽩酒;威⼠忌;含⽔果酒精饮料;⻩酒;⾷⽤酒精;⽼酒（中国蒸馏烈酒）;烈酒（饮料）;⽶酒;伏特加酒</t>
  </si>
  <si>
    <t>那墨珍</t>
  </si>
  <si>
    <t>南宁壮博生物科技有限公司</t>
  </si>
  <si>
    <t>⽶酒;⽩兰地;葡萄酒;威⼠忌;含⽔果酒精饮料;蒸馏饮料;⻩酒;酒精饮料（啤酒除外）;⽩酒;果酒（含酒精）</t>
  </si>
  <si>
    <t>谷万三</t>
  </si>
  <si>
    <t>海南熙佳投资合伙企业(有限合伙)</t>
  </si>
  <si>
    <t>⽩酒;烈酒（饮料）;烧酒;⻩酒;果酒（含酒精）;酒精饮料（啤酒除外）;蜂蜜酒;蒸煮提取物（利⼝酒和烈酒）;蒸馏饮料;汽酒</t>
  </si>
  <si>
    <t>汉帝双龙汇</t>
  </si>
  <si>
    <t>仁怀市五粮红酒业有限公司</t>
  </si>
  <si>
    <t>果酒;烈酒;葡萄酒;⽩兰地;⽶酒;⽩酒;⻩酒;鸡尾酒;威⼠忌;清酒</t>
  </si>
  <si>
    <t>广东桐德农业开发有限公司</t>
  </si>
  <si>
    <t>开胃酒;⾕物制蒸馏酒精饮料;烧酒;含⽔果酒精饮料;果酒（含酒精）;⻩酒;⽶酒;葡萄酒;⽩酒;酒精饮料（啤酒除外）</t>
  </si>
  <si>
    <t>引棠</t>
  </si>
  <si>
    <t>谢涛</t>
  </si>
  <si>
    <t>烈酒;⽩酒;⽶酒;鸡尾酒;烧酒;⻘稞酒;葡萄酒;威⼠忌;⻩酒;⽩兰地</t>
  </si>
  <si>
    <t>2024/07/07</t>
  </si>
  <si>
    <t>汉垦</t>
  </si>
  <si>
    <t>河北源垦调味品有限公司</t>
  </si>
  <si>
    <t>葡萄酒;⽶酒;利⼝酒;⽩酒;烈酒（饮料）;酒精饮料原汁;⻩酒;果酒（含酒精）;开胃酒;鸡尾酒</t>
  </si>
  <si>
    <t>凡太</t>
  </si>
  <si>
    <t>清河县正凡汽车零部件有限公司</t>
  </si>
  <si>
    <t>葡萄酒;⾼粱酒;含酒精的饮料（啤酒除外）;⽶酒;⾷⽤酒精;果酒（含酒精）;⻩酒;⽩酒;烈酒（饮料）;含⽔果酒精饮料</t>
  </si>
  <si>
    <t>纷棠</t>
  </si>
  <si>
    <t>葡萄酒;⻩酒;烈酒;⽩兰地;烧酒;⽩酒;⽶酒;鸡尾酒;威⼠忌;⻘稞酒</t>
  </si>
  <si>
    <t>追墨</t>
  </si>
  <si>
    <t>贵州钰贡台酒业有限公司</t>
  </si>
  <si>
    <t>⽩酒;鸡尾酒;威⼠忌;蜂蜜酒;⽶酒;清酒（⽇本⽶酒）;果酒（含酒精）;葡萄酒;⻩酒;烈酒（饮料）</t>
  </si>
  <si>
    <t>2024/07/08</t>
  </si>
  <si>
    <t>清酒（⽇本⽶酒）;马格利酒（朝鲜传统⽶酒）;酒精饮料（啤酒除外）;蒸馏⽶酒（泡盛酒）;汽酒;梨酒;果酒（含酒精）;⽇式甜⽶酒;⽶酒;⽩酒</t>
  </si>
  <si>
    <t>鹿九瑶</t>
  </si>
  <si>
    <t>贵州敏君酒业有限公司</t>
  </si>
  <si>
    <t>鸡尾酒;开胃酒;⽩酒;烧酒;利⼝酒;含酒精的⽓泡⽔;酒精饮料（啤酒除外）;果酒（含酒精）;⽶酒;葡萄酒</t>
  </si>
  <si>
    <t>柳东家</t>
  </si>
  <si>
    <t>柳滨芳</t>
  </si>
  <si>
    <t>⽶酒;果酒（含酒精）;葡萄酒;酒精饮料（啤酒除外）;⻩酒;鸡尾酒;烈酒（饮料）;含⽔果酒精饮料;⽩酒;烧酒</t>
  </si>
  <si>
    <t>豫中王</t>
  </si>
  <si>
    <t>河南省豫中王酒业有限公司</t>
  </si>
  <si>
    <t>青稞酒;白酒;威士忌;果酒（含酒精）;鸡尾酒;烧酒;葡萄酒;开胃酒;白兰地</t>
  </si>
  <si>
    <t>饶河县蜜都商务酒店有限公司</t>
  </si>
  <si>
    <t>葡萄酒;⽩⼲酒（中国⽩酒）;蜂蜜酒;酒精饮料（啤酒除外）;汽酒;⽶酒;开胃酒;⽩酒;由⾕物蒸馏的⽩酒;果酒</t>
  </si>
  <si>
    <t>愿归海</t>
  </si>
  <si>
    <t>茂名市归海控股集团有限公司</t>
  </si>
  <si>
    <t>烈酒（饮料）;⻩酒;果酒（含酒精）;⽶酒;酒精饮料（啤酒除外）;⽩酒;葡萄酒;⾕物制蒸馏酒精饮料;烧酒;鸡尾酒</t>
  </si>
  <si>
    <t>可佳顾大嫂</t>
  </si>
  <si>
    <t>湖北顾大嫂食品有限公司</t>
  </si>
  <si>
    <t>葡萄酒;烈酒（饮料）;鸡尾酒;⽶酒;含⽔果酒精饮料;烧酒;⻩酒;果酒（含酒精）;⽩酒;清酒（⽇本⽶酒）</t>
  </si>
  <si>
    <t>谭力斯</t>
  </si>
  <si>
    <t>⻩酒;⽩酒;鸡尾酒;葡萄酒;⽩⼲酒（中国⽩酒）;蒸馏饮料;烈酒（饮料）;酒精饮料（啤酒除外）;果酒（含酒精）;由⾕物蒸馏的⽩酒</t>
  </si>
  <si>
    <t>吉乡来信</t>
  </si>
  <si>
    <t>北京禾禾达食品科技有限公司</t>
  </si>
  <si>
    <t>⽩酒;果酒（含酒精）;酒精饮料（啤酒除外）;蒸煮提取物（利⼝酒和烈酒）;⾷⽤酒精;烧酒;鸡尾酒;清酒（⽇本⽶酒）;⻩酒;葡萄酒</t>
  </si>
  <si>
    <t>吕甄良品</t>
  </si>
  <si>
    <t>⽶酒;威⼠忌;含酒精蛋奶酒;酒精饮料（啤酒除外）;甜果酒;⽩兰地;⽩酒;葡萄酒;烈酒;鸡尾酒</t>
  </si>
  <si>
    <t>古狄酒</t>
  </si>
  <si>
    <t>江西赫赫投资有限责任公司</t>
  </si>
  <si>
    <t>⽩酒;蒸馏饮料;鸡尾酒;烧酒;酒精饮料（啤酒除外）;威⼠忌;⽶酒;葡萄酒;烈酒（饮料）;果酒（含酒精）</t>
  </si>
  <si>
    <t>蕊厨</t>
  </si>
  <si>
    <t>李蕊</t>
  </si>
  <si>
    <t>⽶酒;葡萄酒;蜂蜜酒;⾕物制蒸馏酒精饮料;⽩酒;⻩酒;果酒（含酒精）;蒸馏饮料;⻘稞酒;烧酒</t>
  </si>
  <si>
    <t>福爸恩师</t>
  </si>
  <si>
    <t>江苏旭河酒业股份有限公司</t>
  </si>
  <si>
    <t>⻘稞酒;果酒（含酒精）;威⼠忌;⽩酒;⽩兰地;蒸煮提取物（利⼝酒和烈酒）;开胃酒;清酒（⽇本⽶酒）;烧酒;⻩酒</t>
  </si>
  <si>
    <t>福爸喜乐</t>
  </si>
  <si>
    <t>开胃酒;⻘稞酒;⻩酒;威⼠忌;蒸煮提取物（利⼝酒和烈酒）;清酒（⽇本⽶酒）;⽩兰地;⽩酒;果酒（含酒精）;烧酒</t>
  </si>
  <si>
    <t>衡顺和</t>
  </si>
  <si>
    <t>惠州市鑫伟商贸有限公司</t>
  </si>
  <si>
    <t>⻩酒;酒精饮料原汁;烧酒;⽶酒;含⽔果酒精饮料;⽩酒;酒精饮料（啤酒除外）;葡萄酒;⽩兰地;伏特加酒</t>
  </si>
  <si>
    <t>妙将风云</t>
  </si>
  <si>
    <t>卢星成</t>
  </si>
  <si>
    <t>烈酒（饮料）;葡萄酒;威⼠忌;烧酒;⽩酒;⽶酒;果酒（含酒精）;汽酒;⻩酒;酒精饮料（啤酒除外）</t>
  </si>
  <si>
    <t>月伴思源</t>
  </si>
  <si>
    <t>谌秋月</t>
  </si>
  <si>
    <t>蒸馏饮料;葡萄酒;烈酒（饮料）;⾷⽤酒精;⽶酒;⽩酒;酒精饮料（啤酒除外）;烧酒;酒精饮料原汁;果酒（含酒精）</t>
  </si>
  <si>
    <t>鹿九阳</t>
  </si>
  <si>
    <t>深圳金大科技集团有限公司</t>
  </si>
  <si>
    <t>烧酒;含酒精的饮料（啤酒除外）;⻩酒;烈酒（饮料）;⽩酒;⾼粱酒;⽶酒;含酒精⽔果饮料;果酒（含酒精）;⾷⽤酒精</t>
  </si>
  <si>
    <t>厦门腾云塑胶有限公司</t>
  </si>
  <si>
    <t>果酒（含酒精）;利⼝酒;鸡尾酒;烈酒;⻘稞酒;⻩酒;葡萄酒;开胃酒;⽶酒;含⽔果酒精饮料</t>
  </si>
  <si>
    <t>索籁</t>
  </si>
  <si>
    <t>梁昌明</t>
  </si>
  <si>
    <t>⻩酒;⾷⽤酒精;果酒（含酒精）;⽩酒;⽩兰地;葡萄酒;朗姆酒;伏特加酒;烈酒（饮料）;威⼠忌</t>
  </si>
  <si>
    <t>添亿幸</t>
  </si>
  <si>
    <t>江苏幸牌农业开发有限公司</t>
  </si>
  <si>
    <t>⾷⽤酒精;葡萄酒;⻩酒;⽶酒;烈酒（饮料）;酒精饮料（啤酒除外）;⽩酒;清酒;烧酒;蜂蜜酒</t>
  </si>
  <si>
    <t>迎贵子</t>
  </si>
  <si>
    <t>杨保锋</t>
  </si>
  <si>
    <t>⽩兰地;露酒;威⼠忌;酒精饮料（啤酒除外）;⽶酒;⽩酒;葡萄酒;⾷⽤酒精;鸡尾酒;果酒（含酒精）</t>
  </si>
  <si>
    <t>熙尧然</t>
  </si>
  <si>
    <t>桓军海</t>
  </si>
  <si>
    <t>烈酒;葡萄酒;清酒（⽇本⽶酒）;伏特加酒;⻩酒;烧酒;威⼠忌;果酒;⽩酒;⽶酒</t>
  </si>
  <si>
    <t>食跃智链</t>
  </si>
  <si>
    <t>食跃智链（郑州）食品管理有限公司</t>
  </si>
  <si>
    <t>酒精饮料（啤酒除外）;⽩酒;以葡萄酒为主的饮料;葡萄酒;⻩酒</t>
  </si>
  <si>
    <t>猿乐山</t>
  </si>
  <si>
    <t>厦门孚味泰餐饮管理有限公司</t>
  </si>
  <si>
    <t>果酒（含酒精）;含⽔果酒精饮料;⽶酒;烧酒;⽩⼲酒（中国⽩酒）;⽩酒;鸡尾酒;葡萄酒;汽酒;酒精饮料（啤酒除外）</t>
  </si>
  <si>
    <t>嘉礼达人</t>
  </si>
  <si>
    <t>成都利市纸制品有限公司</t>
  </si>
  <si>
    <t>⽩酒;蒸馏饮料;果酒（含酒精）;⽶酒;⾷⽤酒精;烈酒（饮料）;酒精饮料（啤酒除外）;预先混合的酒精饮料（以啤酒为主的除外）;汽酒;⾕物制蒸馏酒精饮料</t>
  </si>
  <si>
    <t>醉相知</t>
  </si>
  <si>
    <t>合肥鼎祎品牌管理有限公司</t>
  </si>
  <si>
    <t>⽶酒;利⼝酒;清酒（⽇本⽶酒）;预先混合的酒精饮料（以啤酒为主的除外）;酒精饮料（啤酒除外）;开胃酒;⽩酒;⻩酒;葡萄酒;烧酒</t>
  </si>
  <si>
    <t>海实利</t>
  </si>
  <si>
    <t>贵州铭阳节能科技有限公司</t>
  </si>
  <si>
    <t>清酒;⾷⽤酒精;餐后酒（利⼝酒和烈酒）;葡萄酒;开胃酒;果酒（含酒精）;⻩酒;烈酒（饮料）;⽩酒;烧酒</t>
  </si>
  <si>
    <t>季王</t>
  </si>
  <si>
    <t>河南私享人生酒业有限公司</t>
  </si>
  <si>
    <t>开胃酒;威⼠忌;果酒;⽩酒;蒸煮提取物（利⼝酒和烈酒）;含⽔果酒精饮料;葡萄酒;⽩兰地;烧酒;清酒</t>
  </si>
  <si>
    <t>富康龙</t>
  </si>
  <si>
    <t>播品汇（杭州）文化传播有限公司</t>
  </si>
  <si>
    <t>烈酒（饮料）;含⽔果酒精饮料;酒精饮料原汁;⻩酒;⽩酒;果酒（含酒精）;⽶酒;烧酒;汽酒;葡萄酒</t>
  </si>
  <si>
    <t>威⼠忌;烧酒;⻘稞酒;⽩酒;葡萄酒;鸡尾酒;⽩兰地;开胃酒;果酒（含酒精）</t>
  </si>
  <si>
    <t>春庭建岳</t>
  </si>
  <si>
    <t>向春梅</t>
  </si>
  <si>
    <t>⽩酒;⾷⽤酒精;⻩酒;以葡萄酒为主的饮料;由⾕物蒸馏的⽩酒;果酒（含酒精）;⾕物制蒸馏酒精饮料;⾼粱酒;烈酒（饮料）;⽶酒;⽢蔗制酒精饮料</t>
  </si>
  <si>
    <t>杯适</t>
  </si>
  <si>
    <t>⻩酒;伏特加酒;⾷⽤酒精;威⼠忌;⽩兰地;烈酒（饮料）;⽩酒;朗姆酒;果酒（含酒精）;葡萄酒</t>
  </si>
  <si>
    <t>鱼虫仙子</t>
  </si>
  <si>
    <t>杭州吾谷灵中医药科技发展有限公司</t>
  </si>
  <si>
    <t>朗姆酒;鸡尾酒;含⽔果酒精饮料;⽶酒;开胃酒;清酒（⽇本⽶酒）;⻩酒;蜂蜜酒;⽩酒;葡萄酒</t>
  </si>
  <si>
    <t>贵黔承泽</t>
  </si>
  <si>
    <t>贵州金创纪科技有限公司</t>
  </si>
  <si>
    <t>酒精饮料（啤酒除外）;烈酒（饮料）;⻩酒;⽩酒;清酒（⽇本⽶酒）;亚⼒酒;⽶酒;果酒（含酒精）;伏特加酒;苹果酒</t>
  </si>
  <si>
    <t>徕小柒</t>
  </si>
  <si>
    <t>杭州莱集科技有限公司</t>
  </si>
  <si>
    <t>烈酒;⽶酒;清酒;果酒;预先混合的酒精饮料（以啤酒为主的除外）;葡萄酒;烧酒;⽩酒;利⼝酒;鸡尾酒</t>
  </si>
  <si>
    <t>藏元甄</t>
  </si>
  <si>
    <t>⾷⽤酒精;威⼠忌;朗姆酒;伏特加酒;烈酒（饮料）;⻩酒;⽩酒;果酒（含酒精）;葡萄酒;⽩兰地</t>
  </si>
  <si>
    <t>娄冠</t>
  </si>
  <si>
    <t>贵州省仁怀市居奇酒业销售有限公司</t>
  </si>
  <si>
    <t>果酒（含酒精）;⽼酒（中国蒸馏烈酒）;⽩酒;⾼粱酒;⽶酒;葡萄酒;酒精饮料（啤酒除外）;鸡尾酒;利⼝酒;烧酒（烈酒）</t>
  </si>
  <si>
    <t>鹿无敌</t>
  </si>
  <si>
    <t>烧酒;果酒（含酒精）;含酒精的饮料（啤酒除外）;⻩酒;⾷⽤酒精;⾼粱酒;⽩酒;⽶酒;烈酒（饮料）;含酒精⽔果饮料</t>
  </si>
  <si>
    <t>衡昌宝</t>
  </si>
  <si>
    <t>⻘稞酒;⽩酒;⻩酒;烧酒;五加⽪酒（中国混合烈酒）;⾼粱酒;蒸煮提取物（利⼝酒和烈酒）;⽩⼲酒（中国⽩酒）;开胃酒;由⾕物蒸馏的⽩酒</t>
  </si>
  <si>
    <t>凡自在</t>
  </si>
  <si>
    <t>合肥市四和白酒经营有限公司</t>
  </si>
  <si>
    <t>⽩酒;⽶酒;⽩⼲酒（中国⽩酒）;果酒（含酒精）;⽼酒（中国蒸馏烈酒）;⾷⽤酒精;烈酒浓缩汁;由⾕物蒸馏的⽩酒;烈性⼲酒;烧酒（烈酒）</t>
  </si>
  <si>
    <t>衡昌老酒倌</t>
  </si>
  <si>
    <t>⽩⼲酒（中国⽩酒）;⾼粱酒;⻩酒;⻘稞酒;五加⽪酒（中国混合烈酒）;蒸煮提取物（利⼝酒和烈酒）;烧酒;由⾕物蒸馏的⽩酒;开胃酒;⽩酒</t>
  </si>
  <si>
    <t>MY NFL STYLE</t>
  </si>
  <si>
    <t>浙江长颖品牌管理有限公司</t>
  </si>
  <si>
    <t>蒸馏饮料;⻩酒;果酒（含酒精）;烧酒;烈酒（饮料）;酒精饮料（啤酒除外）;汽酒;蒸煮提取物（利⼝酒和烈酒）;蜂蜜酒;⽩酒</t>
  </si>
  <si>
    <t>内蒙古蒙特骄酒业有限公司</t>
  </si>
  <si>
    <t>鸡尾酒;柑⾹酒;威⼠忌;朗姆酒;烧酒;⻩酒;⽩酒;⽶酒;伏特加酒;⽩兰地</t>
  </si>
  <si>
    <t>2024/07/09</t>
  </si>
  <si>
    <t>颂云天</t>
  </si>
  <si>
    <t>葛子鈺</t>
  </si>
  <si>
    <t>⽩酒;威⼠忌;⽩⼲酒（中国⽩酒）;⽶酒;果酒（含酒精）;⻩酒;酒精饮料（啤酒除外）;鸡尾酒;伏特加酒;葡萄酒</t>
  </si>
  <si>
    <t>汕头卢家餐饮有限公司</t>
  </si>
  <si>
    <t>酒精饮料（啤酒除外）;葡萄酒;酒精饮料原汁;⻩酒;清酒;烧酒（烈酒）;蒸馏饮料;⽶酒;酒精饮料浓缩汁;威⼠忌</t>
  </si>
  <si>
    <t>德品传世</t>
  </si>
  <si>
    <t>贵州锦辰二手车贸易有限责任公司</t>
  </si>
  <si>
    <t>葡萄酒;蒸馏饮料;餐后酒（利⼝酒和烈酒）;果酒（含酒精）;⾕物制蒸馏酒精饮料;⽩酒;露酒;⽶酒;苹果酒;烈酒（饮料）</t>
  </si>
  <si>
    <t>黔塘多道</t>
  </si>
  <si>
    <t>贵阳多道智慧科技有限公司</t>
  </si>
  <si>
    <t>烧酒;⻩酒;⽩酒;⽼酒（中国蒸馏烈酒）;汽酒;葡萄酒;⽶酒;果酒（含酒精）;开胃酒;蒸馏饮料</t>
  </si>
  <si>
    <t>北农荒</t>
  </si>
  <si>
    <t>李瑞军</t>
  </si>
  <si>
    <t>清酒;汽酒;甜酒;开胃酒;⽶酒;葡萄酒;⾷⽤酒精;⻩酒;果酒;⽩酒</t>
  </si>
  <si>
    <t>瓷天使</t>
  </si>
  <si>
    <t>绥芬河帝国酒业有限公司</t>
  </si>
  <si>
    <t>烈酒（饮料）;果酒（含酒精）;起泡红葡萄酒;红葡萄酒;加烈葡萄酒;⽩葡萄酒;不起泡葡萄酒;葡萄酒;葡萄潘趣酒;以葡萄酒为主的开胃酒</t>
  </si>
  <si>
    <t>与取</t>
  </si>
  <si>
    <t>与取文化传播（重庆）有限公司</t>
  </si>
  <si>
    <t>蜂蜜酒;⽩酒;鸡尾酒;烈酒（饮料）;蒸馏饮料;葡萄酒;⽶酒;果酒（含酒精）;⻘稞酒;⽩兰地</t>
  </si>
  <si>
    <t>特恩德</t>
  </si>
  <si>
    <t>上海特恩德品牌咨询有限公司</t>
  </si>
  <si>
    <t>烧酒;鸡尾酒;烈酒（饮料）;⽩酒;⻩酒;葡萄酒;含⽔果酒精饮料;酒精饮料（啤酒除外）;开胃酒;⽶酒</t>
  </si>
  <si>
    <t>帝龙天</t>
  </si>
  <si>
    <t>葡萄酒;⻩酒;酒精饮料（啤酒除外）;⽶酒;⽩⼲酒（中国⽩酒）;威⼠忌;⽩酒;鸡尾酒;果酒（含酒精）;伏特加酒</t>
  </si>
  <si>
    <t>BATANUV</t>
  </si>
  <si>
    <t>深圳市盛康文化产业投资有限公司</t>
  </si>
  <si>
    <t>鸡尾酒;⽶酒;葡萄酒;汽酒;⻘稞酒;果酒（含酒精）;⽩酒;蒸馏饮料;威⼠忌;⻩酒</t>
  </si>
  <si>
    <t>跃山河</t>
  </si>
  <si>
    <t>张俊义</t>
  </si>
  <si>
    <t>威⼠忌;⽩兰地;薄荷酒;果酒（含酒精）;鸡尾酒;⽩酒;⻩酒;酒精饮料（啤酒除外）;⽶酒;预先混合的酒精饮料（以啤酒为主的除外）</t>
  </si>
  <si>
    <t>阗田</t>
  </si>
  <si>
    <t>北京玫朵农业科技有限公司</t>
  </si>
  <si>
    <t>果酒;⻩酒;⽶酒;鸡尾酒;⻘稞酒;葡萄酒;薄荷酒;⾕物制蒸馏酒精饮料;酒精饮料原汁;⽩酒</t>
  </si>
  <si>
    <t>调起</t>
  </si>
  <si>
    <t>杭州热麦品牌管理有限公司</t>
  </si>
  <si>
    <t>餐后酒（利⼝酒和烈酒）;含⽔果酒精饮料;开胃酒;酒精饮料（啤酒除外）;⻩酒;⽩兰地;果酒（含酒精）;葡萄酒;⽩酒;鸡尾酒</t>
  </si>
  <si>
    <t>虞仙果匠</t>
  </si>
  <si>
    <t>绍兴虞之梦食品有限公司</t>
  </si>
  <si>
    <t>利⼝酒;鸡尾酒;⽩酒;葡萄酒;杨梅酒;果酒;烧酒;甜酒;⻩酒;⾼粱酒</t>
  </si>
  <si>
    <t>企小二</t>
  </si>
  <si>
    <t>江西鲤鱼电子商务有限公司</t>
  </si>
  <si>
    <t>⽩酒;酒精饮料原汁;葡萄酒;含⽔果酒精饮料;鸡尾酒;蜂蜜酒;果酒;蒸馏饮料;酒精饮料（啤酒除外）;含⽜奶的鸡尾酒</t>
  </si>
  <si>
    <t>乍现</t>
  </si>
  <si>
    <t>董文博</t>
  </si>
  <si>
    <t>⽶酒;果酒（含酒精）;⽩酒;蒸馏饮料;⻩酒;葡萄酒;烈酒（饮料）;酒精饮料（啤酒除外）;烧酒;鸡尾酒</t>
  </si>
  <si>
    <t>融逸花</t>
  </si>
  <si>
    <t>成都优卡数信信息科技有限公司</t>
  </si>
  <si>
    <t>苦味酒;茴芹酒（利⼝酒）;开胃酒;亚⼒酒;苹果酒;果酒（含酒精）;蒸馏饮料;薄荷酒;茴⾹酒（利⼝酒）;柑⾹酒</t>
  </si>
  <si>
    <t>南风穗</t>
  </si>
  <si>
    <t>刘宝珠</t>
  </si>
  <si>
    <t>鸡尾酒;⽩酒;⻩酒;果酒（含酒精）;⽶酒;除啤酒外的酒精饮料;威⼠忌;葡萄酒;⽩兰地;⻘稞酒</t>
  </si>
  <si>
    <t>JISHINIU</t>
  </si>
  <si>
    <t>普洱绿银生物股份有限公司</t>
  </si>
  <si>
    <t>⽩酒;鸡尾酒;烧酒;烈酒（饮料）;果酒;含⽔果酒精饮料;葡萄酒;⽶酒;酒精饮料（啤酒除外）;⻩酒</t>
  </si>
  <si>
    <t>突围者</t>
  </si>
  <si>
    <t>苗欣杰</t>
  </si>
  <si>
    <t>⽩酒;⽶酒;葡萄酒;⾷⽤酒精;⻩酒;甜酒;开胃酒;果酒;清酒;汽酒</t>
  </si>
  <si>
    <t>苏顺成</t>
  </si>
  <si>
    <t>无锡诗然装饰材料有限公司</t>
  </si>
  <si>
    <t>⻩酒;烧酒;汽酒;⽩酒;威⼠忌;⽶酒;葡萄酒;⻘稞酒;⾷⽤酒精;苹果酒</t>
  </si>
  <si>
    <t>云尚颜</t>
  </si>
  <si>
    <t>蒋云姣</t>
  </si>
  <si>
    <t>⽶酒;⽩酒;梅酒;烧酒;⽩兰地;果酒;⽩⼲酒（中国⽩酒）;⻘稞酒;威⼠忌;⻩酒</t>
  </si>
  <si>
    <t>汕头市三能投资有限公司</t>
  </si>
  <si>
    <t>酒精饮料浓缩汁;⽶酒;威⼠忌;蒸馏饮料;⻩酒;烧酒（烈酒）;清酒;葡萄酒;酒精饮料原汁;酒精饮料（啤酒除外）</t>
  </si>
  <si>
    <t>宴岚春</t>
  </si>
  <si>
    <t>昆明麦考奇食品有限公司</t>
  </si>
  <si>
    <t>鸡尾酒;葡萄酒;红葡萄酒;含酒精⽔果饮料;⾷⽤酒精;烈酒（饮料）;⽩酒;汽酒;⻩酒;果酒（含酒精）</t>
  </si>
  <si>
    <t>谷梁盛</t>
  </si>
  <si>
    <t>刘燕飞</t>
  </si>
  <si>
    <t>果酒（含酒精）;蒸馏饮料;葡萄酒;酒精饮料（啤酒除外）;利⼝酒;⽩酒;含⽔果酒精饮料;汽酒;清酒;⽶酒</t>
  </si>
  <si>
    <t>窑山中</t>
  </si>
  <si>
    <t>河北省工艺美术研究院</t>
  </si>
  <si>
    <t>葡萄酒;蒸馏饮料;利⼝酒;鸡尾酒;⽩酒;⾷⽤酒精;⽶酒;⽩兰地;烧酒;⻩酒</t>
  </si>
  <si>
    <t>YWZR</t>
  </si>
  <si>
    <t>东阳市芋夏贸易有限公司</t>
  </si>
  <si>
    <t>⽩酒;葡萄酒;⻩酒;果酒（含酒精）;鸡尾酒;甜酒;杨梅酒;梨酒;烧酒;⽶酒</t>
  </si>
  <si>
    <t>鮨南</t>
  </si>
  <si>
    <t>袁屹南</t>
  </si>
  <si>
    <t>果酒（含酒精）;酒精饮料（啤酒除外）;葡萄酒;⽩酒;烧酒;威⼠忌;⻩酒;含⽔果酒精饮料;餐后酒（利⼝酒和烈酒）;开胃酒</t>
  </si>
  <si>
    <t>2024/07/10</t>
  </si>
  <si>
    <t>混序精惠美</t>
  </si>
  <si>
    <t>刘勇</t>
  </si>
  <si>
    <t>葡萄酒;酒精饮料（啤酒除外）;果酒（含酒精）;鸡尾酒;⻩酒;烈酒（饮料）;⽩兰地;⽶酒;⽩酒;开胃酒</t>
  </si>
  <si>
    <t>醉花林</t>
  </si>
  <si>
    <t>贵州省金沙县贵奇酒厂</t>
  </si>
  <si>
    <t>果酒;清酒（⽇本⽶酒）;⻩酒;蒸煮提取物（利⼝酒和烈酒）;酒精饮料（啤酒除外）;烧酒;烈酒;⽶酒;葡萄酒;开胃酒</t>
  </si>
  <si>
    <t>穗曰</t>
  </si>
  <si>
    <t>果酒;⽩酒;葡萄酒;开胃酒;烈酒（饮料）;威⼠忌;⻩酒;鸡尾酒;酒精饮料（啤酒除外）;清酒（⽇本⽶酒）</t>
  </si>
  <si>
    <t>果芊季</t>
  </si>
  <si>
    <t>杨益清</t>
  </si>
  <si>
    <t>烈酒（饮料）;⽶酒;威⼠忌;⻩酒;蜂蜜酒;鸡尾酒;葡萄酒;⽩酒;果酒（含酒精）;清酒（⽇本⽶酒）</t>
  </si>
  <si>
    <t>舍得轩</t>
  </si>
  <si>
    <t>舍得酒业股份有限公司</t>
  </si>
  <si>
    <t>果酒（含酒精）;烧酒;酒精饮料（啤酒除外）;⾷⽤酒精;葡萄酒;开胃酒;⽩酒;蒸煮提取物（利⼝酒和烈酒）;利⼝酒;烈酒（饮料）</t>
  </si>
  <si>
    <t>舍得熊猫</t>
  </si>
  <si>
    <t>⽩酒;酒精饮料（啤酒除外）;果酒（含酒精）;烧酒;利⼝酒;⾷⽤酒精;开胃酒;蒸煮提取物（利⼝酒和烈酒）;烈酒（饮料）;葡萄酒</t>
  </si>
  <si>
    <t>叹平生</t>
  </si>
  <si>
    <t>王鹏</t>
  </si>
  <si>
    <t>酒精饮料（啤酒除外）;含⽔果酒精饮料;⽶酒;⾕物制蒸馏酒精饮料;开胃酒;葡萄酒;⽩酒;果酒（含酒精）;⾷⽤酒精;烧酒</t>
  </si>
  <si>
    <t>虹君</t>
  </si>
  <si>
    <t>贵州精英酒业有限公司</t>
  </si>
  <si>
    <t>⻘稞酒;⽶酒;葡萄酒;⽩酒;果酒;烧酒;鸡尾酒;⻩酒;⾼粱酒;清酒</t>
  </si>
  <si>
    <t>DOKOTOO</t>
  </si>
  <si>
    <t>福建省新时颖服饰工贸有限公司</t>
  </si>
  <si>
    <t>⽩酒;果酒（含酒精）;葡萄酒;⻩酒;酒精饮料原汁;酒精饮料（啤酒除外）;汽酒;鸡尾酒;烈酒;⽶酒</t>
  </si>
  <si>
    <t>阿尔波特</t>
  </si>
  <si>
    <t>张华龙410104********0010</t>
  </si>
  <si>
    <t>清酒;果酒（含酒精）;伏特加酒;⽩酒;⽩兰地;含酒精的鸡尾酒混合饮品;烈酒（饮料）;含酒精的⽓泡⽔;酒精饮料（啤酒除外）;鸡尾酒</t>
  </si>
  <si>
    <t>涪洲山</t>
  </si>
  <si>
    <t>李勇</t>
  </si>
  <si>
    <t>葡萄酒;预先混合的酒精饮料（以啤酒为主的除外）;⽶酒;含酒精的⽓泡⽔;樱桃⽩兰地;烈性⼲酒;⽩酒;汽酒;含⽔果酒精饮料;含酒精的⽔果鸡尾酒饮料</t>
  </si>
  <si>
    <t>空力</t>
  </si>
  <si>
    <t>⽶酒;⻩酒;⾼粱酒;酒精饮料（啤酒除外）;烈酒（饮料）;伏特加酒;果酒（含酒精）;⽩酒;鸡尾酒;葡萄酒</t>
  </si>
  <si>
    <t>甘爱木</t>
  </si>
  <si>
    <t>甘爱木（陕西）餐饮管理有限公司</t>
  </si>
  <si>
    <t>黄酒;米酒;青稞酒;食用酒精;酒精饮料（啤酒除外）;清酒;葡萄酒;汽酒;利口酒;果酒</t>
  </si>
  <si>
    <t>爱尚舍得</t>
  </si>
  <si>
    <t>果酒（含酒精）;烧酒;葡萄酒;利⼝酒;烈酒（饮料）;酒精饮料（啤酒除外）;开胃酒;蒸煮提取物（利⼝酒和烈酒）;⽩酒;⾷⽤酒精</t>
  </si>
  <si>
    <t>深圳美西西餐饮管理有限公司</t>
  </si>
  <si>
    <t>利⼝酒;酒精饮料原汁;果酒（含酒精）;薄荷酒;酒精饮料（啤酒除外）;含⽔果酒精饮料;蜂蜜酒;⽶酒;含酒精的⽓泡⽔;茴⾹酒（利⼝酒）</t>
  </si>
  <si>
    <t>舍得慧</t>
  </si>
  <si>
    <t>烧酒;葡萄酒;开胃酒;烈酒（饮料）;果酒（含酒精）;蒸煮提取物（利⼝酒和烈酒）;酒精饮料（啤酒除外）;利⼝酒;⽩酒;⾷⽤酒精</t>
  </si>
  <si>
    <t>成功愿</t>
  </si>
  <si>
    <t>蒋梦娇</t>
  </si>
  <si>
    <t>⽩兰地;⻩酒;汽酒;清酒;烧酒;葡萄酒;⽶酒;⽩酒;果酒;威⼠忌</t>
  </si>
  <si>
    <t>智算</t>
  </si>
  <si>
    <t>贵州起帆信息技术有限公司</t>
  </si>
  <si>
    <t>⽶酒;⽩酒;酒精饮料（啤酒除外）;⻩酒;烧酒;葡萄酒;烈酒（饮料）;含⽔果酒精饮料;果酒（含酒精）;鸡尾酒</t>
  </si>
  <si>
    <t>欣圣佳</t>
  </si>
  <si>
    <t>贵州欣圣佳食品粮油有限公司</t>
  </si>
  <si>
    <t>开胃酒;鸡尾酒;烧酒;⽩酒;烈酒（饮料）;葡萄酒;⽶酒;清酒;果酒（含酒精）;⻩酒</t>
  </si>
  <si>
    <t>舍得福</t>
  </si>
  <si>
    <t>果酒（含酒精）;烧酒;利⼝酒;⽩酒;⾷⽤酒精;烈酒（饮料）;开胃酒;蒸煮提取物（利⼝酒和烈酒）;葡萄酒;酒精饮料（啤酒除外）</t>
  </si>
  <si>
    <t>只斤</t>
  </si>
  <si>
    <t>清酒;⻘稞酒;烧酒;鸡尾酒;⾼粱酒;⻩酒;⽶酒;⽩酒;果酒;葡萄酒</t>
  </si>
  <si>
    <t>苏北小绵羊</t>
  </si>
  <si>
    <t>王芳</t>
  </si>
  <si>
    <t>⽩⼲酒（中国⽩酒）;⽶酒;含⽔果酒精饮料;开胃酒;清酒（⽇本⽶酒）;烧酒;⻩酒;⽩酒;葡萄酒;果酒（含酒精）</t>
  </si>
  <si>
    <t>亭师傅</t>
  </si>
  <si>
    <t>无锡婷立文化传媒有限公司</t>
  </si>
  <si>
    <t>朗姆酒;⽩酒;葡萄酒;烧酒;⽩兰地;鸡尾酒;威⼠忌;酒精饮料（啤酒除外）;⻩酒;伏特加酒</t>
  </si>
  <si>
    <t>牟池烧坊</t>
  </si>
  <si>
    <t>酒精饮料（啤酒除外）;烈酒（饮料）;烧酒;⽶酒;⻩酒;⽩酒;果酒（含酒精）;葡萄酒;蒸煮提取物（利⼝酒和烈酒）;开胃酒</t>
  </si>
  <si>
    <t>辽西泓玺</t>
  </si>
  <si>
    <t>薛华</t>
  </si>
  <si>
    <t>⻩酒;⾷⽤酒精;⽩酒;汽酒;蜂蜜酒;葡萄酒;酒精饮料（啤酒除外）;⽶酒;烧酒;果酒（含酒精）</t>
  </si>
  <si>
    <t>于氏秦牧</t>
  </si>
  <si>
    <t>克东县秦牧冷链物流有限责任公司</t>
  </si>
  <si>
    <t>清酒（⽇本⽶酒）;酒精饮料原汁;⽶酒;烧酒;酒精饮料（啤酒除外）;⽩兰地;⽩酒;鸡尾酒;果酒（含酒精）;含酒精的⽓泡⽔</t>
  </si>
  <si>
    <t>芸畅梦田</t>
  </si>
  <si>
    <t>北京定个小目标影视文化传媒有限公司</t>
  </si>
  <si>
    <t>开胃酒;酒精饮料（啤酒除外）;葡萄酒;蜂蜜酒;⻩酒;烧酒;果酒（含酒精）;烈酒（饮料）;⽩酒;⽶酒</t>
  </si>
  <si>
    <t>蜀中舍得</t>
  </si>
  <si>
    <t>葡萄酒;蒸煮提取物（利⼝酒和烈酒）;酒精饮料（啤酒除外）;烈酒（饮料）;烧酒;⾷⽤酒精;开胃酒;⽩酒;果酒（含酒精）;利⼝酒</t>
  </si>
  <si>
    <t>希地致知</t>
  </si>
  <si>
    <t>谭惠文</t>
  </si>
  <si>
    <t>果酒（含酒精）;清酒（⽇本⽶酒）;烈酒（饮料）;葡萄酒;⽩酒;⽶酒;含⽔果酒精饮料;汽酒;蒸馏饮料;蜂蜜酒</t>
  </si>
  <si>
    <t>云水致知</t>
  </si>
  <si>
    <t>烈酒（饮料）;葡萄酒;⽩酒;清酒（⽇本⽶酒）;汽酒;含⽔果酒精饮料;蒸馏饮料;蜂蜜酒;果酒（含酒精）;⽶酒</t>
  </si>
  <si>
    <t>垦大师</t>
  </si>
  <si>
    <t>威⼠忌;酒精饮料（啤酒除外）;葡萄酒;⽶酒;⽩酒;烈酒（饮料）;⻩酒;果酒（含酒精）;⽩兰地;蒸馏饮料</t>
  </si>
  <si>
    <t>炁优</t>
  </si>
  <si>
    <t>温福祥</t>
  </si>
  <si>
    <t>⽩酒;果酒（含酒精）;开胃酒;鸡尾酒;葡萄酒;清酒（⽇本⽶酒）;烈酒（饮料）;威⼠忌;酒精饮料（啤酒除外）;⻩酒</t>
  </si>
  <si>
    <t>陈郝良品</t>
  </si>
  <si>
    <t>陈立爽</t>
  </si>
  <si>
    <t>果酒（含酒精）;蒸馏饮料;鸡尾酒;⽩酒;威⼠忌;⻩酒;开胃酒;⽶酒;⽩兰地;⻘稞酒</t>
  </si>
  <si>
    <t>超算</t>
  </si>
  <si>
    <t>果酒（含酒精）;葡萄酒;含⽔果酒精饮料;⻩酒;⽩酒;⽶酒;烧酒;鸡尾酒;酒精饮料（啤酒除外）;烈酒（饮料）</t>
  </si>
  <si>
    <t>含⽔果酒精饮料;⽶酒;烧酒;⻩酒;酒精饮料（啤酒除外）;果酒（含酒精）;鸡尾酒;葡萄酒;烈酒（饮料）;⽩酒</t>
  </si>
  <si>
    <t>云谷奇迹</t>
  </si>
  <si>
    <t>菏泽福岭酒店管理有限公司</t>
  </si>
  <si>
    <t>⽶酒;果酒（含酒精）;预先混合的酒精饮料（以啤酒为主的除外）;葡萄酒;⽩酒;威⼠忌;烧酒;利⼝酒;烈酒（饮料）;⻩酒</t>
  </si>
  <si>
    <t>虎域</t>
  </si>
  <si>
    <t>张乐</t>
  </si>
  <si>
    <t>葡萄酒;含⽔果酒精饮料;⽶酒;⻩酒;⽩酒;⽩兰地;果酒（含酒精）;⾷⽤酒精;酒精饮料（啤酒除外）;鸡尾酒</t>
  </si>
  <si>
    <t>汉腴</t>
  </si>
  <si>
    <t>贵州省仁怀市汉卓酒业有限公司</t>
  </si>
  <si>
    <t>果酒（含酒精）;⽼酒（中国蒸馏烈酒）;⽩酒;烧酒（烈酒）;⽶酒;鸡尾酒;开胃酒;葡萄酒;含⽔果酒精饮料;⾼粱酒</t>
  </si>
  <si>
    <t>工匠垦</t>
  </si>
  <si>
    <t>烈酒（饮料）;⽩兰地;威⼠忌;蒸馏饮料;果酒（含酒精）;⽶酒;葡萄酒;⽩酒;酒精饮料（啤酒除外）;⻩酒</t>
  </si>
  <si>
    <t>亭大师</t>
  </si>
  <si>
    <t>伏特加酒;葡萄酒;⻩酒;⽩兰地;⽩酒;酒精饮料（啤酒除外）;鸡尾酒;烧酒;朗姆酒;威⼠忌</t>
  </si>
  <si>
    <t>洒天涯</t>
  </si>
  <si>
    <t>⽶酒;酒精饮料（啤酒除外）;开胃酒;⾷⽤酒精;烧酒;果酒（含酒精）;葡萄酒;含⽔果酒精饮料;⾕物制蒸馏酒精饮料;⽩酒</t>
  </si>
  <si>
    <t>乘福</t>
  </si>
  <si>
    <t>⽩兰地;威⼠忌;⽩酒;⻩酒;葡萄酒;清酒;果酒;烧酒;⽶酒;汽酒</t>
  </si>
  <si>
    <t>言事</t>
  </si>
  <si>
    <t>贵州言事酒业有限公司</t>
  </si>
  <si>
    <t>酒精饮料（啤酒除外）;果酒（含酒精）;⽩酒;⽶酒;葡萄酒;⻩酒;烈酒（饮料）;烧酒;酒精饮料浓缩汁;⾷⽤酒精</t>
  </si>
  <si>
    <t>衡昌酒庄</t>
  </si>
  <si>
    <t>⽩⼲酒（中国⽩酒）;⾼粱酒;五加⽪酒（中国混合烈酒）;⻘稞酒;烧酒;⻩酒;⽩酒;由⾕物蒸馏的⽩酒;蒸煮提取物（利⼝酒和烈酒）;开胃酒</t>
  </si>
  <si>
    <t>舍得瑞</t>
  </si>
  <si>
    <t>果酒（含酒精）;烧酒;利⼝酒;⾷⽤酒精;蒸煮提取物（利⼝酒和烈酒）;烈酒（饮料）;葡萄酒;开胃酒;⽩酒;酒精饮料（啤酒除外）</t>
  </si>
  <si>
    <t>仁远行</t>
  </si>
  <si>
    <t>贵州省仁怀市鼎泰丰酒业有限公司</t>
  </si>
  <si>
    <t>⻩酒;蜂蜜酒;⽶酒;⾕物制蒸馏酒精饮料;烈酒;葡萄酒;⽩酒;果酒（含酒精）;含酒精的饮料（啤酒除外）;清酒（⽇本⽶酒）</t>
  </si>
  <si>
    <t>2024/07/11</t>
  </si>
  <si>
    <t>ASSMARA</t>
  </si>
  <si>
    <t>西仁阿依·艾合买提</t>
  </si>
  <si>
    <t>果酒（含酒精）;苹果酒;威⼠忌;⾷⽤酒精;清酒（⽇本⽶酒）;酒精饮料（啤酒除外）;蜂蜜酒;⽩酒;葡萄酒;开胃酒</t>
  </si>
  <si>
    <t>家之乐</t>
  </si>
  <si>
    <t>曾庆文</t>
  </si>
  <si>
    <t>烈酒（饮料）;开胃酒;⽶酒;葡萄酒;⽩酒;果酒;清酒（⽇本⽶酒）;⻘稞酒;鸡尾酒;含酒精的饮料（啤酒除外）</t>
  </si>
  <si>
    <t>迎花潭</t>
  </si>
  <si>
    <t>张高峰</t>
  </si>
  <si>
    <t>⻘稞酒;⾼粱酒;由⾕物蒸馏的⽩酒;⾷⽤酒精;烈酒;⽩酒;果酒（含酒精）;苦荞酒;烧酒;⽩⼲酒（中国⽩酒）</t>
  </si>
  <si>
    <t>人远陈</t>
  </si>
  <si>
    <t>果酒（含酒精）;葡萄酒;烈酒;⽩酒;⽶酒;⻩酒;清酒（⽇本⽶酒）;含酒精的饮料（啤酒除外）;蜂蜜酒;⾕物制蒸馏酒精饮料</t>
  </si>
  <si>
    <t>瑶鼓山</t>
  </si>
  <si>
    <t>广西巴马水之益健康产业有限公司</t>
  </si>
  <si>
    <t>⽶酒;酒精饮料（啤酒除外）;果酒;葡萄酒;⻩酒;烧酒;蜂蜜酒;开胃酒;汽酒;⽩酒</t>
  </si>
  <si>
    <t>霓虹斑马</t>
  </si>
  <si>
    <t>诺氪（浙江）科技有限公司</t>
  </si>
  <si>
    <t>开胃酒;苹果酒;薄荷酒;果酒（含酒精）;亚⼒酒;蒸馏饮料;茴芹酒（利⼝酒）;⽩酒;茴⾹酒（利⼝酒）;苦味酒</t>
  </si>
  <si>
    <t>见山晓</t>
  </si>
  <si>
    <t>湖北见山晓食品有限公司</t>
  </si>
  <si>
    <t>清酒（⽇本⽶酒）;果酒;蒸馏⽶酒（泡盛酒）;朝鲜族⽶酒;威⼠忌;⽶酒;⾼粱酒;伏特加酒;⻩酒;烧酒</t>
  </si>
  <si>
    <t>徐恒丰</t>
  </si>
  <si>
    <t>盘锦市恒丰酒业有限公司</t>
  </si>
  <si>
    <t>预先混合的酒精饮料（以啤酒为主的除外）;酒精饮料（啤酒除外）;烧酒;果酒（含酒精）;⽶酒;鸡尾酒;蒸煮提取物（利⼝酒和烈酒）;⽩酒;葡萄酒;⾷⽤酒精</t>
  </si>
  <si>
    <t>GUANSHAN SHENJIBOBO</t>
  </si>
  <si>
    <t>无锡东岳生态农业科技发展有限公司</t>
  </si>
  <si>
    <t>甜果酒;酒精饮料浓缩汁;酒精饮料（啤酒除外）;⽩兰地;含⽔果酒精饮料;含酒精的⽔果鸡尾酒饮料;预先混合的酒精饮料（以啤酒为主的除外）;酒精饮料原汁;果酒（含酒精）;含酒精⽔果饮料</t>
  </si>
  <si>
    <t>九通北海</t>
  </si>
  <si>
    <t>耀会合品牌管理(深圳)有限公司</t>
  </si>
  <si>
    <t>蜂蜜酒;薄荷酒;烧酒;威⼠忌;开胃酒;⽩酒;伏特加酒;⽶酒;烈酒（饮料）;鸡尾酒</t>
  </si>
  <si>
    <t>BUTYGERIM</t>
  </si>
  <si>
    <t>果酒（含酒精）;⾷⽤酒精;苹果酒;清酒（⽇本⽶酒）;酒精饮料（啤酒除外）;开胃酒;葡萄酒;蜂蜜酒;威⼠忌;⽩酒</t>
  </si>
  <si>
    <t>唐九喜</t>
  </si>
  <si>
    <t>李海滨</t>
  </si>
  <si>
    <t>开胃酒;葡萄酒;果酒（含酒精）;利⼝酒;⻩酒;⽩酒;⽶酒;蒸馏饮料;鸡尾酒;威⼠忌</t>
  </si>
  <si>
    <t>俏长安</t>
  </si>
  <si>
    <t>蒋贵川</t>
  </si>
  <si>
    <t>汽酒;清酒;⽩酒;葡萄酒;⻩酒;甜酒;⽶酒;果酒;⾷⽤酒精;开胃酒</t>
  </si>
  <si>
    <t>莞蓝星空</t>
  </si>
  <si>
    <t>东莞市莞蓝文化传播有限公司</t>
  </si>
  <si>
    <t>鸡尾酒;餐后酒（利⼝酒和烈酒）;⾕物制蒸馏酒精饮料;薄荷酒;⽩酒;烈酒（饮料）;⻩酒;蜂蜜酒;⽶酒;葡萄酒</t>
  </si>
  <si>
    <t>露动</t>
  </si>
  <si>
    <t>张楠</t>
  </si>
  <si>
    <t>伏特加酒;⽶酒;葡萄酒;果酒（含酒精）;⻩酒;⽩酒;⾼粱酒;酒精饮料（啤酒除外）;鸡尾酒;烈酒（饮料）</t>
  </si>
  <si>
    <t>美督</t>
  </si>
  <si>
    <t>张新东</t>
  </si>
  <si>
    <t>⻩酒;烧酒;果酒（含酒精）;鸡尾酒;⽩酒;葡萄酒;威⼠忌;酒精饮料（啤酒除外）;⽶酒;蒸馏饮料</t>
  </si>
  <si>
    <t>富名达</t>
  </si>
  <si>
    <t>谷明镇</t>
  </si>
  <si>
    <t>伏特加酒;果酒（含酒精）;⾷⽤酒精;⻩酒;葡萄酒;朗姆酒;⽩兰地;⽩酒;烈酒（饮料）;威⼠忌</t>
  </si>
  <si>
    <t>烈恩</t>
  </si>
  <si>
    <t>许焕武</t>
  </si>
  <si>
    <t>鸡尾酒;⽩酒;⽩兰地;⻩酒;⽶酒;⾷⽤酒精;果酒（含酒精）;葡萄酒;含⽔果酒精饮料;酒精饮料（啤酒除外）</t>
  </si>
  <si>
    <t>冯雨贵</t>
  </si>
  <si>
    <t>贵州省仁怀市助黔农业发展有限公司</t>
  </si>
  <si>
    <t>果酒（含酒精）;⽶酒;⽼酒（中国蒸馏烈酒）;开胃酒;酒精饮料（啤酒除外）;⽩酒;葡萄酒;利⼝酒;清酒（⽇本⽶酒）;⻩酒</t>
  </si>
  <si>
    <t>BEAUTYGERIM</t>
  </si>
  <si>
    <t>清酒（⽇本⽶酒）;⽩酒;⾷⽤酒精;果酒（含酒精）;酒精饮料（啤酒除外）;开胃酒;苹果酒;蜂蜜酒;威⼠忌;葡萄酒</t>
  </si>
  <si>
    <t>碧缇妆颜</t>
  </si>
  <si>
    <t>⽩酒;苹果酒;果酒（含酒精）;⾷⽤酒精;酒精饮料（啤酒除外）;威⼠忌;清酒（⽇本⽶酒）;葡萄酒;蜂蜜酒;开胃酒</t>
  </si>
  <si>
    <t>馥鋆汌</t>
  </si>
  <si>
    <t>北大荒集团黑龙江军川农场有限公司</t>
  </si>
  <si>
    <t>果酒（含酒精）;⽩酒;酒精饮料（啤酒除外）;烧酒;⾷⽤酒精;汽酒;⽶酒;葡萄酒;蜂蜜酒;已调味的蒸馏酒</t>
  </si>
  <si>
    <t>那道坡</t>
  </si>
  <si>
    <t>李威龙</t>
  </si>
  <si>
    <t>甜酒;⽶酒;开胃酒;⾷⽤酒精;清酒;汽酒;⽩酒;葡萄酒;⻩酒;果酒</t>
  </si>
  <si>
    <t>临海市小芝镇商会</t>
  </si>
  <si>
    <t>酒精饮料（啤酒除外）;含⽔果酒精饮料;⻩酒;鸡尾酒;葡萄酒;⽶酒;蒸馏饮料;⽩酒;果酒（含酒精）;烧酒</t>
  </si>
  <si>
    <t>火星洞</t>
  </si>
  <si>
    <t>成都欣楠贸易有限公司</t>
  </si>
  <si>
    <t>果酒（含酒精）;⽶酒;⻘稞酒;除啤酒外的酒精饮料;⽩⼲酒（中国⽩酒）;烈酒;葡萄酒;烧酒;⽩酒;⽼酒（中国蒸馏烈酒）</t>
  </si>
  <si>
    <t>钟琳龙</t>
  </si>
  <si>
    <t>⽶酒;⽩酒;⽼酒（中国蒸馏烈酒）;清酒（⽇本⽶酒）;果酒（含酒精）;⻩酒;开胃酒;葡萄酒;利⼝酒;酒精饮料（啤酒除外）</t>
  </si>
  <si>
    <t>看涧</t>
  </si>
  <si>
    <t>⽩兰地;酒精饮料（啤酒除外）;⽶酒;⾷⽤酒精;含⽔果酒精饮料;果酒（含酒精）;⻩酒;鸡尾酒;葡萄酒;⽩酒</t>
  </si>
  <si>
    <t>洪义兴</t>
  </si>
  <si>
    <t>利⼝酒;葡萄酒;威⼠忌;预先混合的酒精饮料（以啤酒为主的除外）;烧酒;⽶酒;果酒（含酒精）;⻩酒;⽩酒;烈酒（饮料）</t>
  </si>
  <si>
    <t>颂龙腾</t>
  </si>
  <si>
    <t>胡方磊</t>
  </si>
  <si>
    <t>燕塞玉</t>
  </si>
  <si>
    <t>承德避霞山庄饮品有限公司</t>
  </si>
  <si>
    <t>露酒;葡萄酒;烧酒;烧酒（烈酒）;樱桃酒;酒精饮料（啤酒除外）;⽶酒;果酒（含酒精）;⽩酒;⾼粱酒</t>
  </si>
  <si>
    <t>陇尚乡音</t>
  </si>
  <si>
    <t>任超</t>
  </si>
  <si>
    <t>⻨芽威⼠忌;⽩⼲酒（中国⽩酒）;苦荞酒;含⽔果酒精饮料;⽔果汽酒;⻩酒;烧酒;⾷⽤酒精;红葡萄酒;预先混合的酒精饮料（以啤酒为主的除外）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</si>
</sst>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4" fillId="0" borderId="1" xfId="1" applyFill="1" applyBorder="1" applyAlignment="1"/>
    <xf numFmtId="0" fontId="3" fillId="0" borderId="1" xfId="2" applyBorder="1" applyAlignment="1">
      <alignment horizontal="right"/>
    </xf>
    <xf numFmtId="0" fontId="3" fillId="0" borderId="1" xfId="2" applyBorder="1"/>
  </cellXfs>
  <cellStyles count="3">
    <cellStyle name="ハイパーリンク" xfId="1" builtinId="8"/>
    <cellStyle name="標準" xfId="0" builtinId="0"/>
    <cellStyle name="標準_1904th" xfId="2" xr:uid="{C224A418-794B-4483-99B1-2FDDCFAA4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1841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10">
        <v>1</v>
      </c>
      <c r="B2" s="11" t="s">
        <v>9</v>
      </c>
      <c r="C2" s="11" t="s">
        <v>170</v>
      </c>
      <c r="D2" s="11" t="s">
        <v>171</v>
      </c>
      <c r="E2" s="9" t="str">
        <f>+HYPERLINK("http://trademark.i-assist.jp/data/china/image_1904th/44463196.pdf", "44463196")</f>
        <v>44463196</v>
      </c>
      <c r="F2" s="11" t="s">
        <v>172</v>
      </c>
      <c r="G2" s="11" t="s">
        <v>173</v>
      </c>
      <c r="H2" s="11" t="s">
        <v>174</v>
      </c>
      <c r="I2" s="11" t="s">
        <v>175</v>
      </c>
    </row>
    <row r="3" spans="1:9" x14ac:dyDescent="0.15">
      <c r="A3" s="10">
        <v>2</v>
      </c>
      <c r="B3" s="11" t="s">
        <v>9</v>
      </c>
      <c r="C3" s="11" t="s">
        <v>170</v>
      </c>
      <c r="D3" s="11" t="s">
        <v>171</v>
      </c>
      <c r="E3" s="9" t="str">
        <f>+HYPERLINK("http://trademark.i-assist.jp/data/china/image_1904th/58692562.pdf", "58692562")</f>
        <v>58692562</v>
      </c>
      <c r="F3" s="11" t="s">
        <v>176</v>
      </c>
      <c r="G3" s="11" t="s">
        <v>177</v>
      </c>
      <c r="H3" s="11" t="s">
        <v>178</v>
      </c>
      <c r="I3" s="11" t="s">
        <v>179</v>
      </c>
    </row>
    <row r="4" spans="1:9" x14ac:dyDescent="0.15">
      <c r="A4" s="10">
        <v>3</v>
      </c>
      <c r="B4" s="11" t="s">
        <v>9</v>
      </c>
      <c r="C4" s="11" t="s">
        <v>170</v>
      </c>
      <c r="D4" s="11" t="s">
        <v>171</v>
      </c>
      <c r="E4" s="9" t="str">
        <f>+HYPERLINK("http://trademark.i-assist.jp/data/china/image_1904th/62845429.pdf", "62845429")</f>
        <v>62845429</v>
      </c>
      <c r="F4" s="11" t="s">
        <v>180</v>
      </c>
      <c r="G4" s="11" t="s">
        <v>181</v>
      </c>
      <c r="H4" s="11" t="s">
        <v>182</v>
      </c>
      <c r="I4" s="11" t="s">
        <v>183</v>
      </c>
    </row>
    <row r="5" spans="1:9" x14ac:dyDescent="0.15">
      <c r="A5" s="10">
        <v>4</v>
      </c>
      <c r="B5" s="11" t="s">
        <v>9</v>
      </c>
      <c r="C5" s="11" t="s">
        <v>170</v>
      </c>
      <c r="D5" s="11" t="s">
        <v>171</v>
      </c>
      <c r="E5" s="9" t="str">
        <f>+HYPERLINK("http://trademark.i-assist.jp/data/china/image_1904th/62867558.pdf", "62867558")</f>
        <v>62867558</v>
      </c>
      <c r="F5" s="11" t="s">
        <v>180</v>
      </c>
      <c r="G5" s="11" t="s">
        <v>181</v>
      </c>
      <c r="H5" s="11" t="s">
        <v>184</v>
      </c>
      <c r="I5" s="11" t="s">
        <v>183</v>
      </c>
    </row>
    <row r="6" spans="1:9" x14ac:dyDescent="0.15">
      <c r="A6" s="10">
        <v>5</v>
      </c>
      <c r="B6" s="11" t="s">
        <v>9</v>
      </c>
      <c r="C6" s="11" t="s">
        <v>170</v>
      </c>
      <c r="D6" s="11" t="s">
        <v>171</v>
      </c>
      <c r="E6" s="9" t="str">
        <f>+HYPERLINK("http://trademark.i-assist.jp/data/china/image_1904th/63807470.pdf", "63807470")</f>
        <v>63807470</v>
      </c>
      <c r="F6" s="11" t="s">
        <v>185</v>
      </c>
      <c r="G6" s="11" t="s">
        <v>186</v>
      </c>
      <c r="H6" s="11" t="s">
        <v>187</v>
      </c>
      <c r="I6" s="11" t="s">
        <v>188</v>
      </c>
    </row>
    <row r="7" spans="1:9" x14ac:dyDescent="0.15">
      <c r="A7" s="10">
        <v>6</v>
      </c>
      <c r="B7" s="11" t="s">
        <v>9</v>
      </c>
      <c r="C7" s="11" t="s">
        <v>170</v>
      </c>
      <c r="D7" s="11" t="s">
        <v>171</v>
      </c>
      <c r="E7" s="9" t="str">
        <f>+HYPERLINK("http://trademark.i-assist.jp/data/china/image_1904th/64046344.pdf", "64046344")</f>
        <v>64046344</v>
      </c>
      <c r="F7" s="11" t="s">
        <v>12</v>
      </c>
      <c r="G7" s="11" t="s">
        <v>189</v>
      </c>
      <c r="H7" s="11" t="s">
        <v>190</v>
      </c>
      <c r="I7" s="11" t="s">
        <v>191</v>
      </c>
    </row>
    <row r="8" spans="1:9" x14ac:dyDescent="0.15">
      <c r="A8" s="10">
        <v>7</v>
      </c>
      <c r="B8" s="11" t="s">
        <v>9</v>
      </c>
      <c r="C8" s="11" t="s">
        <v>170</v>
      </c>
      <c r="D8" s="11" t="s">
        <v>171</v>
      </c>
      <c r="E8" s="9" t="str">
        <f>+HYPERLINK("http://trademark.i-assist.jp/data/china/image_1904th/64084350.pdf", "64084350")</f>
        <v>64084350</v>
      </c>
      <c r="F8" s="11" t="s">
        <v>192</v>
      </c>
      <c r="G8" s="11" t="s">
        <v>193</v>
      </c>
      <c r="H8" s="11" t="s">
        <v>194</v>
      </c>
      <c r="I8" s="11" t="s">
        <v>195</v>
      </c>
    </row>
    <row r="9" spans="1:9" x14ac:dyDescent="0.15">
      <c r="A9" s="10">
        <v>8</v>
      </c>
      <c r="B9" s="11" t="s">
        <v>9</v>
      </c>
      <c r="C9" s="11" t="s">
        <v>170</v>
      </c>
      <c r="D9" s="11" t="s">
        <v>171</v>
      </c>
      <c r="E9" s="9" t="str">
        <f>+HYPERLINK("http://trademark.i-assist.jp/data/china/image_1904th/64429407.pdf", "64429407")</f>
        <v>64429407</v>
      </c>
      <c r="F9" s="11" t="s">
        <v>196</v>
      </c>
      <c r="G9" s="11" t="s">
        <v>197</v>
      </c>
      <c r="H9" s="11" t="s">
        <v>198</v>
      </c>
      <c r="I9" s="11" t="s">
        <v>199</v>
      </c>
    </row>
    <row r="10" spans="1:9" x14ac:dyDescent="0.15">
      <c r="A10" s="10">
        <v>9</v>
      </c>
      <c r="B10" s="11" t="s">
        <v>9</v>
      </c>
      <c r="C10" s="11" t="s">
        <v>170</v>
      </c>
      <c r="D10" s="11" t="s">
        <v>171</v>
      </c>
      <c r="E10" s="9" t="str">
        <f>+HYPERLINK("http://trademark.i-assist.jp/data/china/image_1904th/65402715.pdf", "65402715")</f>
        <v>65402715</v>
      </c>
      <c r="F10" s="11" t="s">
        <v>200</v>
      </c>
      <c r="G10" s="11" t="s">
        <v>201</v>
      </c>
      <c r="H10" s="11" t="s">
        <v>202</v>
      </c>
      <c r="I10" s="11" t="s">
        <v>203</v>
      </c>
    </row>
    <row r="11" spans="1:9" x14ac:dyDescent="0.15">
      <c r="A11" s="10">
        <v>10</v>
      </c>
      <c r="B11" s="11" t="s">
        <v>9</v>
      </c>
      <c r="C11" s="11" t="s">
        <v>170</v>
      </c>
      <c r="D11" s="11" t="s">
        <v>171</v>
      </c>
      <c r="E11" s="9" t="str">
        <f>+HYPERLINK("http://trademark.i-assist.jp/data/china/image_1904th/65803129.pdf", "65803129")</f>
        <v>65803129</v>
      </c>
      <c r="F11" s="11" t="s">
        <v>204</v>
      </c>
      <c r="G11" s="11" t="s">
        <v>205</v>
      </c>
      <c r="H11" s="11" t="s">
        <v>206</v>
      </c>
      <c r="I11" s="11" t="s">
        <v>207</v>
      </c>
    </row>
    <row r="12" spans="1:9" x14ac:dyDescent="0.15">
      <c r="A12" s="10">
        <v>11</v>
      </c>
      <c r="B12" s="11" t="s">
        <v>9</v>
      </c>
      <c r="C12" s="11" t="s">
        <v>170</v>
      </c>
      <c r="D12" s="11" t="s">
        <v>171</v>
      </c>
      <c r="E12" s="9" t="str">
        <f>+HYPERLINK("http://trademark.i-assist.jp/data/china/image_1904th/65833555.pdf", "65833555")</f>
        <v>65833555</v>
      </c>
      <c r="F12" s="11" t="s">
        <v>208</v>
      </c>
      <c r="G12" s="11" t="s">
        <v>209</v>
      </c>
      <c r="H12" s="11" t="s">
        <v>210</v>
      </c>
      <c r="I12" s="11" t="s">
        <v>211</v>
      </c>
    </row>
    <row r="13" spans="1:9" x14ac:dyDescent="0.15">
      <c r="A13" s="10">
        <v>12</v>
      </c>
      <c r="B13" s="11" t="s">
        <v>9</v>
      </c>
      <c r="C13" s="11" t="s">
        <v>170</v>
      </c>
      <c r="D13" s="11" t="s">
        <v>171</v>
      </c>
      <c r="E13" s="9" t="str">
        <f>+HYPERLINK("http://trademark.i-assist.jp/data/china/image_1904th/66248826.pdf", "66248826")</f>
        <v>66248826</v>
      </c>
      <c r="F13" s="11" t="s">
        <v>212</v>
      </c>
      <c r="G13" s="11" t="s">
        <v>213</v>
      </c>
      <c r="H13" s="11" t="s">
        <v>214</v>
      </c>
      <c r="I13" s="11" t="s">
        <v>215</v>
      </c>
    </row>
    <row r="14" spans="1:9" x14ac:dyDescent="0.15">
      <c r="A14" s="10">
        <v>13</v>
      </c>
      <c r="B14" s="11" t="s">
        <v>9</v>
      </c>
      <c r="C14" s="11" t="s">
        <v>170</v>
      </c>
      <c r="D14" s="11" t="s">
        <v>171</v>
      </c>
      <c r="E14" s="9" t="str">
        <f>+HYPERLINK("http://trademark.i-assist.jp/data/china/image_1904th/67097665.pdf", "67097665")</f>
        <v>67097665</v>
      </c>
      <c r="F14" s="11" t="s">
        <v>208</v>
      </c>
      <c r="G14" s="11" t="s">
        <v>209</v>
      </c>
      <c r="H14" s="11" t="s">
        <v>216</v>
      </c>
      <c r="I14" s="11" t="s">
        <v>217</v>
      </c>
    </row>
    <row r="15" spans="1:9" x14ac:dyDescent="0.15">
      <c r="A15" s="10">
        <v>14</v>
      </c>
      <c r="B15" s="11" t="s">
        <v>9</v>
      </c>
      <c r="C15" s="11" t="s">
        <v>170</v>
      </c>
      <c r="D15" s="11" t="s">
        <v>171</v>
      </c>
      <c r="E15" s="9" t="str">
        <f>+HYPERLINK("http://trademark.i-assist.jp/data/china/image_1904th/67708048.pdf", "67708048")</f>
        <v>67708048</v>
      </c>
      <c r="F15" s="11" t="s">
        <v>218</v>
      </c>
      <c r="G15" s="11" t="s">
        <v>10</v>
      </c>
      <c r="H15" s="11" t="s">
        <v>11</v>
      </c>
      <c r="I15" s="11" t="s">
        <v>219</v>
      </c>
    </row>
    <row r="16" spans="1:9" x14ac:dyDescent="0.15">
      <c r="A16" s="10">
        <v>15</v>
      </c>
      <c r="B16" s="11" t="s">
        <v>9</v>
      </c>
      <c r="C16" s="11" t="s">
        <v>170</v>
      </c>
      <c r="D16" s="11" t="s">
        <v>171</v>
      </c>
      <c r="E16" s="9" t="str">
        <f>+HYPERLINK("http://trademark.i-assist.jp/data/china/image_1904th/67872689.pdf", "67872689")</f>
        <v>67872689</v>
      </c>
      <c r="F16" s="11" t="s">
        <v>220</v>
      </c>
      <c r="G16" s="11" t="s">
        <v>10</v>
      </c>
      <c r="H16" s="11" t="s">
        <v>11</v>
      </c>
      <c r="I16" s="11" t="s">
        <v>221</v>
      </c>
    </row>
    <row r="17" spans="1:9" x14ac:dyDescent="0.15">
      <c r="A17" s="10">
        <v>16</v>
      </c>
      <c r="B17" s="11" t="s">
        <v>9</v>
      </c>
      <c r="C17" s="11" t="s">
        <v>170</v>
      </c>
      <c r="D17" s="11" t="s">
        <v>171</v>
      </c>
      <c r="E17" s="9" t="str">
        <f>+HYPERLINK("http://trademark.i-assist.jp/data/china/image_1904th/68538965.pdf", "68538965")</f>
        <v>68538965</v>
      </c>
      <c r="F17" s="11" t="s">
        <v>222</v>
      </c>
      <c r="G17" s="11" t="s">
        <v>223</v>
      </c>
      <c r="H17" s="11" t="s">
        <v>224</v>
      </c>
      <c r="I17" s="11" t="s">
        <v>225</v>
      </c>
    </row>
    <row r="18" spans="1:9" x14ac:dyDescent="0.15">
      <c r="A18" s="10">
        <v>17</v>
      </c>
      <c r="B18" s="11" t="s">
        <v>9</v>
      </c>
      <c r="C18" s="11" t="s">
        <v>170</v>
      </c>
      <c r="D18" s="11" t="s">
        <v>171</v>
      </c>
      <c r="E18" s="9" t="str">
        <f>+HYPERLINK("http://trademark.i-assist.jp/data/china/image_1904th/69044292.pdf", "69044292")</f>
        <v>69044292</v>
      </c>
      <c r="F18" s="11" t="s">
        <v>226</v>
      </c>
      <c r="G18" s="11" t="s">
        <v>227</v>
      </c>
      <c r="H18" s="11" t="s">
        <v>228</v>
      </c>
      <c r="I18" s="11" t="s">
        <v>229</v>
      </c>
    </row>
    <row r="19" spans="1:9" x14ac:dyDescent="0.15">
      <c r="A19" s="10">
        <v>18</v>
      </c>
      <c r="B19" s="11" t="s">
        <v>9</v>
      </c>
      <c r="C19" s="11" t="s">
        <v>170</v>
      </c>
      <c r="D19" s="11" t="s">
        <v>171</v>
      </c>
      <c r="E19" s="9" t="str">
        <f>+HYPERLINK("http://trademark.i-assist.jp/data/china/image_1904th/69145848.pdf", "69145848")</f>
        <v>69145848</v>
      </c>
      <c r="F19" s="11" t="s">
        <v>230</v>
      </c>
      <c r="G19" s="11" t="s">
        <v>54</v>
      </c>
      <c r="H19" s="11" t="s">
        <v>55</v>
      </c>
      <c r="I19" s="11" t="s">
        <v>231</v>
      </c>
    </row>
    <row r="20" spans="1:9" x14ac:dyDescent="0.15">
      <c r="A20" s="10">
        <v>19</v>
      </c>
      <c r="B20" s="11" t="s">
        <v>9</v>
      </c>
      <c r="C20" s="11" t="s">
        <v>170</v>
      </c>
      <c r="D20" s="11" t="s">
        <v>171</v>
      </c>
      <c r="E20" s="9" t="str">
        <f>+HYPERLINK("http://trademark.i-assist.jp/data/china/image_1904th/69707033.pdf", "69707033")</f>
        <v>69707033</v>
      </c>
      <c r="F20" s="11" t="s">
        <v>232</v>
      </c>
      <c r="G20" s="11" t="s">
        <v>233</v>
      </c>
      <c r="H20" s="11" t="s">
        <v>234</v>
      </c>
      <c r="I20" s="11" t="s">
        <v>235</v>
      </c>
    </row>
    <row r="21" spans="1:9" x14ac:dyDescent="0.15">
      <c r="A21" s="10">
        <v>20</v>
      </c>
      <c r="B21" s="11" t="s">
        <v>9</v>
      </c>
      <c r="C21" s="11" t="s">
        <v>170</v>
      </c>
      <c r="D21" s="11" t="s">
        <v>171</v>
      </c>
      <c r="E21" s="9" t="str">
        <f>+HYPERLINK("http://trademark.i-assist.jp/data/china/image_1904th/70315979.pdf", "70315979")</f>
        <v>70315979</v>
      </c>
      <c r="F21" s="11" t="s">
        <v>236</v>
      </c>
      <c r="G21" s="11" t="s">
        <v>237</v>
      </c>
      <c r="H21" s="11" t="s">
        <v>238</v>
      </c>
      <c r="I21" s="11" t="s">
        <v>56</v>
      </c>
    </row>
    <row r="22" spans="1:9" x14ac:dyDescent="0.15">
      <c r="A22" s="10">
        <v>21</v>
      </c>
      <c r="B22" s="11" t="s">
        <v>9</v>
      </c>
      <c r="C22" s="11" t="s">
        <v>170</v>
      </c>
      <c r="D22" s="11" t="s">
        <v>171</v>
      </c>
      <c r="E22" s="9" t="str">
        <f>+HYPERLINK("http://trademark.i-assist.jp/data/china/image_1904th/70520110.pdf", "70520110")</f>
        <v>70520110</v>
      </c>
      <c r="F22" s="11" t="s">
        <v>239</v>
      </c>
      <c r="G22" s="11" t="s">
        <v>78</v>
      </c>
      <c r="H22" s="11" t="s">
        <v>240</v>
      </c>
      <c r="I22" s="11" t="s">
        <v>241</v>
      </c>
    </row>
    <row r="23" spans="1:9" x14ac:dyDescent="0.15">
      <c r="A23" s="10">
        <v>22</v>
      </c>
      <c r="B23" s="11" t="s">
        <v>9</v>
      </c>
      <c r="C23" s="11" t="s">
        <v>170</v>
      </c>
      <c r="D23" s="11" t="s">
        <v>171</v>
      </c>
      <c r="E23" s="9" t="str">
        <f>+HYPERLINK("http://trademark.i-assist.jp/data/china/image_1904th/70881302.pdf", "70881302")</f>
        <v>70881302</v>
      </c>
      <c r="F23" s="11" t="s">
        <v>242</v>
      </c>
      <c r="G23" s="11" t="s">
        <v>243</v>
      </c>
      <c r="H23" s="11" t="s">
        <v>244</v>
      </c>
      <c r="I23" s="11" t="s">
        <v>57</v>
      </c>
    </row>
    <row r="24" spans="1:9" x14ac:dyDescent="0.15">
      <c r="A24" s="10">
        <v>23</v>
      </c>
      <c r="B24" s="11" t="s">
        <v>9</v>
      </c>
      <c r="C24" s="11" t="s">
        <v>170</v>
      </c>
      <c r="D24" s="11" t="s">
        <v>171</v>
      </c>
      <c r="E24" s="9" t="str">
        <f>+HYPERLINK("http://trademark.i-assist.jp/data/china/image_1904th/71160316.pdf", "71160316")</f>
        <v>71160316</v>
      </c>
      <c r="F24" s="11" t="s">
        <v>245</v>
      </c>
      <c r="G24" s="11" t="s">
        <v>246</v>
      </c>
      <c r="H24" s="11" t="s">
        <v>247</v>
      </c>
      <c r="I24" s="11" t="s">
        <v>248</v>
      </c>
    </row>
    <row r="25" spans="1:9" x14ac:dyDescent="0.15">
      <c r="A25" s="10">
        <v>24</v>
      </c>
      <c r="B25" s="11" t="s">
        <v>9</v>
      </c>
      <c r="C25" s="11" t="s">
        <v>170</v>
      </c>
      <c r="D25" s="11" t="s">
        <v>171</v>
      </c>
      <c r="E25" s="9" t="str">
        <f>+HYPERLINK("http://trademark.i-assist.jp/data/china/image_1904th/71399980.pdf", "71399980")</f>
        <v>71399980</v>
      </c>
      <c r="F25" s="11" t="s">
        <v>249</v>
      </c>
      <c r="G25" s="11" t="s">
        <v>250</v>
      </c>
      <c r="H25" s="11" t="s">
        <v>251</v>
      </c>
      <c r="I25" s="11" t="s">
        <v>252</v>
      </c>
    </row>
    <row r="26" spans="1:9" x14ac:dyDescent="0.15">
      <c r="A26" s="10">
        <v>25</v>
      </c>
      <c r="B26" s="11" t="s">
        <v>9</v>
      </c>
      <c r="C26" s="11" t="s">
        <v>170</v>
      </c>
      <c r="D26" s="11" t="s">
        <v>171</v>
      </c>
      <c r="E26" s="9" t="str">
        <f>+HYPERLINK("http://trademark.i-assist.jp/data/china/image_1904th/72261601.pdf", "72261601")</f>
        <v>72261601</v>
      </c>
      <c r="F26" s="11" t="s">
        <v>253</v>
      </c>
      <c r="G26" s="11" t="s">
        <v>254</v>
      </c>
      <c r="H26" s="11" t="s">
        <v>255</v>
      </c>
      <c r="I26" s="11" t="s">
        <v>14</v>
      </c>
    </row>
    <row r="27" spans="1:9" x14ac:dyDescent="0.15">
      <c r="A27" s="10">
        <v>26</v>
      </c>
      <c r="B27" s="11" t="s">
        <v>9</v>
      </c>
      <c r="C27" s="11" t="s">
        <v>170</v>
      </c>
      <c r="D27" s="11" t="s">
        <v>171</v>
      </c>
      <c r="E27" s="9" t="str">
        <f>+HYPERLINK("http://trademark.i-assist.jp/data/china/image_1904th/72429402.pdf", "72429402")</f>
        <v>72429402</v>
      </c>
      <c r="F27" s="11" t="s">
        <v>256</v>
      </c>
      <c r="G27" s="11" t="s">
        <v>59</v>
      </c>
      <c r="H27" s="11" t="s">
        <v>257</v>
      </c>
      <c r="I27" s="11" t="s">
        <v>258</v>
      </c>
    </row>
    <row r="28" spans="1:9" x14ac:dyDescent="0.15">
      <c r="A28" s="10">
        <v>27</v>
      </c>
      <c r="B28" s="11" t="s">
        <v>9</v>
      </c>
      <c r="C28" s="11" t="s">
        <v>170</v>
      </c>
      <c r="D28" s="11" t="s">
        <v>171</v>
      </c>
      <c r="E28" s="9" t="str">
        <f>+HYPERLINK("http://trademark.i-assist.jp/data/china/image_1904th/72510276.pdf", "72510276")</f>
        <v>72510276</v>
      </c>
      <c r="F28" s="11" t="s">
        <v>259</v>
      </c>
      <c r="G28" s="11" t="s">
        <v>260</v>
      </c>
      <c r="H28" s="11" t="s">
        <v>261</v>
      </c>
      <c r="I28" s="11" t="s">
        <v>262</v>
      </c>
    </row>
    <row r="29" spans="1:9" x14ac:dyDescent="0.15">
      <c r="A29" s="10">
        <v>28</v>
      </c>
      <c r="B29" s="11" t="s">
        <v>9</v>
      </c>
      <c r="C29" s="11" t="s">
        <v>170</v>
      </c>
      <c r="D29" s="11" t="s">
        <v>171</v>
      </c>
      <c r="E29" s="9" t="str">
        <f>+HYPERLINK("http://trademark.i-assist.jp/data/china/image_1904th/72563381.pdf", "72563381")</f>
        <v>72563381</v>
      </c>
      <c r="F29" s="11" t="s">
        <v>263</v>
      </c>
      <c r="G29" s="11" t="s">
        <v>76</v>
      </c>
      <c r="H29" s="11" t="s">
        <v>264</v>
      </c>
      <c r="I29" s="11" t="s">
        <v>265</v>
      </c>
    </row>
    <row r="30" spans="1:9" x14ac:dyDescent="0.15">
      <c r="A30" s="10">
        <v>29</v>
      </c>
      <c r="B30" s="11" t="s">
        <v>9</v>
      </c>
      <c r="C30" s="11" t="s">
        <v>170</v>
      </c>
      <c r="D30" s="11" t="s">
        <v>171</v>
      </c>
      <c r="E30" s="9" t="str">
        <f>+HYPERLINK("http://trademark.i-assist.jp/data/china/image_1904th/72807192.pdf", "72807192")</f>
        <v>72807192</v>
      </c>
      <c r="F30" s="11" t="s">
        <v>266</v>
      </c>
      <c r="G30" s="11" t="s">
        <v>267</v>
      </c>
      <c r="H30" s="11" t="s">
        <v>268</v>
      </c>
      <c r="I30" s="11" t="s">
        <v>269</v>
      </c>
    </row>
    <row r="31" spans="1:9" x14ac:dyDescent="0.15">
      <c r="A31" s="10">
        <v>30</v>
      </c>
      <c r="B31" s="11" t="s">
        <v>9</v>
      </c>
      <c r="C31" s="11" t="s">
        <v>170</v>
      </c>
      <c r="D31" s="11" t="s">
        <v>171</v>
      </c>
      <c r="E31" s="9" t="str">
        <f>+HYPERLINK("http://trademark.i-assist.jp/data/china/image_1904th/72950989.pdf", "72950989")</f>
        <v>72950989</v>
      </c>
      <c r="F31" s="11" t="s">
        <v>270</v>
      </c>
      <c r="G31" s="11" t="s">
        <v>271</v>
      </c>
      <c r="H31" s="11" t="s">
        <v>272</v>
      </c>
      <c r="I31" s="11" t="s">
        <v>58</v>
      </c>
    </row>
    <row r="32" spans="1:9" x14ac:dyDescent="0.15">
      <c r="A32" s="10">
        <v>31</v>
      </c>
      <c r="B32" s="11" t="s">
        <v>9</v>
      </c>
      <c r="C32" s="11" t="s">
        <v>170</v>
      </c>
      <c r="D32" s="11" t="s">
        <v>171</v>
      </c>
      <c r="E32" s="9" t="str">
        <f>+HYPERLINK("http://trademark.i-assist.jp/data/china/image_1904th/73027752.pdf", "73027752")</f>
        <v>73027752</v>
      </c>
      <c r="F32" s="11" t="s">
        <v>273</v>
      </c>
      <c r="G32" s="11" t="s">
        <v>274</v>
      </c>
      <c r="H32" s="11" t="s">
        <v>275</v>
      </c>
      <c r="I32" s="11" t="s">
        <v>276</v>
      </c>
    </row>
    <row r="33" spans="1:9" x14ac:dyDescent="0.15">
      <c r="A33" s="10">
        <v>32</v>
      </c>
      <c r="B33" s="11" t="s">
        <v>9</v>
      </c>
      <c r="C33" s="11" t="s">
        <v>170</v>
      </c>
      <c r="D33" s="11" t="s">
        <v>171</v>
      </c>
      <c r="E33" s="9" t="str">
        <f>+HYPERLINK("http://trademark.i-assist.jp/data/china/image_1904th/73049134.pdf", "73049134")</f>
        <v>73049134</v>
      </c>
      <c r="F33" s="11" t="s">
        <v>277</v>
      </c>
      <c r="G33" s="11" t="s">
        <v>278</v>
      </c>
      <c r="H33" s="11" t="s">
        <v>279</v>
      </c>
      <c r="I33" s="11" t="s">
        <v>280</v>
      </c>
    </row>
    <row r="34" spans="1:9" x14ac:dyDescent="0.15">
      <c r="A34" s="10">
        <v>33</v>
      </c>
      <c r="B34" s="11" t="s">
        <v>9</v>
      </c>
      <c r="C34" s="11" t="s">
        <v>170</v>
      </c>
      <c r="D34" s="11" t="s">
        <v>171</v>
      </c>
      <c r="E34" s="9" t="str">
        <f>+HYPERLINK("http://trademark.i-assist.jp/data/china/image_1904th/73217042.pdf", "73217042")</f>
        <v>73217042</v>
      </c>
      <c r="F34" s="11" t="s">
        <v>281</v>
      </c>
      <c r="G34" s="11" t="s">
        <v>282</v>
      </c>
      <c r="H34" s="11" t="s">
        <v>283</v>
      </c>
      <c r="I34" s="11" t="s">
        <v>284</v>
      </c>
    </row>
    <row r="35" spans="1:9" x14ac:dyDescent="0.15">
      <c r="A35" s="10">
        <v>34</v>
      </c>
      <c r="B35" s="11" t="s">
        <v>9</v>
      </c>
      <c r="C35" s="11" t="s">
        <v>170</v>
      </c>
      <c r="D35" s="11" t="s">
        <v>171</v>
      </c>
      <c r="E35" s="9" t="str">
        <f>+HYPERLINK("http://trademark.i-assist.jp/data/china/image_1904th/73218056.pdf", "73218056")</f>
        <v>73218056</v>
      </c>
      <c r="F35" s="11" t="s">
        <v>285</v>
      </c>
      <c r="G35" s="11" t="s">
        <v>286</v>
      </c>
      <c r="H35" s="11" t="s">
        <v>287</v>
      </c>
      <c r="I35" s="11" t="s">
        <v>284</v>
      </c>
    </row>
    <row r="36" spans="1:9" x14ac:dyDescent="0.15">
      <c r="A36" s="10">
        <v>35</v>
      </c>
      <c r="B36" s="11" t="s">
        <v>9</v>
      </c>
      <c r="C36" s="11" t="s">
        <v>170</v>
      </c>
      <c r="D36" s="11" t="s">
        <v>171</v>
      </c>
      <c r="E36" s="9" t="str">
        <f>+HYPERLINK("http://trademark.i-assist.jp/data/china/image_1904th/73370262.pdf", "73370262")</f>
        <v>73370262</v>
      </c>
      <c r="F36" s="11" t="s">
        <v>288</v>
      </c>
      <c r="G36" s="11" t="s">
        <v>289</v>
      </c>
      <c r="H36" s="11" t="s">
        <v>290</v>
      </c>
      <c r="I36" s="11" t="s">
        <v>291</v>
      </c>
    </row>
    <row r="37" spans="1:9" x14ac:dyDescent="0.15">
      <c r="A37" s="10">
        <v>36</v>
      </c>
      <c r="B37" s="11" t="s">
        <v>9</v>
      </c>
      <c r="C37" s="11" t="s">
        <v>170</v>
      </c>
      <c r="D37" s="11" t="s">
        <v>171</v>
      </c>
      <c r="E37" s="9" t="str">
        <f>+HYPERLINK("http://trademark.i-assist.jp/data/china/image_1904th/73533638.pdf", "73533638")</f>
        <v>73533638</v>
      </c>
      <c r="F37" s="11" t="s">
        <v>292</v>
      </c>
      <c r="G37" s="11" t="s">
        <v>293</v>
      </c>
      <c r="H37" s="11" t="s">
        <v>294</v>
      </c>
      <c r="I37" s="11" t="s">
        <v>295</v>
      </c>
    </row>
    <row r="38" spans="1:9" x14ac:dyDescent="0.15">
      <c r="A38" s="10">
        <v>37</v>
      </c>
      <c r="B38" s="11" t="s">
        <v>9</v>
      </c>
      <c r="C38" s="11" t="s">
        <v>170</v>
      </c>
      <c r="D38" s="11" t="s">
        <v>171</v>
      </c>
      <c r="E38" s="9" t="str">
        <f>+HYPERLINK("http://trademark.i-assist.jp/data/china/image_1904th/73576029.pdf", "73576029")</f>
        <v>73576029</v>
      </c>
      <c r="F38" s="11" t="s">
        <v>296</v>
      </c>
      <c r="G38" s="11" t="s">
        <v>297</v>
      </c>
      <c r="H38" s="11" t="s">
        <v>298</v>
      </c>
      <c r="I38" s="11" t="s">
        <v>60</v>
      </c>
    </row>
    <row r="39" spans="1:9" x14ac:dyDescent="0.15">
      <c r="A39" s="10">
        <v>38</v>
      </c>
      <c r="B39" s="11" t="s">
        <v>9</v>
      </c>
      <c r="C39" s="11" t="s">
        <v>170</v>
      </c>
      <c r="D39" s="11" t="s">
        <v>171</v>
      </c>
      <c r="E39" s="9" t="str">
        <f>+HYPERLINK("http://trademark.i-assist.jp/data/china/image_1904th/73576037.pdf", "73576037")</f>
        <v>73576037</v>
      </c>
      <c r="F39" s="11" t="s">
        <v>299</v>
      </c>
      <c r="G39" s="11" t="s">
        <v>300</v>
      </c>
      <c r="H39" s="11" t="s">
        <v>301</v>
      </c>
      <c r="I39" s="11" t="s">
        <v>60</v>
      </c>
    </row>
    <row r="40" spans="1:9" x14ac:dyDescent="0.15">
      <c r="A40" s="10">
        <v>39</v>
      </c>
      <c r="B40" s="11" t="s">
        <v>9</v>
      </c>
      <c r="C40" s="11" t="s">
        <v>170</v>
      </c>
      <c r="D40" s="11" t="s">
        <v>171</v>
      </c>
      <c r="E40" s="9" t="str">
        <f>+HYPERLINK("http://trademark.i-assist.jp/data/china/image_1904th/73577271.pdf", "73577271")</f>
        <v>73577271</v>
      </c>
      <c r="F40" s="11" t="s">
        <v>302</v>
      </c>
      <c r="G40" s="11" t="s">
        <v>303</v>
      </c>
      <c r="H40" s="11" t="s">
        <v>304</v>
      </c>
      <c r="I40" s="11" t="s">
        <v>60</v>
      </c>
    </row>
    <row r="41" spans="1:9" x14ac:dyDescent="0.15">
      <c r="A41" s="10">
        <v>40</v>
      </c>
      <c r="B41" s="11" t="s">
        <v>9</v>
      </c>
      <c r="C41" s="11" t="s">
        <v>170</v>
      </c>
      <c r="D41" s="11" t="s">
        <v>171</v>
      </c>
      <c r="E41" s="9" t="str">
        <f>+HYPERLINK("http://trademark.i-assist.jp/data/china/image_1904th/73737507.pdf", "73737507")</f>
        <v>73737507</v>
      </c>
      <c r="F41" s="11" t="s">
        <v>305</v>
      </c>
      <c r="G41" s="11" t="s">
        <v>306</v>
      </c>
      <c r="H41" s="11" t="s">
        <v>307</v>
      </c>
      <c r="I41" s="11" t="s">
        <v>308</v>
      </c>
    </row>
    <row r="42" spans="1:9" x14ac:dyDescent="0.15">
      <c r="A42" s="10">
        <v>41</v>
      </c>
      <c r="B42" s="11" t="s">
        <v>9</v>
      </c>
      <c r="C42" s="11" t="s">
        <v>170</v>
      </c>
      <c r="D42" s="11" t="s">
        <v>171</v>
      </c>
      <c r="E42" s="9" t="str">
        <f>+HYPERLINK("http://trademark.i-assist.jp/data/china/image_1904th/73762430.pdf", "73762430")</f>
        <v>73762430</v>
      </c>
      <c r="F42" s="11" t="s">
        <v>309</v>
      </c>
      <c r="G42" s="11" t="s">
        <v>310</v>
      </c>
      <c r="H42" s="11" t="s">
        <v>311</v>
      </c>
      <c r="I42" s="11" t="s">
        <v>61</v>
      </c>
    </row>
    <row r="43" spans="1:9" x14ac:dyDescent="0.15">
      <c r="A43" s="10">
        <v>42</v>
      </c>
      <c r="B43" s="11" t="s">
        <v>9</v>
      </c>
      <c r="C43" s="11" t="s">
        <v>170</v>
      </c>
      <c r="D43" s="11" t="s">
        <v>171</v>
      </c>
      <c r="E43" s="9" t="str">
        <f>+HYPERLINK("http://trademark.i-assist.jp/data/china/image_1904th/73812385.pdf", "73812385")</f>
        <v>73812385</v>
      </c>
      <c r="F43" s="11" t="s">
        <v>312</v>
      </c>
      <c r="G43" s="11" t="s">
        <v>313</v>
      </c>
      <c r="H43" s="11" t="s">
        <v>314</v>
      </c>
      <c r="I43" s="11" t="s">
        <v>315</v>
      </c>
    </row>
    <row r="44" spans="1:9" x14ac:dyDescent="0.15">
      <c r="A44" s="10">
        <v>43</v>
      </c>
      <c r="B44" s="11" t="s">
        <v>9</v>
      </c>
      <c r="C44" s="11" t="s">
        <v>170</v>
      </c>
      <c r="D44" s="11" t="s">
        <v>171</v>
      </c>
      <c r="E44" s="9" t="str">
        <f>+HYPERLINK("http://trademark.i-assist.jp/data/china/image_1904th/73900225.pdf", "73900225")</f>
        <v>73900225</v>
      </c>
      <c r="F44" s="11" t="s">
        <v>316</v>
      </c>
      <c r="G44" s="11" t="s">
        <v>317</v>
      </c>
      <c r="H44" s="11" t="s">
        <v>318</v>
      </c>
      <c r="I44" s="11" t="s">
        <v>319</v>
      </c>
    </row>
    <row r="45" spans="1:9" x14ac:dyDescent="0.15">
      <c r="A45" s="10">
        <v>44</v>
      </c>
      <c r="B45" s="11" t="s">
        <v>9</v>
      </c>
      <c r="C45" s="11" t="s">
        <v>170</v>
      </c>
      <c r="D45" s="11" t="s">
        <v>171</v>
      </c>
      <c r="E45" s="9" t="str">
        <f>+HYPERLINK("http://trademark.i-assist.jp/data/china/image_1904th/73906817.pdf", "73906817")</f>
        <v>73906817</v>
      </c>
      <c r="F45" s="11" t="s">
        <v>320</v>
      </c>
      <c r="G45" s="11" t="s">
        <v>317</v>
      </c>
      <c r="H45" s="11" t="s">
        <v>321</v>
      </c>
      <c r="I45" s="11" t="s">
        <v>319</v>
      </c>
    </row>
    <row r="46" spans="1:9" x14ac:dyDescent="0.15">
      <c r="A46" s="10">
        <v>45</v>
      </c>
      <c r="B46" s="11" t="s">
        <v>9</v>
      </c>
      <c r="C46" s="11" t="s">
        <v>170</v>
      </c>
      <c r="D46" s="11" t="s">
        <v>171</v>
      </c>
      <c r="E46" s="9" t="str">
        <f>+HYPERLINK("http://trademark.i-assist.jp/data/china/image_1904th/73949890.pdf", "73949890")</f>
        <v>73949890</v>
      </c>
      <c r="F46" s="11" t="s">
        <v>322</v>
      </c>
      <c r="G46" s="11" t="s">
        <v>323</v>
      </c>
      <c r="H46" s="11" t="s">
        <v>324</v>
      </c>
      <c r="I46" s="11" t="s">
        <v>62</v>
      </c>
    </row>
    <row r="47" spans="1:9" x14ac:dyDescent="0.15">
      <c r="A47" s="10">
        <v>46</v>
      </c>
      <c r="B47" s="11" t="s">
        <v>9</v>
      </c>
      <c r="C47" s="11" t="s">
        <v>170</v>
      </c>
      <c r="D47" s="11" t="s">
        <v>171</v>
      </c>
      <c r="E47" s="9" t="str">
        <f>+HYPERLINK("http://trademark.i-assist.jp/data/china/image_1904th/73957331.pdf", "73957331")</f>
        <v>73957331</v>
      </c>
      <c r="F47" s="11" t="s">
        <v>325</v>
      </c>
      <c r="G47" s="11" t="s">
        <v>326</v>
      </c>
      <c r="H47" s="11" t="s">
        <v>327</v>
      </c>
      <c r="I47" s="11" t="s">
        <v>62</v>
      </c>
    </row>
    <row r="48" spans="1:9" x14ac:dyDescent="0.15">
      <c r="A48" s="10">
        <v>47</v>
      </c>
      <c r="B48" s="11" t="s">
        <v>9</v>
      </c>
      <c r="C48" s="11" t="s">
        <v>170</v>
      </c>
      <c r="D48" s="11" t="s">
        <v>171</v>
      </c>
      <c r="E48" s="9" t="str">
        <f>+HYPERLINK("http://trademark.i-assist.jp/data/china/image_1904th/74034243.pdf", "74034243")</f>
        <v>74034243</v>
      </c>
      <c r="F48" s="11" t="s">
        <v>328</v>
      </c>
      <c r="G48" s="11" t="s">
        <v>329</v>
      </c>
      <c r="H48" s="11" t="s">
        <v>330</v>
      </c>
      <c r="I48" s="11" t="s">
        <v>331</v>
      </c>
    </row>
    <row r="49" spans="1:9" x14ac:dyDescent="0.15">
      <c r="A49" s="10">
        <v>48</v>
      </c>
      <c r="B49" s="11" t="s">
        <v>9</v>
      </c>
      <c r="C49" s="11" t="s">
        <v>170</v>
      </c>
      <c r="D49" s="11" t="s">
        <v>171</v>
      </c>
      <c r="E49" s="9" t="str">
        <f>+HYPERLINK("http://trademark.i-assist.jp/data/china/image_1904th/74071588.pdf", "74071588")</f>
        <v>74071588</v>
      </c>
      <c r="F49" s="11" t="s">
        <v>332</v>
      </c>
      <c r="G49" s="11" t="s">
        <v>333</v>
      </c>
      <c r="H49" s="11" t="s">
        <v>334</v>
      </c>
      <c r="I49" s="11" t="s">
        <v>335</v>
      </c>
    </row>
    <row r="50" spans="1:9" x14ac:dyDescent="0.15">
      <c r="A50" s="10">
        <v>49</v>
      </c>
      <c r="B50" s="11" t="s">
        <v>9</v>
      </c>
      <c r="C50" s="11" t="s">
        <v>170</v>
      </c>
      <c r="D50" s="11" t="s">
        <v>171</v>
      </c>
      <c r="E50" s="9" t="str">
        <f>+HYPERLINK("http://trademark.i-assist.jp/data/china/image_1904th/74073845.pdf", "74073845")</f>
        <v>74073845</v>
      </c>
      <c r="F50" s="11" t="s">
        <v>336</v>
      </c>
      <c r="G50" s="11" t="s">
        <v>337</v>
      </c>
      <c r="H50" s="11" t="s">
        <v>338</v>
      </c>
      <c r="I50" s="11" t="s">
        <v>335</v>
      </c>
    </row>
    <row r="51" spans="1:9" x14ac:dyDescent="0.15">
      <c r="A51" s="10">
        <v>50</v>
      </c>
      <c r="B51" s="11" t="s">
        <v>9</v>
      </c>
      <c r="C51" s="11" t="s">
        <v>170</v>
      </c>
      <c r="D51" s="11" t="s">
        <v>171</v>
      </c>
      <c r="E51" s="9" t="str">
        <f>+HYPERLINK("http://trademark.i-assist.jp/data/china/image_1904th/74094895.pdf", "74094895")</f>
        <v>74094895</v>
      </c>
      <c r="F51" s="11" t="s">
        <v>339</v>
      </c>
      <c r="G51" s="11" t="s">
        <v>340</v>
      </c>
      <c r="H51" s="11" t="s">
        <v>341</v>
      </c>
      <c r="I51" s="11" t="s">
        <v>335</v>
      </c>
    </row>
    <row r="52" spans="1:9" x14ac:dyDescent="0.15">
      <c r="A52" s="10">
        <v>51</v>
      </c>
      <c r="B52" s="11" t="s">
        <v>9</v>
      </c>
      <c r="C52" s="11" t="s">
        <v>170</v>
      </c>
      <c r="D52" s="11" t="s">
        <v>171</v>
      </c>
      <c r="E52" s="9" t="str">
        <f>+HYPERLINK("http://trademark.i-assist.jp/data/china/image_1904th/74105924.pdf", "74105924")</f>
        <v>74105924</v>
      </c>
      <c r="F52" s="11" t="s">
        <v>342</v>
      </c>
      <c r="G52" s="11" t="s">
        <v>343</v>
      </c>
      <c r="H52" s="11" t="s">
        <v>344</v>
      </c>
      <c r="I52" s="11" t="s">
        <v>345</v>
      </c>
    </row>
    <row r="53" spans="1:9" x14ac:dyDescent="0.15">
      <c r="A53" s="10">
        <v>52</v>
      </c>
      <c r="B53" s="11" t="s">
        <v>9</v>
      </c>
      <c r="C53" s="11" t="s">
        <v>170</v>
      </c>
      <c r="D53" s="11" t="s">
        <v>171</v>
      </c>
      <c r="E53" s="9" t="str">
        <f>+HYPERLINK("http://trademark.i-assist.jp/data/china/image_1904th/74240733.pdf", "74240733")</f>
        <v>74240733</v>
      </c>
      <c r="F53" s="11" t="s">
        <v>346</v>
      </c>
      <c r="G53" s="11" t="s">
        <v>347</v>
      </c>
      <c r="H53" s="11" t="s">
        <v>348</v>
      </c>
      <c r="I53" s="11" t="s">
        <v>349</v>
      </c>
    </row>
    <row r="54" spans="1:9" x14ac:dyDescent="0.15">
      <c r="A54" s="10">
        <v>53</v>
      </c>
      <c r="B54" s="11" t="s">
        <v>9</v>
      </c>
      <c r="C54" s="11" t="s">
        <v>170</v>
      </c>
      <c r="D54" s="11" t="s">
        <v>171</v>
      </c>
      <c r="E54" s="9" t="str">
        <f>+HYPERLINK("http://trademark.i-assist.jp/data/china/image_1904th/74255899.pdf", "74255899")</f>
        <v>74255899</v>
      </c>
      <c r="F54" s="11" t="s">
        <v>350</v>
      </c>
      <c r="G54" s="11" t="s">
        <v>351</v>
      </c>
      <c r="H54" s="11" t="s">
        <v>352</v>
      </c>
      <c r="I54" s="11" t="s">
        <v>349</v>
      </c>
    </row>
    <row r="55" spans="1:9" x14ac:dyDescent="0.15">
      <c r="A55" s="10">
        <v>54</v>
      </c>
      <c r="B55" s="11" t="s">
        <v>9</v>
      </c>
      <c r="C55" s="11" t="s">
        <v>170</v>
      </c>
      <c r="D55" s="11" t="s">
        <v>171</v>
      </c>
      <c r="E55" s="9" t="str">
        <f>+HYPERLINK("http://trademark.i-assist.jp/data/china/image_1904th/74307172.pdf", "74307172")</f>
        <v>74307172</v>
      </c>
      <c r="F55" s="11" t="s">
        <v>353</v>
      </c>
      <c r="G55" s="11" t="s">
        <v>63</v>
      </c>
      <c r="H55" s="11" t="s">
        <v>354</v>
      </c>
      <c r="I55" s="11" t="s">
        <v>64</v>
      </c>
    </row>
    <row r="56" spans="1:9" x14ac:dyDescent="0.15">
      <c r="A56" s="10">
        <v>55</v>
      </c>
      <c r="B56" s="11" t="s">
        <v>9</v>
      </c>
      <c r="C56" s="11" t="s">
        <v>170</v>
      </c>
      <c r="D56" s="11" t="s">
        <v>171</v>
      </c>
      <c r="E56" s="9" t="str">
        <f>+HYPERLINK("http://trademark.i-assist.jp/data/china/image_1904th/74325173.pdf", "74325173")</f>
        <v>74325173</v>
      </c>
      <c r="F56" s="11" t="s">
        <v>355</v>
      </c>
      <c r="G56" s="11" t="s">
        <v>356</v>
      </c>
      <c r="H56" s="11" t="s">
        <v>357</v>
      </c>
      <c r="I56" s="11" t="s">
        <v>65</v>
      </c>
    </row>
    <row r="57" spans="1:9" x14ac:dyDescent="0.15">
      <c r="A57" s="10">
        <v>56</v>
      </c>
      <c r="B57" s="11" t="s">
        <v>9</v>
      </c>
      <c r="C57" s="11" t="s">
        <v>170</v>
      </c>
      <c r="D57" s="11" t="s">
        <v>171</v>
      </c>
      <c r="E57" s="9" t="str">
        <f>+HYPERLINK("http://trademark.i-assist.jp/data/china/image_1904th/74436005.pdf", "74436005")</f>
        <v>74436005</v>
      </c>
      <c r="F57" s="11" t="s">
        <v>358</v>
      </c>
      <c r="G57" s="11" t="s">
        <v>359</v>
      </c>
      <c r="H57" s="11" t="s">
        <v>360</v>
      </c>
      <c r="I57" s="11" t="s">
        <v>16</v>
      </c>
    </row>
    <row r="58" spans="1:9" x14ac:dyDescent="0.15">
      <c r="A58" s="10">
        <v>57</v>
      </c>
      <c r="B58" s="11" t="s">
        <v>9</v>
      </c>
      <c r="C58" s="11" t="s">
        <v>170</v>
      </c>
      <c r="D58" s="11" t="s">
        <v>171</v>
      </c>
      <c r="E58" s="9" t="str">
        <f>+HYPERLINK("http://trademark.i-assist.jp/data/china/image_1904th/74471624.pdf", "74471624")</f>
        <v>74471624</v>
      </c>
      <c r="F58" s="11" t="s">
        <v>361</v>
      </c>
      <c r="G58" s="11" t="s">
        <v>362</v>
      </c>
      <c r="H58" s="11" t="s">
        <v>363</v>
      </c>
      <c r="I58" s="11" t="s">
        <v>364</v>
      </c>
    </row>
    <row r="59" spans="1:9" x14ac:dyDescent="0.15">
      <c r="A59" s="10">
        <v>58</v>
      </c>
      <c r="B59" s="11" t="s">
        <v>9</v>
      </c>
      <c r="C59" s="11" t="s">
        <v>170</v>
      </c>
      <c r="D59" s="11" t="s">
        <v>171</v>
      </c>
      <c r="E59" s="9" t="str">
        <f>+HYPERLINK("http://trademark.i-assist.jp/data/china/image_1904th/74475704.pdf", "74475704")</f>
        <v>74475704</v>
      </c>
      <c r="F59" s="11" t="s">
        <v>365</v>
      </c>
      <c r="G59" s="11" t="s">
        <v>366</v>
      </c>
      <c r="H59" s="11" t="s">
        <v>367</v>
      </c>
      <c r="I59" s="11" t="s">
        <v>364</v>
      </c>
    </row>
    <row r="60" spans="1:9" x14ac:dyDescent="0.15">
      <c r="A60" s="10">
        <v>59</v>
      </c>
      <c r="B60" s="11" t="s">
        <v>9</v>
      </c>
      <c r="C60" s="11" t="s">
        <v>170</v>
      </c>
      <c r="D60" s="11" t="s">
        <v>171</v>
      </c>
      <c r="E60" s="9" t="str">
        <f>+HYPERLINK("http://trademark.i-assist.jp/data/china/image_1904th/74484399.pdf", "74484399")</f>
        <v>74484399</v>
      </c>
      <c r="F60" s="11" t="s">
        <v>368</v>
      </c>
      <c r="G60" s="11" t="s">
        <v>369</v>
      </c>
      <c r="H60" s="11" t="s">
        <v>370</v>
      </c>
      <c r="I60" s="11" t="s">
        <v>364</v>
      </c>
    </row>
    <row r="61" spans="1:9" x14ac:dyDescent="0.15">
      <c r="A61" s="10">
        <v>60</v>
      </c>
      <c r="B61" s="11" t="s">
        <v>9</v>
      </c>
      <c r="C61" s="11" t="s">
        <v>170</v>
      </c>
      <c r="D61" s="11" t="s">
        <v>171</v>
      </c>
      <c r="E61" s="9" t="str">
        <f>+HYPERLINK("http://trademark.i-assist.jp/data/china/image_1904th/74518250.pdf", "74518250")</f>
        <v>74518250</v>
      </c>
      <c r="F61" s="11" t="s">
        <v>12</v>
      </c>
      <c r="G61" s="11" t="s">
        <v>371</v>
      </c>
      <c r="H61" s="11" t="s">
        <v>372</v>
      </c>
      <c r="I61" s="11" t="s">
        <v>66</v>
      </c>
    </row>
    <row r="62" spans="1:9" x14ac:dyDescent="0.15">
      <c r="A62" s="10">
        <v>61</v>
      </c>
      <c r="B62" s="11" t="s">
        <v>9</v>
      </c>
      <c r="C62" s="11" t="s">
        <v>170</v>
      </c>
      <c r="D62" s="11" t="s">
        <v>171</v>
      </c>
      <c r="E62" s="9" t="str">
        <f>+HYPERLINK("http://trademark.i-assist.jp/data/china/image_1904th/74712624.pdf", "74712624")</f>
        <v>74712624</v>
      </c>
      <c r="F62" s="11" t="s">
        <v>373</v>
      </c>
      <c r="G62" s="11" t="s">
        <v>374</v>
      </c>
      <c r="H62" s="11" t="s">
        <v>375</v>
      </c>
      <c r="I62" s="11" t="s">
        <v>376</v>
      </c>
    </row>
    <row r="63" spans="1:9" x14ac:dyDescent="0.15">
      <c r="A63" s="10">
        <v>62</v>
      </c>
      <c r="B63" s="11" t="s">
        <v>9</v>
      </c>
      <c r="C63" s="11" t="s">
        <v>170</v>
      </c>
      <c r="D63" s="11" t="s">
        <v>171</v>
      </c>
      <c r="E63" s="9" t="str">
        <f>+HYPERLINK("http://trademark.i-assist.jp/data/china/image_1904th/74718137.pdf", "74718137")</f>
        <v>74718137</v>
      </c>
      <c r="F63" s="11" t="s">
        <v>377</v>
      </c>
      <c r="G63" s="11" t="s">
        <v>378</v>
      </c>
      <c r="H63" s="11" t="s">
        <v>379</v>
      </c>
      <c r="I63" s="11" t="s">
        <v>376</v>
      </c>
    </row>
    <row r="64" spans="1:9" x14ac:dyDescent="0.15">
      <c r="A64" s="10">
        <v>63</v>
      </c>
      <c r="B64" s="11" t="s">
        <v>9</v>
      </c>
      <c r="C64" s="11" t="s">
        <v>170</v>
      </c>
      <c r="D64" s="11" t="s">
        <v>171</v>
      </c>
      <c r="E64" s="9" t="str">
        <f>+HYPERLINK("http://trademark.i-assist.jp/data/china/image_1904th/74746289.pdf", "74746289")</f>
        <v>74746289</v>
      </c>
      <c r="F64" s="11" t="s">
        <v>380</v>
      </c>
      <c r="G64" s="11" t="s">
        <v>381</v>
      </c>
      <c r="H64" s="11" t="s">
        <v>382</v>
      </c>
      <c r="I64" s="11" t="s">
        <v>383</v>
      </c>
    </row>
    <row r="65" spans="1:9" x14ac:dyDescent="0.15">
      <c r="A65" s="10">
        <v>64</v>
      </c>
      <c r="B65" s="11" t="s">
        <v>9</v>
      </c>
      <c r="C65" s="11" t="s">
        <v>170</v>
      </c>
      <c r="D65" s="11" t="s">
        <v>171</v>
      </c>
      <c r="E65" s="9" t="str">
        <f>+HYPERLINK("http://trademark.i-assist.jp/data/china/image_1904th/74796191.pdf", "74796191")</f>
        <v>74796191</v>
      </c>
      <c r="F65" s="11" t="s">
        <v>384</v>
      </c>
      <c r="G65" s="11" t="s">
        <v>385</v>
      </c>
      <c r="H65" s="11" t="s">
        <v>386</v>
      </c>
      <c r="I65" s="11" t="s">
        <v>387</v>
      </c>
    </row>
    <row r="66" spans="1:9" x14ac:dyDescent="0.15">
      <c r="A66" s="10">
        <v>65</v>
      </c>
      <c r="B66" s="11" t="s">
        <v>9</v>
      </c>
      <c r="C66" s="11" t="s">
        <v>170</v>
      </c>
      <c r="D66" s="11" t="s">
        <v>171</v>
      </c>
      <c r="E66" s="9" t="str">
        <f>+HYPERLINK("http://trademark.i-assist.jp/data/china/image_1904th/74813293.pdf", "74813293")</f>
        <v>74813293</v>
      </c>
      <c r="F66" s="11" t="s">
        <v>388</v>
      </c>
      <c r="G66" s="11" t="s">
        <v>389</v>
      </c>
      <c r="H66" s="11" t="s">
        <v>390</v>
      </c>
      <c r="I66" s="11" t="s">
        <v>391</v>
      </c>
    </row>
    <row r="67" spans="1:9" x14ac:dyDescent="0.15">
      <c r="A67" s="10">
        <v>66</v>
      </c>
      <c r="B67" s="11" t="s">
        <v>9</v>
      </c>
      <c r="C67" s="11" t="s">
        <v>170</v>
      </c>
      <c r="D67" s="11" t="s">
        <v>171</v>
      </c>
      <c r="E67" s="9" t="str">
        <f>+HYPERLINK("http://trademark.i-assist.jp/data/china/image_1904th/74878487.pdf", "74878487")</f>
        <v>74878487</v>
      </c>
      <c r="F67" s="11" t="s">
        <v>392</v>
      </c>
      <c r="G67" s="11" t="s">
        <v>393</v>
      </c>
      <c r="H67" s="11" t="s">
        <v>394</v>
      </c>
      <c r="I67" s="11" t="s">
        <v>395</v>
      </c>
    </row>
    <row r="68" spans="1:9" x14ac:dyDescent="0.15">
      <c r="A68" s="10">
        <v>67</v>
      </c>
      <c r="B68" s="11" t="s">
        <v>9</v>
      </c>
      <c r="C68" s="11" t="s">
        <v>170</v>
      </c>
      <c r="D68" s="11" t="s">
        <v>171</v>
      </c>
      <c r="E68" s="9" t="str">
        <f>+HYPERLINK("http://trademark.i-assist.jp/data/china/image_1904th/74906490.pdf", "74906490")</f>
        <v>74906490</v>
      </c>
      <c r="F68" s="11" t="s">
        <v>396</v>
      </c>
      <c r="G68" s="11" t="s">
        <v>393</v>
      </c>
      <c r="H68" s="11" t="s">
        <v>397</v>
      </c>
      <c r="I68" s="11" t="s">
        <v>398</v>
      </c>
    </row>
    <row r="69" spans="1:9" x14ac:dyDescent="0.15">
      <c r="A69" s="10">
        <v>68</v>
      </c>
      <c r="B69" s="11" t="s">
        <v>9</v>
      </c>
      <c r="C69" s="11" t="s">
        <v>170</v>
      </c>
      <c r="D69" s="11" t="s">
        <v>171</v>
      </c>
      <c r="E69" s="9" t="str">
        <f>+HYPERLINK("http://trademark.i-assist.jp/data/china/image_1904th/74989157.pdf", "74989157")</f>
        <v>74989157</v>
      </c>
      <c r="F69" s="11" t="s">
        <v>399</v>
      </c>
      <c r="G69" s="11" t="s">
        <v>400</v>
      </c>
      <c r="H69" s="11" t="s">
        <v>401</v>
      </c>
      <c r="I69" s="11" t="s">
        <v>402</v>
      </c>
    </row>
    <row r="70" spans="1:9" x14ac:dyDescent="0.15">
      <c r="A70" s="10">
        <v>69</v>
      </c>
      <c r="B70" s="11" t="s">
        <v>9</v>
      </c>
      <c r="C70" s="11" t="s">
        <v>170</v>
      </c>
      <c r="D70" s="11" t="s">
        <v>171</v>
      </c>
      <c r="E70" s="9" t="str">
        <f>+HYPERLINK("http://trademark.i-assist.jp/data/china/image_1904th/75011269.pdf", "75011269")</f>
        <v>75011269</v>
      </c>
      <c r="F70" s="11" t="s">
        <v>403</v>
      </c>
      <c r="G70" s="11" t="s">
        <v>404</v>
      </c>
      <c r="H70" s="11" t="s">
        <v>405</v>
      </c>
      <c r="I70" s="11" t="s">
        <v>402</v>
      </c>
    </row>
    <row r="71" spans="1:9" x14ac:dyDescent="0.15">
      <c r="A71" s="10">
        <v>70</v>
      </c>
      <c r="B71" s="11" t="s">
        <v>9</v>
      </c>
      <c r="C71" s="11" t="s">
        <v>170</v>
      </c>
      <c r="D71" s="11" t="s">
        <v>171</v>
      </c>
      <c r="E71" s="9" t="str">
        <f>+HYPERLINK("http://trademark.i-assist.jp/data/china/image_1904th/75088463.pdf", "75088463")</f>
        <v>75088463</v>
      </c>
      <c r="F71" s="11" t="s">
        <v>406</v>
      </c>
      <c r="G71" s="11" t="s">
        <v>407</v>
      </c>
      <c r="H71" s="11" t="s">
        <v>408</v>
      </c>
      <c r="I71" s="11" t="s">
        <v>409</v>
      </c>
    </row>
    <row r="72" spans="1:9" x14ac:dyDescent="0.15">
      <c r="A72" s="10">
        <v>71</v>
      </c>
      <c r="B72" s="11" t="s">
        <v>9</v>
      </c>
      <c r="C72" s="11" t="s">
        <v>170</v>
      </c>
      <c r="D72" s="11" t="s">
        <v>171</v>
      </c>
      <c r="E72" s="9" t="str">
        <f>+HYPERLINK("http://trademark.i-assist.jp/data/china/image_1904th/75114728.pdf", "75114728")</f>
        <v>75114728</v>
      </c>
      <c r="F72" s="11" t="s">
        <v>410</v>
      </c>
      <c r="G72" s="11" t="s">
        <v>411</v>
      </c>
      <c r="H72" s="11" t="s">
        <v>412</v>
      </c>
      <c r="I72" s="11" t="s">
        <v>413</v>
      </c>
    </row>
    <row r="73" spans="1:9" x14ac:dyDescent="0.15">
      <c r="A73" s="10">
        <v>72</v>
      </c>
      <c r="B73" s="11" t="s">
        <v>9</v>
      </c>
      <c r="C73" s="11" t="s">
        <v>170</v>
      </c>
      <c r="D73" s="11" t="s">
        <v>171</v>
      </c>
      <c r="E73" s="9" t="str">
        <f>+HYPERLINK("http://trademark.i-assist.jp/data/china/image_1904th/75238200.pdf", "75238200")</f>
        <v>75238200</v>
      </c>
      <c r="F73" s="11" t="s">
        <v>414</v>
      </c>
      <c r="G73" s="11" t="s">
        <v>415</v>
      </c>
      <c r="H73" s="11" t="s">
        <v>416</v>
      </c>
      <c r="I73" s="11" t="s">
        <v>417</v>
      </c>
    </row>
    <row r="74" spans="1:9" x14ac:dyDescent="0.15">
      <c r="A74" s="10">
        <v>73</v>
      </c>
      <c r="B74" s="11" t="s">
        <v>9</v>
      </c>
      <c r="C74" s="11" t="s">
        <v>170</v>
      </c>
      <c r="D74" s="11" t="s">
        <v>171</v>
      </c>
      <c r="E74" s="9" t="str">
        <f>+HYPERLINK("http://trademark.i-assist.jp/data/china/image_1904th/75244635.pdf", "75244635")</f>
        <v>75244635</v>
      </c>
      <c r="F74" s="11" t="s">
        <v>418</v>
      </c>
      <c r="G74" s="11" t="s">
        <v>419</v>
      </c>
      <c r="H74" s="11" t="s">
        <v>420</v>
      </c>
      <c r="I74" s="11" t="s">
        <v>417</v>
      </c>
    </row>
    <row r="75" spans="1:9" x14ac:dyDescent="0.15">
      <c r="A75" s="10">
        <v>74</v>
      </c>
      <c r="B75" s="11" t="s">
        <v>9</v>
      </c>
      <c r="C75" s="11" t="s">
        <v>170</v>
      </c>
      <c r="D75" s="11" t="s">
        <v>171</v>
      </c>
      <c r="E75" s="9" t="str">
        <f>+HYPERLINK("http://trademark.i-assist.jp/data/china/image_1904th/75309322.pdf", "75309322")</f>
        <v>75309322</v>
      </c>
      <c r="F75" s="11" t="s">
        <v>421</v>
      </c>
      <c r="G75" s="11" t="s">
        <v>422</v>
      </c>
      <c r="H75" s="11" t="s">
        <v>423</v>
      </c>
      <c r="I75" s="11" t="s">
        <v>424</v>
      </c>
    </row>
    <row r="76" spans="1:9" x14ac:dyDescent="0.15">
      <c r="A76" s="10">
        <v>75</v>
      </c>
      <c r="B76" s="11" t="s">
        <v>9</v>
      </c>
      <c r="C76" s="11" t="s">
        <v>170</v>
      </c>
      <c r="D76" s="11" t="s">
        <v>171</v>
      </c>
      <c r="E76" s="9" t="str">
        <f>+HYPERLINK("http://trademark.i-assist.jp/data/china/image_1904th/75335706.pdf", "75335706")</f>
        <v>75335706</v>
      </c>
      <c r="F76" s="11" t="s">
        <v>425</v>
      </c>
      <c r="G76" s="11" t="s">
        <v>426</v>
      </c>
      <c r="H76" s="11" t="s">
        <v>427</v>
      </c>
      <c r="I76" s="11" t="s">
        <v>428</v>
      </c>
    </row>
    <row r="77" spans="1:9" x14ac:dyDescent="0.15">
      <c r="A77" s="10">
        <v>76</v>
      </c>
      <c r="B77" s="11" t="s">
        <v>9</v>
      </c>
      <c r="C77" s="11" t="s">
        <v>170</v>
      </c>
      <c r="D77" s="11" t="s">
        <v>171</v>
      </c>
      <c r="E77" s="9" t="str">
        <f>+HYPERLINK("http://trademark.i-assist.jp/data/china/image_1904th/75359548.pdf", "75359548")</f>
        <v>75359548</v>
      </c>
      <c r="F77" s="11" t="s">
        <v>429</v>
      </c>
      <c r="G77" s="11" t="s">
        <v>430</v>
      </c>
      <c r="H77" s="11" t="s">
        <v>431</v>
      </c>
      <c r="I77" s="11" t="s">
        <v>432</v>
      </c>
    </row>
    <row r="78" spans="1:9" x14ac:dyDescent="0.15">
      <c r="A78" s="10">
        <v>77</v>
      </c>
      <c r="B78" s="11" t="s">
        <v>9</v>
      </c>
      <c r="C78" s="11" t="s">
        <v>170</v>
      </c>
      <c r="D78" s="11" t="s">
        <v>171</v>
      </c>
      <c r="E78" s="9" t="str">
        <f>+HYPERLINK("http://trademark.i-assist.jp/data/china/image_1904th/75496470.pdf", "75496470")</f>
        <v>75496470</v>
      </c>
      <c r="F78" s="11" t="s">
        <v>433</v>
      </c>
      <c r="G78" s="11" t="s">
        <v>434</v>
      </c>
      <c r="H78" s="11" t="s">
        <v>435</v>
      </c>
      <c r="I78" s="11" t="s">
        <v>436</v>
      </c>
    </row>
    <row r="79" spans="1:9" x14ac:dyDescent="0.15">
      <c r="A79" s="10">
        <v>78</v>
      </c>
      <c r="B79" s="11" t="s">
        <v>9</v>
      </c>
      <c r="C79" s="11" t="s">
        <v>170</v>
      </c>
      <c r="D79" s="11" t="s">
        <v>171</v>
      </c>
      <c r="E79" s="9" t="str">
        <f>+HYPERLINK("http://trademark.i-assist.jp/data/china/image_1904th/75675341.pdf", "75675341")</f>
        <v>75675341</v>
      </c>
      <c r="F79" s="11" t="s">
        <v>437</v>
      </c>
      <c r="G79" s="11" t="s">
        <v>438</v>
      </c>
      <c r="H79" s="11" t="s">
        <v>439</v>
      </c>
      <c r="I79" s="11" t="s">
        <v>440</v>
      </c>
    </row>
    <row r="80" spans="1:9" x14ac:dyDescent="0.15">
      <c r="A80" s="10">
        <v>79</v>
      </c>
      <c r="B80" s="11" t="s">
        <v>9</v>
      </c>
      <c r="C80" s="11" t="s">
        <v>170</v>
      </c>
      <c r="D80" s="11" t="s">
        <v>171</v>
      </c>
      <c r="E80" s="9" t="str">
        <f>+HYPERLINK("http://trademark.i-assist.jp/data/china/image_1904th/75739087.pdf", "75739087")</f>
        <v>75739087</v>
      </c>
      <c r="F80" s="11" t="s">
        <v>12</v>
      </c>
      <c r="G80" s="11" t="s">
        <v>441</v>
      </c>
      <c r="H80" s="11" t="s">
        <v>442</v>
      </c>
      <c r="I80" s="11" t="s">
        <v>443</v>
      </c>
    </row>
    <row r="81" spans="1:9" x14ac:dyDescent="0.15">
      <c r="A81" s="10">
        <v>80</v>
      </c>
      <c r="B81" s="11" t="s">
        <v>9</v>
      </c>
      <c r="C81" s="11" t="s">
        <v>170</v>
      </c>
      <c r="D81" s="11" t="s">
        <v>171</v>
      </c>
      <c r="E81" s="9" t="str">
        <f>+HYPERLINK("http://trademark.i-assist.jp/data/china/image_1904th/76182767.pdf", "76182767")</f>
        <v>76182767</v>
      </c>
      <c r="F81" s="11" t="s">
        <v>12</v>
      </c>
      <c r="G81" s="11" t="s">
        <v>444</v>
      </c>
      <c r="H81" s="11" t="s">
        <v>445</v>
      </c>
      <c r="I81" s="11" t="s">
        <v>446</v>
      </c>
    </row>
    <row r="82" spans="1:9" x14ac:dyDescent="0.15">
      <c r="A82" s="10">
        <v>81</v>
      </c>
      <c r="B82" s="11" t="s">
        <v>9</v>
      </c>
      <c r="C82" s="11" t="s">
        <v>170</v>
      </c>
      <c r="D82" s="11" t="s">
        <v>171</v>
      </c>
      <c r="E82" s="9" t="str">
        <f>+HYPERLINK("http://trademark.i-assist.jp/data/china/image_1904th/76202565.pdf", "76202565")</f>
        <v>76202565</v>
      </c>
      <c r="F82" s="11" t="s">
        <v>12</v>
      </c>
      <c r="G82" s="11" t="s">
        <v>444</v>
      </c>
      <c r="H82" s="11" t="s">
        <v>447</v>
      </c>
      <c r="I82" s="11" t="s">
        <v>446</v>
      </c>
    </row>
    <row r="83" spans="1:9" x14ac:dyDescent="0.15">
      <c r="A83" s="10">
        <v>82</v>
      </c>
      <c r="B83" s="11" t="s">
        <v>9</v>
      </c>
      <c r="C83" s="11" t="s">
        <v>170</v>
      </c>
      <c r="D83" s="11" t="s">
        <v>171</v>
      </c>
      <c r="E83" s="9" t="str">
        <f>+HYPERLINK("http://trademark.i-assist.jp/data/china/image_1904th/76293594.pdf", "76293594")</f>
        <v>76293594</v>
      </c>
      <c r="F83" s="11" t="s">
        <v>448</v>
      </c>
      <c r="G83" s="11" t="s">
        <v>449</v>
      </c>
      <c r="H83" s="11" t="s">
        <v>450</v>
      </c>
      <c r="I83" s="11" t="s">
        <v>451</v>
      </c>
    </row>
    <row r="84" spans="1:9" x14ac:dyDescent="0.15">
      <c r="A84" s="10">
        <v>83</v>
      </c>
      <c r="B84" s="11" t="s">
        <v>9</v>
      </c>
      <c r="C84" s="11" t="s">
        <v>170</v>
      </c>
      <c r="D84" s="11" t="s">
        <v>171</v>
      </c>
      <c r="E84" s="9" t="str">
        <f>+HYPERLINK("http://trademark.i-assist.jp/data/china/image_1904th/76736491.pdf", "76736491")</f>
        <v>76736491</v>
      </c>
      <c r="F84" s="11" t="s">
        <v>452</v>
      </c>
      <c r="G84" s="11" t="s">
        <v>453</v>
      </c>
      <c r="H84" s="11" t="s">
        <v>454</v>
      </c>
      <c r="I84" s="11" t="s">
        <v>455</v>
      </c>
    </row>
    <row r="85" spans="1:9" x14ac:dyDescent="0.15">
      <c r="A85" s="10">
        <v>84</v>
      </c>
      <c r="B85" s="11" t="s">
        <v>9</v>
      </c>
      <c r="C85" s="11" t="s">
        <v>170</v>
      </c>
      <c r="D85" s="11" t="s">
        <v>171</v>
      </c>
      <c r="E85" s="9" t="str">
        <f>+HYPERLINK("http://trademark.i-assist.jp/data/china/image_1904th/76957843.pdf", "76957843")</f>
        <v>76957843</v>
      </c>
      <c r="F85" s="11" t="s">
        <v>456</v>
      </c>
      <c r="G85" s="11" t="s">
        <v>457</v>
      </c>
      <c r="H85" s="11" t="s">
        <v>458</v>
      </c>
      <c r="I85" s="11" t="s">
        <v>19</v>
      </c>
    </row>
    <row r="86" spans="1:9" x14ac:dyDescent="0.15">
      <c r="A86" s="10">
        <v>85</v>
      </c>
      <c r="B86" s="11" t="s">
        <v>9</v>
      </c>
      <c r="C86" s="11" t="s">
        <v>170</v>
      </c>
      <c r="D86" s="11" t="s">
        <v>171</v>
      </c>
      <c r="E86" s="9" t="str">
        <f>+HYPERLINK("http://trademark.i-assist.jp/data/china/image_1904th/77187388.pdf", "77187388")</f>
        <v>77187388</v>
      </c>
      <c r="F86" s="11" t="s">
        <v>459</v>
      </c>
      <c r="G86" s="11" t="s">
        <v>460</v>
      </c>
      <c r="H86" s="11" t="s">
        <v>461</v>
      </c>
      <c r="I86" s="11" t="s">
        <v>462</v>
      </c>
    </row>
    <row r="87" spans="1:9" x14ac:dyDescent="0.15">
      <c r="A87" s="10">
        <v>86</v>
      </c>
      <c r="B87" s="11" t="s">
        <v>9</v>
      </c>
      <c r="C87" s="11" t="s">
        <v>170</v>
      </c>
      <c r="D87" s="11" t="s">
        <v>171</v>
      </c>
      <c r="E87" s="9" t="str">
        <f>+HYPERLINK("http://trademark.i-assist.jp/data/china/image_1904th/77412949.pdf", "77412949")</f>
        <v>77412949</v>
      </c>
      <c r="F87" s="11" t="s">
        <v>463</v>
      </c>
      <c r="G87" s="11" t="s">
        <v>464</v>
      </c>
      <c r="H87" s="11" t="s">
        <v>465</v>
      </c>
      <c r="I87" s="11" t="s">
        <v>67</v>
      </c>
    </row>
    <row r="88" spans="1:9" x14ac:dyDescent="0.15">
      <c r="A88" s="10">
        <v>87</v>
      </c>
      <c r="B88" s="11" t="s">
        <v>9</v>
      </c>
      <c r="C88" s="11" t="s">
        <v>170</v>
      </c>
      <c r="D88" s="11" t="s">
        <v>171</v>
      </c>
      <c r="E88" s="9" t="str">
        <f>+HYPERLINK("http://trademark.i-assist.jp/data/china/image_1904th/77564473.pdf", "77564473")</f>
        <v>77564473</v>
      </c>
      <c r="F88" s="11" t="s">
        <v>466</v>
      </c>
      <c r="G88" s="11" t="s">
        <v>467</v>
      </c>
      <c r="H88" s="11" t="s">
        <v>468</v>
      </c>
      <c r="I88" s="11" t="s">
        <v>20</v>
      </c>
    </row>
    <row r="89" spans="1:9" x14ac:dyDescent="0.15">
      <c r="A89" s="10">
        <v>88</v>
      </c>
      <c r="B89" s="11" t="s">
        <v>9</v>
      </c>
      <c r="C89" s="11" t="s">
        <v>170</v>
      </c>
      <c r="D89" s="11" t="s">
        <v>171</v>
      </c>
      <c r="E89" s="9" t="str">
        <f>+HYPERLINK("http://trademark.i-assist.jp/data/china/image_1904th/77666001.pdf", "77666001")</f>
        <v>77666001</v>
      </c>
      <c r="F89" s="11" t="s">
        <v>469</v>
      </c>
      <c r="G89" s="11" t="s">
        <v>470</v>
      </c>
      <c r="H89" s="11" t="s">
        <v>471</v>
      </c>
      <c r="I89" s="11" t="s">
        <v>472</v>
      </c>
    </row>
    <row r="90" spans="1:9" x14ac:dyDescent="0.15">
      <c r="A90" s="10">
        <v>89</v>
      </c>
      <c r="B90" s="11" t="s">
        <v>9</v>
      </c>
      <c r="C90" s="11" t="s">
        <v>170</v>
      </c>
      <c r="D90" s="11" t="s">
        <v>171</v>
      </c>
      <c r="E90" s="9" t="str">
        <f>+HYPERLINK("http://trademark.i-assist.jp/data/china/image_1904th/77738692.pdf", "77738692")</f>
        <v>77738692</v>
      </c>
      <c r="F90" s="11" t="s">
        <v>473</v>
      </c>
      <c r="G90" s="11" t="s">
        <v>474</v>
      </c>
      <c r="H90" s="11" t="s">
        <v>475</v>
      </c>
      <c r="I90" s="11" t="s">
        <v>22</v>
      </c>
    </row>
    <row r="91" spans="1:9" x14ac:dyDescent="0.15">
      <c r="A91" s="10">
        <v>90</v>
      </c>
      <c r="B91" s="11" t="s">
        <v>9</v>
      </c>
      <c r="C91" s="11" t="s">
        <v>170</v>
      </c>
      <c r="D91" s="11" t="s">
        <v>171</v>
      </c>
      <c r="E91" s="9" t="str">
        <f>+HYPERLINK("http://trademark.i-assist.jp/data/china/image_1904th/77747394.pdf", "77747394")</f>
        <v>77747394</v>
      </c>
      <c r="F91" s="11" t="s">
        <v>476</v>
      </c>
      <c r="G91" s="11" t="s">
        <v>477</v>
      </c>
      <c r="H91" s="11" t="s">
        <v>478</v>
      </c>
      <c r="I91" s="11" t="s">
        <v>22</v>
      </c>
    </row>
    <row r="92" spans="1:9" x14ac:dyDescent="0.15">
      <c r="A92" s="10">
        <v>91</v>
      </c>
      <c r="B92" s="11" t="s">
        <v>9</v>
      </c>
      <c r="C92" s="11" t="s">
        <v>170</v>
      </c>
      <c r="D92" s="11" t="s">
        <v>171</v>
      </c>
      <c r="E92" s="9" t="str">
        <f>+HYPERLINK("http://trademark.i-assist.jp/data/china/image_1904th/77811618.pdf", "77811618")</f>
        <v>77811618</v>
      </c>
      <c r="F92" s="11" t="s">
        <v>479</v>
      </c>
      <c r="G92" s="11" t="s">
        <v>480</v>
      </c>
      <c r="H92" s="11" t="s">
        <v>481</v>
      </c>
      <c r="I92" s="11" t="s">
        <v>24</v>
      </c>
    </row>
    <row r="93" spans="1:9" x14ac:dyDescent="0.15">
      <c r="A93" s="10">
        <v>92</v>
      </c>
      <c r="B93" s="11" t="s">
        <v>9</v>
      </c>
      <c r="C93" s="11" t="s">
        <v>170</v>
      </c>
      <c r="D93" s="11" t="s">
        <v>171</v>
      </c>
      <c r="E93" s="9" t="str">
        <f>+HYPERLINK("http://trademark.i-assist.jp/data/china/image_1904th/77827056.pdf", "77827056")</f>
        <v>77827056</v>
      </c>
      <c r="F93" s="11" t="s">
        <v>482</v>
      </c>
      <c r="G93" s="11" t="s">
        <v>483</v>
      </c>
      <c r="H93" s="11" t="s">
        <v>484</v>
      </c>
      <c r="I93" s="11" t="s">
        <v>24</v>
      </c>
    </row>
    <row r="94" spans="1:9" x14ac:dyDescent="0.15">
      <c r="A94" s="10">
        <v>93</v>
      </c>
      <c r="B94" s="11" t="s">
        <v>9</v>
      </c>
      <c r="C94" s="11" t="s">
        <v>170</v>
      </c>
      <c r="D94" s="11" t="s">
        <v>171</v>
      </c>
      <c r="E94" s="9" t="str">
        <f>+HYPERLINK("http://trademark.i-assist.jp/data/china/image_1904th/77891264.pdf", "77891264")</f>
        <v>77891264</v>
      </c>
      <c r="F94" s="11" t="s">
        <v>485</v>
      </c>
      <c r="G94" s="11" t="s">
        <v>486</v>
      </c>
      <c r="H94" s="11" t="s">
        <v>13</v>
      </c>
      <c r="I94" s="11" t="s">
        <v>26</v>
      </c>
    </row>
    <row r="95" spans="1:9" x14ac:dyDescent="0.15">
      <c r="A95" s="10">
        <v>94</v>
      </c>
      <c r="B95" s="11" t="s">
        <v>9</v>
      </c>
      <c r="C95" s="11" t="s">
        <v>170</v>
      </c>
      <c r="D95" s="11" t="s">
        <v>171</v>
      </c>
      <c r="E95" s="9" t="str">
        <f>+HYPERLINK("http://trademark.i-assist.jp/data/china/image_1904th/77922528.pdf", "77922528")</f>
        <v>77922528</v>
      </c>
      <c r="F95" s="11" t="s">
        <v>487</v>
      </c>
      <c r="G95" s="11" t="s">
        <v>488</v>
      </c>
      <c r="H95" s="11" t="s">
        <v>489</v>
      </c>
      <c r="I95" s="11" t="s">
        <v>27</v>
      </c>
    </row>
    <row r="96" spans="1:9" x14ac:dyDescent="0.15">
      <c r="A96" s="10">
        <v>95</v>
      </c>
      <c r="B96" s="11" t="s">
        <v>9</v>
      </c>
      <c r="C96" s="11" t="s">
        <v>170</v>
      </c>
      <c r="D96" s="11" t="s">
        <v>171</v>
      </c>
      <c r="E96" s="9" t="str">
        <f>+HYPERLINK("http://trademark.i-assist.jp/data/china/image_1904th/77929296.pdf", "77929296")</f>
        <v>77929296</v>
      </c>
      <c r="F96" s="11" t="s">
        <v>490</v>
      </c>
      <c r="G96" s="11" t="s">
        <v>491</v>
      </c>
      <c r="H96" s="11" t="s">
        <v>492</v>
      </c>
      <c r="I96" s="11" t="s">
        <v>27</v>
      </c>
    </row>
    <row r="97" spans="1:9" x14ac:dyDescent="0.15">
      <c r="A97" s="10">
        <v>96</v>
      </c>
      <c r="B97" s="11" t="s">
        <v>9</v>
      </c>
      <c r="C97" s="11" t="s">
        <v>170</v>
      </c>
      <c r="D97" s="11" t="s">
        <v>171</v>
      </c>
      <c r="E97" s="9" t="str">
        <f>+HYPERLINK("http://trademark.i-assist.jp/data/china/image_1904th/77935610.pdf", "77935610")</f>
        <v>77935610</v>
      </c>
      <c r="F97" s="11" t="s">
        <v>493</v>
      </c>
      <c r="G97" s="11" t="s">
        <v>494</v>
      </c>
      <c r="H97" s="11" t="s">
        <v>495</v>
      </c>
      <c r="I97" s="11" t="s">
        <v>27</v>
      </c>
    </row>
    <row r="98" spans="1:9" x14ac:dyDescent="0.15">
      <c r="A98" s="10">
        <v>97</v>
      </c>
      <c r="B98" s="11" t="s">
        <v>9</v>
      </c>
      <c r="C98" s="11" t="s">
        <v>170</v>
      </c>
      <c r="D98" s="11" t="s">
        <v>171</v>
      </c>
      <c r="E98" s="9" t="str">
        <f>+HYPERLINK("http://trademark.i-assist.jp/data/china/image_1904th/77946720.pdf", "77946720")</f>
        <v>77946720</v>
      </c>
      <c r="F98" s="11" t="s">
        <v>496</v>
      </c>
      <c r="G98" s="11" t="s">
        <v>491</v>
      </c>
      <c r="H98" s="11" t="s">
        <v>497</v>
      </c>
      <c r="I98" s="11" t="s">
        <v>27</v>
      </c>
    </row>
    <row r="99" spans="1:9" x14ac:dyDescent="0.15">
      <c r="A99" s="10">
        <v>98</v>
      </c>
      <c r="B99" s="11" t="s">
        <v>9</v>
      </c>
      <c r="C99" s="11" t="s">
        <v>170</v>
      </c>
      <c r="D99" s="11" t="s">
        <v>171</v>
      </c>
      <c r="E99" s="9" t="str">
        <f>+HYPERLINK("http://trademark.i-assist.jp/data/china/image_1904th/77975508.pdf", "77975508")</f>
        <v>77975508</v>
      </c>
      <c r="F99" s="11" t="s">
        <v>498</v>
      </c>
      <c r="G99" s="11" t="s">
        <v>499</v>
      </c>
      <c r="H99" s="11" t="s">
        <v>500</v>
      </c>
      <c r="I99" s="11" t="s">
        <v>28</v>
      </c>
    </row>
    <row r="100" spans="1:9" x14ac:dyDescent="0.15">
      <c r="A100" s="10">
        <v>99</v>
      </c>
      <c r="B100" s="11" t="s">
        <v>9</v>
      </c>
      <c r="C100" s="11" t="s">
        <v>170</v>
      </c>
      <c r="D100" s="11" t="s">
        <v>171</v>
      </c>
      <c r="E100" s="9" t="str">
        <f>+HYPERLINK("http://trademark.i-assist.jp/data/china/image_1904th/77982062.pdf", "77982062")</f>
        <v>77982062</v>
      </c>
      <c r="F100" s="11" t="s">
        <v>501</v>
      </c>
      <c r="G100" s="11" t="s">
        <v>502</v>
      </c>
      <c r="H100" s="11" t="s">
        <v>503</v>
      </c>
      <c r="I100" s="11" t="s">
        <v>28</v>
      </c>
    </row>
    <row r="101" spans="1:9" x14ac:dyDescent="0.15">
      <c r="A101" s="10">
        <v>100</v>
      </c>
      <c r="B101" s="11" t="s">
        <v>9</v>
      </c>
      <c r="C101" s="11" t="s">
        <v>170</v>
      </c>
      <c r="D101" s="11" t="s">
        <v>171</v>
      </c>
      <c r="E101" s="9" t="str">
        <f>+HYPERLINK("http://trademark.i-assist.jp/data/china/image_1904th/78006248.pdf", "78006248")</f>
        <v>78006248</v>
      </c>
      <c r="F101" s="11" t="s">
        <v>504</v>
      </c>
      <c r="G101" s="11" t="s">
        <v>69</v>
      </c>
      <c r="H101" s="11" t="s">
        <v>505</v>
      </c>
      <c r="I101" s="11" t="s">
        <v>30</v>
      </c>
    </row>
    <row r="102" spans="1:9" x14ac:dyDescent="0.15">
      <c r="A102" s="10">
        <v>101</v>
      </c>
      <c r="B102" s="11" t="s">
        <v>9</v>
      </c>
      <c r="C102" s="11" t="s">
        <v>170</v>
      </c>
      <c r="D102" s="11" t="s">
        <v>171</v>
      </c>
      <c r="E102" s="9" t="str">
        <f>+HYPERLINK("http://trademark.i-assist.jp/data/china/image_1904th/78038287.pdf", "78038287")</f>
        <v>78038287</v>
      </c>
      <c r="F102" s="11" t="s">
        <v>506</v>
      </c>
      <c r="G102" s="11" t="s">
        <v>507</v>
      </c>
      <c r="H102" s="11" t="s">
        <v>508</v>
      </c>
      <c r="I102" s="11" t="s">
        <v>31</v>
      </c>
    </row>
    <row r="103" spans="1:9" x14ac:dyDescent="0.15">
      <c r="A103" s="10">
        <v>102</v>
      </c>
      <c r="B103" s="11" t="s">
        <v>9</v>
      </c>
      <c r="C103" s="11" t="s">
        <v>170</v>
      </c>
      <c r="D103" s="11" t="s">
        <v>171</v>
      </c>
      <c r="E103" s="9" t="str">
        <f>+HYPERLINK("http://trademark.i-assist.jp/data/china/image_1904th/78060416.pdf", "78060416")</f>
        <v>78060416</v>
      </c>
      <c r="F103" s="11" t="s">
        <v>509</v>
      </c>
      <c r="G103" s="11" t="s">
        <v>510</v>
      </c>
      <c r="H103" s="11" t="s">
        <v>511</v>
      </c>
      <c r="I103" s="11" t="s">
        <v>32</v>
      </c>
    </row>
    <row r="104" spans="1:9" x14ac:dyDescent="0.15">
      <c r="A104" s="10">
        <v>103</v>
      </c>
      <c r="B104" s="11" t="s">
        <v>9</v>
      </c>
      <c r="C104" s="11" t="s">
        <v>170</v>
      </c>
      <c r="D104" s="11" t="s">
        <v>171</v>
      </c>
      <c r="E104" s="9" t="str">
        <f>+HYPERLINK("http://trademark.i-assist.jp/data/china/image_1904th/78073160.pdf", "78073160")</f>
        <v>78073160</v>
      </c>
      <c r="F104" s="11" t="s">
        <v>512</v>
      </c>
      <c r="G104" s="11" t="s">
        <v>513</v>
      </c>
      <c r="H104" s="11" t="s">
        <v>514</v>
      </c>
      <c r="I104" s="11" t="s">
        <v>32</v>
      </c>
    </row>
    <row r="105" spans="1:9" x14ac:dyDescent="0.15">
      <c r="A105" s="10">
        <v>104</v>
      </c>
      <c r="B105" s="11" t="s">
        <v>9</v>
      </c>
      <c r="C105" s="11" t="s">
        <v>170</v>
      </c>
      <c r="D105" s="11" t="s">
        <v>171</v>
      </c>
      <c r="E105" s="9" t="str">
        <f>+HYPERLINK("http://trademark.i-assist.jp/data/china/image_1904th/78102150.pdf", "78102150")</f>
        <v>78102150</v>
      </c>
      <c r="F105" s="11" t="s">
        <v>515</v>
      </c>
      <c r="G105" s="11" t="s">
        <v>516</v>
      </c>
      <c r="H105" s="11" t="s">
        <v>517</v>
      </c>
      <c r="I105" s="11" t="s">
        <v>518</v>
      </c>
    </row>
    <row r="106" spans="1:9" x14ac:dyDescent="0.15">
      <c r="A106" s="10">
        <v>105</v>
      </c>
      <c r="B106" s="11" t="s">
        <v>9</v>
      </c>
      <c r="C106" s="11" t="s">
        <v>170</v>
      </c>
      <c r="D106" s="11" t="s">
        <v>171</v>
      </c>
      <c r="E106" s="9" t="str">
        <f>+HYPERLINK("http://trademark.i-assist.jp/data/china/image_1904th/78104821.pdf", "78104821")</f>
        <v>78104821</v>
      </c>
      <c r="F106" s="11" t="s">
        <v>519</v>
      </c>
      <c r="G106" s="11" t="s">
        <v>520</v>
      </c>
      <c r="H106" s="11" t="s">
        <v>521</v>
      </c>
      <c r="I106" s="11" t="s">
        <v>518</v>
      </c>
    </row>
    <row r="107" spans="1:9" x14ac:dyDescent="0.15">
      <c r="A107" s="10">
        <v>106</v>
      </c>
      <c r="B107" s="11" t="s">
        <v>9</v>
      </c>
      <c r="C107" s="11" t="s">
        <v>170</v>
      </c>
      <c r="D107" s="11" t="s">
        <v>171</v>
      </c>
      <c r="E107" s="9" t="str">
        <f>+HYPERLINK("http://trademark.i-assist.jp/data/china/image_1904th/78109340.pdf", "78109340")</f>
        <v>78109340</v>
      </c>
      <c r="F107" s="11" t="s">
        <v>522</v>
      </c>
      <c r="G107" s="11" t="s">
        <v>523</v>
      </c>
      <c r="H107" s="11" t="s">
        <v>524</v>
      </c>
      <c r="I107" s="11" t="s">
        <v>33</v>
      </c>
    </row>
    <row r="108" spans="1:9" x14ac:dyDescent="0.15">
      <c r="A108" s="10">
        <v>107</v>
      </c>
      <c r="B108" s="11" t="s">
        <v>9</v>
      </c>
      <c r="C108" s="11" t="s">
        <v>170</v>
      </c>
      <c r="D108" s="11" t="s">
        <v>171</v>
      </c>
      <c r="E108" s="9" t="str">
        <f>+HYPERLINK("http://trademark.i-assist.jp/data/china/image_1904th/78154922.pdf", "78154922")</f>
        <v>78154922</v>
      </c>
      <c r="F108" s="11" t="s">
        <v>525</v>
      </c>
      <c r="G108" s="11" t="s">
        <v>526</v>
      </c>
      <c r="H108" s="11" t="s">
        <v>527</v>
      </c>
      <c r="I108" s="11" t="s">
        <v>34</v>
      </c>
    </row>
    <row r="109" spans="1:9" x14ac:dyDescent="0.15">
      <c r="A109" s="10">
        <v>108</v>
      </c>
      <c r="B109" s="11" t="s">
        <v>9</v>
      </c>
      <c r="C109" s="11" t="s">
        <v>170</v>
      </c>
      <c r="D109" s="11" t="s">
        <v>171</v>
      </c>
      <c r="E109" s="9" t="str">
        <f>+HYPERLINK("http://trademark.i-assist.jp/data/china/image_1904th/78168968.pdf", "78168968")</f>
        <v>78168968</v>
      </c>
      <c r="F109" s="11" t="s">
        <v>528</v>
      </c>
      <c r="G109" s="11" t="s">
        <v>529</v>
      </c>
      <c r="H109" s="11" t="s">
        <v>530</v>
      </c>
      <c r="I109" s="11" t="s">
        <v>34</v>
      </c>
    </row>
    <row r="110" spans="1:9" x14ac:dyDescent="0.15">
      <c r="A110" s="10">
        <v>109</v>
      </c>
      <c r="B110" s="11" t="s">
        <v>9</v>
      </c>
      <c r="C110" s="11" t="s">
        <v>170</v>
      </c>
      <c r="D110" s="11" t="s">
        <v>171</v>
      </c>
      <c r="E110" s="9" t="str">
        <f>+HYPERLINK("http://trademark.i-assist.jp/data/china/image_1904th/78190868.pdf", "78190868")</f>
        <v>78190868</v>
      </c>
      <c r="F110" s="11" t="s">
        <v>531</v>
      </c>
      <c r="G110" s="11" t="s">
        <v>532</v>
      </c>
      <c r="H110" s="11" t="s">
        <v>533</v>
      </c>
      <c r="I110" s="11" t="s">
        <v>534</v>
      </c>
    </row>
    <row r="111" spans="1:9" x14ac:dyDescent="0.15">
      <c r="A111" s="10">
        <v>110</v>
      </c>
      <c r="B111" s="11" t="s">
        <v>9</v>
      </c>
      <c r="C111" s="11" t="s">
        <v>170</v>
      </c>
      <c r="D111" s="11" t="s">
        <v>171</v>
      </c>
      <c r="E111" s="9" t="str">
        <f>+HYPERLINK("http://trademark.i-assist.jp/data/china/image_1904th/78194613.pdf", "78194613")</f>
        <v>78194613</v>
      </c>
      <c r="F111" s="11" t="s">
        <v>535</v>
      </c>
      <c r="G111" s="11" t="s">
        <v>536</v>
      </c>
      <c r="H111" s="11" t="s">
        <v>537</v>
      </c>
      <c r="I111" s="11" t="s">
        <v>534</v>
      </c>
    </row>
    <row r="112" spans="1:9" x14ac:dyDescent="0.15">
      <c r="A112" s="10">
        <v>111</v>
      </c>
      <c r="B112" s="11" t="s">
        <v>9</v>
      </c>
      <c r="C112" s="11" t="s">
        <v>170</v>
      </c>
      <c r="D112" s="11" t="s">
        <v>171</v>
      </c>
      <c r="E112" s="9" t="str">
        <f>+HYPERLINK("http://trademark.i-assist.jp/data/china/image_1904th/78197479.pdf", "78197479")</f>
        <v>78197479</v>
      </c>
      <c r="F112" s="11" t="s">
        <v>538</v>
      </c>
      <c r="G112" s="11" t="s">
        <v>539</v>
      </c>
      <c r="H112" s="11" t="s">
        <v>540</v>
      </c>
      <c r="I112" s="11" t="s">
        <v>534</v>
      </c>
    </row>
    <row r="113" spans="1:9" x14ac:dyDescent="0.15">
      <c r="A113" s="10">
        <v>112</v>
      </c>
      <c r="B113" s="11" t="s">
        <v>9</v>
      </c>
      <c r="C113" s="11" t="s">
        <v>170</v>
      </c>
      <c r="D113" s="11" t="s">
        <v>171</v>
      </c>
      <c r="E113" s="9" t="str">
        <f>+HYPERLINK("http://trademark.i-assist.jp/data/china/image_1904th/78206177.pdf", "78206177")</f>
        <v>78206177</v>
      </c>
      <c r="F113" s="11" t="s">
        <v>541</v>
      </c>
      <c r="G113" s="11" t="s">
        <v>542</v>
      </c>
      <c r="H113" s="11" t="s">
        <v>543</v>
      </c>
      <c r="I113" s="11" t="s">
        <v>534</v>
      </c>
    </row>
    <row r="114" spans="1:9" x14ac:dyDescent="0.15">
      <c r="A114" s="10">
        <v>113</v>
      </c>
      <c r="B114" s="11" t="s">
        <v>9</v>
      </c>
      <c r="C114" s="11" t="s">
        <v>170</v>
      </c>
      <c r="D114" s="11" t="s">
        <v>171</v>
      </c>
      <c r="E114" s="9" t="str">
        <f>+HYPERLINK("http://trademark.i-assist.jp/data/china/image_1904th/78255707.pdf", "78255707")</f>
        <v>78255707</v>
      </c>
      <c r="F114" s="11" t="s">
        <v>544</v>
      </c>
      <c r="G114" s="11" t="s">
        <v>545</v>
      </c>
      <c r="H114" s="11" t="s">
        <v>546</v>
      </c>
      <c r="I114" s="11" t="s">
        <v>35</v>
      </c>
    </row>
    <row r="115" spans="1:9" x14ac:dyDescent="0.15">
      <c r="A115" s="10">
        <v>114</v>
      </c>
      <c r="B115" s="11" t="s">
        <v>9</v>
      </c>
      <c r="C115" s="11" t="s">
        <v>170</v>
      </c>
      <c r="D115" s="11" t="s">
        <v>171</v>
      </c>
      <c r="E115" s="9" t="str">
        <f>+HYPERLINK("http://trademark.i-assist.jp/data/china/image_1904th/78257573.pdf", "78257573")</f>
        <v>78257573</v>
      </c>
      <c r="F115" s="11" t="s">
        <v>547</v>
      </c>
      <c r="G115" s="11" t="s">
        <v>548</v>
      </c>
      <c r="H115" s="11" t="s">
        <v>549</v>
      </c>
      <c r="I115" s="11" t="s">
        <v>35</v>
      </c>
    </row>
    <row r="116" spans="1:9" x14ac:dyDescent="0.15">
      <c r="A116" s="10">
        <v>115</v>
      </c>
      <c r="B116" s="11" t="s">
        <v>9</v>
      </c>
      <c r="C116" s="11" t="s">
        <v>170</v>
      </c>
      <c r="D116" s="11" t="s">
        <v>171</v>
      </c>
      <c r="E116" s="9" t="str">
        <f>+HYPERLINK("http://trademark.i-assist.jp/data/china/image_1904th/78271744.pdf", "78271744")</f>
        <v>78271744</v>
      </c>
      <c r="F116" s="11" t="s">
        <v>550</v>
      </c>
      <c r="G116" s="11" t="s">
        <v>70</v>
      </c>
      <c r="H116" s="11" t="s">
        <v>551</v>
      </c>
      <c r="I116" s="11" t="s">
        <v>35</v>
      </c>
    </row>
    <row r="117" spans="1:9" x14ac:dyDescent="0.15">
      <c r="A117" s="10">
        <v>116</v>
      </c>
      <c r="B117" s="11" t="s">
        <v>9</v>
      </c>
      <c r="C117" s="11" t="s">
        <v>170</v>
      </c>
      <c r="D117" s="11" t="s">
        <v>171</v>
      </c>
      <c r="E117" s="9" t="str">
        <f>+HYPERLINK("http://trademark.i-assist.jp/data/china/image_1904th/78322250.pdf", "78322250")</f>
        <v>78322250</v>
      </c>
      <c r="F117" s="11" t="s">
        <v>552</v>
      </c>
      <c r="G117" s="11" t="s">
        <v>553</v>
      </c>
      <c r="H117" s="11" t="s">
        <v>554</v>
      </c>
      <c r="I117" s="11" t="s">
        <v>36</v>
      </c>
    </row>
    <row r="118" spans="1:9" x14ac:dyDescent="0.15">
      <c r="A118" s="10">
        <v>117</v>
      </c>
      <c r="B118" s="11" t="s">
        <v>9</v>
      </c>
      <c r="C118" s="11" t="s">
        <v>170</v>
      </c>
      <c r="D118" s="11" t="s">
        <v>171</v>
      </c>
      <c r="E118" s="9" t="str">
        <f>+HYPERLINK("http://trademark.i-assist.jp/data/china/image_1904th/78323959.pdf", "78323959")</f>
        <v>78323959</v>
      </c>
      <c r="F118" s="11" t="s">
        <v>555</v>
      </c>
      <c r="G118" s="11" t="s">
        <v>553</v>
      </c>
      <c r="H118" s="11" t="s">
        <v>556</v>
      </c>
      <c r="I118" s="11" t="s">
        <v>36</v>
      </c>
    </row>
    <row r="119" spans="1:9" x14ac:dyDescent="0.15">
      <c r="A119" s="10">
        <v>118</v>
      </c>
      <c r="B119" s="11" t="s">
        <v>9</v>
      </c>
      <c r="C119" s="11" t="s">
        <v>170</v>
      </c>
      <c r="D119" s="11" t="s">
        <v>171</v>
      </c>
      <c r="E119" s="9" t="str">
        <f>+HYPERLINK("http://trademark.i-assist.jp/data/china/image_1904th/78348388.pdf", "78348388")</f>
        <v>78348388</v>
      </c>
      <c r="F119" s="11" t="s">
        <v>557</v>
      </c>
      <c r="G119" s="11" t="s">
        <v>553</v>
      </c>
      <c r="H119" s="11" t="s">
        <v>558</v>
      </c>
      <c r="I119" s="11" t="s">
        <v>36</v>
      </c>
    </row>
    <row r="120" spans="1:9" x14ac:dyDescent="0.15">
      <c r="A120" s="10">
        <v>119</v>
      </c>
      <c r="B120" s="11" t="s">
        <v>9</v>
      </c>
      <c r="C120" s="11" t="s">
        <v>170</v>
      </c>
      <c r="D120" s="11" t="s">
        <v>171</v>
      </c>
      <c r="E120" s="9" t="str">
        <f>+HYPERLINK("http://trademark.i-assist.jp/data/china/image_1904th/78350525A.pdf", "78350525A")</f>
        <v>78350525A</v>
      </c>
      <c r="F120" s="11" t="s">
        <v>12</v>
      </c>
      <c r="G120" s="11" t="s">
        <v>559</v>
      </c>
      <c r="H120" s="11" t="s">
        <v>560</v>
      </c>
      <c r="I120" s="11" t="s">
        <v>38</v>
      </c>
    </row>
    <row r="121" spans="1:9" x14ac:dyDescent="0.15">
      <c r="A121" s="10">
        <v>120</v>
      </c>
      <c r="B121" s="11" t="s">
        <v>9</v>
      </c>
      <c r="C121" s="11" t="s">
        <v>170</v>
      </c>
      <c r="D121" s="11" t="s">
        <v>171</v>
      </c>
      <c r="E121" s="9" t="str">
        <f>+HYPERLINK("http://trademark.i-assist.jp/data/china/image_1904th/78406371.pdf", "78406371")</f>
        <v>78406371</v>
      </c>
      <c r="F121" s="11" t="s">
        <v>561</v>
      </c>
      <c r="G121" s="11" t="s">
        <v>562</v>
      </c>
      <c r="H121" s="11" t="s">
        <v>563</v>
      </c>
      <c r="I121" s="11" t="s">
        <v>40</v>
      </c>
    </row>
    <row r="122" spans="1:9" x14ac:dyDescent="0.15">
      <c r="A122" s="10">
        <v>121</v>
      </c>
      <c r="B122" s="11" t="s">
        <v>9</v>
      </c>
      <c r="C122" s="11" t="s">
        <v>170</v>
      </c>
      <c r="D122" s="11" t="s">
        <v>171</v>
      </c>
      <c r="E122" s="9" t="str">
        <f>+HYPERLINK("http://trademark.i-assist.jp/data/china/image_1904th/78424713.pdf", "78424713")</f>
        <v>78424713</v>
      </c>
      <c r="F122" s="11" t="s">
        <v>564</v>
      </c>
      <c r="G122" s="11" t="s">
        <v>565</v>
      </c>
      <c r="H122" s="11" t="s">
        <v>566</v>
      </c>
      <c r="I122" s="11" t="s">
        <v>41</v>
      </c>
    </row>
    <row r="123" spans="1:9" x14ac:dyDescent="0.15">
      <c r="A123" s="10">
        <v>122</v>
      </c>
      <c r="B123" s="11" t="s">
        <v>9</v>
      </c>
      <c r="C123" s="11" t="s">
        <v>170</v>
      </c>
      <c r="D123" s="11" t="s">
        <v>171</v>
      </c>
      <c r="E123" s="9" t="str">
        <f>+HYPERLINK("http://trademark.i-assist.jp/data/china/image_1904th/78427322.pdf", "78427322")</f>
        <v>78427322</v>
      </c>
      <c r="F123" s="11" t="s">
        <v>567</v>
      </c>
      <c r="G123" s="11" t="s">
        <v>568</v>
      </c>
      <c r="H123" s="11" t="s">
        <v>569</v>
      </c>
      <c r="I123" s="11" t="s">
        <v>41</v>
      </c>
    </row>
    <row r="124" spans="1:9" x14ac:dyDescent="0.15">
      <c r="A124" s="10">
        <v>123</v>
      </c>
      <c r="B124" s="11" t="s">
        <v>9</v>
      </c>
      <c r="C124" s="11" t="s">
        <v>170</v>
      </c>
      <c r="D124" s="11" t="s">
        <v>171</v>
      </c>
      <c r="E124" s="9" t="str">
        <f>+HYPERLINK("http://trademark.i-assist.jp/data/china/image_1904th/78427607.pdf", "78427607")</f>
        <v>78427607</v>
      </c>
      <c r="F124" s="11" t="s">
        <v>570</v>
      </c>
      <c r="G124" s="11" t="s">
        <v>568</v>
      </c>
      <c r="H124" s="11" t="s">
        <v>569</v>
      </c>
      <c r="I124" s="11" t="s">
        <v>41</v>
      </c>
    </row>
    <row r="125" spans="1:9" x14ac:dyDescent="0.15">
      <c r="A125" s="10">
        <v>124</v>
      </c>
      <c r="B125" s="11" t="s">
        <v>9</v>
      </c>
      <c r="C125" s="11" t="s">
        <v>170</v>
      </c>
      <c r="D125" s="11" t="s">
        <v>171</v>
      </c>
      <c r="E125" s="9" t="str">
        <f>+HYPERLINK("http://trademark.i-assist.jp/data/china/image_1904th/78447435.pdf", "78447435")</f>
        <v>78447435</v>
      </c>
      <c r="F125" s="11" t="s">
        <v>571</v>
      </c>
      <c r="G125" s="11" t="s">
        <v>572</v>
      </c>
      <c r="H125" s="11" t="s">
        <v>573</v>
      </c>
      <c r="I125" s="11" t="s">
        <v>38</v>
      </c>
    </row>
    <row r="126" spans="1:9" x14ac:dyDescent="0.15">
      <c r="A126" s="10">
        <v>125</v>
      </c>
      <c r="B126" s="11" t="s">
        <v>9</v>
      </c>
      <c r="C126" s="11" t="s">
        <v>170</v>
      </c>
      <c r="D126" s="11" t="s">
        <v>171</v>
      </c>
      <c r="E126" s="9" t="str">
        <f>+HYPERLINK("http://trademark.i-assist.jp/data/china/image_1904th/78456878.pdf", "78456878")</f>
        <v>78456878</v>
      </c>
      <c r="F126" s="11" t="s">
        <v>574</v>
      </c>
      <c r="G126" s="11" t="s">
        <v>575</v>
      </c>
      <c r="H126" s="11" t="s">
        <v>576</v>
      </c>
      <c r="I126" s="11" t="s">
        <v>42</v>
      </c>
    </row>
    <row r="127" spans="1:9" x14ac:dyDescent="0.15">
      <c r="A127" s="10">
        <v>126</v>
      </c>
      <c r="B127" s="11" t="s">
        <v>9</v>
      </c>
      <c r="C127" s="11" t="s">
        <v>170</v>
      </c>
      <c r="D127" s="11" t="s">
        <v>171</v>
      </c>
      <c r="E127" s="9" t="str">
        <f>+HYPERLINK("http://trademark.i-assist.jp/data/china/image_1904th/78511891.pdf", "78511891")</f>
        <v>78511891</v>
      </c>
      <c r="F127" s="11" t="s">
        <v>577</v>
      </c>
      <c r="G127" s="11" t="s">
        <v>578</v>
      </c>
      <c r="H127" s="11" t="s">
        <v>579</v>
      </c>
      <c r="I127" s="11" t="s">
        <v>44</v>
      </c>
    </row>
    <row r="128" spans="1:9" x14ac:dyDescent="0.15">
      <c r="A128" s="10">
        <v>127</v>
      </c>
      <c r="B128" s="11" t="s">
        <v>9</v>
      </c>
      <c r="C128" s="11" t="s">
        <v>170</v>
      </c>
      <c r="D128" s="11" t="s">
        <v>171</v>
      </c>
      <c r="E128" s="9" t="str">
        <f>+HYPERLINK("http://trademark.i-assist.jp/data/china/image_1904th/78512913.pdf", "78512913")</f>
        <v>78512913</v>
      </c>
      <c r="F128" s="11" t="s">
        <v>580</v>
      </c>
      <c r="G128" s="11" t="s">
        <v>73</v>
      </c>
      <c r="H128" s="11" t="s">
        <v>581</v>
      </c>
      <c r="I128" s="11" t="s">
        <v>47</v>
      </c>
    </row>
    <row r="129" spans="1:9" x14ac:dyDescent="0.15">
      <c r="A129" s="10">
        <v>128</v>
      </c>
      <c r="B129" s="11" t="s">
        <v>9</v>
      </c>
      <c r="C129" s="11" t="s">
        <v>170</v>
      </c>
      <c r="D129" s="11" t="s">
        <v>171</v>
      </c>
      <c r="E129" s="9" t="str">
        <f>+HYPERLINK("http://trademark.i-assist.jp/data/china/image_1904th/78529603.pdf", "78529603")</f>
        <v>78529603</v>
      </c>
      <c r="F129" s="11" t="s">
        <v>582</v>
      </c>
      <c r="G129" s="11" t="s">
        <v>583</v>
      </c>
      <c r="H129" s="11" t="s">
        <v>584</v>
      </c>
      <c r="I129" s="11" t="s">
        <v>47</v>
      </c>
    </row>
    <row r="130" spans="1:9" x14ac:dyDescent="0.15">
      <c r="A130" s="10">
        <v>129</v>
      </c>
      <c r="B130" s="11" t="s">
        <v>9</v>
      </c>
      <c r="C130" s="11" t="s">
        <v>170</v>
      </c>
      <c r="D130" s="11" t="s">
        <v>171</v>
      </c>
      <c r="E130" s="9" t="str">
        <f>+HYPERLINK("http://trademark.i-assist.jp/data/china/image_1904th/78534263.pdf", "78534263")</f>
        <v>78534263</v>
      </c>
      <c r="F130" s="11" t="s">
        <v>585</v>
      </c>
      <c r="G130" s="11" t="s">
        <v>586</v>
      </c>
      <c r="H130" s="11" t="s">
        <v>587</v>
      </c>
      <c r="I130" s="11" t="s">
        <v>47</v>
      </c>
    </row>
    <row r="131" spans="1:9" x14ac:dyDescent="0.15">
      <c r="A131" s="10">
        <v>130</v>
      </c>
      <c r="B131" s="11" t="s">
        <v>9</v>
      </c>
      <c r="C131" s="11" t="s">
        <v>170</v>
      </c>
      <c r="D131" s="11" t="s">
        <v>171</v>
      </c>
      <c r="E131" s="9" t="str">
        <f>+HYPERLINK("http://trademark.i-assist.jp/data/china/image_1904th/78571830.pdf", "78571830")</f>
        <v>78571830</v>
      </c>
      <c r="F131" s="11" t="s">
        <v>588</v>
      </c>
      <c r="G131" s="11" t="s">
        <v>520</v>
      </c>
      <c r="H131" s="11" t="s">
        <v>589</v>
      </c>
      <c r="I131" s="11" t="s">
        <v>49</v>
      </c>
    </row>
    <row r="132" spans="1:9" x14ac:dyDescent="0.15">
      <c r="A132" s="10">
        <v>131</v>
      </c>
      <c r="B132" s="11" t="s">
        <v>9</v>
      </c>
      <c r="C132" s="11" t="s">
        <v>170</v>
      </c>
      <c r="D132" s="11" t="s">
        <v>171</v>
      </c>
      <c r="E132" s="9" t="str">
        <f>+HYPERLINK("http://trademark.i-assist.jp/data/china/image_1904th/78582979.pdf", "78582979")</f>
        <v>78582979</v>
      </c>
      <c r="F132" s="11" t="s">
        <v>590</v>
      </c>
      <c r="G132" s="11" t="s">
        <v>520</v>
      </c>
      <c r="H132" s="11" t="s">
        <v>591</v>
      </c>
      <c r="I132" s="11" t="s">
        <v>49</v>
      </c>
    </row>
    <row r="133" spans="1:9" x14ac:dyDescent="0.15">
      <c r="A133" s="10">
        <v>132</v>
      </c>
      <c r="B133" s="11" t="s">
        <v>9</v>
      </c>
      <c r="C133" s="11" t="s">
        <v>170</v>
      </c>
      <c r="D133" s="11" t="s">
        <v>171</v>
      </c>
      <c r="E133" s="9" t="str">
        <f>+HYPERLINK("http://trademark.i-assist.jp/data/china/image_1904th/78588157.pdf", "78588157")</f>
        <v>78588157</v>
      </c>
      <c r="F133" s="11" t="s">
        <v>592</v>
      </c>
      <c r="G133" s="11" t="s">
        <v>593</v>
      </c>
      <c r="H133" s="11" t="s">
        <v>594</v>
      </c>
      <c r="I133" s="11" t="s">
        <v>49</v>
      </c>
    </row>
    <row r="134" spans="1:9" x14ac:dyDescent="0.15">
      <c r="A134" s="10">
        <v>133</v>
      </c>
      <c r="B134" s="11" t="s">
        <v>9</v>
      </c>
      <c r="C134" s="11" t="s">
        <v>170</v>
      </c>
      <c r="D134" s="11" t="s">
        <v>171</v>
      </c>
      <c r="E134" s="9" t="str">
        <f>+HYPERLINK("http://trademark.i-assist.jp/data/china/image_1904th/78593420.pdf", "78593420")</f>
        <v>78593420</v>
      </c>
      <c r="F134" s="11" t="s">
        <v>595</v>
      </c>
      <c r="G134" s="11" t="s">
        <v>596</v>
      </c>
      <c r="H134" s="11" t="s">
        <v>597</v>
      </c>
      <c r="I134" s="11" t="s">
        <v>49</v>
      </c>
    </row>
    <row r="135" spans="1:9" x14ac:dyDescent="0.15">
      <c r="A135" s="10">
        <v>134</v>
      </c>
      <c r="B135" s="11" t="s">
        <v>9</v>
      </c>
      <c r="C135" s="11" t="s">
        <v>170</v>
      </c>
      <c r="D135" s="11" t="s">
        <v>171</v>
      </c>
      <c r="E135" s="9" t="str">
        <f>+HYPERLINK("http://trademark.i-assist.jp/data/china/image_1904th/78594383.pdf", "78594383")</f>
        <v>78594383</v>
      </c>
      <c r="F135" s="11" t="s">
        <v>598</v>
      </c>
      <c r="G135" s="11" t="s">
        <v>599</v>
      </c>
      <c r="H135" s="11" t="s">
        <v>600</v>
      </c>
      <c r="I135" s="11" t="s">
        <v>49</v>
      </c>
    </row>
    <row r="136" spans="1:9" x14ac:dyDescent="0.15">
      <c r="A136" s="10">
        <v>135</v>
      </c>
      <c r="B136" s="11" t="s">
        <v>9</v>
      </c>
      <c r="C136" s="11" t="s">
        <v>170</v>
      </c>
      <c r="D136" s="11" t="s">
        <v>171</v>
      </c>
      <c r="E136" s="9" t="str">
        <f>+HYPERLINK("http://trademark.i-assist.jp/data/china/image_1904th/78598249.pdf", "78598249")</f>
        <v>78598249</v>
      </c>
      <c r="F136" s="11" t="s">
        <v>601</v>
      </c>
      <c r="G136" s="11" t="s">
        <v>602</v>
      </c>
      <c r="H136" s="11" t="s">
        <v>603</v>
      </c>
      <c r="I136" s="11" t="s">
        <v>51</v>
      </c>
    </row>
    <row r="137" spans="1:9" x14ac:dyDescent="0.15">
      <c r="A137" s="10">
        <v>136</v>
      </c>
      <c r="B137" s="11" t="s">
        <v>9</v>
      </c>
      <c r="C137" s="11" t="s">
        <v>170</v>
      </c>
      <c r="D137" s="11" t="s">
        <v>171</v>
      </c>
      <c r="E137" s="9" t="str">
        <f>+HYPERLINK("http://trademark.i-assist.jp/data/china/image_1904th/78601211.pdf", "78601211")</f>
        <v>78601211</v>
      </c>
      <c r="F137" s="11" t="s">
        <v>604</v>
      </c>
      <c r="G137" s="11" t="s">
        <v>602</v>
      </c>
      <c r="H137" s="11" t="s">
        <v>605</v>
      </c>
      <c r="I137" s="11" t="s">
        <v>51</v>
      </c>
    </row>
    <row r="138" spans="1:9" x14ac:dyDescent="0.15">
      <c r="A138" s="10">
        <v>137</v>
      </c>
      <c r="B138" s="11" t="s">
        <v>9</v>
      </c>
      <c r="C138" s="11" t="s">
        <v>170</v>
      </c>
      <c r="D138" s="11" t="s">
        <v>171</v>
      </c>
      <c r="E138" s="9" t="str">
        <f>+HYPERLINK("http://trademark.i-assist.jp/data/china/image_1904th/78601433.pdf", "78601433")</f>
        <v>78601433</v>
      </c>
      <c r="F138" s="11" t="s">
        <v>606</v>
      </c>
      <c r="G138" s="11" t="s">
        <v>607</v>
      </c>
      <c r="H138" s="11" t="s">
        <v>608</v>
      </c>
      <c r="I138" s="11" t="s">
        <v>51</v>
      </c>
    </row>
    <row r="139" spans="1:9" x14ac:dyDescent="0.15">
      <c r="A139" s="10">
        <v>138</v>
      </c>
      <c r="B139" s="11" t="s">
        <v>9</v>
      </c>
      <c r="C139" s="11" t="s">
        <v>170</v>
      </c>
      <c r="D139" s="11" t="s">
        <v>171</v>
      </c>
      <c r="E139" s="9" t="str">
        <f>+HYPERLINK("http://trademark.i-assist.jp/data/china/image_1904th/78603501.pdf", "78603501")</f>
        <v>78603501</v>
      </c>
      <c r="F139" s="11" t="s">
        <v>609</v>
      </c>
      <c r="G139" s="11" t="s">
        <v>602</v>
      </c>
      <c r="H139" s="11" t="s">
        <v>610</v>
      </c>
      <c r="I139" s="11" t="s">
        <v>51</v>
      </c>
    </row>
    <row r="140" spans="1:9" x14ac:dyDescent="0.15">
      <c r="A140" s="10">
        <v>139</v>
      </c>
      <c r="B140" s="11" t="s">
        <v>9</v>
      </c>
      <c r="C140" s="11" t="s">
        <v>170</v>
      </c>
      <c r="D140" s="11" t="s">
        <v>171</v>
      </c>
      <c r="E140" s="9" t="str">
        <f>+HYPERLINK("http://trademark.i-assist.jp/data/china/image_1904th/78603503.pdf", "78603503")</f>
        <v>78603503</v>
      </c>
      <c r="F140" s="11" t="s">
        <v>611</v>
      </c>
      <c r="G140" s="11" t="s">
        <v>602</v>
      </c>
      <c r="H140" s="11" t="s">
        <v>612</v>
      </c>
      <c r="I140" s="11" t="s">
        <v>51</v>
      </c>
    </row>
    <row r="141" spans="1:9" x14ac:dyDescent="0.15">
      <c r="A141" s="10">
        <v>140</v>
      </c>
      <c r="B141" s="11" t="s">
        <v>9</v>
      </c>
      <c r="C141" s="11" t="s">
        <v>170</v>
      </c>
      <c r="D141" s="11" t="s">
        <v>171</v>
      </c>
      <c r="E141" s="9" t="str">
        <f>+HYPERLINK("http://trademark.i-assist.jp/data/china/image_1904th/78603506.pdf", "78603506")</f>
        <v>78603506</v>
      </c>
      <c r="F141" s="11" t="s">
        <v>613</v>
      </c>
      <c r="G141" s="11" t="s">
        <v>602</v>
      </c>
      <c r="H141" s="11" t="s">
        <v>614</v>
      </c>
      <c r="I141" s="11" t="s">
        <v>51</v>
      </c>
    </row>
    <row r="142" spans="1:9" x14ac:dyDescent="0.15">
      <c r="A142" s="10">
        <v>141</v>
      </c>
      <c r="B142" s="11" t="s">
        <v>9</v>
      </c>
      <c r="C142" s="11" t="s">
        <v>170</v>
      </c>
      <c r="D142" s="11" t="s">
        <v>171</v>
      </c>
      <c r="E142" s="9" t="str">
        <f>+HYPERLINK("http://trademark.i-assist.jp/data/china/image_1904th/78607079.pdf", "78607079")</f>
        <v>78607079</v>
      </c>
      <c r="F142" s="11" t="s">
        <v>615</v>
      </c>
      <c r="G142" s="11" t="s">
        <v>602</v>
      </c>
      <c r="H142" s="11" t="s">
        <v>616</v>
      </c>
      <c r="I142" s="11" t="s">
        <v>51</v>
      </c>
    </row>
    <row r="143" spans="1:9" x14ac:dyDescent="0.15">
      <c r="A143" s="10">
        <v>142</v>
      </c>
      <c r="B143" s="11" t="s">
        <v>9</v>
      </c>
      <c r="C143" s="11" t="s">
        <v>170</v>
      </c>
      <c r="D143" s="11" t="s">
        <v>171</v>
      </c>
      <c r="E143" s="9" t="str">
        <f>+HYPERLINK("http://trademark.i-assist.jp/data/china/image_1904th/78607085.pdf", "78607085")</f>
        <v>78607085</v>
      </c>
      <c r="F143" s="11" t="s">
        <v>617</v>
      </c>
      <c r="G143" s="11" t="s">
        <v>602</v>
      </c>
      <c r="H143" s="11" t="s">
        <v>618</v>
      </c>
      <c r="I143" s="11" t="s">
        <v>51</v>
      </c>
    </row>
    <row r="144" spans="1:9" x14ac:dyDescent="0.15">
      <c r="A144" s="10">
        <v>143</v>
      </c>
      <c r="B144" s="11" t="s">
        <v>9</v>
      </c>
      <c r="C144" s="11" t="s">
        <v>170</v>
      </c>
      <c r="D144" s="11" t="s">
        <v>171</v>
      </c>
      <c r="E144" s="9" t="str">
        <f>+HYPERLINK("http://trademark.i-assist.jp/data/china/image_1904th/78608646.pdf", "78608646")</f>
        <v>78608646</v>
      </c>
      <c r="F144" s="11" t="s">
        <v>619</v>
      </c>
      <c r="G144" s="11" t="s">
        <v>620</v>
      </c>
      <c r="H144" s="11" t="s">
        <v>621</v>
      </c>
      <c r="I144" s="11" t="s">
        <v>51</v>
      </c>
    </row>
    <row r="145" spans="1:9" x14ac:dyDescent="0.15">
      <c r="A145" s="10">
        <v>144</v>
      </c>
      <c r="B145" s="11" t="s">
        <v>9</v>
      </c>
      <c r="C145" s="11" t="s">
        <v>170</v>
      </c>
      <c r="D145" s="11" t="s">
        <v>171</v>
      </c>
      <c r="E145" s="9" t="str">
        <f>+HYPERLINK("http://trademark.i-assist.jp/data/china/image_1904th/78609855.pdf", "78609855")</f>
        <v>78609855</v>
      </c>
      <c r="F145" s="11" t="s">
        <v>622</v>
      </c>
      <c r="G145" s="11" t="s">
        <v>623</v>
      </c>
      <c r="H145" s="11" t="s">
        <v>624</v>
      </c>
      <c r="I145" s="11" t="s">
        <v>51</v>
      </c>
    </row>
    <row r="146" spans="1:9" x14ac:dyDescent="0.15">
      <c r="A146" s="10">
        <v>145</v>
      </c>
      <c r="B146" s="11" t="s">
        <v>9</v>
      </c>
      <c r="C146" s="11" t="s">
        <v>170</v>
      </c>
      <c r="D146" s="11" t="s">
        <v>171</v>
      </c>
      <c r="E146" s="9" t="str">
        <f>+HYPERLINK("http://trademark.i-assist.jp/data/china/image_1904th/78609986.pdf", "78609986")</f>
        <v>78609986</v>
      </c>
      <c r="F146" s="11" t="s">
        <v>625</v>
      </c>
      <c r="G146" s="11" t="s">
        <v>602</v>
      </c>
      <c r="H146" s="11" t="s">
        <v>626</v>
      </c>
      <c r="I146" s="11" t="s">
        <v>51</v>
      </c>
    </row>
    <row r="147" spans="1:9" x14ac:dyDescent="0.15">
      <c r="A147" s="10">
        <v>146</v>
      </c>
      <c r="B147" s="11" t="s">
        <v>9</v>
      </c>
      <c r="C147" s="11" t="s">
        <v>170</v>
      </c>
      <c r="D147" s="11" t="s">
        <v>171</v>
      </c>
      <c r="E147" s="9" t="str">
        <f>+HYPERLINK("http://trademark.i-assist.jp/data/china/image_1904th/78610003.pdf", "78610003")</f>
        <v>78610003</v>
      </c>
      <c r="F147" s="11" t="s">
        <v>627</v>
      </c>
      <c r="G147" s="11" t="s">
        <v>602</v>
      </c>
      <c r="H147" s="11" t="s">
        <v>628</v>
      </c>
      <c r="I147" s="11" t="s">
        <v>51</v>
      </c>
    </row>
    <row r="148" spans="1:9" x14ac:dyDescent="0.15">
      <c r="A148" s="10">
        <v>147</v>
      </c>
      <c r="B148" s="11" t="s">
        <v>9</v>
      </c>
      <c r="C148" s="11" t="s">
        <v>170</v>
      </c>
      <c r="D148" s="11" t="s">
        <v>171</v>
      </c>
      <c r="E148" s="9" t="str">
        <f>+HYPERLINK("http://trademark.i-assist.jp/data/china/image_1904th/78610007.pdf", "78610007")</f>
        <v>78610007</v>
      </c>
      <c r="F148" s="11" t="s">
        <v>629</v>
      </c>
      <c r="G148" s="11" t="s">
        <v>602</v>
      </c>
      <c r="H148" s="11" t="s">
        <v>630</v>
      </c>
      <c r="I148" s="11" t="s">
        <v>51</v>
      </c>
    </row>
    <row r="149" spans="1:9" x14ac:dyDescent="0.15">
      <c r="A149" s="10">
        <v>148</v>
      </c>
      <c r="B149" s="11" t="s">
        <v>9</v>
      </c>
      <c r="C149" s="11" t="s">
        <v>170</v>
      </c>
      <c r="D149" s="11" t="s">
        <v>171</v>
      </c>
      <c r="E149" s="9" t="str">
        <f>+HYPERLINK("http://trademark.i-assist.jp/data/china/image_1904th/78610010.pdf", "78610010")</f>
        <v>78610010</v>
      </c>
      <c r="F149" s="11" t="s">
        <v>631</v>
      </c>
      <c r="G149" s="11" t="s">
        <v>602</v>
      </c>
      <c r="H149" s="11" t="s">
        <v>632</v>
      </c>
      <c r="I149" s="11" t="s">
        <v>51</v>
      </c>
    </row>
    <row r="150" spans="1:9" x14ac:dyDescent="0.15">
      <c r="A150" s="10">
        <v>149</v>
      </c>
      <c r="B150" s="11" t="s">
        <v>9</v>
      </c>
      <c r="C150" s="11" t="s">
        <v>170</v>
      </c>
      <c r="D150" s="11" t="s">
        <v>171</v>
      </c>
      <c r="E150" s="9" t="str">
        <f>+HYPERLINK("http://trademark.i-assist.jp/data/china/image_1904th/78610012.pdf", "78610012")</f>
        <v>78610012</v>
      </c>
      <c r="F150" s="11" t="s">
        <v>633</v>
      </c>
      <c r="G150" s="11" t="s">
        <v>602</v>
      </c>
      <c r="H150" s="11" t="s">
        <v>634</v>
      </c>
      <c r="I150" s="11" t="s">
        <v>51</v>
      </c>
    </row>
    <row r="151" spans="1:9" x14ac:dyDescent="0.15">
      <c r="A151" s="10">
        <v>150</v>
      </c>
      <c r="B151" s="11" t="s">
        <v>9</v>
      </c>
      <c r="C151" s="11" t="s">
        <v>170</v>
      </c>
      <c r="D151" s="11" t="s">
        <v>171</v>
      </c>
      <c r="E151" s="9" t="str">
        <f>+HYPERLINK("http://trademark.i-assist.jp/data/china/image_1904th/78612493.pdf", "78612493")</f>
        <v>78612493</v>
      </c>
      <c r="F151" s="11" t="s">
        <v>635</v>
      </c>
      <c r="G151" s="11" t="s">
        <v>602</v>
      </c>
      <c r="H151" s="11" t="s">
        <v>636</v>
      </c>
      <c r="I151" s="11" t="s">
        <v>51</v>
      </c>
    </row>
    <row r="152" spans="1:9" x14ac:dyDescent="0.15">
      <c r="A152" s="10">
        <v>151</v>
      </c>
      <c r="B152" s="11" t="s">
        <v>9</v>
      </c>
      <c r="C152" s="11" t="s">
        <v>170</v>
      </c>
      <c r="D152" s="11" t="s">
        <v>171</v>
      </c>
      <c r="E152" s="9" t="str">
        <f>+HYPERLINK("http://trademark.i-assist.jp/data/china/image_1904th/78614522.pdf", "78614522")</f>
        <v>78614522</v>
      </c>
      <c r="F152" s="11" t="s">
        <v>637</v>
      </c>
      <c r="G152" s="11" t="s">
        <v>638</v>
      </c>
      <c r="H152" s="11" t="s">
        <v>639</v>
      </c>
      <c r="I152" s="11" t="s">
        <v>51</v>
      </c>
    </row>
    <row r="153" spans="1:9" x14ac:dyDescent="0.15">
      <c r="A153" s="10">
        <v>152</v>
      </c>
      <c r="B153" s="11" t="s">
        <v>9</v>
      </c>
      <c r="C153" s="11" t="s">
        <v>170</v>
      </c>
      <c r="D153" s="11" t="s">
        <v>171</v>
      </c>
      <c r="E153" s="9" t="str">
        <f>+HYPERLINK("http://trademark.i-assist.jp/data/china/image_1904th/78616806.pdf", "78616806")</f>
        <v>78616806</v>
      </c>
      <c r="F153" s="11" t="s">
        <v>640</v>
      </c>
      <c r="G153" s="11" t="s">
        <v>641</v>
      </c>
      <c r="H153" s="11" t="s">
        <v>642</v>
      </c>
      <c r="I153" s="11" t="s">
        <v>51</v>
      </c>
    </row>
    <row r="154" spans="1:9" x14ac:dyDescent="0.15">
      <c r="A154" s="10">
        <v>153</v>
      </c>
      <c r="B154" s="11" t="s">
        <v>9</v>
      </c>
      <c r="C154" s="11" t="s">
        <v>170</v>
      </c>
      <c r="D154" s="11" t="s">
        <v>171</v>
      </c>
      <c r="E154" s="9" t="str">
        <f>+HYPERLINK("http://trademark.i-assist.jp/data/china/image_1904th/78621943.pdf", "78621943")</f>
        <v>78621943</v>
      </c>
      <c r="F154" s="11" t="s">
        <v>643</v>
      </c>
      <c r="G154" s="11" t="s">
        <v>602</v>
      </c>
      <c r="H154" s="11" t="s">
        <v>644</v>
      </c>
      <c r="I154" s="11" t="s">
        <v>51</v>
      </c>
    </row>
    <row r="155" spans="1:9" x14ac:dyDescent="0.15">
      <c r="A155" s="10">
        <v>154</v>
      </c>
      <c r="B155" s="11" t="s">
        <v>9</v>
      </c>
      <c r="C155" s="11" t="s">
        <v>170</v>
      </c>
      <c r="D155" s="11" t="s">
        <v>171</v>
      </c>
      <c r="E155" s="9" t="str">
        <f>+HYPERLINK("http://trademark.i-assist.jp/data/china/image_1904th/78633030.pdf", "78633030")</f>
        <v>78633030</v>
      </c>
      <c r="F155" s="11" t="s">
        <v>645</v>
      </c>
      <c r="G155" s="11" t="s">
        <v>646</v>
      </c>
      <c r="H155" s="11" t="s">
        <v>647</v>
      </c>
      <c r="I155" s="11" t="s">
        <v>77</v>
      </c>
    </row>
    <row r="156" spans="1:9" x14ac:dyDescent="0.15">
      <c r="A156" s="10">
        <v>155</v>
      </c>
      <c r="B156" s="11" t="s">
        <v>9</v>
      </c>
      <c r="C156" s="11" t="s">
        <v>170</v>
      </c>
      <c r="D156" s="11" t="s">
        <v>171</v>
      </c>
      <c r="E156" s="9" t="str">
        <f>+HYPERLINK("http://trademark.i-assist.jp/data/china/image_1904th/78635249.pdf", "78635249")</f>
        <v>78635249</v>
      </c>
      <c r="F156" s="11" t="s">
        <v>648</v>
      </c>
      <c r="G156" s="11" t="s">
        <v>649</v>
      </c>
      <c r="H156" s="11" t="s">
        <v>650</v>
      </c>
      <c r="I156" s="11" t="s">
        <v>77</v>
      </c>
    </row>
    <row r="157" spans="1:9" x14ac:dyDescent="0.15">
      <c r="A157" s="10">
        <v>156</v>
      </c>
      <c r="B157" s="11" t="s">
        <v>9</v>
      </c>
      <c r="C157" s="11" t="s">
        <v>170</v>
      </c>
      <c r="D157" s="11" t="s">
        <v>171</v>
      </c>
      <c r="E157" s="9" t="str">
        <f>+HYPERLINK("http://trademark.i-assist.jp/data/china/image_1904th/78642018.pdf", "78642018")</f>
        <v>78642018</v>
      </c>
      <c r="F157" s="11" t="s">
        <v>651</v>
      </c>
      <c r="G157" s="11" t="s">
        <v>652</v>
      </c>
      <c r="H157" s="11" t="s">
        <v>653</v>
      </c>
      <c r="I157" s="11" t="s">
        <v>77</v>
      </c>
    </row>
    <row r="158" spans="1:9" x14ac:dyDescent="0.15">
      <c r="A158" s="10">
        <v>157</v>
      </c>
      <c r="B158" s="11" t="s">
        <v>9</v>
      </c>
      <c r="C158" s="11" t="s">
        <v>170</v>
      </c>
      <c r="D158" s="11" t="s">
        <v>171</v>
      </c>
      <c r="E158" s="9" t="str">
        <f>+HYPERLINK("http://trademark.i-assist.jp/data/china/image_1904th/78649243.pdf", "78649243")</f>
        <v>78649243</v>
      </c>
      <c r="F158" s="11" t="s">
        <v>12</v>
      </c>
      <c r="G158" s="11" t="s">
        <v>654</v>
      </c>
      <c r="H158" s="11" t="s">
        <v>655</v>
      </c>
      <c r="I158" s="11" t="s">
        <v>77</v>
      </c>
    </row>
    <row r="159" spans="1:9" x14ac:dyDescent="0.15">
      <c r="A159" s="10">
        <v>158</v>
      </c>
      <c r="B159" s="11" t="s">
        <v>9</v>
      </c>
      <c r="C159" s="11" t="s">
        <v>170</v>
      </c>
      <c r="D159" s="11" t="s">
        <v>171</v>
      </c>
      <c r="E159" s="9" t="str">
        <f>+HYPERLINK("http://trademark.i-assist.jp/data/china/image_1904th/78650234.pdf", "78650234")</f>
        <v>78650234</v>
      </c>
      <c r="F159" s="11" t="s">
        <v>656</v>
      </c>
      <c r="G159" s="11" t="s">
        <v>657</v>
      </c>
      <c r="H159" s="11" t="s">
        <v>658</v>
      </c>
      <c r="I159" s="11" t="s">
        <v>77</v>
      </c>
    </row>
    <row r="160" spans="1:9" x14ac:dyDescent="0.15">
      <c r="A160" s="10">
        <v>159</v>
      </c>
      <c r="B160" s="11" t="s">
        <v>9</v>
      </c>
      <c r="C160" s="11" t="s">
        <v>170</v>
      </c>
      <c r="D160" s="11" t="s">
        <v>171</v>
      </c>
      <c r="E160" s="9" t="str">
        <f>+HYPERLINK("http://trademark.i-assist.jp/data/china/image_1904th/78665483.pdf", "78665483")</f>
        <v>78665483</v>
      </c>
      <c r="F160" s="11" t="s">
        <v>659</v>
      </c>
      <c r="G160" s="11" t="s">
        <v>660</v>
      </c>
      <c r="H160" s="11" t="s">
        <v>661</v>
      </c>
      <c r="I160" s="11" t="s">
        <v>79</v>
      </c>
    </row>
    <row r="161" spans="1:9" x14ac:dyDescent="0.15">
      <c r="A161" s="10">
        <v>160</v>
      </c>
      <c r="B161" s="11" t="s">
        <v>9</v>
      </c>
      <c r="C161" s="11" t="s">
        <v>170</v>
      </c>
      <c r="D161" s="11" t="s">
        <v>171</v>
      </c>
      <c r="E161" s="9" t="str">
        <f>+HYPERLINK("http://trademark.i-assist.jp/data/china/image_1904th/78667100.pdf", "78667100")</f>
        <v>78667100</v>
      </c>
      <c r="F161" s="11" t="s">
        <v>662</v>
      </c>
      <c r="G161" s="11" t="s">
        <v>663</v>
      </c>
      <c r="H161" s="11" t="s">
        <v>664</v>
      </c>
      <c r="I161" s="11" t="s">
        <v>79</v>
      </c>
    </row>
    <row r="162" spans="1:9" x14ac:dyDescent="0.15">
      <c r="A162" s="10">
        <v>161</v>
      </c>
      <c r="B162" s="11" t="s">
        <v>9</v>
      </c>
      <c r="C162" s="11" t="s">
        <v>170</v>
      </c>
      <c r="D162" s="11" t="s">
        <v>171</v>
      </c>
      <c r="E162" s="9" t="str">
        <f>+HYPERLINK("http://trademark.i-assist.jp/data/china/image_1904th/78720152.pdf", "78720152")</f>
        <v>78720152</v>
      </c>
      <c r="F162" s="11" t="s">
        <v>665</v>
      </c>
      <c r="G162" s="11" t="s">
        <v>666</v>
      </c>
      <c r="H162" s="11" t="s">
        <v>667</v>
      </c>
      <c r="I162" s="11" t="s">
        <v>80</v>
      </c>
    </row>
    <row r="163" spans="1:9" x14ac:dyDescent="0.15">
      <c r="A163" s="10">
        <v>162</v>
      </c>
      <c r="B163" s="11" t="s">
        <v>9</v>
      </c>
      <c r="C163" s="11" t="s">
        <v>170</v>
      </c>
      <c r="D163" s="11" t="s">
        <v>171</v>
      </c>
      <c r="E163" s="9" t="str">
        <f>+HYPERLINK("http://trademark.i-assist.jp/data/china/image_1904th/78734613.pdf", "78734613")</f>
        <v>78734613</v>
      </c>
      <c r="F163" s="11" t="s">
        <v>668</v>
      </c>
      <c r="G163" s="11" t="s">
        <v>669</v>
      </c>
      <c r="H163" s="11" t="s">
        <v>670</v>
      </c>
      <c r="I163" s="11" t="s">
        <v>80</v>
      </c>
    </row>
    <row r="164" spans="1:9" x14ac:dyDescent="0.15">
      <c r="A164" s="10">
        <v>163</v>
      </c>
      <c r="B164" s="11" t="s">
        <v>9</v>
      </c>
      <c r="C164" s="11" t="s">
        <v>170</v>
      </c>
      <c r="D164" s="11" t="s">
        <v>171</v>
      </c>
      <c r="E164" s="9" t="str">
        <f>+HYPERLINK("http://trademark.i-assist.jp/data/china/image_1904th/78738897.pdf", "78738897")</f>
        <v>78738897</v>
      </c>
      <c r="F164" s="11" t="s">
        <v>671</v>
      </c>
      <c r="G164" s="11" t="s">
        <v>672</v>
      </c>
      <c r="H164" s="11" t="s">
        <v>673</v>
      </c>
      <c r="I164" s="11" t="s">
        <v>80</v>
      </c>
    </row>
    <row r="165" spans="1:9" x14ac:dyDescent="0.15">
      <c r="A165" s="10">
        <v>164</v>
      </c>
      <c r="B165" s="11" t="s">
        <v>9</v>
      </c>
      <c r="C165" s="11" t="s">
        <v>170</v>
      </c>
      <c r="D165" s="11" t="s">
        <v>171</v>
      </c>
      <c r="E165" s="9" t="str">
        <f>+HYPERLINK("http://trademark.i-assist.jp/data/china/image_1904th/78763812.pdf", "78763812")</f>
        <v>78763812</v>
      </c>
      <c r="F165" s="11" t="s">
        <v>674</v>
      </c>
      <c r="G165" s="11" t="s">
        <v>675</v>
      </c>
      <c r="H165" s="11" t="s">
        <v>676</v>
      </c>
      <c r="I165" s="11" t="s">
        <v>81</v>
      </c>
    </row>
    <row r="166" spans="1:9" x14ac:dyDescent="0.15">
      <c r="A166" s="10">
        <v>165</v>
      </c>
      <c r="B166" s="11" t="s">
        <v>9</v>
      </c>
      <c r="C166" s="11" t="s">
        <v>170</v>
      </c>
      <c r="D166" s="11" t="s">
        <v>171</v>
      </c>
      <c r="E166" s="9" t="str">
        <f>+HYPERLINK("http://trademark.i-assist.jp/data/china/image_1904th/78771310.pdf", "78771310")</f>
        <v>78771310</v>
      </c>
      <c r="F166" s="11" t="s">
        <v>677</v>
      </c>
      <c r="G166" s="11" t="s">
        <v>678</v>
      </c>
      <c r="H166" s="11" t="s">
        <v>679</v>
      </c>
      <c r="I166" s="11" t="s">
        <v>81</v>
      </c>
    </row>
    <row r="167" spans="1:9" x14ac:dyDescent="0.15">
      <c r="A167" s="10">
        <v>166</v>
      </c>
      <c r="B167" s="11" t="s">
        <v>9</v>
      </c>
      <c r="C167" s="11" t="s">
        <v>170</v>
      </c>
      <c r="D167" s="11" t="s">
        <v>171</v>
      </c>
      <c r="E167" s="9" t="str">
        <f>+HYPERLINK("http://trademark.i-assist.jp/data/china/image_1904th/78777802.pdf", "78777802")</f>
        <v>78777802</v>
      </c>
      <c r="F167" s="11" t="s">
        <v>680</v>
      </c>
      <c r="G167" s="11" t="s">
        <v>681</v>
      </c>
      <c r="H167" s="11" t="s">
        <v>682</v>
      </c>
      <c r="I167" s="11" t="s">
        <v>82</v>
      </c>
    </row>
    <row r="168" spans="1:9" x14ac:dyDescent="0.15">
      <c r="A168" s="10">
        <v>167</v>
      </c>
      <c r="B168" s="11" t="s">
        <v>9</v>
      </c>
      <c r="C168" s="11" t="s">
        <v>170</v>
      </c>
      <c r="D168" s="11" t="s">
        <v>171</v>
      </c>
      <c r="E168" s="9" t="str">
        <f>+HYPERLINK("http://trademark.i-assist.jp/data/china/image_1904th/78779907.pdf", "78779907")</f>
        <v>78779907</v>
      </c>
      <c r="F168" s="11" t="s">
        <v>683</v>
      </c>
      <c r="G168" s="11" t="s">
        <v>684</v>
      </c>
      <c r="H168" s="11" t="s">
        <v>685</v>
      </c>
      <c r="I168" s="11" t="s">
        <v>82</v>
      </c>
    </row>
    <row r="169" spans="1:9" x14ac:dyDescent="0.15">
      <c r="A169" s="10">
        <v>168</v>
      </c>
      <c r="B169" s="11" t="s">
        <v>9</v>
      </c>
      <c r="C169" s="11" t="s">
        <v>170</v>
      </c>
      <c r="D169" s="11" t="s">
        <v>171</v>
      </c>
      <c r="E169" s="9" t="str">
        <f>+HYPERLINK("http://trademark.i-assist.jp/data/china/image_1904th/78785280.pdf", "78785280")</f>
        <v>78785280</v>
      </c>
      <c r="F169" s="11" t="s">
        <v>686</v>
      </c>
      <c r="G169" s="11" t="s">
        <v>687</v>
      </c>
      <c r="H169" s="11" t="s">
        <v>688</v>
      </c>
      <c r="I169" s="11" t="s">
        <v>82</v>
      </c>
    </row>
    <row r="170" spans="1:9" x14ac:dyDescent="0.15">
      <c r="A170" s="10">
        <v>169</v>
      </c>
      <c r="B170" s="11" t="s">
        <v>9</v>
      </c>
      <c r="C170" s="11" t="s">
        <v>170</v>
      </c>
      <c r="D170" s="11" t="s">
        <v>171</v>
      </c>
      <c r="E170" s="9" t="str">
        <f>+HYPERLINK("http://trademark.i-assist.jp/data/china/image_1904th/78788158.pdf", "78788158")</f>
        <v>78788158</v>
      </c>
      <c r="F170" s="11" t="s">
        <v>689</v>
      </c>
      <c r="G170" s="11" t="s">
        <v>690</v>
      </c>
      <c r="H170" s="11" t="s">
        <v>691</v>
      </c>
      <c r="I170" s="11" t="s">
        <v>82</v>
      </c>
    </row>
    <row r="171" spans="1:9" x14ac:dyDescent="0.15">
      <c r="A171" s="10">
        <v>170</v>
      </c>
      <c r="B171" s="11" t="s">
        <v>9</v>
      </c>
      <c r="C171" s="11" t="s">
        <v>170</v>
      </c>
      <c r="D171" s="11" t="s">
        <v>171</v>
      </c>
      <c r="E171" s="9" t="str">
        <f>+HYPERLINK("http://trademark.i-assist.jp/data/china/image_1904th/78796406.pdf", "78796406")</f>
        <v>78796406</v>
      </c>
      <c r="F171" s="11" t="s">
        <v>692</v>
      </c>
      <c r="G171" s="11" t="s">
        <v>693</v>
      </c>
      <c r="H171" s="11" t="s">
        <v>694</v>
      </c>
      <c r="I171" s="11" t="s">
        <v>82</v>
      </c>
    </row>
    <row r="172" spans="1:9" x14ac:dyDescent="0.15">
      <c r="A172" s="10">
        <v>171</v>
      </c>
      <c r="B172" s="11" t="s">
        <v>9</v>
      </c>
      <c r="C172" s="11" t="s">
        <v>170</v>
      </c>
      <c r="D172" s="11" t="s">
        <v>171</v>
      </c>
      <c r="E172" s="9" t="str">
        <f>+HYPERLINK("http://trademark.i-assist.jp/data/china/image_1904th/78796860.pdf", "78796860")</f>
        <v>78796860</v>
      </c>
      <c r="F172" s="11" t="s">
        <v>695</v>
      </c>
      <c r="G172" s="11" t="s">
        <v>696</v>
      </c>
      <c r="H172" s="11" t="s">
        <v>697</v>
      </c>
      <c r="I172" s="11" t="s">
        <v>82</v>
      </c>
    </row>
    <row r="173" spans="1:9" x14ac:dyDescent="0.15">
      <c r="A173" s="10">
        <v>172</v>
      </c>
      <c r="B173" s="11" t="s">
        <v>9</v>
      </c>
      <c r="C173" s="11" t="s">
        <v>170</v>
      </c>
      <c r="D173" s="11" t="s">
        <v>171</v>
      </c>
      <c r="E173" s="9" t="str">
        <f>+HYPERLINK("http://trademark.i-assist.jp/data/china/image_1904th/78801928.pdf", "78801928")</f>
        <v>78801928</v>
      </c>
      <c r="F173" s="11" t="s">
        <v>698</v>
      </c>
      <c r="G173" s="11" t="s">
        <v>699</v>
      </c>
      <c r="H173" s="11" t="s">
        <v>700</v>
      </c>
      <c r="I173" s="11" t="s">
        <v>85</v>
      </c>
    </row>
    <row r="174" spans="1:9" x14ac:dyDescent="0.15">
      <c r="A174" s="10">
        <v>173</v>
      </c>
      <c r="B174" s="11" t="s">
        <v>9</v>
      </c>
      <c r="C174" s="11" t="s">
        <v>170</v>
      </c>
      <c r="D174" s="11" t="s">
        <v>171</v>
      </c>
      <c r="E174" s="9" t="str">
        <f>+HYPERLINK("http://trademark.i-assist.jp/data/china/image_1904th/78804244.pdf", "78804244")</f>
        <v>78804244</v>
      </c>
      <c r="F174" s="11" t="s">
        <v>701</v>
      </c>
      <c r="G174" s="11" t="s">
        <v>702</v>
      </c>
      <c r="H174" s="11" t="s">
        <v>703</v>
      </c>
      <c r="I174" s="11" t="s">
        <v>85</v>
      </c>
    </row>
    <row r="175" spans="1:9" x14ac:dyDescent="0.15">
      <c r="A175" s="10">
        <v>174</v>
      </c>
      <c r="B175" s="11" t="s">
        <v>9</v>
      </c>
      <c r="C175" s="11" t="s">
        <v>170</v>
      </c>
      <c r="D175" s="11" t="s">
        <v>171</v>
      </c>
      <c r="E175" s="9" t="str">
        <f>+HYPERLINK("http://trademark.i-assist.jp/data/china/image_1904th/78806875.pdf", "78806875")</f>
        <v>78806875</v>
      </c>
      <c r="F175" s="11" t="s">
        <v>704</v>
      </c>
      <c r="G175" s="11" t="s">
        <v>705</v>
      </c>
      <c r="H175" s="11" t="s">
        <v>706</v>
      </c>
      <c r="I175" s="11" t="s">
        <v>85</v>
      </c>
    </row>
    <row r="176" spans="1:9" x14ac:dyDescent="0.15">
      <c r="A176" s="10">
        <v>175</v>
      </c>
      <c r="B176" s="11" t="s">
        <v>9</v>
      </c>
      <c r="C176" s="11" t="s">
        <v>170</v>
      </c>
      <c r="D176" s="11" t="s">
        <v>171</v>
      </c>
      <c r="E176" s="9" t="str">
        <f>+HYPERLINK("http://trademark.i-assist.jp/data/china/image_1904th/78811225.pdf", "78811225")</f>
        <v>78811225</v>
      </c>
      <c r="F176" s="11" t="s">
        <v>707</v>
      </c>
      <c r="G176" s="11" t="s">
        <v>708</v>
      </c>
      <c r="H176" s="11" t="s">
        <v>709</v>
      </c>
      <c r="I176" s="11" t="s">
        <v>85</v>
      </c>
    </row>
    <row r="177" spans="1:9" x14ac:dyDescent="0.15">
      <c r="A177" s="10">
        <v>176</v>
      </c>
      <c r="B177" s="11" t="s">
        <v>9</v>
      </c>
      <c r="C177" s="11" t="s">
        <v>170</v>
      </c>
      <c r="D177" s="11" t="s">
        <v>171</v>
      </c>
      <c r="E177" s="9" t="str">
        <f>+HYPERLINK("http://trademark.i-assist.jp/data/china/image_1904th/78811826.pdf", "78811826")</f>
        <v>78811826</v>
      </c>
      <c r="F177" s="11" t="s">
        <v>710</v>
      </c>
      <c r="G177" s="11" t="s">
        <v>88</v>
      </c>
      <c r="H177" s="11" t="s">
        <v>711</v>
      </c>
      <c r="I177" s="11" t="s">
        <v>85</v>
      </c>
    </row>
    <row r="178" spans="1:9" x14ac:dyDescent="0.15">
      <c r="A178" s="10">
        <v>177</v>
      </c>
      <c r="B178" s="11" t="s">
        <v>9</v>
      </c>
      <c r="C178" s="11" t="s">
        <v>170</v>
      </c>
      <c r="D178" s="11" t="s">
        <v>171</v>
      </c>
      <c r="E178" s="9" t="str">
        <f>+HYPERLINK("http://trademark.i-assist.jp/data/china/image_1904th/78818086.pdf", "78818086")</f>
        <v>78818086</v>
      </c>
      <c r="F178" s="11" t="s">
        <v>12</v>
      </c>
      <c r="G178" s="11" t="s">
        <v>712</v>
      </c>
      <c r="H178" s="11" t="s">
        <v>713</v>
      </c>
      <c r="I178" s="11" t="s">
        <v>85</v>
      </c>
    </row>
    <row r="179" spans="1:9" x14ac:dyDescent="0.15">
      <c r="A179" s="10">
        <v>178</v>
      </c>
      <c r="B179" s="11" t="s">
        <v>9</v>
      </c>
      <c r="C179" s="11" t="s">
        <v>170</v>
      </c>
      <c r="D179" s="11" t="s">
        <v>171</v>
      </c>
      <c r="E179" s="9" t="str">
        <f>+HYPERLINK("http://trademark.i-assist.jp/data/china/image_1904th/78820803.pdf", "78820803")</f>
        <v>78820803</v>
      </c>
      <c r="F179" s="11" t="s">
        <v>714</v>
      </c>
      <c r="G179" s="11" t="s">
        <v>699</v>
      </c>
      <c r="H179" s="11" t="s">
        <v>715</v>
      </c>
      <c r="I179" s="11" t="s">
        <v>85</v>
      </c>
    </row>
    <row r="180" spans="1:9" x14ac:dyDescent="0.15">
      <c r="A180" s="10">
        <v>179</v>
      </c>
      <c r="B180" s="11" t="s">
        <v>9</v>
      </c>
      <c r="C180" s="11" t="s">
        <v>170</v>
      </c>
      <c r="D180" s="11" t="s">
        <v>171</v>
      </c>
      <c r="E180" s="9" t="str">
        <f>+HYPERLINK("http://trademark.i-assist.jp/data/china/image_1904th/78825837.pdf", "78825837")</f>
        <v>78825837</v>
      </c>
      <c r="F180" s="11" t="s">
        <v>716</v>
      </c>
      <c r="G180" s="11" t="s">
        <v>717</v>
      </c>
      <c r="H180" s="11" t="s">
        <v>718</v>
      </c>
      <c r="I180" s="11" t="s">
        <v>85</v>
      </c>
    </row>
    <row r="181" spans="1:9" x14ac:dyDescent="0.15">
      <c r="A181" s="10">
        <v>180</v>
      </c>
      <c r="B181" s="11" t="s">
        <v>9</v>
      </c>
      <c r="C181" s="11" t="s">
        <v>170</v>
      </c>
      <c r="D181" s="11" t="s">
        <v>171</v>
      </c>
      <c r="E181" s="9" t="str">
        <f>+HYPERLINK("http://trademark.i-assist.jp/data/china/image_1904th/78829487.pdf", "78829487")</f>
        <v>78829487</v>
      </c>
      <c r="F181" s="11" t="s">
        <v>719</v>
      </c>
      <c r="G181" s="11" t="s">
        <v>720</v>
      </c>
      <c r="H181" s="11" t="s">
        <v>721</v>
      </c>
      <c r="I181" s="11" t="s">
        <v>87</v>
      </c>
    </row>
    <row r="182" spans="1:9" x14ac:dyDescent="0.15">
      <c r="A182" s="10">
        <v>181</v>
      </c>
      <c r="B182" s="11" t="s">
        <v>9</v>
      </c>
      <c r="C182" s="11" t="s">
        <v>170</v>
      </c>
      <c r="D182" s="11" t="s">
        <v>171</v>
      </c>
      <c r="E182" s="9" t="str">
        <f>+HYPERLINK("http://trademark.i-assist.jp/data/china/image_1904th/78841019.pdf", "78841019")</f>
        <v>78841019</v>
      </c>
      <c r="F182" s="11" t="s">
        <v>722</v>
      </c>
      <c r="G182" s="11" t="s">
        <v>723</v>
      </c>
      <c r="H182" s="11" t="s">
        <v>37</v>
      </c>
      <c r="I182" s="11" t="s">
        <v>90</v>
      </c>
    </row>
    <row r="183" spans="1:9" x14ac:dyDescent="0.15">
      <c r="A183" s="10">
        <v>182</v>
      </c>
      <c r="B183" s="11" t="s">
        <v>9</v>
      </c>
      <c r="C183" s="11" t="s">
        <v>170</v>
      </c>
      <c r="D183" s="11" t="s">
        <v>171</v>
      </c>
      <c r="E183" s="9" t="str">
        <f>+HYPERLINK("http://trademark.i-assist.jp/data/china/image_1904th/78841729.pdf", "78841729")</f>
        <v>78841729</v>
      </c>
      <c r="F183" s="11" t="s">
        <v>724</v>
      </c>
      <c r="G183" s="11" t="s">
        <v>725</v>
      </c>
      <c r="H183" s="11" t="s">
        <v>726</v>
      </c>
      <c r="I183" s="11" t="s">
        <v>90</v>
      </c>
    </row>
    <row r="184" spans="1:9" x14ac:dyDescent="0.15">
      <c r="A184" s="10">
        <v>183</v>
      </c>
      <c r="B184" s="11" t="s">
        <v>9</v>
      </c>
      <c r="C184" s="11" t="s">
        <v>170</v>
      </c>
      <c r="D184" s="11" t="s">
        <v>171</v>
      </c>
      <c r="E184" s="9" t="str">
        <f>+HYPERLINK("http://trademark.i-assist.jp/data/china/image_1904th/78848322.pdf", "78848322")</f>
        <v>78848322</v>
      </c>
      <c r="F184" s="11" t="s">
        <v>727</v>
      </c>
      <c r="G184" s="11" t="s">
        <v>728</v>
      </c>
      <c r="H184" s="11" t="s">
        <v>729</v>
      </c>
      <c r="I184" s="11" t="s">
        <v>90</v>
      </c>
    </row>
    <row r="185" spans="1:9" x14ac:dyDescent="0.15">
      <c r="A185" s="10">
        <v>184</v>
      </c>
      <c r="B185" s="11" t="s">
        <v>9</v>
      </c>
      <c r="C185" s="11" t="s">
        <v>170</v>
      </c>
      <c r="D185" s="11" t="s">
        <v>171</v>
      </c>
      <c r="E185" s="9" t="str">
        <f>+HYPERLINK("http://trademark.i-assist.jp/data/china/image_1904th/78849749.pdf", "78849749")</f>
        <v>78849749</v>
      </c>
      <c r="F185" s="11" t="s">
        <v>730</v>
      </c>
      <c r="G185" s="11" t="s">
        <v>731</v>
      </c>
      <c r="H185" s="11" t="s">
        <v>732</v>
      </c>
      <c r="I185" s="11" t="s">
        <v>90</v>
      </c>
    </row>
    <row r="186" spans="1:9" x14ac:dyDescent="0.15">
      <c r="A186" s="10">
        <v>185</v>
      </c>
      <c r="B186" s="11" t="s">
        <v>9</v>
      </c>
      <c r="C186" s="11" t="s">
        <v>170</v>
      </c>
      <c r="D186" s="11" t="s">
        <v>171</v>
      </c>
      <c r="E186" s="9" t="str">
        <f>+HYPERLINK("http://trademark.i-assist.jp/data/china/image_1904th/78852698.pdf", "78852698")</f>
        <v>78852698</v>
      </c>
      <c r="F186" s="11" t="s">
        <v>733</v>
      </c>
      <c r="G186" s="11" t="s">
        <v>734</v>
      </c>
      <c r="H186" s="11" t="s">
        <v>735</v>
      </c>
      <c r="I186" s="11" t="s">
        <v>90</v>
      </c>
    </row>
    <row r="187" spans="1:9" x14ac:dyDescent="0.15">
      <c r="A187" s="10">
        <v>186</v>
      </c>
      <c r="B187" s="11" t="s">
        <v>9</v>
      </c>
      <c r="C187" s="11" t="s">
        <v>170</v>
      </c>
      <c r="D187" s="11" t="s">
        <v>171</v>
      </c>
      <c r="E187" s="9" t="str">
        <f>+HYPERLINK("http://trademark.i-assist.jp/data/china/image_1904th/78856104.pdf", "78856104")</f>
        <v>78856104</v>
      </c>
      <c r="F187" s="11" t="s">
        <v>736</v>
      </c>
      <c r="G187" s="11" t="s">
        <v>737</v>
      </c>
      <c r="H187" s="11" t="s">
        <v>738</v>
      </c>
      <c r="I187" s="11" t="s">
        <v>90</v>
      </c>
    </row>
    <row r="188" spans="1:9" x14ac:dyDescent="0.15">
      <c r="A188" s="10">
        <v>187</v>
      </c>
      <c r="B188" s="11" t="s">
        <v>9</v>
      </c>
      <c r="C188" s="11" t="s">
        <v>170</v>
      </c>
      <c r="D188" s="11" t="s">
        <v>171</v>
      </c>
      <c r="E188" s="9" t="str">
        <f>+HYPERLINK("http://trademark.i-assist.jp/data/china/image_1904th/78860879.pdf", "78860879")</f>
        <v>78860879</v>
      </c>
      <c r="F188" s="11" t="s">
        <v>739</v>
      </c>
      <c r="G188" s="11" t="s">
        <v>93</v>
      </c>
      <c r="H188" s="11" t="s">
        <v>740</v>
      </c>
      <c r="I188" s="11" t="s">
        <v>90</v>
      </c>
    </row>
    <row r="189" spans="1:9" x14ac:dyDescent="0.15">
      <c r="A189" s="10">
        <v>188</v>
      </c>
      <c r="B189" s="11" t="s">
        <v>9</v>
      </c>
      <c r="C189" s="11" t="s">
        <v>170</v>
      </c>
      <c r="D189" s="11" t="s">
        <v>171</v>
      </c>
      <c r="E189" s="9" t="str">
        <f>+HYPERLINK("http://trademark.i-assist.jp/data/china/image_1904th/78860956.pdf", "78860956")</f>
        <v>78860956</v>
      </c>
      <c r="F189" s="11" t="s">
        <v>741</v>
      </c>
      <c r="G189" s="11" t="s">
        <v>742</v>
      </c>
      <c r="H189" s="11" t="s">
        <v>743</v>
      </c>
      <c r="I189" s="11" t="s">
        <v>90</v>
      </c>
    </row>
    <row r="190" spans="1:9" x14ac:dyDescent="0.15">
      <c r="A190" s="10">
        <v>189</v>
      </c>
      <c r="B190" s="11" t="s">
        <v>9</v>
      </c>
      <c r="C190" s="11" t="s">
        <v>170</v>
      </c>
      <c r="D190" s="11" t="s">
        <v>171</v>
      </c>
      <c r="E190" s="9" t="str">
        <f>+HYPERLINK("http://trademark.i-assist.jp/data/china/image_1904th/78866716.pdf", "78866716")</f>
        <v>78866716</v>
      </c>
      <c r="F190" s="11" t="s">
        <v>12</v>
      </c>
      <c r="G190" s="11" t="s">
        <v>744</v>
      </c>
      <c r="H190" s="11" t="s">
        <v>745</v>
      </c>
      <c r="I190" s="11" t="s">
        <v>53</v>
      </c>
    </row>
    <row r="191" spans="1:9" x14ac:dyDescent="0.15">
      <c r="A191" s="10">
        <v>190</v>
      </c>
      <c r="B191" s="11" t="s">
        <v>9</v>
      </c>
      <c r="C191" s="11" t="s">
        <v>170</v>
      </c>
      <c r="D191" s="11" t="s">
        <v>171</v>
      </c>
      <c r="E191" s="9" t="str">
        <f>+HYPERLINK("http://trademark.i-assist.jp/data/china/image_1904th/78866914.pdf", "78866914")</f>
        <v>78866914</v>
      </c>
      <c r="F191" s="11" t="s">
        <v>746</v>
      </c>
      <c r="G191" s="11" t="s">
        <v>747</v>
      </c>
      <c r="H191" s="11" t="s">
        <v>748</v>
      </c>
      <c r="I191" s="11" t="s">
        <v>53</v>
      </c>
    </row>
    <row r="192" spans="1:9" x14ac:dyDescent="0.15">
      <c r="A192" s="10">
        <v>191</v>
      </c>
      <c r="B192" s="11" t="s">
        <v>9</v>
      </c>
      <c r="C192" s="11" t="s">
        <v>170</v>
      </c>
      <c r="D192" s="11" t="s">
        <v>171</v>
      </c>
      <c r="E192" s="9" t="str">
        <f>+HYPERLINK("http://trademark.i-assist.jp/data/china/image_1904th/78871349.pdf", "78871349")</f>
        <v>78871349</v>
      </c>
      <c r="F192" s="11" t="s">
        <v>749</v>
      </c>
      <c r="G192" s="11" t="s">
        <v>750</v>
      </c>
      <c r="H192" s="11" t="s">
        <v>751</v>
      </c>
      <c r="I192" s="11" t="s">
        <v>53</v>
      </c>
    </row>
    <row r="193" spans="1:9" x14ac:dyDescent="0.15">
      <c r="A193" s="10">
        <v>192</v>
      </c>
      <c r="B193" s="11" t="s">
        <v>9</v>
      </c>
      <c r="C193" s="11" t="s">
        <v>170</v>
      </c>
      <c r="D193" s="11" t="s">
        <v>171</v>
      </c>
      <c r="E193" s="9" t="str">
        <f>+HYPERLINK("http://trademark.i-assist.jp/data/china/image_1904th/78880237.pdf", "78880237")</f>
        <v>78880237</v>
      </c>
      <c r="F193" s="11" t="s">
        <v>752</v>
      </c>
      <c r="G193" s="11" t="s">
        <v>753</v>
      </c>
      <c r="H193" s="11" t="s">
        <v>754</v>
      </c>
      <c r="I193" s="11" t="s">
        <v>53</v>
      </c>
    </row>
    <row r="194" spans="1:9" x14ac:dyDescent="0.15">
      <c r="A194" s="10">
        <v>193</v>
      </c>
      <c r="B194" s="11" t="s">
        <v>9</v>
      </c>
      <c r="C194" s="11" t="s">
        <v>170</v>
      </c>
      <c r="D194" s="11" t="s">
        <v>171</v>
      </c>
      <c r="E194" s="9" t="str">
        <f>+HYPERLINK("http://trademark.i-assist.jp/data/china/image_1904th/78901899.pdf", "78901899")</f>
        <v>78901899</v>
      </c>
      <c r="F194" s="11" t="s">
        <v>755</v>
      </c>
      <c r="G194" s="11" t="s">
        <v>756</v>
      </c>
      <c r="H194" s="11" t="s">
        <v>18</v>
      </c>
      <c r="I194" s="11" t="s">
        <v>99</v>
      </c>
    </row>
    <row r="195" spans="1:9" x14ac:dyDescent="0.15">
      <c r="A195" s="10">
        <v>194</v>
      </c>
      <c r="B195" s="11" t="s">
        <v>9</v>
      </c>
      <c r="C195" s="11" t="s">
        <v>170</v>
      </c>
      <c r="D195" s="11" t="s">
        <v>171</v>
      </c>
      <c r="E195" s="9" t="str">
        <f>+HYPERLINK("http://trademark.i-assist.jp/data/china/image_1904th/78904579.pdf", "78904579")</f>
        <v>78904579</v>
      </c>
      <c r="F195" s="11" t="s">
        <v>757</v>
      </c>
      <c r="G195" s="11" t="s">
        <v>758</v>
      </c>
      <c r="H195" s="11" t="s">
        <v>759</v>
      </c>
      <c r="I195" s="11" t="s">
        <v>99</v>
      </c>
    </row>
    <row r="196" spans="1:9" x14ac:dyDescent="0.15">
      <c r="A196" s="10">
        <v>195</v>
      </c>
      <c r="B196" s="11" t="s">
        <v>9</v>
      </c>
      <c r="C196" s="11" t="s">
        <v>170</v>
      </c>
      <c r="D196" s="11" t="s">
        <v>171</v>
      </c>
      <c r="E196" s="9" t="str">
        <f>+HYPERLINK("http://trademark.i-assist.jp/data/china/image_1904th/78909128.pdf", "78909128")</f>
        <v>78909128</v>
      </c>
      <c r="F196" s="11" t="s">
        <v>760</v>
      </c>
      <c r="G196" s="11" t="s">
        <v>761</v>
      </c>
      <c r="H196" s="11" t="s">
        <v>762</v>
      </c>
      <c r="I196" s="11" t="s">
        <v>99</v>
      </c>
    </row>
    <row r="197" spans="1:9" x14ac:dyDescent="0.15">
      <c r="A197" s="10">
        <v>196</v>
      </c>
      <c r="B197" s="11" t="s">
        <v>9</v>
      </c>
      <c r="C197" s="11" t="s">
        <v>170</v>
      </c>
      <c r="D197" s="11" t="s">
        <v>171</v>
      </c>
      <c r="E197" s="9" t="str">
        <f>+HYPERLINK("http://trademark.i-assist.jp/data/china/image_1904th/78917075.pdf", "78917075")</f>
        <v>78917075</v>
      </c>
      <c r="F197" s="11" t="s">
        <v>763</v>
      </c>
      <c r="G197" s="11" t="s">
        <v>764</v>
      </c>
      <c r="H197" s="11" t="s">
        <v>765</v>
      </c>
      <c r="I197" s="11" t="s">
        <v>99</v>
      </c>
    </row>
    <row r="198" spans="1:9" x14ac:dyDescent="0.15">
      <c r="A198" s="10">
        <v>197</v>
      </c>
      <c r="B198" s="11" t="s">
        <v>9</v>
      </c>
      <c r="C198" s="11" t="s">
        <v>170</v>
      </c>
      <c r="D198" s="11" t="s">
        <v>171</v>
      </c>
      <c r="E198" s="9" t="str">
        <f>+HYPERLINK("http://trademark.i-assist.jp/data/china/image_1904th/78919505.pdf", "78919505")</f>
        <v>78919505</v>
      </c>
      <c r="F198" s="11" t="s">
        <v>766</v>
      </c>
      <c r="G198" s="11" t="s">
        <v>767</v>
      </c>
      <c r="H198" s="11" t="s">
        <v>768</v>
      </c>
      <c r="I198" s="11" t="s">
        <v>99</v>
      </c>
    </row>
    <row r="199" spans="1:9" x14ac:dyDescent="0.15">
      <c r="A199" s="10">
        <v>198</v>
      </c>
      <c r="B199" s="11" t="s">
        <v>9</v>
      </c>
      <c r="C199" s="11" t="s">
        <v>170</v>
      </c>
      <c r="D199" s="11" t="s">
        <v>171</v>
      </c>
      <c r="E199" s="9" t="str">
        <f>+HYPERLINK("http://trademark.i-assist.jp/data/china/image_1904th/78924607.pdf", "78924607")</f>
        <v>78924607</v>
      </c>
      <c r="F199" s="11" t="s">
        <v>769</v>
      </c>
      <c r="G199" s="11" t="s">
        <v>43</v>
      </c>
      <c r="H199" s="11" t="s">
        <v>770</v>
      </c>
      <c r="I199" s="11" t="s">
        <v>106</v>
      </c>
    </row>
    <row r="200" spans="1:9" x14ac:dyDescent="0.15">
      <c r="A200" s="10">
        <v>199</v>
      </c>
      <c r="B200" s="11" t="s">
        <v>9</v>
      </c>
      <c r="C200" s="11" t="s">
        <v>170</v>
      </c>
      <c r="D200" s="11" t="s">
        <v>171</v>
      </c>
      <c r="E200" s="9" t="str">
        <f>+HYPERLINK("http://trademark.i-assist.jp/data/china/image_1904th/78927500.pdf", "78927500")</f>
        <v>78927500</v>
      </c>
      <c r="F200" s="11" t="s">
        <v>771</v>
      </c>
      <c r="G200" s="11" t="s">
        <v>772</v>
      </c>
      <c r="H200" s="11" t="s">
        <v>773</v>
      </c>
      <c r="I200" s="11" t="s">
        <v>106</v>
      </c>
    </row>
    <row r="201" spans="1:9" x14ac:dyDescent="0.15">
      <c r="A201" s="10">
        <v>200</v>
      </c>
      <c r="B201" s="11" t="s">
        <v>9</v>
      </c>
      <c r="C201" s="11" t="s">
        <v>170</v>
      </c>
      <c r="D201" s="11" t="s">
        <v>171</v>
      </c>
      <c r="E201" s="9" t="str">
        <f>+HYPERLINK("http://trademark.i-assist.jp/data/china/image_1904th/78927962.pdf", "78927962")</f>
        <v>78927962</v>
      </c>
      <c r="F201" s="11" t="s">
        <v>774</v>
      </c>
      <c r="G201" s="11" t="s">
        <v>75</v>
      </c>
      <c r="H201" s="11" t="s">
        <v>775</v>
      </c>
      <c r="I201" s="11" t="s">
        <v>106</v>
      </c>
    </row>
    <row r="202" spans="1:9" x14ac:dyDescent="0.15">
      <c r="A202" s="10">
        <v>201</v>
      </c>
      <c r="B202" s="11" t="s">
        <v>9</v>
      </c>
      <c r="C202" s="11" t="s">
        <v>170</v>
      </c>
      <c r="D202" s="11" t="s">
        <v>171</v>
      </c>
      <c r="E202" s="9" t="str">
        <f>+HYPERLINK("http://trademark.i-assist.jp/data/china/image_1904th/78934607.pdf", "78934607")</f>
        <v>78934607</v>
      </c>
      <c r="F202" s="11" t="s">
        <v>776</v>
      </c>
      <c r="G202" s="11" t="s">
        <v>777</v>
      </c>
      <c r="H202" s="11" t="s">
        <v>778</v>
      </c>
      <c r="I202" s="11" t="s">
        <v>106</v>
      </c>
    </row>
    <row r="203" spans="1:9" x14ac:dyDescent="0.15">
      <c r="A203" s="10">
        <v>202</v>
      </c>
      <c r="B203" s="11" t="s">
        <v>9</v>
      </c>
      <c r="C203" s="11" t="s">
        <v>170</v>
      </c>
      <c r="D203" s="11" t="s">
        <v>171</v>
      </c>
      <c r="E203" s="9" t="str">
        <f>+HYPERLINK("http://trademark.i-assist.jp/data/china/image_1904th/78939749.pdf", "78939749")</f>
        <v>78939749</v>
      </c>
      <c r="F203" s="11" t="s">
        <v>779</v>
      </c>
      <c r="G203" s="11" t="s">
        <v>780</v>
      </c>
      <c r="H203" s="11" t="s">
        <v>781</v>
      </c>
      <c r="I203" s="11" t="s">
        <v>106</v>
      </c>
    </row>
    <row r="204" spans="1:9" x14ac:dyDescent="0.15">
      <c r="A204" s="10">
        <v>203</v>
      </c>
      <c r="B204" s="11" t="s">
        <v>9</v>
      </c>
      <c r="C204" s="11" t="s">
        <v>170</v>
      </c>
      <c r="D204" s="11" t="s">
        <v>171</v>
      </c>
      <c r="E204" s="9" t="str">
        <f>+HYPERLINK("http://trademark.i-assist.jp/data/china/image_1904th/78944961.pdf", "78944961")</f>
        <v>78944961</v>
      </c>
      <c r="F204" s="11" t="s">
        <v>782</v>
      </c>
      <c r="G204" s="11" t="s">
        <v>783</v>
      </c>
      <c r="H204" s="11" t="s">
        <v>784</v>
      </c>
      <c r="I204" s="11" t="s">
        <v>106</v>
      </c>
    </row>
    <row r="205" spans="1:9" x14ac:dyDescent="0.15">
      <c r="A205" s="10">
        <v>204</v>
      </c>
      <c r="B205" s="11" t="s">
        <v>9</v>
      </c>
      <c r="C205" s="11" t="s">
        <v>170</v>
      </c>
      <c r="D205" s="11" t="s">
        <v>171</v>
      </c>
      <c r="E205" s="9" t="str">
        <f>+HYPERLINK("http://trademark.i-assist.jp/data/china/image_1904th/78947744.pdf", "78947744")</f>
        <v>78947744</v>
      </c>
      <c r="F205" s="11" t="s">
        <v>785</v>
      </c>
      <c r="G205" s="11" t="s">
        <v>786</v>
      </c>
      <c r="H205" s="11" t="s">
        <v>787</v>
      </c>
      <c r="I205" s="11" t="s">
        <v>106</v>
      </c>
    </row>
    <row r="206" spans="1:9" x14ac:dyDescent="0.15">
      <c r="A206" s="10">
        <v>205</v>
      </c>
      <c r="B206" s="11" t="s">
        <v>9</v>
      </c>
      <c r="C206" s="11" t="s">
        <v>170</v>
      </c>
      <c r="D206" s="11" t="s">
        <v>171</v>
      </c>
      <c r="E206" s="9" t="str">
        <f>+HYPERLINK("http://trademark.i-assist.jp/data/china/image_1904th/78947915.pdf", "78947915")</f>
        <v>78947915</v>
      </c>
      <c r="F206" s="11" t="s">
        <v>788</v>
      </c>
      <c r="G206" s="11" t="s">
        <v>789</v>
      </c>
      <c r="H206" s="11" t="s">
        <v>790</v>
      </c>
      <c r="I206" s="11" t="s">
        <v>106</v>
      </c>
    </row>
    <row r="207" spans="1:9" x14ac:dyDescent="0.15">
      <c r="A207" s="10">
        <v>206</v>
      </c>
      <c r="B207" s="11" t="s">
        <v>9</v>
      </c>
      <c r="C207" s="11" t="s">
        <v>170</v>
      </c>
      <c r="D207" s="11" t="s">
        <v>171</v>
      </c>
      <c r="E207" s="9" t="str">
        <f>+HYPERLINK("http://trademark.i-assist.jp/data/china/image_1904th/78951349.pdf", "78951349")</f>
        <v>78951349</v>
      </c>
      <c r="F207" s="11" t="s">
        <v>791</v>
      </c>
      <c r="G207" s="11" t="s">
        <v>792</v>
      </c>
      <c r="H207" s="11" t="s">
        <v>793</v>
      </c>
      <c r="I207" s="11" t="s">
        <v>111</v>
      </c>
    </row>
    <row r="208" spans="1:9" x14ac:dyDescent="0.15">
      <c r="A208" s="10">
        <v>207</v>
      </c>
      <c r="B208" s="11" t="s">
        <v>9</v>
      </c>
      <c r="C208" s="11" t="s">
        <v>170</v>
      </c>
      <c r="D208" s="11" t="s">
        <v>171</v>
      </c>
      <c r="E208" s="9" t="str">
        <f>+HYPERLINK("http://trademark.i-assist.jp/data/china/image_1904th/78952726.pdf", "78952726")</f>
        <v>78952726</v>
      </c>
      <c r="F208" s="11" t="s">
        <v>794</v>
      </c>
      <c r="G208" s="11" t="s">
        <v>795</v>
      </c>
      <c r="H208" s="11" t="s">
        <v>796</v>
      </c>
      <c r="I208" s="11" t="s">
        <v>111</v>
      </c>
    </row>
    <row r="209" spans="1:9" x14ac:dyDescent="0.15">
      <c r="A209" s="10">
        <v>208</v>
      </c>
      <c r="B209" s="11" t="s">
        <v>9</v>
      </c>
      <c r="C209" s="11" t="s">
        <v>170</v>
      </c>
      <c r="D209" s="11" t="s">
        <v>171</v>
      </c>
      <c r="E209" s="9" t="str">
        <f>+HYPERLINK("http://trademark.i-assist.jp/data/china/image_1904th/78955020.pdf", "78955020")</f>
        <v>78955020</v>
      </c>
      <c r="F209" s="11" t="s">
        <v>797</v>
      </c>
      <c r="G209" s="11" t="s">
        <v>798</v>
      </c>
      <c r="H209" s="11" t="s">
        <v>799</v>
      </c>
      <c r="I209" s="11" t="s">
        <v>111</v>
      </c>
    </row>
    <row r="210" spans="1:9" x14ac:dyDescent="0.15">
      <c r="A210" s="10">
        <v>209</v>
      </c>
      <c r="B210" s="11" t="s">
        <v>9</v>
      </c>
      <c r="C210" s="11" t="s">
        <v>170</v>
      </c>
      <c r="D210" s="11" t="s">
        <v>171</v>
      </c>
      <c r="E210" s="9" t="str">
        <f>+HYPERLINK("http://trademark.i-assist.jp/data/china/image_1904th/78957523.pdf", "78957523")</f>
        <v>78957523</v>
      </c>
      <c r="F210" s="11" t="s">
        <v>12</v>
      </c>
      <c r="G210" s="11" t="s">
        <v>800</v>
      </c>
      <c r="H210" s="11" t="s">
        <v>801</v>
      </c>
      <c r="I210" s="11" t="s">
        <v>111</v>
      </c>
    </row>
    <row r="211" spans="1:9" x14ac:dyDescent="0.15">
      <c r="A211" s="10">
        <v>210</v>
      </c>
      <c r="B211" s="11" t="s">
        <v>9</v>
      </c>
      <c r="C211" s="11" t="s">
        <v>170</v>
      </c>
      <c r="D211" s="11" t="s">
        <v>171</v>
      </c>
      <c r="E211" s="9" t="str">
        <f>+HYPERLINK("http://trademark.i-assist.jp/data/china/image_1904th/78959476.pdf", "78959476")</f>
        <v>78959476</v>
      </c>
      <c r="F211" s="11" t="s">
        <v>802</v>
      </c>
      <c r="G211" s="11" t="s">
        <v>803</v>
      </c>
      <c r="H211" s="11" t="s">
        <v>804</v>
      </c>
      <c r="I211" s="11" t="s">
        <v>111</v>
      </c>
    </row>
    <row r="212" spans="1:9" x14ac:dyDescent="0.15">
      <c r="A212" s="10">
        <v>211</v>
      </c>
      <c r="B212" s="11" t="s">
        <v>9</v>
      </c>
      <c r="C212" s="11" t="s">
        <v>170</v>
      </c>
      <c r="D212" s="11" t="s">
        <v>171</v>
      </c>
      <c r="E212" s="9" t="str">
        <f>+HYPERLINK("http://trademark.i-assist.jp/data/china/image_1904th/78960394.pdf", "78960394")</f>
        <v>78960394</v>
      </c>
      <c r="F212" s="11" t="s">
        <v>805</v>
      </c>
      <c r="G212" s="11" t="s">
        <v>806</v>
      </c>
      <c r="H212" s="11" t="s">
        <v>807</v>
      </c>
      <c r="I212" s="11" t="s">
        <v>111</v>
      </c>
    </row>
    <row r="213" spans="1:9" x14ac:dyDescent="0.15">
      <c r="A213" s="10">
        <v>212</v>
      </c>
      <c r="B213" s="11" t="s">
        <v>9</v>
      </c>
      <c r="C213" s="11" t="s">
        <v>170</v>
      </c>
      <c r="D213" s="11" t="s">
        <v>171</v>
      </c>
      <c r="E213" s="9" t="str">
        <f>+HYPERLINK("http://trademark.i-assist.jp/data/china/image_1904th/78961847.pdf", "78961847")</f>
        <v>78961847</v>
      </c>
      <c r="F213" s="11" t="s">
        <v>808</v>
      </c>
      <c r="G213" s="11" t="s">
        <v>809</v>
      </c>
      <c r="H213" s="11" t="s">
        <v>810</v>
      </c>
      <c r="I213" s="11" t="s">
        <v>111</v>
      </c>
    </row>
    <row r="214" spans="1:9" x14ac:dyDescent="0.15">
      <c r="A214" s="10">
        <v>213</v>
      </c>
      <c r="B214" s="11" t="s">
        <v>9</v>
      </c>
      <c r="C214" s="11" t="s">
        <v>170</v>
      </c>
      <c r="D214" s="11" t="s">
        <v>171</v>
      </c>
      <c r="E214" s="9" t="str">
        <f>+HYPERLINK("http://trademark.i-assist.jp/data/china/image_1904th/78962677.pdf", "78962677")</f>
        <v>78962677</v>
      </c>
      <c r="F214" s="11" t="s">
        <v>811</v>
      </c>
      <c r="G214" s="11" t="s">
        <v>812</v>
      </c>
      <c r="H214" s="11" t="s">
        <v>813</v>
      </c>
      <c r="I214" s="11" t="s">
        <v>111</v>
      </c>
    </row>
    <row r="215" spans="1:9" x14ac:dyDescent="0.15">
      <c r="A215" s="10">
        <v>214</v>
      </c>
      <c r="B215" s="11" t="s">
        <v>9</v>
      </c>
      <c r="C215" s="11" t="s">
        <v>170</v>
      </c>
      <c r="D215" s="11" t="s">
        <v>171</v>
      </c>
      <c r="E215" s="9" t="str">
        <f>+HYPERLINK("http://trademark.i-assist.jp/data/china/image_1904th/78971152.pdf", "78971152")</f>
        <v>78971152</v>
      </c>
      <c r="F215" s="11" t="s">
        <v>814</v>
      </c>
      <c r="G215" s="11" t="s">
        <v>809</v>
      </c>
      <c r="H215" s="11" t="s">
        <v>815</v>
      </c>
      <c r="I215" s="11" t="s">
        <v>111</v>
      </c>
    </row>
    <row r="216" spans="1:9" x14ac:dyDescent="0.15">
      <c r="A216" s="10">
        <v>215</v>
      </c>
      <c r="B216" s="11" t="s">
        <v>9</v>
      </c>
      <c r="C216" s="11" t="s">
        <v>170</v>
      </c>
      <c r="D216" s="11" t="s">
        <v>171</v>
      </c>
      <c r="E216" s="9" t="str">
        <f>+HYPERLINK("http://trademark.i-assist.jp/data/china/image_1904th/78975703.pdf", "78975703")</f>
        <v>78975703</v>
      </c>
      <c r="F216" s="11" t="s">
        <v>816</v>
      </c>
      <c r="G216" s="11" t="s">
        <v>817</v>
      </c>
      <c r="H216" s="11" t="s">
        <v>818</v>
      </c>
      <c r="I216" s="11" t="s">
        <v>111</v>
      </c>
    </row>
    <row r="217" spans="1:9" x14ac:dyDescent="0.15">
      <c r="A217" s="10">
        <v>216</v>
      </c>
      <c r="B217" s="11" t="s">
        <v>9</v>
      </c>
      <c r="C217" s="11" t="s">
        <v>170</v>
      </c>
      <c r="D217" s="11" t="s">
        <v>171</v>
      </c>
      <c r="E217" s="9" t="str">
        <f>+HYPERLINK("http://trademark.i-assist.jp/data/china/image_1904th/78977031.pdf", "78977031")</f>
        <v>78977031</v>
      </c>
      <c r="F217" s="11" t="s">
        <v>819</v>
      </c>
      <c r="G217" s="11" t="s">
        <v>820</v>
      </c>
      <c r="H217" s="11" t="s">
        <v>821</v>
      </c>
      <c r="I217" s="11" t="s">
        <v>111</v>
      </c>
    </row>
    <row r="218" spans="1:9" x14ac:dyDescent="0.15">
      <c r="A218" s="10">
        <v>217</v>
      </c>
      <c r="B218" s="11" t="s">
        <v>9</v>
      </c>
      <c r="C218" s="11" t="s">
        <v>170</v>
      </c>
      <c r="D218" s="11" t="s">
        <v>171</v>
      </c>
      <c r="E218" s="9" t="str">
        <f>+HYPERLINK("http://trademark.i-assist.jp/data/china/image_1904th/78979123.pdf", "78979123")</f>
        <v>78979123</v>
      </c>
      <c r="F218" s="11" t="s">
        <v>822</v>
      </c>
      <c r="G218" s="11" t="s">
        <v>823</v>
      </c>
      <c r="H218" s="11" t="s">
        <v>824</v>
      </c>
      <c r="I218" s="11" t="s">
        <v>118</v>
      </c>
    </row>
    <row r="219" spans="1:9" x14ac:dyDescent="0.15">
      <c r="A219" s="10">
        <v>218</v>
      </c>
      <c r="B219" s="11" t="s">
        <v>9</v>
      </c>
      <c r="C219" s="11" t="s">
        <v>170</v>
      </c>
      <c r="D219" s="11" t="s">
        <v>171</v>
      </c>
      <c r="E219" s="9" t="str">
        <f>+HYPERLINK("http://trademark.i-assist.jp/data/china/image_1904th/78984905.pdf", "78984905")</f>
        <v>78984905</v>
      </c>
      <c r="F219" s="11" t="s">
        <v>825</v>
      </c>
      <c r="G219" s="11" t="s">
        <v>826</v>
      </c>
      <c r="H219" s="11" t="s">
        <v>15</v>
      </c>
      <c r="I219" s="11" t="s">
        <v>111</v>
      </c>
    </row>
    <row r="220" spans="1:9" x14ac:dyDescent="0.15">
      <c r="A220" s="10">
        <v>219</v>
      </c>
      <c r="B220" s="11" t="s">
        <v>9</v>
      </c>
      <c r="C220" s="11" t="s">
        <v>170</v>
      </c>
      <c r="D220" s="11" t="s">
        <v>171</v>
      </c>
      <c r="E220" s="9" t="str">
        <f>+HYPERLINK("http://trademark.i-assist.jp/data/china/image_1904th/78986128.pdf", "78986128")</f>
        <v>78986128</v>
      </c>
      <c r="F220" s="11" t="s">
        <v>827</v>
      </c>
      <c r="G220" s="11" t="s">
        <v>828</v>
      </c>
      <c r="H220" s="11" t="s">
        <v>829</v>
      </c>
      <c r="I220" s="11" t="s">
        <v>120</v>
      </c>
    </row>
    <row r="221" spans="1:9" x14ac:dyDescent="0.15">
      <c r="A221" s="10">
        <v>220</v>
      </c>
      <c r="B221" s="11" t="s">
        <v>9</v>
      </c>
      <c r="C221" s="11" t="s">
        <v>170</v>
      </c>
      <c r="D221" s="11" t="s">
        <v>171</v>
      </c>
      <c r="E221" s="9" t="str">
        <f>+HYPERLINK("http://trademark.i-assist.jp/data/china/image_1904th/78986825.pdf", "78986825")</f>
        <v>78986825</v>
      </c>
      <c r="F221" s="11" t="s">
        <v>830</v>
      </c>
      <c r="G221" s="11" t="s">
        <v>831</v>
      </c>
      <c r="H221" s="11" t="s">
        <v>832</v>
      </c>
      <c r="I221" s="11" t="s">
        <v>120</v>
      </c>
    </row>
    <row r="222" spans="1:9" x14ac:dyDescent="0.15">
      <c r="A222" s="10">
        <v>221</v>
      </c>
      <c r="B222" s="11" t="s">
        <v>9</v>
      </c>
      <c r="C222" s="11" t="s">
        <v>170</v>
      </c>
      <c r="D222" s="11" t="s">
        <v>171</v>
      </c>
      <c r="E222" s="9" t="str">
        <f>+HYPERLINK("http://trademark.i-assist.jp/data/china/image_1904th/78994270.pdf", "78994270")</f>
        <v>78994270</v>
      </c>
      <c r="F222" s="11" t="s">
        <v>833</v>
      </c>
      <c r="G222" s="11" t="s">
        <v>834</v>
      </c>
      <c r="H222" s="11" t="s">
        <v>835</v>
      </c>
      <c r="I222" s="11" t="s">
        <v>120</v>
      </c>
    </row>
    <row r="223" spans="1:9" x14ac:dyDescent="0.15">
      <c r="A223" s="10">
        <v>222</v>
      </c>
      <c r="B223" s="11" t="s">
        <v>9</v>
      </c>
      <c r="C223" s="11" t="s">
        <v>170</v>
      </c>
      <c r="D223" s="11" t="s">
        <v>171</v>
      </c>
      <c r="E223" s="9" t="str">
        <f>+HYPERLINK("http://trademark.i-assist.jp/data/china/image_1904th/78994838.pdf", "78994838")</f>
        <v>78994838</v>
      </c>
      <c r="F223" s="11" t="s">
        <v>836</v>
      </c>
      <c r="G223" s="11" t="s">
        <v>837</v>
      </c>
      <c r="H223" s="11" t="s">
        <v>838</v>
      </c>
      <c r="I223" s="11" t="s">
        <v>120</v>
      </c>
    </row>
    <row r="224" spans="1:9" x14ac:dyDescent="0.15">
      <c r="A224" s="10">
        <v>223</v>
      </c>
      <c r="B224" s="11" t="s">
        <v>9</v>
      </c>
      <c r="C224" s="11" t="s">
        <v>170</v>
      </c>
      <c r="D224" s="11" t="s">
        <v>171</v>
      </c>
      <c r="E224" s="9" t="str">
        <f>+HYPERLINK("http://trademark.i-assist.jp/data/china/image_1904th/78995218.pdf", "78995218")</f>
        <v>78995218</v>
      </c>
      <c r="F224" s="11" t="s">
        <v>839</v>
      </c>
      <c r="G224" s="11" t="s">
        <v>840</v>
      </c>
      <c r="H224" s="11" t="s">
        <v>841</v>
      </c>
      <c r="I224" s="11" t="s">
        <v>120</v>
      </c>
    </row>
    <row r="225" spans="1:9" x14ac:dyDescent="0.15">
      <c r="A225" s="10">
        <v>224</v>
      </c>
      <c r="B225" s="11" t="s">
        <v>9</v>
      </c>
      <c r="C225" s="11" t="s">
        <v>170</v>
      </c>
      <c r="D225" s="11" t="s">
        <v>171</v>
      </c>
      <c r="E225" s="9" t="str">
        <f>+HYPERLINK("http://trademark.i-assist.jp/data/china/image_1904th/78998485.pdf", "78998485")</f>
        <v>78998485</v>
      </c>
      <c r="F225" s="11" t="s">
        <v>842</v>
      </c>
      <c r="G225" s="11" t="s">
        <v>843</v>
      </c>
      <c r="H225" s="11" t="s">
        <v>844</v>
      </c>
      <c r="I225" s="11" t="s">
        <v>120</v>
      </c>
    </row>
    <row r="226" spans="1:9" x14ac:dyDescent="0.15">
      <c r="A226" s="10">
        <v>225</v>
      </c>
      <c r="B226" s="11" t="s">
        <v>9</v>
      </c>
      <c r="C226" s="11" t="s">
        <v>170</v>
      </c>
      <c r="D226" s="11" t="s">
        <v>171</v>
      </c>
      <c r="E226" s="9" t="str">
        <f>+HYPERLINK("http://trademark.i-assist.jp/data/china/image_1904th/79004289.pdf", "79004289")</f>
        <v>79004289</v>
      </c>
      <c r="F226" s="11" t="s">
        <v>845</v>
      </c>
      <c r="G226" s="11" t="s">
        <v>122</v>
      </c>
      <c r="H226" s="11" t="s">
        <v>846</v>
      </c>
      <c r="I226" s="11" t="s">
        <v>120</v>
      </c>
    </row>
    <row r="227" spans="1:9" x14ac:dyDescent="0.15">
      <c r="A227" s="10">
        <v>226</v>
      </c>
      <c r="B227" s="11" t="s">
        <v>9</v>
      </c>
      <c r="C227" s="11" t="s">
        <v>170</v>
      </c>
      <c r="D227" s="11" t="s">
        <v>171</v>
      </c>
      <c r="E227" s="9" t="str">
        <f>+HYPERLINK("http://trademark.i-assist.jp/data/china/image_1904th/79004857.pdf", "79004857")</f>
        <v>79004857</v>
      </c>
      <c r="F227" s="11" t="s">
        <v>847</v>
      </c>
      <c r="G227" s="11" t="s">
        <v>848</v>
      </c>
      <c r="H227" s="11" t="s">
        <v>849</v>
      </c>
      <c r="I227" s="11" t="s">
        <v>120</v>
      </c>
    </row>
    <row r="228" spans="1:9" x14ac:dyDescent="0.15">
      <c r="A228" s="10">
        <v>227</v>
      </c>
      <c r="B228" s="11" t="s">
        <v>9</v>
      </c>
      <c r="C228" s="11" t="s">
        <v>170</v>
      </c>
      <c r="D228" s="11" t="s">
        <v>171</v>
      </c>
      <c r="E228" s="9" t="str">
        <f>+HYPERLINK("http://trademark.i-assist.jp/data/china/image_1904th/79006501.pdf", "79006501")</f>
        <v>79006501</v>
      </c>
      <c r="F228" s="11" t="s">
        <v>850</v>
      </c>
      <c r="G228" s="11" t="s">
        <v>851</v>
      </c>
      <c r="H228" s="11" t="s">
        <v>852</v>
      </c>
      <c r="I228" s="11" t="s">
        <v>120</v>
      </c>
    </row>
    <row r="229" spans="1:9" x14ac:dyDescent="0.15">
      <c r="A229" s="10">
        <v>228</v>
      </c>
      <c r="B229" s="11" t="s">
        <v>9</v>
      </c>
      <c r="C229" s="11" t="s">
        <v>170</v>
      </c>
      <c r="D229" s="11" t="s">
        <v>171</v>
      </c>
      <c r="E229" s="9" t="str">
        <f>+HYPERLINK("http://trademark.i-assist.jp/data/china/image_1904th/79006506.pdf", "79006506")</f>
        <v>79006506</v>
      </c>
      <c r="F229" s="11" t="s">
        <v>853</v>
      </c>
      <c r="G229" s="11" t="s">
        <v>124</v>
      </c>
      <c r="H229" s="11" t="s">
        <v>854</v>
      </c>
      <c r="I229" s="11" t="s">
        <v>120</v>
      </c>
    </row>
    <row r="230" spans="1:9" x14ac:dyDescent="0.15">
      <c r="A230" s="10">
        <v>229</v>
      </c>
      <c r="B230" s="11" t="s">
        <v>9</v>
      </c>
      <c r="C230" s="11" t="s">
        <v>170</v>
      </c>
      <c r="D230" s="11" t="s">
        <v>171</v>
      </c>
      <c r="E230" s="9" t="str">
        <f>+HYPERLINK("http://trademark.i-assist.jp/data/china/image_1904th/79006965.pdf", "79006965")</f>
        <v>79006965</v>
      </c>
      <c r="F230" s="11" t="s">
        <v>855</v>
      </c>
      <c r="G230" s="11" t="s">
        <v>856</v>
      </c>
      <c r="H230" s="11" t="s">
        <v>857</v>
      </c>
      <c r="I230" s="11" t="s">
        <v>120</v>
      </c>
    </row>
    <row r="231" spans="1:9" x14ac:dyDescent="0.15">
      <c r="A231" s="10">
        <v>230</v>
      </c>
      <c r="B231" s="11" t="s">
        <v>9</v>
      </c>
      <c r="C231" s="11" t="s">
        <v>170</v>
      </c>
      <c r="D231" s="11" t="s">
        <v>171</v>
      </c>
      <c r="E231" s="9" t="str">
        <f>+HYPERLINK("http://trademark.i-assist.jp/data/china/image_1904th/79008384.pdf", "79008384")</f>
        <v>79008384</v>
      </c>
      <c r="F231" s="11" t="s">
        <v>858</v>
      </c>
      <c r="G231" s="11" t="s">
        <v>859</v>
      </c>
      <c r="H231" s="11" t="s">
        <v>860</v>
      </c>
      <c r="I231" s="11" t="s">
        <v>120</v>
      </c>
    </row>
    <row r="232" spans="1:9" x14ac:dyDescent="0.15">
      <c r="A232" s="10">
        <v>231</v>
      </c>
      <c r="B232" s="11" t="s">
        <v>9</v>
      </c>
      <c r="C232" s="11" t="s">
        <v>170</v>
      </c>
      <c r="D232" s="11" t="s">
        <v>171</v>
      </c>
      <c r="E232" s="9" t="str">
        <f>+HYPERLINK("http://trademark.i-assist.jp/data/china/image_1904th/79009794.pdf", "79009794")</f>
        <v>79009794</v>
      </c>
      <c r="F232" s="11" t="s">
        <v>861</v>
      </c>
      <c r="G232" s="11" t="s">
        <v>862</v>
      </c>
      <c r="H232" s="11" t="s">
        <v>863</v>
      </c>
      <c r="I232" s="11" t="s">
        <v>120</v>
      </c>
    </row>
    <row r="233" spans="1:9" x14ac:dyDescent="0.15">
      <c r="A233" s="10">
        <v>232</v>
      </c>
      <c r="B233" s="11" t="s">
        <v>9</v>
      </c>
      <c r="C233" s="11" t="s">
        <v>170</v>
      </c>
      <c r="D233" s="11" t="s">
        <v>171</v>
      </c>
      <c r="E233" s="9" t="str">
        <f>+HYPERLINK("http://trademark.i-assist.jp/data/china/image_1904th/79012038.pdf", "79012038")</f>
        <v>79012038</v>
      </c>
      <c r="F233" s="11" t="s">
        <v>12</v>
      </c>
      <c r="G233" s="11" t="s">
        <v>864</v>
      </c>
      <c r="H233" s="11" t="s">
        <v>865</v>
      </c>
      <c r="I233" s="11" t="s">
        <v>126</v>
      </c>
    </row>
    <row r="234" spans="1:9" x14ac:dyDescent="0.15">
      <c r="A234" s="10">
        <v>233</v>
      </c>
      <c r="B234" s="11" t="s">
        <v>9</v>
      </c>
      <c r="C234" s="11" t="s">
        <v>170</v>
      </c>
      <c r="D234" s="11" t="s">
        <v>171</v>
      </c>
      <c r="E234" s="9" t="str">
        <f>+HYPERLINK("http://trademark.i-assist.jp/data/china/image_1904th/79013751.pdf", "79013751")</f>
        <v>79013751</v>
      </c>
      <c r="F234" s="11" t="s">
        <v>866</v>
      </c>
      <c r="G234" s="11" t="s">
        <v>867</v>
      </c>
      <c r="H234" s="11" t="s">
        <v>868</v>
      </c>
      <c r="I234" s="11" t="s">
        <v>126</v>
      </c>
    </row>
    <row r="235" spans="1:9" x14ac:dyDescent="0.15">
      <c r="A235" s="10">
        <v>234</v>
      </c>
      <c r="B235" s="11" t="s">
        <v>9</v>
      </c>
      <c r="C235" s="11" t="s">
        <v>170</v>
      </c>
      <c r="D235" s="11" t="s">
        <v>171</v>
      </c>
      <c r="E235" s="9" t="str">
        <f>+HYPERLINK("http://trademark.i-assist.jp/data/china/image_1904th/79014083.pdf", "79014083")</f>
        <v>79014083</v>
      </c>
      <c r="F235" s="11" t="s">
        <v>869</v>
      </c>
      <c r="G235" s="11" t="s">
        <v>870</v>
      </c>
      <c r="H235" s="11" t="s">
        <v>871</v>
      </c>
      <c r="I235" s="11" t="s">
        <v>126</v>
      </c>
    </row>
    <row r="236" spans="1:9" x14ac:dyDescent="0.15">
      <c r="A236" s="10">
        <v>235</v>
      </c>
      <c r="B236" s="11" t="s">
        <v>9</v>
      </c>
      <c r="C236" s="11" t="s">
        <v>170</v>
      </c>
      <c r="D236" s="11" t="s">
        <v>171</v>
      </c>
      <c r="E236" s="9" t="str">
        <f>+HYPERLINK("http://trademark.i-assist.jp/data/china/image_1904th/79014374.pdf", "79014374")</f>
        <v>79014374</v>
      </c>
      <c r="F236" s="11" t="s">
        <v>872</v>
      </c>
      <c r="G236" s="11" t="s">
        <v>873</v>
      </c>
      <c r="H236" s="11" t="s">
        <v>874</v>
      </c>
      <c r="I236" s="11" t="s">
        <v>126</v>
      </c>
    </row>
    <row r="237" spans="1:9" x14ac:dyDescent="0.15">
      <c r="A237" s="10">
        <v>236</v>
      </c>
      <c r="B237" s="11" t="s">
        <v>9</v>
      </c>
      <c r="C237" s="11" t="s">
        <v>170</v>
      </c>
      <c r="D237" s="11" t="s">
        <v>171</v>
      </c>
      <c r="E237" s="9" t="str">
        <f>+HYPERLINK("http://trademark.i-assist.jp/data/china/image_1904th/79014928.pdf", "79014928")</f>
        <v>79014928</v>
      </c>
      <c r="F237" s="11" t="s">
        <v>875</v>
      </c>
      <c r="G237" s="11" t="s">
        <v>876</v>
      </c>
      <c r="H237" s="11" t="s">
        <v>877</v>
      </c>
      <c r="I237" s="11" t="s">
        <v>126</v>
      </c>
    </row>
    <row r="238" spans="1:9" x14ac:dyDescent="0.15">
      <c r="A238" s="10">
        <v>237</v>
      </c>
      <c r="B238" s="11" t="s">
        <v>9</v>
      </c>
      <c r="C238" s="11" t="s">
        <v>170</v>
      </c>
      <c r="D238" s="11" t="s">
        <v>171</v>
      </c>
      <c r="E238" s="9" t="str">
        <f>+HYPERLINK("http://trademark.i-assist.jp/data/china/image_1904th/79015929.pdf", "79015929")</f>
        <v>79015929</v>
      </c>
      <c r="F238" s="11" t="s">
        <v>878</v>
      </c>
      <c r="G238" s="11" t="s">
        <v>879</v>
      </c>
      <c r="H238" s="11" t="s">
        <v>880</v>
      </c>
      <c r="I238" s="11" t="s">
        <v>126</v>
      </c>
    </row>
    <row r="239" spans="1:9" x14ac:dyDescent="0.15">
      <c r="A239" s="10">
        <v>238</v>
      </c>
      <c r="B239" s="11" t="s">
        <v>9</v>
      </c>
      <c r="C239" s="11" t="s">
        <v>170</v>
      </c>
      <c r="D239" s="11" t="s">
        <v>171</v>
      </c>
      <c r="E239" s="9" t="str">
        <f>+HYPERLINK("http://trademark.i-assist.jp/data/china/image_1904th/79017185.pdf", "79017185")</f>
        <v>79017185</v>
      </c>
      <c r="F239" s="11" t="s">
        <v>881</v>
      </c>
      <c r="G239" s="11" t="s">
        <v>882</v>
      </c>
      <c r="H239" s="11" t="s">
        <v>883</v>
      </c>
      <c r="I239" s="11" t="s">
        <v>126</v>
      </c>
    </row>
    <row r="240" spans="1:9" x14ac:dyDescent="0.15">
      <c r="A240" s="10">
        <v>239</v>
      </c>
      <c r="B240" s="11" t="s">
        <v>9</v>
      </c>
      <c r="C240" s="11" t="s">
        <v>170</v>
      </c>
      <c r="D240" s="11" t="s">
        <v>171</v>
      </c>
      <c r="E240" s="9" t="str">
        <f>+HYPERLINK("http://trademark.i-assist.jp/data/china/image_1904th/79019670.pdf", "79019670")</f>
        <v>79019670</v>
      </c>
      <c r="F240" s="11" t="s">
        <v>884</v>
      </c>
      <c r="G240" s="11" t="s">
        <v>885</v>
      </c>
      <c r="H240" s="11" t="s">
        <v>886</v>
      </c>
      <c r="I240" s="11" t="s">
        <v>126</v>
      </c>
    </row>
    <row r="241" spans="1:9" x14ac:dyDescent="0.15">
      <c r="A241" s="10">
        <v>240</v>
      </c>
      <c r="B241" s="11" t="s">
        <v>9</v>
      </c>
      <c r="C241" s="11" t="s">
        <v>170</v>
      </c>
      <c r="D241" s="11" t="s">
        <v>171</v>
      </c>
      <c r="E241" s="9" t="str">
        <f>+HYPERLINK("http://trademark.i-assist.jp/data/china/image_1904th/79020596.pdf", "79020596")</f>
        <v>79020596</v>
      </c>
      <c r="F241" s="11" t="s">
        <v>887</v>
      </c>
      <c r="G241" s="11" t="s">
        <v>888</v>
      </c>
      <c r="H241" s="11" t="s">
        <v>889</v>
      </c>
      <c r="I241" s="11" t="s">
        <v>126</v>
      </c>
    </row>
    <row r="242" spans="1:9" x14ac:dyDescent="0.15">
      <c r="A242" s="10">
        <v>241</v>
      </c>
      <c r="B242" s="11" t="s">
        <v>9</v>
      </c>
      <c r="C242" s="11" t="s">
        <v>170</v>
      </c>
      <c r="D242" s="11" t="s">
        <v>171</v>
      </c>
      <c r="E242" s="9" t="str">
        <f>+HYPERLINK("http://trademark.i-assist.jp/data/china/image_1904th/79023703.pdf", "79023703")</f>
        <v>79023703</v>
      </c>
      <c r="F242" s="11" t="s">
        <v>890</v>
      </c>
      <c r="G242" s="11" t="s">
        <v>891</v>
      </c>
      <c r="H242" s="11" t="s">
        <v>892</v>
      </c>
      <c r="I242" s="11" t="s">
        <v>126</v>
      </c>
    </row>
    <row r="243" spans="1:9" x14ac:dyDescent="0.15">
      <c r="A243" s="10">
        <v>242</v>
      </c>
      <c r="B243" s="11" t="s">
        <v>9</v>
      </c>
      <c r="C243" s="11" t="s">
        <v>170</v>
      </c>
      <c r="D243" s="11" t="s">
        <v>171</v>
      </c>
      <c r="E243" s="9" t="str">
        <f>+HYPERLINK("http://trademark.i-assist.jp/data/china/image_1904th/79023837.pdf", "79023837")</f>
        <v>79023837</v>
      </c>
      <c r="F243" s="11" t="s">
        <v>893</v>
      </c>
      <c r="G243" s="11" t="s">
        <v>894</v>
      </c>
      <c r="H243" s="11" t="s">
        <v>895</v>
      </c>
      <c r="I243" s="11" t="s">
        <v>126</v>
      </c>
    </row>
    <row r="244" spans="1:9" x14ac:dyDescent="0.15">
      <c r="A244" s="10">
        <v>243</v>
      </c>
      <c r="B244" s="11" t="s">
        <v>9</v>
      </c>
      <c r="C244" s="11" t="s">
        <v>170</v>
      </c>
      <c r="D244" s="11" t="s">
        <v>171</v>
      </c>
      <c r="E244" s="9" t="str">
        <f>+HYPERLINK("http://trademark.i-assist.jp/data/china/image_1904th/79024960.pdf", "79024960")</f>
        <v>79024960</v>
      </c>
      <c r="F244" s="11" t="s">
        <v>896</v>
      </c>
      <c r="G244" s="11" t="s">
        <v>870</v>
      </c>
      <c r="H244" s="11" t="s">
        <v>897</v>
      </c>
      <c r="I244" s="11" t="s">
        <v>126</v>
      </c>
    </row>
    <row r="245" spans="1:9" x14ac:dyDescent="0.15">
      <c r="A245" s="10">
        <v>244</v>
      </c>
      <c r="B245" s="11" t="s">
        <v>9</v>
      </c>
      <c r="C245" s="11" t="s">
        <v>170</v>
      </c>
      <c r="D245" s="11" t="s">
        <v>171</v>
      </c>
      <c r="E245" s="9" t="str">
        <f>+HYPERLINK("http://trademark.i-assist.jp/data/china/image_1904th/79025019.pdf", "79025019")</f>
        <v>79025019</v>
      </c>
      <c r="F245" s="11" t="s">
        <v>898</v>
      </c>
      <c r="G245" s="11" t="s">
        <v>899</v>
      </c>
      <c r="H245" s="11" t="s">
        <v>900</v>
      </c>
      <c r="I245" s="11" t="s">
        <v>126</v>
      </c>
    </row>
    <row r="246" spans="1:9" x14ac:dyDescent="0.15">
      <c r="A246" s="10">
        <v>245</v>
      </c>
      <c r="B246" s="11" t="s">
        <v>9</v>
      </c>
      <c r="C246" s="11" t="s">
        <v>170</v>
      </c>
      <c r="D246" s="11" t="s">
        <v>171</v>
      </c>
      <c r="E246" s="9" t="str">
        <f>+HYPERLINK("http://trademark.i-assist.jp/data/china/image_1904th/79025326.pdf", "79025326")</f>
        <v>79025326</v>
      </c>
      <c r="F246" s="11" t="s">
        <v>901</v>
      </c>
      <c r="G246" s="11" t="s">
        <v>902</v>
      </c>
      <c r="H246" s="11" t="s">
        <v>903</v>
      </c>
      <c r="I246" s="11" t="s">
        <v>126</v>
      </c>
    </row>
    <row r="247" spans="1:9" x14ac:dyDescent="0.15">
      <c r="A247" s="10">
        <v>246</v>
      </c>
      <c r="B247" s="11" t="s">
        <v>9</v>
      </c>
      <c r="C247" s="11" t="s">
        <v>170</v>
      </c>
      <c r="D247" s="11" t="s">
        <v>171</v>
      </c>
      <c r="E247" s="9" t="str">
        <f>+HYPERLINK("http://trademark.i-assist.jp/data/china/image_1904th/79026527.pdf", "79026527")</f>
        <v>79026527</v>
      </c>
      <c r="F247" s="11" t="s">
        <v>904</v>
      </c>
      <c r="G247" s="11" t="s">
        <v>885</v>
      </c>
      <c r="H247" s="11" t="s">
        <v>905</v>
      </c>
      <c r="I247" s="11" t="s">
        <v>126</v>
      </c>
    </row>
    <row r="248" spans="1:9" x14ac:dyDescent="0.15">
      <c r="A248" s="10">
        <v>247</v>
      </c>
      <c r="B248" s="11" t="s">
        <v>9</v>
      </c>
      <c r="C248" s="11" t="s">
        <v>170</v>
      </c>
      <c r="D248" s="11" t="s">
        <v>171</v>
      </c>
      <c r="E248" s="9" t="str">
        <f>+HYPERLINK("http://trademark.i-assist.jp/data/china/image_1904th/79027553.pdf", "79027553")</f>
        <v>79027553</v>
      </c>
      <c r="F248" s="11" t="s">
        <v>906</v>
      </c>
      <c r="G248" s="11" t="s">
        <v>50</v>
      </c>
      <c r="H248" s="11" t="s">
        <v>907</v>
      </c>
      <c r="I248" s="11" t="s">
        <v>126</v>
      </c>
    </row>
    <row r="249" spans="1:9" x14ac:dyDescent="0.15">
      <c r="A249" s="10">
        <v>248</v>
      </c>
      <c r="B249" s="11" t="s">
        <v>9</v>
      </c>
      <c r="C249" s="11" t="s">
        <v>170</v>
      </c>
      <c r="D249" s="11" t="s">
        <v>171</v>
      </c>
      <c r="E249" s="9" t="str">
        <f>+HYPERLINK("http://trademark.i-assist.jp/data/china/image_1904th/79028236.pdf", "79028236")</f>
        <v>79028236</v>
      </c>
      <c r="F249" s="11" t="s">
        <v>908</v>
      </c>
      <c r="G249" s="11" t="s">
        <v>909</v>
      </c>
      <c r="H249" s="11" t="s">
        <v>910</v>
      </c>
      <c r="I249" s="11" t="s">
        <v>126</v>
      </c>
    </row>
    <row r="250" spans="1:9" x14ac:dyDescent="0.15">
      <c r="A250" s="10">
        <v>249</v>
      </c>
      <c r="B250" s="11" t="s">
        <v>9</v>
      </c>
      <c r="C250" s="11" t="s">
        <v>170</v>
      </c>
      <c r="D250" s="11" t="s">
        <v>171</v>
      </c>
      <c r="E250" s="9" t="str">
        <f>+HYPERLINK("http://trademark.i-assist.jp/data/china/image_1904th/79030034.pdf", "79030034")</f>
        <v>79030034</v>
      </c>
      <c r="F250" s="11" t="s">
        <v>911</v>
      </c>
      <c r="G250" s="11" t="s">
        <v>912</v>
      </c>
      <c r="H250" s="11" t="s">
        <v>913</v>
      </c>
      <c r="I250" s="11" t="s">
        <v>126</v>
      </c>
    </row>
    <row r="251" spans="1:9" x14ac:dyDescent="0.15">
      <c r="A251" s="10">
        <v>250</v>
      </c>
      <c r="B251" s="11" t="s">
        <v>9</v>
      </c>
      <c r="C251" s="11" t="s">
        <v>170</v>
      </c>
      <c r="D251" s="11" t="s">
        <v>171</v>
      </c>
      <c r="E251" s="9" t="str">
        <f>+HYPERLINK("http://trademark.i-assist.jp/data/china/image_1904th/79033658.pdf", "79033658")</f>
        <v>79033658</v>
      </c>
      <c r="F251" s="11" t="s">
        <v>914</v>
      </c>
      <c r="G251" s="11" t="s">
        <v>915</v>
      </c>
      <c r="H251" s="11" t="s">
        <v>916</v>
      </c>
      <c r="I251" s="11" t="s">
        <v>126</v>
      </c>
    </row>
    <row r="252" spans="1:9" x14ac:dyDescent="0.15">
      <c r="A252" s="10">
        <v>251</v>
      </c>
      <c r="B252" s="11" t="s">
        <v>9</v>
      </c>
      <c r="C252" s="11" t="s">
        <v>170</v>
      </c>
      <c r="D252" s="11" t="s">
        <v>171</v>
      </c>
      <c r="E252" s="9" t="str">
        <f>+HYPERLINK("http://trademark.i-assist.jp/data/china/image_1904th/79034314.pdf", "79034314")</f>
        <v>79034314</v>
      </c>
      <c r="F252" s="11" t="s">
        <v>917</v>
      </c>
      <c r="G252" s="11" t="s">
        <v>108</v>
      </c>
      <c r="H252" s="11" t="s">
        <v>109</v>
      </c>
      <c r="I252" s="11" t="s">
        <v>126</v>
      </c>
    </row>
    <row r="253" spans="1:9" x14ac:dyDescent="0.15">
      <c r="A253" s="10">
        <v>252</v>
      </c>
      <c r="B253" s="11" t="s">
        <v>9</v>
      </c>
      <c r="C253" s="11" t="s">
        <v>170</v>
      </c>
      <c r="D253" s="11" t="s">
        <v>171</v>
      </c>
      <c r="E253" s="9" t="str">
        <f>+HYPERLINK("http://trademark.i-assist.jp/data/china/image_1904th/79034956.pdf", "79034956")</f>
        <v>79034956</v>
      </c>
      <c r="F253" s="11" t="s">
        <v>918</v>
      </c>
      <c r="G253" s="11" t="s">
        <v>919</v>
      </c>
      <c r="H253" s="11" t="s">
        <v>920</v>
      </c>
      <c r="I253" s="11" t="s">
        <v>126</v>
      </c>
    </row>
    <row r="254" spans="1:9" x14ac:dyDescent="0.15">
      <c r="A254" s="10">
        <v>253</v>
      </c>
      <c r="B254" s="11" t="s">
        <v>9</v>
      </c>
      <c r="C254" s="11" t="s">
        <v>170</v>
      </c>
      <c r="D254" s="11" t="s">
        <v>171</v>
      </c>
      <c r="E254" s="9" t="str">
        <f>+HYPERLINK("http://trademark.i-assist.jp/data/china/image_1904th/79035046.pdf", "79035046")</f>
        <v>79035046</v>
      </c>
      <c r="F254" s="11" t="s">
        <v>921</v>
      </c>
      <c r="G254" s="11" t="s">
        <v>922</v>
      </c>
      <c r="H254" s="11" t="s">
        <v>923</v>
      </c>
      <c r="I254" s="11" t="s">
        <v>126</v>
      </c>
    </row>
    <row r="255" spans="1:9" x14ac:dyDescent="0.15">
      <c r="A255" s="10">
        <v>254</v>
      </c>
      <c r="B255" s="11" t="s">
        <v>9</v>
      </c>
      <c r="C255" s="11" t="s">
        <v>170</v>
      </c>
      <c r="D255" s="11" t="s">
        <v>171</v>
      </c>
      <c r="E255" s="9" t="str">
        <f>+HYPERLINK("http://trademark.i-assist.jp/data/china/image_1904th/79035061.pdf", "79035061")</f>
        <v>79035061</v>
      </c>
      <c r="F255" s="11" t="s">
        <v>924</v>
      </c>
      <c r="G255" s="11" t="s">
        <v>922</v>
      </c>
      <c r="H255" s="11" t="s">
        <v>925</v>
      </c>
      <c r="I255" s="11" t="s">
        <v>126</v>
      </c>
    </row>
    <row r="256" spans="1:9" x14ac:dyDescent="0.15">
      <c r="A256" s="10">
        <v>255</v>
      </c>
      <c r="B256" s="11" t="s">
        <v>9</v>
      </c>
      <c r="C256" s="11" t="s">
        <v>170</v>
      </c>
      <c r="D256" s="11" t="s">
        <v>171</v>
      </c>
      <c r="E256" s="9" t="str">
        <f>+HYPERLINK("http://trademark.i-assist.jp/data/china/image_1904th/79036050.pdf", "79036050")</f>
        <v>79036050</v>
      </c>
      <c r="F256" s="11" t="s">
        <v>926</v>
      </c>
      <c r="G256" s="11" t="s">
        <v>927</v>
      </c>
      <c r="H256" s="11" t="s">
        <v>928</v>
      </c>
      <c r="I256" s="11" t="s">
        <v>126</v>
      </c>
    </row>
    <row r="257" spans="1:9" x14ac:dyDescent="0.15">
      <c r="A257" s="10">
        <v>256</v>
      </c>
      <c r="B257" s="11" t="s">
        <v>9</v>
      </c>
      <c r="C257" s="11" t="s">
        <v>170</v>
      </c>
      <c r="D257" s="11" t="s">
        <v>171</v>
      </c>
      <c r="E257" s="9" t="str">
        <f>+HYPERLINK("http://trademark.i-assist.jp/data/china/image_1904th/79037343.pdf", "79037343")</f>
        <v>79037343</v>
      </c>
      <c r="F257" s="11" t="s">
        <v>104</v>
      </c>
      <c r="G257" s="11" t="s">
        <v>105</v>
      </c>
      <c r="H257" s="11" t="s">
        <v>929</v>
      </c>
      <c r="I257" s="11" t="s">
        <v>126</v>
      </c>
    </row>
    <row r="258" spans="1:9" x14ac:dyDescent="0.15">
      <c r="A258" s="10">
        <v>257</v>
      </c>
      <c r="B258" s="11" t="s">
        <v>9</v>
      </c>
      <c r="C258" s="11" t="s">
        <v>170</v>
      </c>
      <c r="D258" s="11" t="s">
        <v>171</v>
      </c>
      <c r="E258" s="9" t="str">
        <f>+HYPERLINK("http://trademark.i-assist.jp/data/china/image_1904th/79043311.pdf", "79043311")</f>
        <v>79043311</v>
      </c>
      <c r="F258" s="11" t="s">
        <v>12</v>
      </c>
      <c r="G258" s="11" t="s">
        <v>930</v>
      </c>
      <c r="H258" s="11" t="s">
        <v>931</v>
      </c>
      <c r="I258" s="11" t="s">
        <v>132</v>
      </c>
    </row>
    <row r="259" spans="1:9" x14ac:dyDescent="0.15">
      <c r="A259" s="10">
        <v>258</v>
      </c>
      <c r="B259" s="11" t="s">
        <v>9</v>
      </c>
      <c r="C259" s="11" t="s">
        <v>170</v>
      </c>
      <c r="D259" s="11" t="s">
        <v>171</v>
      </c>
      <c r="E259" s="9" t="str">
        <f>+HYPERLINK("http://trademark.i-assist.jp/data/china/image_1904th/79045310.pdf", "79045310")</f>
        <v>79045310</v>
      </c>
      <c r="F259" s="11" t="s">
        <v>932</v>
      </c>
      <c r="G259" s="11" t="s">
        <v>933</v>
      </c>
      <c r="H259" s="11" t="s">
        <v>934</v>
      </c>
      <c r="I259" s="11" t="s">
        <v>132</v>
      </c>
    </row>
    <row r="260" spans="1:9" x14ac:dyDescent="0.15">
      <c r="A260" s="10">
        <v>259</v>
      </c>
      <c r="B260" s="11" t="s">
        <v>9</v>
      </c>
      <c r="C260" s="11" t="s">
        <v>170</v>
      </c>
      <c r="D260" s="11" t="s">
        <v>171</v>
      </c>
      <c r="E260" s="9" t="str">
        <f>+HYPERLINK("http://trademark.i-assist.jp/data/china/image_1904th/79053351.pdf", "79053351")</f>
        <v>79053351</v>
      </c>
      <c r="F260" s="11" t="s">
        <v>94</v>
      </c>
      <c r="G260" s="11" t="s">
        <v>95</v>
      </c>
      <c r="H260" s="11" t="s">
        <v>935</v>
      </c>
      <c r="I260" s="11" t="s">
        <v>132</v>
      </c>
    </row>
    <row r="261" spans="1:9" x14ac:dyDescent="0.15">
      <c r="A261" s="10">
        <v>260</v>
      </c>
      <c r="B261" s="11" t="s">
        <v>9</v>
      </c>
      <c r="C261" s="11" t="s">
        <v>170</v>
      </c>
      <c r="D261" s="11" t="s">
        <v>171</v>
      </c>
      <c r="E261" s="9" t="str">
        <f>+HYPERLINK("http://trademark.i-assist.jp/data/china/image_1904th/79053400.pdf", "79053400")</f>
        <v>79053400</v>
      </c>
      <c r="F261" s="11" t="s">
        <v>12</v>
      </c>
      <c r="G261" s="11" t="s">
        <v>936</v>
      </c>
      <c r="H261" s="11" t="s">
        <v>937</v>
      </c>
      <c r="I261" s="11" t="s">
        <v>132</v>
      </c>
    </row>
    <row r="262" spans="1:9" x14ac:dyDescent="0.15">
      <c r="A262" s="10">
        <v>261</v>
      </c>
      <c r="B262" s="11" t="s">
        <v>9</v>
      </c>
      <c r="C262" s="11" t="s">
        <v>170</v>
      </c>
      <c r="D262" s="11" t="s">
        <v>171</v>
      </c>
      <c r="E262" s="9" t="str">
        <f>+HYPERLINK("http://trademark.i-assist.jp/data/china/image_1904th/79053765.pdf", "79053765")</f>
        <v>79053765</v>
      </c>
      <c r="F262" s="11" t="s">
        <v>938</v>
      </c>
      <c r="G262" s="11" t="s">
        <v>939</v>
      </c>
      <c r="H262" s="11" t="s">
        <v>940</v>
      </c>
      <c r="I262" s="11" t="s">
        <v>132</v>
      </c>
    </row>
    <row r="263" spans="1:9" x14ac:dyDescent="0.15">
      <c r="A263" s="10">
        <v>262</v>
      </c>
      <c r="B263" s="11" t="s">
        <v>9</v>
      </c>
      <c r="C263" s="11" t="s">
        <v>170</v>
      </c>
      <c r="D263" s="11" t="s">
        <v>171</v>
      </c>
      <c r="E263" s="9" t="str">
        <f>+HYPERLINK("http://trademark.i-assist.jp/data/china/image_1904th/79054814.pdf", "79054814")</f>
        <v>79054814</v>
      </c>
      <c r="F263" s="11" t="s">
        <v>941</v>
      </c>
      <c r="G263" s="11" t="s">
        <v>942</v>
      </c>
      <c r="H263" s="11" t="s">
        <v>943</v>
      </c>
      <c r="I263" s="11" t="s">
        <v>132</v>
      </c>
    </row>
    <row r="264" spans="1:9" x14ac:dyDescent="0.15">
      <c r="A264" s="10">
        <v>263</v>
      </c>
      <c r="B264" s="11" t="s">
        <v>9</v>
      </c>
      <c r="C264" s="11" t="s">
        <v>170</v>
      </c>
      <c r="D264" s="11" t="s">
        <v>171</v>
      </c>
      <c r="E264" s="9" t="str">
        <f>+HYPERLINK("http://trademark.i-assist.jp/data/china/image_1904th/79057453.pdf", "79057453")</f>
        <v>79057453</v>
      </c>
      <c r="F264" s="11" t="s">
        <v>944</v>
      </c>
      <c r="G264" s="11" t="s">
        <v>945</v>
      </c>
      <c r="H264" s="11" t="s">
        <v>946</v>
      </c>
      <c r="I264" s="11" t="s">
        <v>132</v>
      </c>
    </row>
    <row r="265" spans="1:9" x14ac:dyDescent="0.15">
      <c r="A265" s="10">
        <v>264</v>
      </c>
      <c r="B265" s="11" t="s">
        <v>9</v>
      </c>
      <c r="C265" s="11" t="s">
        <v>170</v>
      </c>
      <c r="D265" s="11" t="s">
        <v>171</v>
      </c>
      <c r="E265" s="9" t="str">
        <f>+HYPERLINK("http://trademark.i-assist.jp/data/china/image_1904th/79061652.pdf", "79061652")</f>
        <v>79061652</v>
      </c>
      <c r="F265" s="11" t="s">
        <v>947</v>
      </c>
      <c r="G265" s="11" t="s">
        <v>948</v>
      </c>
      <c r="H265" s="11" t="s">
        <v>949</v>
      </c>
      <c r="I265" s="11" t="s">
        <v>132</v>
      </c>
    </row>
    <row r="266" spans="1:9" x14ac:dyDescent="0.15">
      <c r="A266" s="10">
        <v>265</v>
      </c>
      <c r="B266" s="11" t="s">
        <v>9</v>
      </c>
      <c r="C266" s="11" t="s">
        <v>170</v>
      </c>
      <c r="D266" s="11" t="s">
        <v>171</v>
      </c>
      <c r="E266" s="9" t="str">
        <f>+HYPERLINK("http://trademark.i-assist.jp/data/china/image_1904th/79061889.pdf", "79061889")</f>
        <v>79061889</v>
      </c>
      <c r="F266" s="11" t="s">
        <v>950</v>
      </c>
      <c r="G266" s="11" t="s">
        <v>951</v>
      </c>
      <c r="H266" s="11" t="s">
        <v>952</v>
      </c>
      <c r="I266" s="11" t="s">
        <v>132</v>
      </c>
    </row>
    <row r="267" spans="1:9" x14ac:dyDescent="0.15">
      <c r="A267" s="10">
        <v>266</v>
      </c>
      <c r="B267" s="11" t="s">
        <v>9</v>
      </c>
      <c r="C267" s="11" t="s">
        <v>170</v>
      </c>
      <c r="D267" s="11" t="s">
        <v>171</v>
      </c>
      <c r="E267" s="9" t="str">
        <f>+HYPERLINK("http://trademark.i-assist.jp/data/china/image_1904th/79062627.pdf", "79062627")</f>
        <v>79062627</v>
      </c>
      <c r="F267" s="11" t="s">
        <v>953</v>
      </c>
      <c r="G267" s="11" t="s">
        <v>23</v>
      </c>
      <c r="H267" s="11" t="s">
        <v>954</v>
      </c>
      <c r="I267" s="11" t="s">
        <v>132</v>
      </c>
    </row>
    <row r="268" spans="1:9" x14ac:dyDescent="0.15">
      <c r="A268" s="10">
        <v>267</v>
      </c>
      <c r="B268" s="11" t="s">
        <v>9</v>
      </c>
      <c r="C268" s="11" t="s">
        <v>170</v>
      </c>
      <c r="D268" s="11" t="s">
        <v>171</v>
      </c>
      <c r="E268" s="9" t="str">
        <f>+HYPERLINK("http://trademark.i-assist.jp/data/china/image_1904th/79065869.pdf", "79065869")</f>
        <v>79065869</v>
      </c>
      <c r="F268" s="11" t="s">
        <v>955</v>
      </c>
      <c r="G268" s="11" t="s">
        <v>956</v>
      </c>
      <c r="H268" s="11" t="s">
        <v>957</v>
      </c>
      <c r="I268" s="11" t="s">
        <v>138</v>
      </c>
    </row>
    <row r="269" spans="1:9" x14ac:dyDescent="0.15">
      <c r="A269" s="10">
        <v>268</v>
      </c>
      <c r="B269" s="11" t="s">
        <v>9</v>
      </c>
      <c r="C269" s="11" t="s">
        <v>170</v>
      </c>
      <c r="D269" s="11" t="s">
        <v>171</v>
      </c>
      <c r="E269" s="9" t="str">
        <f>+HYPERLINK("http://trademark.i-assist.jp/data/china/image_1904th/79068420A.pdf", "79068420A")</f>
        <v>79068420A</v>
      </c>
      <c r="F269" s="11" t="s">
        <v>958</v>
      </c>
      <c r="G269" s="11" t="s">
        <v>959</v>
      </c>
      <c r="H269" s="11" t="s">
        <v>960</v>
      </c>
      <c r="I269" s="11" t="s">
        <v>138</v>
      </c>
    </row>
    <row r="270" spans="1:9" x14ac:dyDescent="0.15">
      <c r="A270" s="10">
        <v>269</v>
      </c>
      <c r="B270" s="11" t="s">
        <v>9</v>
      </c>
      <c r="C270" s="11" t="s">
        <v>170</v>
      </c>
      <c r="D270" s="11" t="s">
        <v>171</v>
      </c>
      <c r="E270" s="9" t="str">
        <f>+HYPERLINK("http://trademark.i-assist.jp/data/china/image_1904th/79069864A.pdf", "79069864A")</f>
        <v>79069864A</v>
      </c>
      <c r="F270" s="11" t="s">
        <v>961</v>
      </c>
      <c r="G270" s="11" t="s">
        <v>962</v>
      </c>
      <c r="H270" s="11" t="s">
        <v>963</v>
      </c>
      <c r="I270" s="11" t="s">
        <v>138</v>
      </c>
    </row>
    <row r="271" spans="1:9" x14ac:dyDescent="0.15">
      <c r="A271" s="10">
        <v>270</v>
      </c>
      <c r="B271" s="11" t="s">
        <v>9</v>
      </c>
      <c r="C271" s="11" t="s">
        <v>170</v>
      </c>
      <c r="D271" s="11" t="s">
        <v>171</v>
      </c>
      <c r="E271" s="9" t="str">
        <f>+HYPERLINK("http://trademark.i-assist.jp/data/china/image_1904th/79070207.pdf", "79070207")</f>
        <v>79070207</v>
      </c>
      <c r="F271" s="11" t="s">
        <v>964</v>
      </c>
      <c r="G271" s="11" t="s">
        <v>965</v>
      </c>
      <c r="H271" s="11" t="s">
        <v>966</v>
      </c>
      <c r="I271" s="11" t="s">
        <v>138</v>
      </c>
    </row>
    <row r="272" spans="1:9" x14ac:dyDescent="0.15">
      <c r="A272" s="10">
        <v>271</v>
      </c>
      <c r="B272" s="11" t="s">
        <v>9</v>
      </c>
      <c r="C272" s="11" t="s">
        <v>170</v>
      </c>
      <c r="D272" s="11" t="s">
        <v>171</v>
      </c>
      <c r="E272" s="9" t="str">
        <f>+HYPERLINK("http://trademark.i-assist.jp/data/china/image_1904th/79070640.pdf", "79070640")</f>
        <v>79070640</v>
      </c>
      <c r="F272" s="11" t="s">
        <v>967</v>
      </c>
      <c r="G272" s="11" t="s">
        <v>968</v>
      </c>
      <c r="H272" s="11" t="s">
        <v>969</v>
      </c>
      <c r="I272" s="11" t="s">
        <v>138</v>
      </c>
    </row>
    <row r="273" spans="1:9" x14ac:dyDescent="0.15">
      <c r="A273" s="10">
        <v>272</v>
      </c>
      <c r="B273" s="11" t="s">
        <v>9</v>
      </c>
      <c r="C273" s="11" t="s">
        <v>170</v>
      </c>
      <c r="D273" s="11" t="s">
        <v>171</v>
      </c>
      <c r="E273" s="9" t="str">
        <f>+HYPERLINK("http://trademark.i-assist.jp/data/china/image_1904th/79071272A.pdf", "79071272A")</f>
        <v>79071272A</v>
      </c>
      <c r="F273" s="11" t="s">
        <v>970</v>
      </c>
      <c r="G273" s="11" t="s">
        <v>962</v>
      </c>
      <c r="H273" s="11" t="s">
        <v>971</v>
      </c>
      <c r="I273" s="11" t="s">
        <v>138</v>
      </c>
    </row>
    <row r="274" spans="1:9" x14ac:dyDescent="0.15">
      <c r="A274" s="10">
        <v>273</v>
      </c>
      <c r="B274" s="11" t="s">
        <v>9</v>
      </c>
      <c r="C274" s="11" t="s">
        <v>170</v>
      </c>
      <c r="D274" s="11" t="s">
        <v>171</v>
      </c>
      <c r="E274" s="9" t="str">
        <f>+HYPERLINK("http://trademark.i-assist.jp/data/china/image_1904th/79072834A.pdf", "79072834A")</f>
        <v>79072834A</v>
      </c>
      <c r="F274" s="11" t="s">
        <v>972</v>
      </c>
      <c r="G274" s="11" t="s">
        <v>962</v>
      </c>
      <c r="H274" s="11" t="s">
        <v>973</v>
      </c>
      <c r="I274" s="11" t="s">
        <v>138</v>
      </c>
    </row>
    <row r="275" spans="1:9" x14ac:dyDescent="0.15">
      <c r="A275" s="10">
        <v>274</v>
      </c>
      <c r="B275" s="11" t="s">
        <v>9</v>
      </c>
      <c r="C275" s="11" t="s">
        <v>170</v>
      </c>
      <c r="D275" s="11" t="s">
        <v>171</v>
      </c>
      <c r="E275" s="9" t="str">
        <f>+HYPERLINK("http://trademark.i-assist.jp/data/china/image_1904th/79074979.pdf", "79074979")</f>
        <v>79074979</v>
      </c>
      <c r="F275" s="11" t="s">
        <v>974</v>
      </c>
      <c r="G275" s="11" t="s">
        <v>975</v>
      </c>
      <c r="H275" s="11" t="s">
        <v>976</v>
      </c>
      <c r="I275" s="11" t="s">
        <v>138</v>
      </c>
    </row>
    <row r="276" spans="1:9" x14ac:dyDescent="0.15">
      <c r="A276" s="10">
        <v>275</v>
      </c>
      <c r="B276" s="11" t="s">
        <v>9</v>
      </c>
      <c r="C276" s="11" t="s">
        <v>170</v>
      </c>
      <c r="D276" s="11" t="s">
        <v>171</v>
      </c>
      <c r="E276" s="9" t="str">
        <f>+HYPERLINK("http://trademark.i-assist.jp/data/china/image_1904th/79075189.pdf", "79075189")</f>
        <v>79075189</v>
      </c>
      <c r="F276" s="11" t="s">
        <v>977</v>
      </c>
      <c r="G276" s="11" t="s">
        <v>965</v>
      </c>
      <c r="H276" s="11" t="s">
        <v>978</v>
      </c>
      <c r="I276" s="11" t="s">
        <v>138</v>
      </c>
    </row>
    <row r="277" spans="1:9" x14ac:dyDescent="0.15">
      <c r="A277" s="10">
        <v>276</v>
      </c>
      <c r="B277" s="11" t="s">
        <v>9</v>
      </c>
      <c r="C277" s="11" t="s">
        <v>170</v>
      </c>
      <c r="D277" s="11" t="s">
        <v>171</v>
      </c>
      <c r="E277" s="9" t="str">
        <f>+HYPERLINK("http://trademark.i-assist.jp/data/china/image_1904th/79075536.pdf", "79075536")</f>
        <v>79075536</v>
      </c>
      <c r="F277" s="11" t="s">
        <v>979</v>
      </c>
      <c r="G277" s="11" t="s">
        <v>116</v>
      </c>
      <c r="H277" s="11" t="s">
        <v>980</v>
      </c>
      <c r="I277" s="11" t="s">
        <v>138</v>
      </c>
    </row>
    <row r="278" spans="1:9" x14ac:dyDescent="0.15">
      <c r="A278" s="10">
        <v>277</v>
      </c>
      <c r="B278" s="11" t="s">
        <v>9</v>
      </c>
      <c r="C278" s="11" t="s">
        <v>170</v>
      </c>
      <c r="D278" s="11" t="s">
        <v>171</v>
      </c>
      <c r="E278" s="9" t="str">
        <f>+HYPERLINK("http://trademark.i-assist.jp/data/china/image_1904th/79077155.pdf", "79077155")</f>
        <v>79077155</v>
      </c>
      <c r="F278" s="11" t="s">
        <v>981</v>
      </c>
      <c r="G278" s="11" t="s">
        <v>116</v>
      </c>
      <c r="H278" s="11" t="s">
        <v>982</v>
      </c>
      <c r="I278" s="11" t="s">
        <v>138</v>
      </c>
    </row>
    <row r="279" spans="1:9" x14ac:dyDescent="0.15">
      <c r="A279" s="10">
        <v>278</v>
      </c>
      <c r="B279" s="11" t="s">
        <v>9</v>
      </c>
      <c r="C279" s="11" t="s">
        <v>170</v>
      </c>
      <c r="D279" s="11" t="s">
        <v>171</v>
      </c>
      <c r="E279" s="9" t="str">
        <f>+HYPERLINK("http://trademark.i-assist.jp/data/china/image_1904th/79077543.pdf", "79077543")</f>
        <v>79077543</v>
      </c>
      <c r="F279" s="11" t="s">
        <v>12</v>
      </c>
      <c r="G279" s="11" t="s">
        <v>983</v>
      </c>
      <c r="H279" s="11" t="s">
        <v>984</v>
      </c>
      <c r="I279" s="11" t="s">
        <v>138</v>
      </c>
    </row>
    <row r="280" spans="1:9" x14ac:dyDescent="0.15">
      <c r="A280" s="10">
        <v>279</v>
      </c>
      <c r="B280" s="11" t="s">
        <v>9</v>
      </c>
      <c r="C280" s="11" t="s">
        <v>170</v>
      </c>
      <c r="D280" s="11" t="s">
        <v>171</v>
      </c>
      <c r="E280" s="9" t="str">
        <f>+HYPERLINK("http://trademark.i-assist.jp/data/china/image_1904th/79078896.pdf", "79078896")</f>
        <v>79078896</v>
      </c>
      <c r="F280" s="11" t="s">
        <v>985</v>
      </c>
      <c r="G280" s="11" t="s">
        <v>986</v>
      </c>
      <c r="H280" s="11" t="s">
        <v>987</v>
      </c>
      <c r="I280" s="11" t="s">
        <v>138</v>
      </c>
    </row>
    <row r="281" spans="1:9" x14ac:dyDescent="0.15">
      <c r="A281" s="10">
        <v>280</v>
      </c>
      <c r="B281" s="11" t="s">
        <v>9</v>
      </c>
      <c r="C281" s="11" t="s">
        <v>170</v>
      </c>
      <c r="D281" s="11" t="s">
        <v>171</v>
      </c>
      <c r="E281" s="9" t="str">
        <f>+HYPERLINK("http://trademark.i-assist.jp/data/china/image_1904th/79080342.pdf", "79080342")</f>
        <v>79080342</v>
      </c>
      <c r="F281" s="11" t="s">
        <v>988</v>
      </c>
      <c r="G281" s="11" t="s">
        <v>989</v>
      </c>
      <c r="H281" s="11" t="s">
        <v>990</v>
      </c>
      <c r="I281" s="11" t="s">
        <v>138</v>
      </c>
    </row>
    <row r="282" spans="1:9" x14ac:dyDescent="0.15">
      <c r="A282" s="10">
        <v>281</v>
      </c>
      <c r="B282" s="11" t="s">
        <v>9</v>
      </c>
      <c r="C282" s="11" t="s">
        <v>170</v>
      </c>
      <c r="D282" s="11" t="s">
        <v>171</v>
      </c>
      <c r="E282" s="9" t="str">
        <f>+HYPERLINK("http://trademark.i-assist.jp/data/china/image_1904th/79081463.pdf", "79081463")</f>
        <v>79081463</v>
      </c>
      <c r="F282" s="11" t="s">
        <v>991</v>
      </c>
      <c r="G282" s="11" t="s">
        <v>992</v>
      </c>
      <c r="H282" s="11" t="s">
        <v>993</v>
      </c>
      <c r="I282" s="11" t="s">
        <v>138</v>
      </c>
    </row>
    <row r="283" spans="1:9" x14ac:dyDescent="0.15">
      <c r="A283" s="10">
        <v>282</v>
      </c>
      <c r="B283" s="11" t="s">
        <v>9</v>
      </c>
      <c r="C283" s="11" t="s">
        <v>170</v>
      </c>
      <c r="D283" s="11" t="s">
        <v>171</v>
      </c>
      <c r="E283" s="9" t="str">
        <f>+HYPERLINK("http://trademark.i-assist.jp/data/china/image_1904th/79081524.pdf", "79081524")</f>
        <v>79081524</v>
      </c>
      <c r="F283" s="11" t="s">
        <v>994</v>
      </c>
      <c r="G283" s="11" t="s">
        <v>995</v>
      </c>
      <c r="H283" s="11" t="s">
        <v>996</v>
      </c>
      <c r="I283" s="11" t="s">
        <v>138</v>
      </c>
    </row>
    <row r="284" spans="1:9" x14ac:dyDescent="0.15">
      <c r="A284" s="10">
        <v>283</v>
      </c>
      <c r="B284" s="11" t="s">
        <v>9</v>
      </c>
      <c r="C284" s="11" t="s">
        <v>170</v>
      </c>
      <c r="D284" s="11" t="s">
        <v>171</v>
      </c>
      <c r="E284" s="9" t="str">
        <f>+HYPERLINK("http://trademark.i-assist.jp/data/china/image_1904th/79081837.pdf", "79081837")</f>
        <v>79081837</v>
      </c>
      <c r="F284" s="11" t="s">
        <v>997</v>
      </c>
      <c r="G284" s="11" t="s">
        <v>998</v>
      </c>
      <c r="H284" s="11" t="s">
        <v>999</v>
      </c>
      <c r="I284" s="11" t="s">
        <v>138</v>
      </c>
    </row>
    <row r="285" spans="1:9" x14ac:dyDescent="0.15">
      <c r="A285" s="10">
        <v>284</v>
      </c>
      <c r="B285" s="11" t="s">
        <v>9</v>
      </c>
      <c r="C285" s="11" t="s">
        <v>170</v>
      </c>
      <c r="D285" s="11" t="s">
        <v>171</v>
      </c>
      <c r="E285" s="9" t="str">
        <f>+HYPERLINK("http://trademark.i-assist.jp/data/china/image_1904th/79082803A.pdf", "79082803A")</f>
        <v>79082803A</v>
      </c>
      <c r="F285" s="11" t="s">
        <v>1000</v>
      </c>
      <c r="G285" s="11" t="s">
        <v>962</v>
      </c>
      <c r="H285" s="11" t="s">
        <v>1001</v>
      </c>
      <c r="I285" s="11" t="s">
        <v>138</v>
      </c>
    </row>
    <row r="286" spans="1:9" x14ac:dyDescent="0.15">
      <c r="A286" s="10">
        <v>285</v>
      </c>
      <c r="B286" s="11" t="s">
        <v>9</v>
      </c>
      <c r="C286" s="11" t="s">
        <v>170</v>
      </c>
      <c r="D286" s="11" t="s">
        <v>171</v>
      </c>
      <c r="E286" s="9" t="str">
        <f>+HYPERLINK("http://trademark.i-assist.jp/data/china/image_1904th/79082924.pdf", "79082924")</f>
        <v>79082924</v>
      </c>
      <c r="F286" s="11" t="s">
        <v>1002</v>
      </c>
      <c r="G286" s="11" t="s">
        <v>1003</v>
      </c>
      <c r="H286" s="11" t="s">
        <v>1004</v>
      </c>
      <c r="I286" s="11" t="s">
        <v>138</v>
      </c>
    </row>
    <row r="287" spans="1:9" x14ac:dyDescent="0.15">
      <c r="A287" s="10">
        <v>286</v>
      </c>
      <c r="B287" s="11" t="s">
        <v>9</v>
      </c>
      <c r="C287" s="11" t="s">
        <v>170</v>
      </c>
      <c r="D287" s="11" t="s">
        <v>171</v>
      </c>
      <c r="E287" s="9" t="str">
        <f>+HYPERLINK("http://trademark.i-assist.jp/data/china/image_1904th/79087044.pdf", "79087044")</f>
        <v>79087044</v>
      </c>
      <c r="F287" s="11" t="s">
        <v>1005</v>
      </c>
      <c r="G287" s="11" t="s">
        <v>1006</v>
      </c>
      <c r="H287" s="11" t="s">
        <v>1007</v>
      </c>
      <c r="I287" s="11" t="s">
        <v>138</v>
      </c>
    </row>
    <row r="288" spans="1:9" x14ac:dyDescent="0.15">
      <c r="A288" s="10">
        <v>287</v>
      </c>
      <c r="B288" s="11" t="s">
        <v>9</v>
      </c>
      <c r="C288" s="11" t="s">
        <v>170</v>
      </c>
      <c r="D288" s="11" t="s">
        <v>171</v>
      </c>
      <c r="E288" s="9" t="str">
        <f>+HYPERLINK("http://trademark.i-assist.jp/data/china/image_1904th/79087749A.pdf", "79087749A")</f>
        <v>79087749A</v>
      </c>
      <c r="F288" s="11" t="s">
        <v>1008</v>
      </c>
      <c r="G288" s="11" t="s">
        <v>1009</v>
      </c>
      <c r="H288" s="11" t="s">
        <v>1010</v>
      </c>
      <c r="I288" s="11" t="s">
        <v>138</v>
      </c>
    </row>
    <row r="289" spans="1:9" x14ac:dyDescent="0.15">
      <c r="A289" s="10">
        <v>288</v>
      </c>
      <c r="B289" s="11" t="s">
        <v>9</v>
      </c>
      <c r="C289" s="11" t="s">
        <v>170</v>
      </c>
      <c r="D289" s="11" t="s">
        <v>171</v>
      </c>
      <c r="E289" s="9" t="str">
        <f>+HYPERLINK("http://trademark.i-assist.jp/data/china/image_1904th/79087826.pdf", "79087826")</f>
        <v>79087826</v>
      </c>
      <c r="F289" s="11" t="s">
        <v>1011</v>
      </c>
      <c r="G289" s="11" t="s">
        <v>1012</v>
      </c>
      <c r="H289" s="11" t="s">
        <v>1013</v>
      </c>
      <c r="I289" s="11" t="s">
        <v>138</v>
      </c>
    </row>
    <row r="290" spans="1:9" x14ac:dyDescent="0.15">
      <c r="A290" s="10">
        <v>289</v>
      </c>
      <c r="B290" s="11" t="s">
        <v>9</v>
      </c>
      <c r="C290" s="11" t="s">
        <v>170</v>
      </c>
      <c r="D290" s="11" t="s">
        <v>171</v>
      </c>
      <c r="E290" s="9" t="str">
        <f>+HYPERLINK("http://trademark.i-assist.jp/data/china/image_1904th/79087865.pdf", "79087865")</f>
        <v>79087865</v>
      </c>
      <c r="F290" s="11" t="s">
        <v>1014</v>
      </c>
      <c r="G290" s="11" t="s">
        <v>1015</v>
      </c>
      <c r="H290" s="11" t="s">
        <v>1016</v>
      </c>
      <c r="I290" s="11" t="s">
        <v>138</v>
      </c>
    </row>
    <row r="291" spans="1:9" x14ac:dyDescent="0.15">
      <c r="A291" s="10">
        <v>290</v>
      </c>
      <c r="B291" s="11" t="s">
        <v>9</v>
      </c>
      <c r="C291" s="11" t="s">
        <v>170</v>
      </c>
      <c r="D291" s="11" t="s">
        <v>171</v>
      </c>
      <c r="E291" s="9" t="str">
        <f>+HYPERLINK("http://trademark.i-assist.jp/data/china/image_1904th/79090903.pdf", "79090903")</f>
        <v>79090903</v>
      </c>
      <c r="F291" s="11" t="s">
        <v>1017</v>
      </c>
      <c r="G291" s="11" t="s">
        <v>1018</v>
      </c>
      <c r="H291" s="11" t="s">
        <v>1019</v>
      </c>
      <c r="I291" s="11" t="s">
        <v>140</v>
      </c>
    </row>
    <row r="292" spans="1:9" x14ac:dyDescent="0.15">
      <c r="A292" s="10">
        <v>291</v>
      </c>
      <c r="B292" s="11" t="s">
        <v>9</v>
      </c>
      <c r="C292" s="11" t="s">
        <v>170</v>
      </c>
      <c r="D292" s="11" t="s">
        <v>171</v>
      </c>
      <c r="E292" s="9" t="str">
        <f>+HYPERLINK("http://trademark.i-assist.jp/data/china/image_1904th/79091264.pdf", "79091264")</f>
        <v>79091264</v>
      </c>
      <c r="F292" s="11" t="s">
        <v>1020</v>
      </c>
      <c r="G292" s="11" t="s">
        <v>21</v>
      </c>
      <c r="H292" s="11" t="s">
        <v>1021</v>
      </c>
      <c r="I292" s="11" t="s">
        <v>140</v>
      </c>
    </row>
    <row r="293" spans="1:9" x14ac:dyDescent="0.15">
      <c r="A293" s="10">
        <v>292</v>
      </c>
      <c r="B293" s="11" t="s">
        <v>9</v>
      </c>
      <c r="C293" s="11" t="s">
        <v>170</v>
      </c>
      <c r="D293" s="11" t="s">
        <v>171</v>
      </c>
      <c r="E293" s="9" t="str">
        <f>+HYPERLINK("http://trademark.i-assist.jp/data/china/image_1904th/79091883.pdf", "79091883")</f>
        <v>79091883</v>
      </c>
      <c r="F293" s="11" t="s">
        <v>1022</v>
      </c>
      <c r="G293" s="11" t="s">
        <v>1023</v>
      </c>
      <c r="H293" s="11" t="s">
        <v>1024</v>
      </c>
      <c r="I293" s="11" t="s">
        <v>140</v>
      </c>
    </row>
    <row r="294" spans="1:9" x14ac:dyDescent="0.15">
      <c r="A294" s="10">
        <v>293</v>
      </c>
      <c r="B294" s="11" t="s">
        <v>9</v>
      </c>
      <c r="C294" s="11" t="s">
        <v>170</v>
      </c>
      <c r="D294" s="11" t="s">
        <v>171</v>
      </c>
      <c r="E294" s="9" t="str">
        <f>+HYPERLINK("http://trademark.i-assist.jp/data/china/image_1904th/79092099.pdf", "79092099")</f>
        <v>79092099</v>
      </c>
      <c r="F294" s="11" t="s">
        <v>1025</v>
      </c>
      <c r="G294" s="11" t="s">
        <v>143</v>
      </c>
      <c r="H294" s="11" t="s">
        <v>1026</v>
      </c>
      <c r="I294" s="11" t="s">
        <v>140</v>
      </c>
    </row>
    <row r="295" spans="1:9" x14ac:dyDescent="0.15">
      <c r="A295" s="10">
        <v>294</v>
      </c>
      <c r="B295" s="11" t="s">
        <v>9</v>
      </c>
      <c r="C295" s="11" t="s">
        <v>170</v>
      </c>
      <c r="D295" s="11" t="s">
        <v>171</v>
      </c>
      <c r="E295" s="9" t="str">
        <f>+HYPERLINK("http://trademark.i-assist.jp/data/china/image_1904th/79093034.pdf", "79093034")</f>
        <v>79093034</v>
      </c>
      <c r="F295" s="11" t="s">
        <v>12</v>
      </c>
      <c r="G295" s="11" t="s">
        <v>1027</v>
      </c>
      <c r="H295" s="11" t="s">
        <v>1028</v>
      </c>
      <c r="I295" s="11" t="s">
        <v>140</v>
      </c>
    </row>
    <row r="296" spans="1:9" x14ac:dyDescent="0.15">
      <c r="A296" s="10">
        <v>295</v>
      </c>
      <c r="B296" s="11" t="s">
        <v>9</v>
      </c>
      <c r="C296" s="11" t="s">
        <v>170</v>
      </c>
      <c r="D296" s="11" t="s">
        <v>171</v>
      </c>
      <c r="E296" s="9" t="str">
        <f>+HYPERLINK("http://trademark.i-assist.jp/data/china/image_1904th/79093438.pdf", "79093438")</f>
        <v>79093438</v>
      </c>
      <c r="F296" s="11" t="s">
        <v>1029</v>
      </c>
      <c r="G296" s="11" t="s">
        <v>1030</v>
      </c>
      <c r="H296" s="11" t="s">
        <v>1031</v>
      </c>
      <c r="I296" s="11" t="s">
        <v>140</v>
      </c>
    </row>
    <row r="297" spans="1:9" x14ac:dyDescent="0.15">
      <c r="A297" s="10">
        <v>296</v>
      </c>
      <c r="B297" s="11" t="s">
        <v>9</v>
      </c>
      <c r="C297" s="11" t="s">
        <v>170</v>
      </c>
      <c r="D297" s="11" t="s">
        <v>171</v>
      </c>
      <c r="E297" s="9" t="str">
        <f>+HYPERLINK("http://trademark.i-assist.jp/data/china/image_1904th/79094775.pdf", "79094775")</f>
        <v>79094775</v>
      </c>
      <c r="F297" s="11" t="s">
        <v>1032</v>
      </c>
      <c r="G297" s="11" t="s">
        <v>97</v>
      </c>
      <c r="H297" s="11" t="s">
        <v>1033</v>
      </c>
      <c r="I297" s="11" t="s">
        <v>140</v>
      </c>
    </row>
    <row r="298" spans="1:9" x14ac:dyDescent="0.15">
      <c r="A298" s="10">
        <v>297</v>
      </c>
      <c r="B298" s="11" t="s">
        <v>9</v>
      </c>
      <c r="C298" s="11" t="s">
        <v>170</v>
      </c>
      <c r="D298" s="11" t="s">
        <v>171</v>
      </c>
      <c r="E298" s="9" t="str">
        <f>+HYPERLINK("http://trademark.i-assist.jp/data/china/image_1904th/79094801.pdf", "79094801")</f>
        <v>79094801</v>
      </c>
      <c r="F298" s="11" t="s">
        <v>1034</v>
      </c>
      <c r="G298" s="11" t="s">
        <v>1035</v>
      </c>
      <c r="H298" s="11" t="s">
        <v>1036</v>
      </c>
      <c r="I298" s="11" t="s">
        <v>140</v>
      </c>
    </row>
    <row r="299" spans="1:9" x14ac:dyDescent="0.15">
      <c r="A299" s="10">
        <v>298</v>
      </c>
      <c r="B299" s="11" t="s">
        <v>9</v>
      </c>
      <c r="C299" s="11" t="s">
        <v>170</v>
      </c>
      <c r="D299" s="11" t="s">
        <v>171</v>
      </c>
      <c r="E299" s="9" t="str">
        <f>+HYPERLINK("http://trademark.i-assist.jp/data/china/image_1904th/79096669.pdf", "79096669")</f>
        <v>79096669</v>
      </c>
      <c r="F299" s="11" t="s">
        <v>1037</v>
      </c>
      <c r="G299" s="11" t="s">
        <v>1038</v>
      </c>
      <c r="H299" s="11" t="s">
        <v>1039</v>
      </c>
      <c r="I299" s="11" t="s">
        <v>140</v>
      </c>
    </row>
    <row r="300" spans="1:9" x14ac:dyDescent="0.15">
      <c r="A300" s="10">
        <v>299</v>
      </c>
      <c r="B300" s="11" t="s">
        <v>9</v>
      </c>
      <c r="C300" s="11" t="s">
        <v>170</v>
      </c>
      <c r="D300" s="11" t="s">
        <v>171</v>
      </c>
      <c r="E300" s="9" t="str">
        <f>+HYPERLINK("http://trademark.i-assist.jp/data/china/image_1904th/79096951.pdf", "79096951")</f>
        <v>79096951</v>
      </c>
      <c r="F300" s="11" t="s">
        <v>1040</v>
      </c>
      <c r="G300" s="11" t="s">
        <v>1041</v>
      </c>
      <c r="H300" s="11" t="s">
        <v>1042</v>
      </c>
      <c r="I300" s="11" t="s">
        <v>140</v>
      </c>
    </row>
    <row r="301" spans="1:9" x14ac:dyDescent="0.15">
      <c r="A301" s="10">
        <v>300</v>
      </c>
      <c r="B301" s="11" t="s">
        <v>9</v>
      </c>
      <c r="C301" s="11" t="s">
        <v>170</v>
      </c>
      <c r="D301" s="11" t="s">
        <v>171</v>
      </c>
      <c r="E301" s="9" t="str">
        <f>+HYPERLINK("http://trademark.i-assist.jp/data/china/image_1904th/79097056.pdf", "79097056")</f>
        <v>79097056</v>
      </c>
      <c r="F301" s="11" t="s">
        <v>1043</v>
      </c>
      <c r="G301" s="11" t="s">
        <v>1044</v>
      </c>
      <c r="H301" s="11" t="s">
        <v>1045</v>
      </c>
      <c r="I301" s="11" t="s">
        <v>140</v>
      </c>
    </row>
    <row r="302" spans="1:9" x14ac:dyDescent="0.15">
      <c r="A302" s="10">
        <v>301</v>
      </c>
      <c r="B302" s="11" t="s">
        <v>9</v>
      </c>
      <c r="C302" s="11" t="s">
        <v>170</v>
      </c>
      <c r="D302" s="11" t="s">
        <v>171</v>
      </c>
      <c r="E302" s="9" t="str">
        <f>+HYPERLINK("http://trademark.i-assist.jp/data/china/image_1904th/79097063.pdf", "79097063")</f>
        <v>79097063</v>
      </c>
      <c r="F302" s="11" t="s">
        <v>1046</v>
      </c>
      <c r="G302" s="11" t="s">
        <v>1047</v>
      </c>
      <c r="H302" s="11" t="s">
        <v>1048</v>
      </c>
      <c r="I302" s="11" t="s">
        <v>140</v>
      </c>
    </row>
    <row r="303" spans="1:9" x14ac:dyDescent="0.15">
      <c r="A303" s="10">
        <v>302</v>
      </c>
      <c r="B303" s="11" t="s">
        <v>9</v>
      </c>
      <c r="C303" s="11" t="s">
        <v>170</v>
      </c>
      <c r="D303" s="11" t="s">
        <v>171</v>
      </c>
      <c r="E303" s="9" t="str">
        <f>+HYPERLINK("http://trademark.i-assist.jp/data/china/image_1904th/79097968.pdf", "79097968")</f>
        <v>79097968</v>
      </c>
      <c r="F303" s="11" t="s">
        <v>1049</v>
      </c>
      <c r="G303" s="11" t="s">
        <v>1050</v>
      </c>
      <c r="H303" s="11" t="s">
        <v>1051</v>
      </c>
      <c r="I303" s="11" t="s">
        <v>140</v>
      </c>
    </row>
    <row r="304" spans="1:9" x14ac:dyDescent="0.15">
      <c r="A304" s="10">
        <v>303</v>
      </c>
      <c r="B304" s="11" t="s">
        <v>9</v>
      </c>
      <c r="C304" s="11" t="s">
        <v>170</v>
      </c>
      <c r="D304" s="11" t="s">
        <v>171</v>
      </c>
      <c r="E304" s="9" t="str">
        <f>+HYPERLINK("http://trademark.i-assist.jp/data/china/image_1904th/79098238.pdf", "79098238")</f>
        <v>79098238</v>
      </c>
      <c r="F304" s="11" t="s">
        <v>1052</v>
      </c>
      <c r="G304" s="11" t="s">
        <v>1053</v>
      </c>
      <c r="H304" s="11" t="s">
        <v>1054</v>
      </c>
      <c r="I304" s="11" t="s">
        <v>140</v>
      </c>
    </row>
    <row r="305" spans="1:9" x14ac:dyDescent="0.15">
      <c r="A305" s="10">
        <v>304</v>
      </c>
      <c r="B305" s="11" t="s">
        <v>9</v>
      </c>
      <c r="C305" s="11" t="s">
        <v>170</v>
      </c>
      <c r="D305" s="11" t="s">
        <v>171</v>
      </c>
      <c r="E305" s="9" t="str">
        <f>+HYPERLINK("http://trademark.i-assist.jp/data/china/image_1904th/79101911.pdf", "79101911")</f>
        <v>79101911</v>
      </c>
      <c r="F305" s="11" t="s">
        <v>1055</v>
      </c>
      <c r="G305" s="11" t="s">
        <v>1056</v>
      </c>
      <c r="H305" s="11" t="s">
        <v>1057</v>
      </c>
      <c r="I305" s="11" t="s">
        <v>140</v>
      </c>
    </row>
    <row r="306" spans="1:9" x14ac:dyDescent="0.15">
      <c r="A306" s="10">
        <v>305</v>
      </c>
      <c r="B306" s="11" t="s">
        <v>9</v>
      </c>
      <c r="C306" s="11" t="s">
        <v>170</v>
      </c>
      <c r="D306" s="11" t="s">
        <v>171</v>
      </c>
      <c r="E306" s="9" t="str">
        <f>+HYPERLINK("http://trademark.i-assist.jp/data/china/image_1904th/79102466.pdf", "79102466")</f>
        <v>79102466</v>
      </c>
      <c r="F306" s="11" t="s">
        <v>1058</v>
      </c>
      <c r="G306" s="11" t="s">
        <v>1038</v>
      </c>
      <c r="H306" s="11" t="s">
        <v>1059</v>
      </c>
      <c r="I306" s="11" t="s">
        <v>140</v>
      </c>
    </row>
    <row r="307" spans="1:9" x14ac:dyDescent="0.15">
      <c r="A307" s="10">
        <v>306</v>
      </c>
      <c r="B307" s="11" t="s">
        <v>9</v>
      </c>
      <c r="C307" s="11" t="s">
        <v>170</v>
      </c>
      <c r="D307" s="11" t="s">
        <v>171</v>
      </c>
      <c r="E307" s="9" t="str">
        <f>+HYPERLINK("http://trademark.i-assist.jp/data/china/image_1904th/79103013.pdf", "79103013")</f>
        <v>79103013</v>
      </c>
      <c r="F307" s="11" t="s">
        <v>1060</v>
      </c>
      <c r="G307" s="11" t="s">
        <v>1061</v>
      </c>
      <c r="H307" s="11" t="s">
        <v>1062</v>
      </c>
      <c r="I307" s="11" t="s">
        <v>140</v>
      </c>
    </row>
    <row r="308" spans="1:9" x14ac:dyDescent="0.15">
      <c r="A308" s="10">
        <v>307</v>
      </c>
      <c r="B308" s="11" t="s">
        <v>9</v>
      </c>
      <c r="C308" s="11" t="s">
        <v>170</v>
      </c>
      <c r="D308" s="11" t="s">
        <v>171</v>
      </c>
      <c r="E308" s="9" t="str">
        <f>+HYPERLINK("http://trademark.i-assist.jp/data/china/image_1904th/79104680.pdf", "79104680")</f>
        <v>79104680</v>
      </c>
      <c r="F308" s="11" t="s">
        <v>1063</v>
      </c>
      <c r="G308" s="11" t="s">
        <v>1064</v>
      </c>
      <c r="H308" s="11" t="s">
        <v>1065</v>
      </c>
      <c r="I308" s="11" t="s">
        <v>140</v>
      </c>
    </row>
    <row r="309" spans="1:9" x14ac:dyDescent="0.15">
      <c r="A309" s="10">
        <v>308</v>
      </c>
      <c r="B309" s="11" t="s">
        <v>9</v>
      </c>
      <c r="C309" s="11" t="s">
        <v>170</v>
      </c>
      <c r="D309" s="11" t="s">
        <v>171</v>
      </c>
      <c r="E309" s="9" t="str">
        <f>+HYPERLINK("http://trademark.i-assist.jp/data/china/image_1904th/79106231.pdf", "79106231")</f>
        <v>79106231</v>
      </c>
      <c r="F309" s="11" t="s">
        <v>1066</v>
      </c>
      <c r="G309" s="11" t="s">
        <v>1067</v>
      </c>
      <c r="H309" s="11" t="s">
        <v>1068</v>
      </c>
      <c r="I309" s="11" t="s">
        <v>140</v>
      </c>
    </row>
    <row r="310" spans="1:9" x14ac:dyDescent="0.15">
      <c r="A310" s="10">
        <v>309</v>
      </c>
      <c r="B310" s="11" t="s">
        <v>9</v>
      </c>
      <c r="C310" s="11" t="s">
        <v>170</v>
      </c>
      <c r="D310" s="11" t="s">
        <v>171</v>
      </c>
      <c r="E310" s="9" t="str">
        <f>+HYPERLINK("http://trademark.i-assist.jp/data/china/image_1904th/79107149.pdf", "79107149")</f>
        <v>79107149</v>
      </c>
      <c r="F310" s="11" t="s">
        <v>12</v>
      </c>
      <c r="G310" s="11" t="s">
        <v>1069</v>
      </c>
      <c r="H310" s="11" t="s">
        <v>1070</v>
      </c>
      <c r="I310" s="11" t="s">
        <v>140</v>
      </c>
    </row>
    <row r="311" spans="1:9" x14ac:dyDescent="0.15">
      <c r="A311" s="10">
        <v>310</v>
      </c>
      <c r="B311" s="11" t="s">
        <v>9</v>
      </c>
      <c r="C311" s="11" t="s">
        <v>170</v>
      </c>
      <c r="D311" s="11" t="s">
        <v>171</v>
      </c>
      <c r="E311" s="9" t="str">
        <f>+HYPERLINK("http://trademark.i-assist.jp/data/china/image_1904th/79110009.pdf", "79110009")</f>
        <v>79110009</v>
      </c>
      <c r="F311" s="11" t="s">
        <v>1071</v>
      </c>
      <c r="G311" s="11" t="s">
        <v>1038</v>
      </c>
      <c r="H311" s="11" t="s">
        <v>1072</v>
      </c>
      <c r="I311" s="11" t="s">
        <v>140</v>
      </c>
    </row>
    <row r="312" spans="1:9" x14ac:dyDescent="0.15">
      <c r="A312" s="10">
        <v>311</v>
      </c>
      <c r="B312" s="11" t="s">
        <v>9</v>
      </c>
      <c r="C312" s="11" t="s">
        <v>170</v>
      </c>
      <c r="D312" s="11" t="s">
        <v>171</v>
      </c>
      <c r="E312" s="9" t="str">
        <f>+HYPERLINK("http://trademark.i-assist.jp/data/china/image_1904th/79110377.pdf", "79110377")</f>
        <v>79110377</v>
      </c>
      <c r="F312" s="11" t="s">
        <v>1073</v>
      </c>
      <c r="G312" s="11" t="s">
        <v>1074</v>
      </c>
      <c r="H312" s="11" t="s">
        <v>1075</v>
      </c>
      <c r="I312" s="11" t="s">
        <v>140</v>
      </c>
    </row>
    <row r="313" spans="1:9" x14ac:dyDescent="0.15">
      <c r="A313" s="10">
        <v>312</v>
      </c>
      <c r="B313" s="11" t="s">
        <v>9</v>
      </c>
      <c r="C313" s="11" t="s">
        <v>170</v>
      </c>
      <c r="D313" s="11" t="s">
        <v>171</v>
      </c>
      <c r="E313" s="9" t="str">
        <f>+HYPERLINK("http://trademark.i-assist.jp/data/china/image_1904th/79111646.pdf", "79111646")</f>
        <v>79111646</v>
      </c>
      <c r="F313" s="11" t="s">
        <v>1076</v>
      </c>
      <c r="G313" s="11" t="s">
        <v>1038</v>
      </c>
      <c r="H313" s="11" t="s">
        <v>1077</v>
      </c>
      <c r="I313" s="11" t="s">
        <v>140</v>
      </c>
    </row>
    <row r="314" spans="1:9" x14ac:dyDescent="0.15">
      <c r="A314" s="10">
        <v>313</v>
      </c>
      <c r="B314" s="11" t="s">
        <v>9</v>
      </c>
      <c r="C314" s="11" t="s">
        <v>170</v>
      </c>
      <c r="D314" s="11" t="s">
        <v>171</v>
      </c>
      <c r="E314" s="9" t="str">
        <f>+HYPERLINK("http://trademark.i-assist.jp/data/china/image_1904th/79113190.pdf", "79113190")</f>
        <v>79113190</v>
      </c>
      <c r="F314" s="11" t="s">
        <v>1078</v>
      </c>
      <c r="G314" s="11" t="s">
        <v>1038</v>
      </c>
      <c r="H314" s="11" t="s">
        <v>1079</v>
      </c>
      <c r="I314" s="11" t="s">
        <v>140</v>
      </c>
    </row>
    <row r="315" spans="1:9" x14ac:dyDescent="0.15">
      <c r="A315" s="10">
        <v>314</v>
      </c>
      <c r="B315" s="11" t="s">
        <v>9</v>
      </c>
      <c r="C315" s="11" t="s">
        <v>170</v>
      </c>
      <c r="D315" s="11" t="s">
        <v>171</v>
      </c>
      <c r="E315" s="9" t="str">
        <f>+HYPERLINK("http://trademark.i-assist.jp/data/china/image_1904th/79114072.pdf", "79114072")</f>
        <v>79114072</v>
      </c>
      <c r="F315" s="11" t="s">
        <v>1080</v>
      </c>
      <c r="G315" s="11" t="s">
        <v>1081</v>
      </c>
      <c r="H315" s="11" t="s">
        <v>1082</v>
      </c>
      <c r="I315" s="11" t="s">
        <v>140</v>
      </c>
    </row>
    <row r="316" spans="1:9" x14ac:dyDescent="0.15">
      <c r="A316" s="10">
        <v>315</v>
      </c>
      <c r="B316" s="11" t="s">
        <v>9</v>
      </c>
      <c r="C316" s="11" t="s">
        <v>170</v>
      </c>
      <c r="D316" s="11" t="s">
        <v>171</v>
      </c>
      <c r="E316" s="9" t="str">
        <f>+HYPERLINK("http://trademark.i-assist.jp/data/china/image_1904th/79116045.pdf", "79116045")</f>
        <v>79116045</v>
      </c>
      <c r="F316" s="11" t="s">
        <v>12</v>
      </c>
      <c r="G316" s="11" t="s">
        <v>144</v>
      </c>
      <c r="H316" s="11" t="s">
        <v>1083</v>
      </c>
      <c r="I316" s="11" t="s">
        <v>140</v>
      </c>
    </row>
    <row r="317" spans="1:9" x14ac:dyDescent="0.15">
      <c r="A317" s="10">
        <v>316</v>
      </c>
      <c r="B317" s="11" t="s">
        <v>9</v>
      </c>
      <c r="C317" s="11" t="s">
        <v>170</v>
      </c>
      <c r="D317" s="11" t="s">
        <v>171</v>
      </c>
      <c r="E317" s="9" t="str">
        <f>+HYPERLINK("http://trademark.i-assist.jp/data/china/image_1904th/79117309.pdf", "79117309")</f>
        <v>79117309</v>
      </c>
      <c r="F317" s="11" t="s">
        <v>1084</v>
      </c>
      <c r="G317" s="11" t="s">
        <v>1038</v>
      </c>
      <c r="H317" s="11" t="s">
        <v>1085</v>
      </c>
      <c r="I317" s="11" t="s">
        <v>140</v>
      </c>
    </row>
    <row r="318" spans="1:9" x14ac:dyDescent="0.15">
      <c r="A318" s="10">
        <v>317</v>
      </c>
      <c r="B318" s="11" t="s">
        <v>9</v>
      </c>
      <c r="C318" s="11" t="s">
        <v>170</v>
      </c>
      <c r="D318" s="11" t="s">
        <v>171</v>
      </c>
      <c r="E318" s="9" t="str">
        <f>+HYPERLINK("http://trademark.i-assist.jp/data/china/image_1904th/79117534.pdf", "79117534")</f>
        <v>79117534</v>
      </c>
      <c r="F318" s="11" t="s">
        <v>1086</v>
      </c>
      <c r="G318" s="11" t="s">
        <v>1087</v>
      </c>
      <c r="H318" s="11" t="s">
        <v>1088</v>
      </c>
      <c r="I318" s="11" t="s">
        <v>140</v>
      </c>
    </row>
    <row r="319" spans="1:9" x14ac:dyDescent="0.15">
      <c r="A319" s="10">
        <v>318</v>
      </c>
      <c r="B319" s="11" t="s">
        <v>9</v>
      </c>
      <c r="C319" s="11" t="s">
        <v>170</v>
      </c>
      <c r="D319" s="11" t="s">
        <v>171</v>
      </c>
      <c r="E319" s="9" t="str">
        <f>+HYPERLINK("http://trademark.i-assist.jp/data/china/image_1904th/79117591.pdf", "79117591")</f>
        <v>79117591</v>
      </c>
      <c r="F319" s="11" t="s">
        <v>1089</v>
      </c>
      <c r="G319" s="11" t="s">
        <v>1038</v>
      </c>
      <c r="H319" s="11" t="s">
        <v>1090</v>
      </c>
      <c r="I319" s="11" t="s">
        <v>140</v>
      </c>
    </row>
    <row r="320" spans="1:9" x14ac:dyDescent="0.15">
      <c r="A320" s="10">
        <v>319</v>
      </c>
      <c r="B320" s="11" t="s">
        <v>9</v>
      </c>
      <c r="C320" s="11" t="s">
        <v>170</v>
      </c>
      <c r="D320" s="11" t="s">
        <v>171</v>
      </c>
      <c r="E320" s="9" t="str">
        <f>+HYPERLINK("http://trademark.i-assist.jp/data/china/image_1904th/79121091.pdf", "79121091")</f>
        <v>79121091</v>
      </c>
      <c r="F320" s="11" t="s">
        <v>1091</v>
      </c>
      <c r="G320" s="11" t="s">
        <v>1092</v>
      </c>
      <c r="H320" s="11" t="s">
        <v>1093</v>
      </c>
      <c r="I320" s="11" t="s">
        <v>148</v>
      </c>
    </row>
    <row r="321" spans="1:9" x14ac:dyDescent="0.15">
      <c r="A321" s="10">
        <v>320</v>
      </c>
      <c r="B321" s="11" t="s">
        <v>9</v>
      </c>
      <c r="C321" s="11" t="s">
        <v>170</v>
      </c>
      <c r="D321" s="11" t="s">
        <v>171</v>
      </c>
      <c r="E321" s="9" t="str">
        <f>+HYPERLINK("http://trademark.i-assist.jp/data/china/image_1904th/79126033.pdf", "79126033")</f>
        <v>79126033</v>
      </c>
      <c r="F321" s="11" t="s">
        <v>1094</v>
      </c>
      <c r="G321" s="11" t="s">
        <v>1095</v>
      </c>
      <c r="H321" s="11" t="s">
        <v>1096</v>
      </c>
      <c r="I321" s="11" t="s">
        <v>149</v>
      </c>
    </row>
    <row r="322" spans="1:9" x14ac:dyDescent="0.15">
      <c r="A322" s="10">
        <v>321</v>
      </c>
      <c r="B322" s="11" t="s">
        <v>9</v>
      </c>
      <c r="C322" s="11" t="s">
        <v>170</v>
      </c>
      <c r="D322" s="11" t="s">
        <v>171</v>
      </c>
      <c r="E322" s="9" t="str">
        <f>+HYPERLINK("http://trademark.i-assist.jp/data/china/image_1904th/79126529.pdf", "79126529")</f>
        <v>79126529</v>
      </c>
      <c r="F322" s="11" t="s">
        <v>1097</v>
      </c>
      <c r="G322" s="11" t="s">
        <v>1098</v>
      </c>
      <c r="H322" s="11" t="s">
        <v>1099</v>
      </c>
      <c r="I322" s="11" t="s">
        <v>150</v>
      </c>
    </row>
    <row r="323" spans="1:9" x14ac:dyDescent="0.15">
      <c r="A323" s="10">
        <v>322</v>
      </c>
      <c r="B323" s="11" t="s">
        <v>9</v>
      </c>
      <c r="C323" s="11" t="s">
        <v>170</v>
      </c>
      <c r="D323" s="11" t="s">
        <v>171</v>
      </c>
      <c r="E323" s="9" t="str">
        <f>+HYPERLINK("http://trademark.i-assist.jp/data/china/image_1904th/79128639.pdf", "79128639")</f>
        <v>79128639</v>
      </c>
      <c r="F323" s="11" t="s">
        <v>1100</v>
      </c>
      <c r="G323" s="11" t="s">
        <v>1101</v>
      </c>
      <c r="H323" s="11" t="s">
        <v>1102</v>
      </c>
      <c r="I323" s="11" t="s">
        <v>150</v>
      </c>
    </row>
    <row r="324" spans="1:9" x14ac:dyDescent="0.15">
      <c r="A324" s="10">
        <v>323</v>
      </c>
      <c r="B324" s="11" t="s">
        <v>9</v>
      </c>
      <c r="C324" s="11" t="s">
        <v>170</v>
      </c>
      <c r="D324" s="11" t="s">
        <v>171</v>
      </c>
      <c r="E324" s="9" t="str">
        <f>+HYPERLINK("http://trademark.i-assist.jp/data/china/image_1904th/79130558.pdf", "79130558")</f>
        <v>79130558</v>
      </c>
      <c r="F324" s="11" t="s">
        <v>1103</v>
      </c>
      <c r="G324" s="11" t="s">
        <v>1104</v>
      </c>
      <c r="H324" s="11" t="s">
        <v>1105</v>
      </c>
      <c r="I324" s="11" t="s">
        <v>150</v>
      </c>
    </row>
    <row r="325" spans="1:9" x14ac:dyDescent="0.15">
      <c r="A325" s="10">
        <v>324</v>
      </c>
      <c r="B325" s="11" t="s">
        <v>9</v>
      </c>
      <c r="C325" s="11" t="s">
        <v>170</v>
      </c>
      <c r="D325" s="11" t="s">
        <v>171</v>
      </c>
      <c r="E325" s="9" t="str">
        <f>+HYPERLINK("http://trademark.i-assist.jp/data/china/image_1904th/79130969.pdf", "79130969")</f>
        <v>79130969</v>
      </c>
      <c r="F325" s="11" t="s">
        <v>1106</v>
      </c>
      <c r="G325" s="11" t="s">
        <v>1107</v>
      </c>
      <c r="H325" s="11" t="s">
        <v>1108</v>
      </c>
      <c r="I325" s="11" t="s">
        <v>150</v>
      </c>
    </row>
    <row r="326" spans="1:9" x14ac:dyDescent="0.15">
      <c r="A326" s="10">
        <v>325</v>
      </c>
      <c r="B326" s="11" t="s">
        <v>9</v>
      </c>
      <c r="C326" s="11" t="s">
        <v>170</v>
      </c>
      <c r="D326" s="11" t="s">
        <v>171</v>
      </c>
      <c r="E326" s="9" t="str">
        <f>+HYPERLINK("http://trademark.i-assist.jp/data/china/image_1904th/79131546.pdf", "79131546")</f>
        <v>79131546</v>
      </c>
      <c r="F326" s="11" t="s">
        <v>1109</v>
      </c>
      <c r="G326" s="11" t="s">
        <v>1110</v>
      </c>
      <c r="H326" s="11" t="s">
        <v>1111</v>
      </c>
      <c r="I326" s="11" t="s">
        <v>150</v>
      </c>
    </row>
    <row r="327" spans="1:9" x14ac:dyDescent="0.15">
      <c r="A327" s="10">
        <v>326</v>
      </c>
      <c r="B327" s="11" t="s">
        <v>9</v>
      </c>
      <c r="C327" s="11" t="s">
        <v>170</v>
      </c>
      <c r="D327" s="11" t="s">
        <v>171</v>
      </c>
      <c r="E327" s="9" t="str">
        <f>+HYPERLINK("http://trademark.i-assist.jp/data/china/image_1904th/79134255.pdf", "79134255")</f>
        <v>79134255</v>
      </c>
      <c r="F327" s="11" t="s">
        <v>1112</v>
      </c>
      <c r="G327" s="11" t="s">
        <v>1113</v>
      </c>
      <c r="H327" s="11" t="s">
        <v>1114</v>
      </c>
      <c r="I327" s="11" t="s">
        <v>150</v>
      </c>
    </row>
    <row r="328" spans="1:9" x14ac:dyDescent="0.15">
      <c r="A328" s="10">
        <v>327</v>
      </c>
      <c r="B328" s="11" t="s">
        <v>9</v>
      </c>
      <c r="C328" s="11" t="s">
        <v>170</v>
      </c>
      <c r="D328" s="11" t="s">
        <v>171</v>
      </c>
      <c r="E328" s="9" t="str">
        <f>+HYPERLINK("http://trademark.i-assist.jp/data/china/image_1904th/79136127.pdf", "79136127")</f>
        <v>79136127</v>
      </c>
      <c r="F328" s="11" t="s">
        <v>1115</v>
      </c>
      <c r="G328" s="11" t="s">
        <v>142</v>
      </c>
      <c r="H328" s="11" t="s">
        <v>1116</v>
      </c>
      <c r="I328" s="11" t="s">
        <v>150</v>
      </c>
    </row>
    <row r="329" spans="1:9" x14ac:dyDescent="0.15">
      <c r="A329" s="10">
        <v>328</v>
      </c>
      <c r="B329" s="11" t="s">
        <v>9</v>
      </c>
      <c r="C329" s="11" t="s">
        <v>170</v>
      </c>
      <c r="D329" s="11" t="s">
        <v>171</v>
      </c>
      <c r="E329" s="9" t="str">
        <f>+HYPERLINK("http://trademark.i-assist.jp/data/china/image_1904th/79137804.pdf", "79137804")</f>
        <v>79137804</v>
      </c>
      <c r="F329" s="11" t="s">
        <v>1117</v>
      </c>
      <c r="G329" s="11" t="s">
        <v>1118</v>
      </c>
      <c r="H329" s="11" t="s">
        <v>1119</v>
      </c>
      <c r="I329" s="11" t="s">
        <v>150</v>
      </c>
    </row>
    <row r="330" spans="1:9" x14ac:dyDescent="0.15">
      <c r="A330" s="10">
        <v>329</v>
      </c>
      <c r="B330" s="11" t="s">
        <v>9</v>
      </c>
      <c r="C330" s="11" t="s">
        <v>170</v>
      </c>
      <c r="D330" s="11" t="s">
        <v>171</v>
      </c>
      <c r="E330" s="9" t="str">
        <f>+HYPERLINK("http://trademark.i-assist.jp/data/china/image_1904th/79138890.pdf", "79138890")</f>
        <v>79138890</v>
      </c>
      <c r="F330" s="11" t="s">
        <v>1120</v>
      </c>
      <c r="G330" s="11" t="s">
        <v>1121</v>
      </c>
      <c r="H330" s="11" t="s">
        <v>1122</v>
      </c>
      <c r="I330" s="11" t="s">
        <v>150</v>
      </c>
    </row>
    <row r="331" spans="1:9" x14ac:dyDescent="0.15">
      <c r="A331" s="10">
        <v>330</v>
      </c>
      <c r="B331" s="11" t="s">
        <v>9</v>
      </c>
      <c r="C331" s="11" t="s">
        <v>170</v>
      </c>
      <c r="D331" s="11" t="s">
        <v>171</v>
      </c>
      <c r="E331" s="9" t="str">
        <f>+HYPERLINK("http://trademark.i-assist.jp/data/china/image_1904th/79139288.pdf", "79139288")</f>
        <v>79139288</v>
      </c>
      <c r="F331" s="11" t="s">
        <v>1123</v>
      </c>
      <c r="G331" s="11" t="s">
        <v>1104</v>
      </c>
      <c r="H331" s="11" t="s">
        <v>1124</v>
      </c>
      <c r="I331" s="11" t="s">
        <v>150</v>
      </c>
    </row>
    <row r="332" spans="1:9" x14ac:dyDescent="0.15">
      <c r="A332" s="10">
        <v>331</v>
      </c>
      <c r="B332" s="11" t="s">
        <v>9</v>
      </c>
      <c r="C332" s="11" t="s">
        <v>170</v>
      </c>
      <c r="D332" s="11" t="s">
        <v>171</v>
      </c>
      <c r="E332" s="9" t="str">
        <f>+HYPERLINK("http://trademark.i-assist.jp/data/china/image_1904th/79140243.pdf", "79140243")</f>
        <v>79140243</v>
      </c>
      <c r="F332" s="11" t="s">
        <v>1125</v>
      </c>
      <c r="G332" s="11" t="s">
        <v>1126</v>
      </c>
      <c r="H332" s="11" t="s">
        <v>1127</v>
      </c>
      <c r="I332" s="11" t="s">
        <v>150</v>
      </c>
    </row>
    <row r="333" spans="1:9" x14ac:dyDescent="0.15">
      <c r="A333" s="10">
        <v>332</v>
      </c>
      <c r="B333" s="11" t="s">
        <v>9</v>
      </c>
      <c r="C333" s="11" t="s">
        <v>170</v>
      </c>
      <c r="D333" s="11" t="s">
        <v>171</v>
      </c>
      <c r="E333" s="9" t="str">
        <f>+HYPERLINK("http://trademark.i-assist.jp/data/china/image_1904th/79142164.pdf", "79142164")</f>
        <v>79142164</v>
      </c>
      <c r="F333" s="11" t="s">
        <v>1128</v>
      </c>
      <c r="G333" s="11" t="s">
        <v>153</v>
      </c>
      <c r="H333" s="11" t="s">
        <v>1129</v>
      </c>
      <c r="I333" s="11" t="s">
        <v>150</v>
      </c>
    </row>
    <row r="334" spans="1:9" x14ac:dyDescent="0.15">
      <c r="A334" s="10">
        <v>333</v>
      </c>
      <c r="B334" s="11" t="s">
        <v>9</v>
      </c>
      <c r="C334" s="11" t="s">
        <v>170</v>
      </c>
      <c r="D334" s="11" t="s">
        <v>171</v>
      </c>
      <c r="E334" s="9" t="str">
        <f>+HYPERLINK("http://trademark.i-assist.jp/data/china/image_1904th/79143394.pdf", "79143394")</f>
        <v>79143394</v>
      </c>
      <c r="F334" s="11" t="s">
        <v>1130</v>
      </c>
      <c r="G334" s="11" t="s">
        <v>114</v>
      </c>
      <c r="H334" s="11" t="s">
        <v>1131</v>
      </c>
      <c r="I334" s="11" t="s">
        <v>150</v>
      </c>
    </row>
    <row r="335" spans="1:9" x14ac:dyDescent="0.15">
      <c r="A335" s="10">
        <v>334</v>
      </c>
      <c r="B335" s="11" t="s">
        <v>9</v>
      </c>
      <c r="C335" s="11" t="s">
        <v>170</v>
      </c>
      <c r="D335" s="11" t="s">
        <v>171</v>
      </c>
      <c r="E335" s="9" t="str">
        <f>+HYPERLINK("http://trademark.i-assist.jp/data/china/image_1904th/79143898.pdf", "79143898")</f>
        <v>79143898</v>
      </c>
      <c r="F335" s="11" t="s">
        <v>1132</v>
      </c>
      <c r="G335" s="11" t="s">
        <v>1133</v>
      </c>
      <c r="H335" s="11" t="s">
        <v>1134</v>
      </c>
      <c r="I335" s="11" t="s">
        <v>150</v>
      </c>
    </row>
    <row r="336" spans="1:9" x14ac:dyDescent="0.15">
      <c r="A336" s="10">
        <v>335</v>
      </c>
      <c r="B336" s="11" t="s">
        <v>9</v>
      </c>
      <c r="C336" s="11" t="s">
        <v>170</v>
      </c>
      <c r="D336" s="11" t="s">
        <v>171</v>
      </c>
      <c r="E336" s="9" t="str">
        <f>+HYPERLINK("http://trademark.i-assist.jp/data/china/image_1904th/79144126.pdf", "79144126")</f>
        <v>79144126</v>
      </c>
      <c r="F336" s="11" t="s">
        <v>1135</v>
      </c>
      <c r="G336" s="11" t="s">
        <v>1136</v>
      </c>
      <c r="H336" s="11" t="s">
        <v>1137</v>
      </c>
      <c r="I336" s="11" t="s">
        <v>150</v>
      </c>
    </row>
    <row r="337" spans="1:9" x14ac:dyDescent="0.15">
      <c r="A337" s="10">
        <v>336</v>
      </c>
      <c r="B337" s="11" t="s">
        <v>9</v>
      </c>
      <c r="C337" s="11" t="s">
        <v>170</v>
      </c>
      <c r="D337" s="11" t="s">
        <v>171</v>
      </c>
      <c r="E337" s="9" t="str">
        <f>+HYPERLINK("http://trademark.i-assist.jp/data/china/image_1904th/79144487.pdf", "79144487")</f>
        <v>79144487</v>
      </c>
      <c r="F337" s="11" t="s">
        <v>1138</v>
      </c>
      <c r="G337" s="11" t="s">
        <v>1139</v>
      </c>
      <c r="H337" s="11" t="s">
        <v>1140</v>
      </c>
      <c r="I337" s="11" t="s">
        <v>150</v>
      </c>
    </row>
    <row r="338" spans="1:9" x14ac:dyDescent="0.15">
      <c r="A338" s="10">
        <v>337</v>
      </c>
      <c r="B338" s="11" t="s">
        <v>9</v>
      </c>
      <c r="C338" s="11" t="s">
        <v>170</v>
      </c>
      <c r="D338" s="11" t="s">
        <v>171</v>
      </c>
      <c r="E338" s="9" t="str">
        <f>+HYPERLINK("http://trademark.i-assist.jp/data/china/image_1904th/79146972.pdf", "79146972")</f>
        <v>79146972</v>
      </c>
      <c r="F338" s="11" t="s">
        <v>1141</v>
      </c>
      <c r="G338" s="11" t="s">
        <v>46</v>
      </c>
      <c r="H338" s="11" t="s">
        <v>1142</v>
      </c>
      <c r="I338" s="11" t="s">
        <v>150</v>
      </c>
    </row>
    <row r="339" spans="1:9" x14ac:dyDescent="0.15">
      <c r="A339" s="10">
        <v>338</v>
      </c>
      <c r="B339" s="11" t="s">
        <v>9</v>
      </c>
      <c r="C339" s="11" t="s">
        <v>170</v>
      </c>
      <c r="D339" s="11" t="s">
        <v>171</v>
      </c>
      <c r="E339" s="9" t="str">
        <f>+HYPERLINK("http://trademark.i-assist.jp/data/china/image_1904th/79147597.pdf", "79147597")</f>
        <v>79147597</v>
      </c>
      <c r="F339" s="11" t="s">
        <v>1143</v>
      </c>
      <c r="G339" s="11" t="s">
        <v>1144</v>
      </c>
      <c r="H339" s="11" t="s">
        <v>1145</v>
      </c>
      <c r="I339" s="11" t="s">
        <v>150</v>
      </c>
    </row>
    <row r="340" spans="1:9" x14ac:dyDescent="0.15">
      <c r="A340" s="10">
        <v>339</v>
      </c>
      <c r="B340" s="11" t="s">
        <v>9</v>
      </c>
      <c r="C340" s="11" t="s">
        <v>170</v>
      </c>
      <c r="D340" s="11" t="s">
        <v>171</v>
      </c>
      <c r="E340" s="9" t="str">
        <f>+HYPERLINK("http://trademark.i-assist.jp/data/china/image_1904th/79147851.pdf", "79147851")</f>
        <v>79147851</v>
      </c>
      <c r="F340" s="11" t="s">
        <v>1146</v>
      </c>
      <c r="G340" s="11" t="s">
        <v>1147</v>
      </c>
      <c r="H340" s="11" t="s">
        <v>1148</v>
      </c>
      <c r="I340" s="11" t="s">
        <v>150</v>
      </c>
    </row>
    <row r="341" spans="1:9" x14ac:dyDescent="0.15">
      <c r="A341" s="10">
        <v>340</v>
      </c>
      <c r="B341" s="11" t="s">
        <v>9</v>
      </c>
      <c r="C341" s="11" t="s">
        <v>170</v>
      </c>
      <c r="D341" s="11" t="s">
        <v>171</v>
      </c>
      <c r="E341" s="9" t="str">
        <f>+HYPERLINK("http://trademark.i-assist.jp/data/china/image_1904th/79147863.pdf", "79147863")</f>
        <v>79147863</v>
      </c>
      <c r="F341" s="11" t="s">
        <v>1149</v>
      </c>
      <c r="G341" s="11" t="s">
        <v>1150</v>
      </c>
      <c r="H341" s="11" t="s">
        <v>37</v>
      </c>
      <c r="I341" s="11" t="s">
        <v>150</v>
      </c>
    </row>
    <row r="342" spans="1:9" x14ac:dyDescent="0.15">
      <c r="A342" s="10">
        <v>341</v>
      </c>
      <c r="B342" s="11" t="s">
        <v>9</v>
      </c>
      <c r="C342" s="11" t="s">
        <v>170</v>
      </c>
      <c r="D342" s="11" t="s">
        <v>171</v>
      </c>
      <c r="E342" s="9" t="str">
        <f>+HYPERLINK("http://trademark.i-assist.jp/data/china/image_1904th/79149287.pdf", "79149287")</f>
        <v>79149287</v>
      </c>
      <c r="F342" s="11" t="s">
        <v>1151</v>
      </c>
      <c r="G342" s="11" t="s">
        <v>1152</v>
      </c>
      <c r="H342" s="11" t="s">
        <v>1153</v>
      </c>
      <c r="I342" s="11" t="s">
        <v>150</v>
      </c>
    </row>
    <row r="343" spans="1:9" x14ac:dyDescent="0.15">
      <c r="A343" s="10">
        <v>342</v>
      </c>
      <c r="B343" s="11" t="s">
        <v>9</v>
      </c>
      <c r="C343" s="11" t="s">
        <v>170</v>
      </c>
      <c r="D343" s="11" t="s">
        <v>171</v>
      </c>
      <c r="E343" s="9" t="str">
        <f>+HYPERLINK("http://trademark.i-assist.jp/data/china/image_1904th/79149989.pdf", "79149989")</f>
        <v>79149989</v>
      </c>
      <c r="F343" s="11" t="s">
        <v>1154</v>
      </c>
      <c r="G343" s="11" t="s">
        <v>1155</v>
      </c>
      <c r="H343" s="11" t="s">
        <v>1156</v>
      </c>
      <c r="I343" s="11" t="s">
        <v>150</v>
      </c>
    </row>
    <row r="344" spans="1:9" x14ac:dyDescent="0.15">
      <c r="A344" s="10">
        <v>343</v>
      </c>
      <c r="B344" s="11" t="s">
        <v>9</v>
      </c>
      <c r="C344" s="11" t="s">
        <v>170</v>
      </c>
      <c r="D344" s="11" t="s">
        <v>171</v>
      </c>
      <c r="E344" s="9" t="str">
        <f>+HYPERLINK("http://trademark.i-assist.jp/data/china/image_1904th/79150055.pdf", "79150055")</f>
        <v>79150055</v>
      </c>
      <c r="F344" s="11" t="s">
        <v>12</v>
      </c>
      <c r="G344" s="11" t="s">
        <v>1157</v>
      </c>
      <c r="H344" s="11" t="s">
        <v>1158</v>
      </c>
      <c r="I344" s="11" t="s">
        <v>150</v>
      </c>
    </row>
    <row r="345" spans="1:9" x14ac:dyDescent="0.15">
      <c r="A345" s="10">
        <v>344</v>
      </c>
      <c r="B345" s="11" t="s">
        <v>9</v>
      </c>
      <c r="C345" s="11" t="s">
        <v>170</v>
      </c>
      <c r="D345" s="11" t="s">
        <v>171</v>
      </c>
      <c r="E345" s="9" t="str">
        <f>+HYPERLINK("http://trademark.i-assist.jp/data/china/image_1904th/79152265.pdf", "79152265")</f>
        <v>79152265</v>
      </c>
      <c r="F345" s="11" t="s">
        <v>1159</v>
      </c>
      <c r="G345" s="11" t="s">
        <v>1160</v>
      </c>
      <c r="H345" s="11" t="s">
        <v>1161</v>
      </c>
      <c r="I345" s="11" t="s">
        <v>150</v>
      </c>
    </row>
    <row r="346" spans="1:9" x14ac:dyDescent="0.15">
      <c r="A346" s="10">
        <v>345</v>
      </c>
      <c r="B346" s="11" t="s">
        <v>9</v>
      </c>
      <c r="C346" s="11" t="s">
        <v>170</v>
      </c>
      <c r="D346" s="11" t="s">
        <v>171</v>
      </c>
      <c r="E346" s="9" t="str">
        <f>+HYPERLINK("http://trademark.i-assist.jp/data/china/image_1904th/79155458.pdf", "79155458")</f>
        <v>79155458</v>
      </c>
      <c r="F346" s="11" t="s">
        <v>1162</v>
      </c>
      <c r="G346" s="11" t="s">
        <v>1163</v>
      </c>
      <c r="H346" s="11" t="s">
        <v>1164</v>
      </c>
      <c r="I346" s="11" t="s">
        <v>155</v>
      </c>
    </row>
    <row r="347" spans="1:9" x14ac:dyDescent="0.15">
      <c r="A347" s="10">
        <v>346</v>
      </c>
      <c r="B347" s="11" t="s">
        <v>9</v>
      </c>
      <c r="C347" s="11" t="s">
        <v>170</v>
      </c>
      <c r="D347" s="11" t="s">
        <v>171</v>
      </c>
      <c r="E347" s="9" t="str">
        <f>+HYPERLINK("http://trademark.i-assist.jp/data/china/image_1904th/79155866.pdf", "79155866")</f>
        <v>79155866</v>
      </c>
      <c r="F347" s="11" t="s">
        <v>12</v>
      </c>
      <c r="G347" s="11" t="s">
        <v>1165</v>
      </c>
      <c r="H347" s="11" t="s">
        <v>1166</v>
      </c>
      <c r="I347" s="11" t="s">
        <v>155</v>
      </c>
    </row>
    <row r="348" spans="1:9" x14ac:dyDescent="0.15">
      <c r="A348" s="10">
        <v>347</v>
      </c>
      <c r="B348" s="11" t="s">
        <v>9</v>
      </c>
      <c r="C348" s="11" t="s">
        <v>170</v>
      </c>
      <c r="D348" s="11" t="s">
        <v>171</v>
      </c>
      <c r="E348" s="9" t="str">
        <f>+HYPERLINK("http://trademark.i-assist.jp/data/china/image_1904th/79157010.pdf", "79157010")</f>
        <v>79157010</v>
      </c>
      <c r="F348" s="11" t="s">
        <v>1167</v>
      </c>
      <c r="G348" s="11" t="s">
        <v>1168</v>
      </c>
      <c r="H348" s="11" t="s">
        <v>1169</v>
      </c>
      <c r="I348" s="11" t="s">
        <v>155</v>
      </c>
    </row>
    <row r="349" spans="1:9" x14ac:dyDescent="0.15">
      <c r="A349" s="10">
        <v>348</v>
      </c>
      <c r="B349" s="11" t="s">
        <v>9</v>
      </c>
      <c r="C349" s="11" t="s">
        <v>170</v>
      </c>
      <c r="D349" s="11" t="s">
        <v>171</v>
      </c>
      <c r="E349" s="9" t="str">
        <f>+HYPERLINK("http://trademark.i-assist.jp/data/china/image_1904th/79157841.pdf", "79157841")</f>
        <v>79157841</v>
      </c>
      <c r="F349" s="11" t="s">
        <v>1170</v>
      </c>
      <c r="G349" s="11" t="s">
        <v>1171</v>
      </c>
      <c r="H349" s="11" t="s">
        <v>1172</v>
      </c>
      <c r="I349" s="11" t="s">
        <v>155</v>
      </c>
    </row>
    <row r="350" spans="1:9" x14ac:dyDescent="0.15">
      <c r="A350" s="10">
        <v>349</v>
      </c>
      <c r="B350" s="11" t="s">
        <v>9</v>
      </c>
      <c r="C350" s="11" t="s">
        <v>170</v>
      </c>
      <c r="D350" s="11" t="s">
        <v>171</v>
      </c>
      <c r="E350" s="9" t="str">
        <f>+HYPERLINK("http://trademark.i-assist.jp/data/china/image_1904th/79159933.pdf", "79159933")</f>
        <v>79159933</v>
      </c>
      <c r="F350" s="11" t="s">
        <v>1173</v>
      </c>
      <c r="G350" s="11" t="s">
        <v>1174</v>
      </c>
      <c r="H350" s="11" t="s">
        <v>1175</v>
      </c>
      <c r="I350" s="11" t="s">
        <v>155</v>
      </c>
    </row>
    <row r="351" spans="1:9" x14ac:dyDescent="0.15">
      <c r="A351" s="10">
        <v>350</v>
      </c>
      <c r="B351" s="11" t="s">
        <v>9</v>
      </c>
      <c r="C351" s="11" t="s">
        <v>170</v>
      </c>
      <c r="D351" s="11" t="s">
        <v>171</v>
      </c>
      <c r="E351" s="9" t="str">
        <f>+HYPERLINK("http://trademark.i-assist.jp/data/china/image_1904th/79160288.pdf", "79160288")</f>
        <v>79160288</v>
      </c>
      <c r="F351" s="11" t="s">
        <v>1176</v>
      </c>
      <c r="G351" s="11" t="s">
        <v>1163</v>
      </c>
      <c r="H351" s="11" t="s">
        <v>1177</v>
      </c>
      <c r="I351" s="11" t="s">
        <v>155</v>
      </c>
    </row>
    <row r="352" spans="1:9" x14ac:dyDescent="0.15">
      <c r="A352" s="10">
        <v>351</v>
      </c>
      <c r="B352" s="11" t="s">
        <v>9</v>
      </c>
      <c r="C352" s="11" t="s">
        <v>170</v>
      </c>
      <c r="D352" s="11" t="s">
        <v>171</v>
      </c>
      <c r="E352" s="9" t="str">
        <f>+HYPERLINK("http://trademark.i-assist.jp/data/china/image_1904th/79160737.pdf", "79160737")</f>
        <v>79160737</v>
      </c>
      <c r="F352" s="11" t="s">
        <v>1178</v>
      </c>
      <c r="G352" s="11" t="s">
        <v>1179</v>
      </c>
      <c r="H352" s="11" t="s">
        <v>1180</v>
      </c>
      <c r="I352" s="11" t="s">
        <v>155</v>
      </c>
    </row>
    <row r="353" spans="1:9" x14ac:dyDescent="0.15">
      <c r="A353" s="10">
        <v>352</v>
      </c>
      <c r="B353" s="11" t="s">
        <v>9</v>
      </c>
      <c r="C353" s="11" t="s">
        <v>170</v>
      </c>
      <c r="D353" s="11" t="s">
        <v>171</v>
      </c>
      <c r="E353" s="9" t="str">
        <f>+HYPERLINK("http://trademark.i-assist.jp/data/china/image_1904th/79162004.pdf", "79162004")</f>
        <v>79162004</v>
      </c>
      <c r="F353" s="11" t="s">
        <v>1181</v>
      </c>
      <c r="G353" s="11" t="s">
        <v>1182</v>
      </c>
      <c r="H353" s="11" t="s">
        <v>1183</v>
      </c>
      <c r="I353" s="11" t="s">
        <v>155</v>
      </c>
    </row>
    <row r="354" spans="1:9" x14ac:dyDescent="0.15">
      <c r="A354" s="10">
        <v>353</v>
      </c>
      <c r="B354" s="11" t="s">
        <v>9</v>
      </c>
      <c r="C354" s="11" t="s">
        <v>170</v>
      </c>
      <c r="D354" s="11" t="s">
        <v>171</v>
      </c>
      <c r="E354" s="9" t="str">
        <f>+HYPERLINK("http://trademark.i-assist.jp/data/china/image_1904th/79162062.pdf", "79162062")</f>
        <v>79162062</v>
      </c>
      <c r="F354" s="11" t="s">
        <v>1184</v>
      </c>
      <c r="G354" s="11" t="s">
        <v>48</v>
      </c>
      <c r="H354" s="11" t="s">
        <v>1185</v>
      </c>
      <c r="I354" s="11" t="s">
        <v>155</v>
      </c>
    </row>
    <row r="355" spans="1:9" x14ac:dyDescent="0.15">
      <c r="A355" s="10">
        <v>354</v>
      </c>
      <c r="B355" s="11" t="s">
        <v>9</v>
      </c>
      <c r="C355" s="11" t="s">
        <v>170</v>
      </c>
      <c r="D355" s="11" t="s">
        <v>171</v>
      </c>
      <c r="E355" s="9" t="str">
        <f>+HYPERLINK("http://trademark.i-assist.jp/data/china/image_1904th/79162329.pdf", "79162329")</f>
        <v>79162329</v>
      </c>
      <c r="F355" s="11" t="s">
        <v>1186</v>
      </c>
      <c r="G355" s="11" t="s">
        <v>1187</v>
      </c>
      <c r="H355" s="11" t="s">
        <v>1188</v>
      </c>
      <c r="I355" s="11" t="s">
        <v>155</v>
      </c>
    </row>
    <row r="356" spans="1:9" x14ac:dyDescent="0.15">
      <c r="A356" s="10">
        <v>355</v>
      </c>
      <c r="B356" s="11" t="s">
        <v>9</v>
      </c>
      <c r="C356" s="11" t="s">
        <v>170</v>
      </c>
      <c r="D356" s="11" t="s">
        <v>171</v>
      </c>
      <c r="E356" s="9" t="str">
        <f>+HYPERLINK("http://trademark.i-assist.jp/data/china/image_1904th/79163892.pdf", "79163892")</f>
        <v>79163892</v>
      </c>
      <c r="F356" s="11" t="s">
        <v>1189</v>
      </c>
      <c r="G356" s="11" t="s">
        <v>1190</v>
      </c>
      <c r="H356" s="11" t="s">
        <v>1191</v>
      </c>
      <c r="I356" s="11" t="s">
        <v>155</v>
      </c>
    </row>
    <row r="357" spans="1:9" x14ac:dyDescent="0.15">
      <c r="A357" s="10">
        <v>356</v>
      </c>
      <c r="B357" s="11" t="s">
        <v>9</v>
      </c>
      <c r="C357" s="11" t="s">
        <v>170</v>
      </c>
      <c r="D357" s="11" t="s">
        <v>171</v>
      </c>
      <c r="E357" s="9" t="str">
        <f>+HYPERLINK("http://trademark.i-assist.jp/data/china/image_1904th/79163984.pdf", "79163984")</f>
        <v>79163984</v>
      </c>
      <c r="F357" s="11" t="s">
        <v>1192</v>
      </c>
      <c r="G357" s="11" t="s">
        <v>1193</v>
      </c>
      <c r="H357" s="11" t="s">
        <v>1194</v>
      </c>
      <c r="I357" s="11" t="s">
        <v>155</v>
      </c>
    </row>
    <row r="358" spans="1:9" x14ac:dyDescent="0.15">
      <c r="A358" s="10">
        <v>357</v>
      </c>
      <c r="B358" s="11" t="s">
        <v>9</v>
      </c>
      <c r="C358" s="11" t="s">
        <v>170</v>
      </c>
      <c r="D358" s="11" t="s">
        <v>171</v>
      </c>
      <c r="E358" s="9" t="str">
        <f>+HYPERLINK("http://trademark.i-assist.jp/data/china/image_1904th/79164882.pdf", "79164882")</f>
        <v>79164882</v>
      </c>
      <c r="F358" s="11" t="s">
        <v>1195</v>
      </c>
      <c r="G358" s="11" t="s">
        <v>1196</v>
      </c>
      <c r="H358" s="11" t="s">
        <v>1197</v>
      </c>
      <c r="I358" s="11" t="s">
        <v>155</v>
      </c>
    </row>
    <row r="359" spans="1:9" x14ac:dyDescent="0.15">
      <c r="A359" s="10">
        <v>358</v>
      </c>
      <c r="B359" s="11" t="s">
        <v>9</v>
      </c>
      <c r="C359" s="11" t="s">
        <v>170</v>
      </c>
      <c r="D359" s="11" t="s">
        <v>171</v>
      </c>
      <c r="E359" s="9" t="str">
        <f>+HYPERLINK("http://trademark.i-assist.jp/data/china/image_1904th/79165543.pdf", "79165543")</f>
        <v>79165543</v>
      </c>
      <c r="F359" s="11" t="s">
        <v>1198</v>
      </c>
      <c r="G359" s="11" t="s">
        <v>161</v>
      </c>
      <c r="H359" s="11" t="s">
        <v>1199</v>
      </c>
      <c r="I359" s="11" t="s">
        <v>155</v>
      </c>
    </row>
    <row r="360" spans="1:9" x14ac:dyDescent="0.15">
      <c r="A360" s="10">
        <v>359</v>
      </c>
      <c r="B360" s="11" t="s">
        <v>9</v>
      </c>
      <c r="C360" s="11" t="s">
        <v>170</v>
      </c>
      <c r="D360" s="11" t="s">
        <v>171</v>
      </c>
      <c r="E360" s="9" t="str">
        <f>+HYPERLINK("http://trademark.i-assist.jp/data/china/image_1904th/79165553.pdf", "79165553")</f>
        <v>79165553</v>
      </c>
      <c r="F360" s="11" t="s">
        <v>12</v>
      </c>
      <c r="G360" s="11" t="s">
        <v>1200</v>
      </c>
      <c r="H360" s="11" t="s">
        <v>1201</v>
      </c>
      <c r="I360" s="11" t="s">
        <v>155</v>
      </c>
    </row>
    <row r="361" spans="1:9" x14ac:dyDescent="0.15">
      <c r="A361" s="10">
        <v>360</v>
      </c>
      <c r="B361" s="11" t="s">
        <v>9</v>
      </c>
      <c r="C361" s="11" t="s">
        <v>170</v>
      </c>
      <c r="D361" s="11" t="s">
        <v>171</v>
      </c>
      <c r="E361" s="9" t="str">
        <f>+HYPERLINK("http://trademark.i-assist.jp/data/china/image_1904th/79166127.pdf", "79166127")</f>
        <v>79166127</v>
      </c>
      <c r="F361" s="11" t="s">
        <v>1202</v>
      </c>
      <c r="G361" s="11" t="s">
        <v>1203</v>
      </c>
      <c r="H361" s="11" t="s">
        <v>1204</v>
      </c>
      <c r="I361" s="11" t="s">
        <v>155</v>
      </c>
    </row>
    <row r="362" spans="1:9" x14ac:dyDescent="0.15">
      <c r="A362" s="10">
        <v>361</v>
      </c>
      <c r="B362" s="11" t="s">
        <v>9</v>
      </c>
      <c r="C362" s="11" t="s">
        <v>170</v>
      </c>
      <c r="D362" s="11" t="s">
        <v>171</v>
      </c>
      <c r="E362" s="9" t="str">
        <f>+HYPERLINK("http://trademark.i-assist.jp/data/china/image_1904th/79167563.pdf", "79167563")</f>
        <v>79167563</v>
      </c>
      <c r="F362" s="11" t="s">
        <v>1205</v>
      </c>
      <c r="G362" s="11" t="s">
        <v>1206</v>
      </c>
      <c r="H362" s="11" t="s">
        <v>1207</v>
      </c>
      <c r="I362" s="11" t="s">
        <v>155</v>
      </c>
    </row>
    <row r="363" spans="1:9" x14ac:dyDescent="0.15">
      <c r="A363" s="10">
        <v>362</v>
      </c>
      <c r="B363" s="11" t="s">
        <v>9</v>
      </c>
      <c r="C363" s="11" t="s">
        <v>170</v>
      </c>
      <c r="D363" s="11" t="s">
        <v>171</v>
      </c>
      <c r="E363" s="9" t="str">
        <f>+HYPERLINK("http://trademark.i-assist.jp/data/china/image_1904th/79167928.pdf", "79167928")</f>
        <v>79167928</v>
      </c>
      <c r="F363" s="11" t="s">
        <v>1208</v>
      </c>
      <c r="G363" s="11" t="s">
        <v>1209</v>
      </c>
      <c r="H363" s="11" t="s">
        <v>1210</v>
      </c>
      <c r="I363" s="11" t="s">
        <v>155</v>
      </c>
    </row>
    <row r="364" spans="1:9" x14ac:dyDescent="0.15">
      <c r="A364" s="10">
        <v>363</v>
      </c>
      <c r="B364" s="11" t="s">
        <v>9</v>
      </c>
      <c r="C364" s="11" t="s">
        <v>170</v>
      </c>
      <c r="D364" s="11" t="s">
        <v>171</v>
      </c>
      <c r="E364" s="9" t="str">
        <f>+HYPERLINK("http://trademark.i-assist.jp/data/china/image_1904th/79168204.pdf", "79168204")</f>
        <v>79168204</v>
      </c>
      <c r="F364" s="11" t="s">
        <v>1211</v>
      </c>
      <c r="G364" s="11" t="s">
        <v>48</v>
      </c>
      <c r="H364" s="11" t="s">
        <v>1212</v>
      </c>
      <c r="I364" s="11" t="s">
        <v>155</v>
      </c>
    </row>
    <row r="365" spans="1:9" x14ac:dyDescent="0.15">
      <c r="A365" s="10">
        <v>364</v>
      </c>
      <c r="B365" s="11" t="s">
        <v>9</v>
      </c>
      <c r="C365" s="11" t="s">
        <v>170</v>
      </c>
      <c r="D365" s="11" t="s">
        <v>171</v>
      </c>
      <c r="E365" s="9" t="str">
        <f>+HYPERLINK("http://trademark.i-assist.jp/data/china/image_1904th/79168224.pdf", "79168224")</f>
        <v>79168224</v>
      </c>
      <c r="F365" s="11" t="s">
        <v>1213</v>
      </c>
      <c r="G365" s="11" t="s">
        <v>48</v>
      </c>
      <c r="H365" s="11" t="s">
        <v>1214</v>
      </c>
      <c r="I365" s="11" t="s">
        <v>155</v>
      </c>
    </row>
    <row r="366" spans="1:9" x14ac:dyDescent="0.15">
      <c r="A366" s="10">
        <v>365</v>
      </c>
      <c r="B366" s="11" t="s">
        <v>9</v>
      </c>
      <c r="C366" s="11" t="s">
        <v>170</v>
      </c>
      <c r="D366" s="11" t="s">
        <v>171</v>
      </c>
      <c r="E366" s="9" t="str">
        <f>+HYPERLINK("http://trademark.i-assist.jp/data/china/image_1904th/79169105.pdf", "79169105")</f>
        <v>79169105</v>
      </c>
      <c r="F366" s="11" t="s">
        <v>1215</v>
      </c>
      <c r="G366" s="11" t="s">
        <v>1216</v>
      </c>
      <c r="H366" s="11" t="s">
        <v>1217</v>
      </c>
      <c r="I366" s="11" t="s">
        <v>155</v>
      </c>
    </row>
    <row r="367" spans="1:9" x14ac:dyDescent="0.15">
      <c r="A367" s="10">
        <v>366</v>
      </c>
      <c r="B367" s="11" t="s">
        <v>9</v>
      </c>
      <c r="C367" s="11" t="s">
        <v>170</v>
      </c>
      <c r="D367" s="11" t="s">
        <v>171</v>
      </c>
      <c r="E367" s="9" t="str">
        <f>+HYPERLINK("http://trademark.i-assist.jp/data/china/image_1904th/79169918.pdf", "79169918")</f>
        <v>79169918</v>
      </c>
      <c r="F367" s="11" t="s">
        <v>1218</v>
      </c>
      <c r="G367" s="11" t="s">
        <v>1219</v>
      </c>
      <c r="H367" s="11" t="s">
        <v>1220</v>
      </c>
      <c r="I367" s="11" t="s">
        <v>155</v>
      </c>
    </row>
    <row r="368" spans="1:9" x14ac:dyDescent="0.15">
      <c r="A368" s="10">
        <v>367</v>
      </c>
      <c r="B368" s="11" t="s">
        <v>9</v>
      </c>
      <c r="C368" s="11" t="s">
        <v>170</v>
      </c>
      <c r="D368" s="11" t="s">
        <v>171</v>
      </c>
      <c r="E368" s="9" t="str">
        <f>+HYPERLINK("http://trademark.i-assist.jp/data/china/image_1904th/79170367.pdf", "79170367")</f>
        <v>79170367</v>
      </c>
      <c r="F368" s="11" t="s">
        <v>1221</v>
      </c>
      <c r="G368" s="11" t="s">
        <v>1222</v>
      </c>
      <c r="H368" s="11" t="s">
        <v>1223</v>
      </c>
      <c r="I368" s="11" t="s">
        <v>155</v>
      </c>
    </row>
    <row r="369" spans="1:9" x14ac:dyDescent="0.15">
      <c r="A369" s="10">
        <v>368</v>
      </c>
      <c r="B369" s="11" t="s">
        <v>9</v>
      </c>
      <c r="C369" s="11" t="s">
        <v>170</v>
      </c>
      <c r="D369" s="11" t="s">
        <v>171</v>
      </c>
      <c r="E369" s="9" t="str">
        <f>+HYPERLINK("http://trademark.i-assist.jp/data/china/image_1904th/79172057.pdf", "79172057")</f>
        <v>79172057</v>
      </c>
      <c r="F369" s="11" t="s">
        <v>1224</v>
      </c>
      <c r="G369" s="11" t="s">
        <v>159</v>
      </c>
      <c r="H369" s="11" t="s">
        <v>1225</v>
      </c>
      <c r="I369" s="11" t="s">
        <v>155</v>
      </c>
    </row>
    <row r="370" spans="1:9" x14ac:dyDescent="0.15">
      <c r="A370" s="10">
        <v>369</v>
      </c>
      <c r="B370" s="11" t="s">
        <v>9</v>
      </c>
      <c r="C370" s="11" t="s">
        <v>170</v>
      </c>
      <c r="D370" s="11" t="s">
        <v>171</v>
      </c>
      <c r="E370" s="9" t="str">
        <f>+HYPERLINK("http://trademark.i-assist.jp/data/china/image_1904th/79173020.pdf", "79173020")</f>
        <v>79173020</v>
      </c>
      <c r="F370" s="11" t="s">
        <v>1226</v>
      </c>
      <c r="G370" s="11" t="s">
        <v>156</v>
      </c>
      <c r="H370" s="11" t="s">
        <v>1227</v>
      </c>
      <c r="I370" s="11" t="s">
        <v>155</v>
      </c>
    </row>
    <row r="371" spans="1:9" x14ac:dyDescent="0.15">
      <c r="A371" s="10">
        <v>370</v>
      </c>
      <c r="B371" s="11" t="s">
        <v>9</v>
      </c>
      <c r="C371" s="11" t="s">
        <v>170</v>
      </c>
      <c r="D371" s="11" t="s">
        <v>171</v>
      </c>
      <c r="E371" s="9" t="str">
        <f>+HYPERLINK("http://trademark.i-assist.jp/data/china/image_1904th/79173700.pdf", "79173700")</f>
        <v>79173700</v>
      </c>
      <c r="F371" s="11" t="s">
        <v>1228</v>
      </c>
      <c r="G371" s="11" t="s">
        <v>1229</v>
      </c>
      <c r="H371" s="11" t="s">
        <v>1230</v>
      </c>
      <c r="I371" s="11" t="s">
        <v>155</v>
      </c>
    </row>
    <row r="372" spans="1:9" x14ac:dyDescent="0.15">
      <c r="A372" s="10">
        <v>371</v>
      </c>
      <c r="B372" s="11" t="s">
        <v>9</v>
      </c>
      <c r="C372" s="11" t="s">
        <v>170</v>
      </c>
      <c r="D372" s="11" t="s">
        <v>171</v>
      </c>
      <c r="E372" s="9" t="str">
        <f>+HYPERLINK("http://trademark.i-assist.jp/data/china/image_1904th/79174714.pdf", "79174714")</f>
        <v>79174714</v>
      </c>
      <c r="F372" s="11" t="s">
        <v>1231</v>
      </c>
      <c r="G372" s="11" t="s">
        <v>48</v>
      </c>
      <c r="H372" s="11" t="s">
        <v>1232</v>
      </c>
      <c r="I372" s="11" t="s">
        <v>155</v>
      </c>
    </row>
    <row r="373" spans="1:9" x14ac:dyDescent="0.15">
      <c r="A373" s="10">
        <v>372</v>
      </c>
      <c r="B373" s="11" t="s">
        <v>9</v>
      </c>
      <c r="C373" s="11" t="s">
        <v>170</v>
      </c>
      <c r="D373" s="11" t="s">
        <v>171</v>
      </c>
      <c r="E373" s="9" t="str">
        <f>+HYPERLINK("http://trademark.i-assist.jp/data/china/image_1904th/79176072.pdf", "79176072")</f>
        <v>79176072</v>
      </c>
      <c r="F373" s="11" t="s">
        <v>1233</v>
      </c>
      <c r="G373" s="11" t="s">
        <v>159</v>
      </c>
      <c r="H373" s="11" t="s">
        <v>1234</v>
      </c>
      <c r="I373" s="11" t="s">
        <v>155</v>
      </c>
    </row>
    <row r="374" spans="1:9" x14ac:dyDescent="0.15">
      <c r="A374" s="10">
        <v>373</v>
      </c>
      <c r="B374" s="11" t="s">
        <v>9</v>
      </c>
      <c r="C374" s="11" t="s">
        <v>170</v>
      </c>
      <c r="D374" s="11" t="s">
        <v>171</v>
      </c>
      <c r="E374" s="9" t="str">
        <f>+HYPERLINK("http://trademark.i-assist.jp/data/china/image_1904th/79176455.pdf", "79176455")</f>
        <v>79176455</v>
      </c>
      <c r="F374" s="11" t="s">
        <v>1235</v>
      </c>
      <c r="G374" s="11" t="s">
        <v>1236</v>
      </c>
      <c r="H374" s="11" t="s">
        <v>1237</v>
      </c>
      <c r="I374" s="11" t="s">
        <v>155</v>
      </c>
    </row>
    <row r="375" spans="1:9" x14ac:dyDescent="0.15">
      <c r="A375" s="10">
        <v>374</v>
      </c>
      <c r="B375" s="11" t="s">
        <v>9</v>
      </c>
      <c r="C375" s="11" t="s">
        <v>170</v>
      </c>
      <c r="D375" s="11" t="s">
        <v>171</v>
      </c>
      <c r="E375" s="9" t="str">
        <f>+HYPERLINK("http://trademark.i-assist.jp/data/china/image_1904th/79176646.pdf", "79176646")</f>
        <v>79176646</v>
      </c>
      <c r="F375" s="11" t="s">
        <v>1238</v>
      </c>
      <c r="G375" s="11" t="s">
        <v>1239</v>
      </c>
      <c r="H375" s="11" t="s">
        <v>1240</v>
      </c>
      <c r="I375" s="11" t="s">
        <v>155</v>
      </c>
    </row>
    <row r="376" spans="1:9" x14ac:dyDescent="0.15">
      <c r="A376" s="10">
        <v>375</v>
      </c>
      <c r="B376" s="11" t="s">
        <v>9</v>
      </c>
      <c r="C376" s="11" t="s">
        <v>170</v>
      </c>
      <c r="D376" s="11" t="s">
        <v>171</v>
      </c>
      <c r="E376" s="9" t="str">
        <f>+HYPERLINK("http://trademark.i-assist.jp/data/china/image_1904th/79179099.pdf", "79179099")</f>
        <v>79179099</v>
      </c>
      <c r="F376" s="11" t="s">
        <v>1241</v>
      </c>
      <c r="G376" s="11" t="s">
        <v>1242</v>
      </c>
      <c r="H376" s="11" t="s">
        <v>1243</v>
      </c>
      <c r="I376" s="11" t="s">
        <v>155</v>
      </c>
    </row>
    <row r="377" spans="1:9" x14ac:dyDescent="0.15">
      <c r="A377" s="10">
        <v>376</v>
      </c>
      <c r="B377" s="11" t="s">
        <v>9</v>
      </c>
      <c r="C377" s="11" t="s">
        <v>170</v>
      </c>
      <c r="D377" s="11" t="s">
        <v>171</v>
      </c>
      <c r="E377" s="9" t="str">
        <f>+HYPERLINK("http://trademark.i-assist.jp/data/china/image_1904th/79180236.pdf", "79180236")</f>
        <v>79180236</v>
      </c>
      <c r="F377" s="11" t="s">
        <v>1244</v>
      </c>
      <c r="G377" s="11" t="s">
        <v>1245</v>
      </c>
      <c r="H377" s="11" t="s">
        <v>1246</v>
      </c>
      <c r="I377" s="11" t="s">
        <v>155</v>
      </c>
    </row>
    <row r="378" spans="1:9" x14ac:dyDescent="0.15">
      <c r="A378" s="10">
        <v>377</v>
      </c>
      <c r="B378" s="11" t="s">
        <v>9</v>
      </c>
      <c r="C378" s="11" t="s">
        <v>170</v>
      </c>
      <c r="D378" s="11" t="s">
        <v>171</v>
      </c>
      <c r="E378" s="9" t="str">
        <f>+HYPERLINK("http://trademark.i-assist.jp/data/china/image_1904th/79181332.pdf", "79181332")</f>
        <v>79181332</v>
      </c>
      <c r="F378" s="11" t="s">
        <v>1247</v>
      </c>
      <c r="G378" s="11" t="s">
        <v>1248</v>
      </c>
      <c r="H378" s="11" t="s">
        <v>1249</v>
      </c>
      <c r="I378" s="11" t="s">
        <v>160</v>
      </c>
    </row>
    <row r="379" spans="1:9" x14ac:dyDescent="0.15">
      <c r="A379" s="10">
        <v>378</v>
      </c>
      <c r="B379" s="11" t="s">
        <v>9</v>
      </c>
      <c r="C379" s="11" t="s">
        <v>170</v>
      </c>
      <c r="D379" s="11" t="s">
        <v>171</v>
      </c>
      <c r="E379" s="9" t="str">
        <f>+HYPERLINK("http://trademark.i-assist.jp/data/china/image_1904th/79183168.pdf", "79183168")</f>
        <v>79183168</v>
      </c>
      <c r="F379" s="11" t="s">
        <v>1250</v>
      </c>
      <c r="G379" s="11" t="s">
        <v>1251</v>
      </c>
      <c r="H379" s="11" t="s">
        <v>1252</v>
      </c>
      <c r="I379" s="11" t="s">
        <v>160</v>
      </c>
    </row>
    <row r="380" spans="1:9" x14ac:dyDescent="0.15">
      <c r="A380" s="10">
        <v>379</v>
      </c>
      <c r="B380" s="11" t="s">
        <v>9</v>
      </c>
      <c r="C380" s="11" t="s">
        <v>170</v>
      </c>
      <c r="D380" s="11" t="s">
        <v>171</v>
      </c>
      <c r="E380" s="9" t="str">
        <f>+HYPERLINK("http://trademark.i-assist.jp/data/china/image_1904th/79184136.pdf", "79184136")</f>
        <v>79184136</v>
      </c>
      <c r="F380" s="11" t="s">
        <v>1253</v>
      </c>
      <c r="G380" s="11" t="s">
        <v>86</v>
      </c>
      <c r="H380" s="11" t="s">
        <v>1254</v>
      </c>
      <c r="I380" s="11" t="s">
        <v>160</v>
      </c>
    </row>
    <row r="381" spans="1:9" x14ac:dyDescent="0.15">
      <c r="A381" s="10">
        <v>380</v>
      </c>
      <c r="B381" s="11" t="s">
        <v>9</v>
      </c>
      <c r="C381" s="11" t="s">
        <v>170</v>
      </c>
      <c r="D381" s="11" t="s">
        <v>171</v>
      </c>
      <c r="E381" s="9" t="str">
        <f>+HYPERLINK("http://trademark.i-assist.jp/data/china/image_1904th/79187118.pdf", "79187118")</f>
        <v>79187118</v>
      </c>
      <c r="F381" s="11" t="s">
        <v>1255</v>
      </c>
      <c r="G381" s="11" t="s">
        <v>1256</v>
      </c>
      <c r="H381" s="11" t="s">
        <v>1257</v>
      </c>
      <c r="I381" s="11" t="s">
        <v>160</v>
      </c>
    </row>
    <row r="382" spans="1:9" x14ac:dyDescent="0.15">
      <c r="A382" s="10">
        <v>381</v>
      </c>
      <c r="B382" s="11" t="s">
        <v>9</v>
      </c>
      <c r="C382" s="11" t="s">
        <v>170</v>
      </c>
      <c r="D382" s="11" t="s">
        <v>171</v>
      </c>
      <c r="E382" s="9" t="str">
        <f>+HYPERLINK("http://trademark.i-assist.jp/data/china/image_1904th/79193467.pdf", "79193467")</f>
        <v>79193467</v>
      </c>
      <c r="F382" s="11" t="s">
        <v>1258</v>
      </c>
      <c r="G382" s="11" t="s">
        <v>1259</v>
      </c>
      <c r="H382" s="11" t="s">
        <v>1260</v>
      </c>
      <c r="I382" s="11" t="s">
        <v>160</v>
      </c>
    </row>
    <row r="383" spans="1:9" x14ac:dyDescent="0.15">
      <c r="A383" s="10">
        <v>382</v>
      </c>
      <c r="B383" s="11" t="s">
        <v>9</v>
      </c>
      <c r="C383" s="11" t="s">
        <v>170</v>
      </c>
      <c r="D383" s="11" t="s">
        <v>171</v>
      </c>
      <c r="E383" s="9" t="str">
        <f>+HYPERLINK("http://trademark.i-assist.jp/data/china/image_1904th/79193834.pdf", "79193834")</f>
        <v>79193834</v>
      </c>
      <c r="F383" s="11" t="s">
        <v>1261</v>
      </c>
      <c r="G383" s="11" t="s">
        <v>151</v>
      </c>
      <c r="H383" s="11" t="s">
        <v>1262</v>
      </c>
      <c r="I383" s="11" t="s">
        <v>160</v>
      </c>
    </row>
    <row r="384" spans="1:9" x14ac:dyDescent="0.15">
      <c r="A384" s="10">
        <v>383</v>
      </c>
      <c r="B384" s="11" t="s">
        <v>9</v>
      </c>
      <c r="C384" s="11" t="s">
        <v>170</v>
      </c>
      <c r="D384" s="11" t="s">
        <v>171</v>
      </c>
      <c r="E384" s="9" t="str">
        <f>+HYPERLINK("http://trademark.i-assist.jp/data/china/image_1904th/79193867.pdf", "79193867")</f>
        <v>79193867</v>
      </c>
      <c r="F384" s="11" t="s">
        <v>1263</v>
      </c>
      <c r="G384" s="11" t="s">
        <v>1264</v>
      </c>
      <c r="H384" s="11" t="s">
        <v>1265</v>
      </c>
      <c r="I384" s="11" t="s">
        <v>160</v>
      </c>
    </row>
    <row r="385" spans="1:9" x14ac:dyDescent="0.15">
      <c r="A385" s="10">
        <v>384</v>
      </c>
      <c r="B385" s="11" t="s">
        <v>9</v>
      </c>
      <c r="C385" s="11" t="s">
        <v>170</v>
      </c>
      <c r="D385" s="11" t="s">
        <v>171</v>
      </c>
      <c r="E385" s="9" t="str">
        <f>+HYPERLINK("http://trademark.i-assist.jp/data/china/image_1904th/79197048.pdf", "79197048")</f>
        <v>79197048</v>
      </c>
      <c r="F385" s="11" t="s">
        <v>1266</v>
      </c>
      <c r="G385" s="11" t="s">
        <v>1267</v>
      </c>
      <c r="H385" s="11" t="s">
        <v>1268</v>
      </c>
      <c r="I385" s="11" t="s">
        <v>160</v>
      </c>
    </row>
    <row r="386" spans="1:9" x14ac:dyDescent="0.15">
      <c r="A386" s="10">
        <v>385</v>
      </c>
      <c r="B386" s="11" t="s">
        <v>9</v>
      </c>
      <c r="C386" s="11" t="s">
        <v>170</v>
      </c>
      <c r="D386" s="11" t="s">
        <v>171</v>
      </c>
      <c r="E386" s="9" t="str">
        <f>+HYPERLINK("http://trademark.i-assist.jp/data/china/image_1904th/79200765.pdf", "79200765")</f>
        <v>79200765</v>
      </c>
      <c r="F386" s="11" t="s">
        <v>1269</v>
      </c>
      <c r="G386" s="11" t="s">
        <v>1270</v>
      </c>
      <c r="H386" s="11" t="s">
        <v>1271</v>
      </c>
      <c r="I386" s="11" t="s">
        <v>160</v>
      </c>
    </row>
    <row r="387" spans="1:9" x14ac:dyDescent="0.15">
      <c r="A387" s="10">
        <v>386</v>
      </c>
      <c r="B387" s="11" t="s">
        <v>9</v>
      </c>
      <c r="C387" s="11" t="s">
        <v>170</v>
      </c>
      <c r="D387" s="11" t="s">
        <v>171</v>
      </c>
      <c r="E387" s="9" t="str">
        <f>+HYPERLINK("http://trademark.i-assist.jp/data/china/image_1904th/79202345.pdf", "79202345")</f>
        <v>79202345</v>
      </c>
      <c r="F387" s="11" t="s">
        <v>1272</v>
      </c>
      <c r="G387" s="11" t="s">
        <v>1273</v>
      </c>
      <c r="H387" s="11" t="s">
        <v>1274</v>
      </c>
      <c r="I387" s="11" t="s">
        <v>160</v>
      </c>
    </row>
    <row r="388" spans="1:9" x14ac:dyDescent="0.15">
      <c r="A388" s="10">
        <v>387</v>
      </c>
      <c r="B388" s="11" t="s">
        <v>9</v>
      </c>
      <c r="C388" s="11" t="s">
        <v>170</v>
      </c>
      <c r="D388" s="11" t="s">
        <v>171</v>
      </c>
      <c r="E388" s="9" t="str">
        <f>+HYPERLINK("http://trademark.i-assist.jp/data/china/image_1904th/79202552.pdf", "79202552")</f>
        <v>79202552</v>
      </c>
      <c r="F388" s="11" t="s">
        <v>1275</v>
      </c>
      <c r="G388" s="11" t="s">
        <v>1276</v>
      </c>
      <c r="H388" s="11" t="s">
        <v>1277</v>
      </c>
      <c r="I388" s="11" t="s">
        <v>160</v>
      </c>
    </row>
    <row r="389" spans="1:9" x14ac:dyDescent="0.15">
      <c r="A389" s="10">
        <v>388</v>
      </c>
      <c r="B389" s="11" t="s">
        <v>9</v>
      </c>
      <c r="C389" s="11" t="s">
        <v>170</v>
      </c>
      <c r="D389" s="11" t="s">
        <v>171</v>
      </c>
      <c r="E389" s="9" t="str">
        <f>+HYPERLINK("http://trademark.i-assist.jp/data/china/image_1904th/79202670.pdf", "79202670")</f>
        <v>79202670</v>
      </c>
      <c r="F389" s="11" t="s">
        <v>12</v>
      </c>
      <c r="G389" s="11" t="s">
        <v>1278</v>
      </c>
      <c r="H389" s="11" t="s">
        <v>1279</v>
      </c>
      <c r="I389" s="11" t="s">
        <v>160</v>
      </c>
    </row>
    <row r="390" spans="1:9" x14ac:dyDescent="0.15">
      <c r="A390" s="10">
        <v>389</v>
      </c>
      <c r="B390" s="11" t="s">
        <v>9</v>
      </c>
      <c r="C390" s="11" t="s">
        <v>170</v>
      </c>
      <c r="D390" s="11" t="s">
        <v>171</v>
      </c>
      <c r="E390" s="9" t="str">
        <f>+HYPERLINK("http://trademark.i-assist.jp/data/china/image_1904th/79203609.pdf", "79203609")</f>
        <v>79203609</v>
      </c>
      <c r="F390" s="11" t="s">
        <v>1280</v>
      </c>
      <c r="G390" s="11" t="s">
        <v>1281</v>
      </c>
      <c r="H390" s="11" t="s">
        <v>1282</v>
      </c>
      <c r="I390" s="11" t="s">
        <v>160</v>
      </c>
    </row>
    <row r="391" spans="1:9" x14ac:dyDescent="0.15">
      <c r="A391" s="10">
        <v>390</v>
      </c>
      <c r="B391" s="11" t="s">
        <v>9</v>
      </c>
      <c r="C391" s="11" t="s">
        <v>170</v>
      </c>
      <c r="D391" s="11" t="s">
        <v>171</v>
      </c>
      <c r="E391" s="9" t="str">
        <f>+HYPERLINK("http://trademark.i-assist.jp/data/china/image_1904th/79207091.pdf", "79207091")</f>
        <v>79207091</v>
      </c>
      <c r="F391" s="11" t="s">
        <v>1283</v>
      </c>
      <c r="G391" s="11" t="s">
        <v>1284</v>
      </c>
      <c r="H391" s="11" t="s">
        <v>1285</v>
      </c>
      <c r="I391" s="11" t="s">
        <v>162</v>
      </c>
    </row>
    <row r="392" spans="1:9" x14ac:dyDescent="0.15">
      <c r="A392" s="10">
        <v>391</v>
      </c>
      <c r="B392" s="11" t="s">
        <v>9</v>
      </c>
      <c r="C392" s="11" t="s">
        <v>170</v>
      </c>
      <c r="D392" s="11" t="s">
        <v>171</v>
      </c>
      <c r="E392" s="9" t="str">
        <f>+HYPERLINK("http://trademark.i-assist.jp/data/china/image_1904th/79207619.pdf", "79207619")</f>
        <v>79207619</v>
      </c>
      <c r="F392" s="11" t="s">
        <v>1286</v>
      </c>
      <c r="G392" s="11" t="s">
        <v>1287</v>
      </c>
      <c r="H392" s="11" t="s">
        <v>1288</v>
      </c>
      <c r="I392" s="11" t="s">
        <v>162</v>
      </c>
    </row>
    <row r="393" spans="1:9" x14ac:dyDescent="0.15">
      <c r="A393" s="10">
        <v>392</v>
      </c>
      <c r="B393" s="11" t="s">
        <v>9</v>
      </c>
      <c r="C393" s="11" t="s">
        <v>170</v>
      </c>
      <c r="D393" s="11" t="s">
        <v>171</v>
      </c>
      <c r="E393" s="9" t="str">
        <f>+HYPERLINK("http://trademark.i-assist.jp/data/china/image_1904th/79208105.pdf", "79208105")</f>
        <v>79208105</v>
      </c>
      <c r="F393" s="11" t="s">
        <v>1289</v>
      </c>
      <c r="G393" s="11" t="s">
        <v>1290</v>
      </c>
      <c r="H393" s="11" t="s">
        <v>1291</v>
      </c>
      <c r="I393" s="11" t="s">
        <v>162</v>
      </c>
    </row>
    <row r="394" spans="1:9" x14ac:dyDescent="0.15">
      <c r="A394" s="10">
        <v>393</v>
      </c>
      <c r="B394" s="11" t="s">
        <v>9</v>
      </c>
      <c r="C394" s="11" t="s">
        <v>170</v>
      </c>
      <c r="D394" s="11" t="s">
        <v>171</v>
      </c>
      <c r="E394" s="9" t="str">
        <f>+HYPERLINK("http://trademark.i-assist.jp/data/china/image_1904th/79210057.pdf", "79210057")</f>
        <v>79210057</v>
      </c>
      <c r="F394" s="11" t="s">
        <v>1292</v>
      </c>
      <c r="G394" s="11" t="s">
        <v>1293</v>
      </c>
      <c r="H394" s="11" t="s">
        <v>1294</v>
      </c>
      <c r="I394" s="11" t="s">
        <v>162</v>
      </c>
    </row>
    <row r="395" spans="1:9" x14ac:dyDescent="0.15">
      <c r="A395" s="10">
        <v>394</v>
      </c>
      <c r="B395" s="11" t="s">
        <v>9</v>
      </c>
      <c r="C395" s="11" t="s">
        <v>170</v>
      </c>
      <c r="D395" s="11" t="s">
        <v>171</v>
      </c>
      <c r="E395" s="9" t="str">
        <f>+HYPERLINK("http://trademark.i-assist.jp/data/china/image_1904th/79210572.pdf", "79210572")</f>
        <v>79210572</v>
      </c>
      <c r="F395" s="11" t="s">
        <v>1295</v>
      </c>
      <c r="G395" s="11" t="s">
        <v>48</v>
      </c>
      <c r="H395" s="11" t="s">
        <v>1296</v>
      </c>
      <c r="I395" s="11" t="s">
        <v>162</v>
      </c>
    </row>
    <row r="396" spans="1:9" x14ac:dyDescent="0.15">
      <c r="A396" s="10">
        <v>395</v>
      </c>
      <c r="B396" s="11" t="s">
        <v>9</v>
      </c>
      <c r="C396" s="11" t="s">
        <v>170</v>
      </c>
      <c r="D396" s="11" t="s">
        <v>171</v>
      </c>
      <c r="E396" s="9" t="str">
        <f>+HYPERLINK("http://trademark.i-assist.jp/data/china/image_1904th/79211566.pdf", "79211566")</f>
        <v>79211566</v>
      </c>
      <c r="F396" s="11" t="s">
        <v>1297</v>
      </c>
      <c r="G396" s="11" t="s">
        <v>1298</v>
      </c>
      <c r="H396" s="11" t="s">
        <v>1299</v>
      </c>
      <c r="I396" s="11" t="s">
        <v>162</v>
      </c>
    </row>
    <row r="397" spans="1:9" x14ac:dyDescent="0.15">
      <c r="A397" s="10">
        <v>396</v>
      </c>
      <c r="B397" s="11" t="s">
        <v>9</v>
      </c>
      <c r="C397" s="11" t="s">
        <v>170</v>
      </c>
      <c r="D397" s="11" t="s">
        <v>171</v>
      </c>
      <c r="E397" s="9" t="str">
        <f>+HYPERLINK("http://trademark.i-assist.jp/data/china/image_1904th/79211683.pdf", "79211683")</f>
        <v>79211683</v>
      </c>
      <c r="F397" s="11" t="s">
        <v>1300</v>
      </c>
      <c r="G397" s="11" t="s">
        <v>1301</v>
      </c>
      <c r="H397" s="11" t="s">
        <v>1302</v>
      </c>
      <c r="I397" s="11" t="s">
        <v>162</v>
      </c>
    </row>
    <row r="398" spans="1:9" x14ac:dyDescent="0.15">
      <c r="A398" s="10">
        <v>397</v>
      </c>
      <c r="B398" s="11" t="s">
        <v>9</v>
      </c>
      <c r="C398" s="11" t="s">
        <v>170</v>
      </c>
      <c r="D398" s="11" t="s">
        <v>171</v>
      </c>
      <c r="E398" s="9" t="str">
        <f>+HYPERLINK("http://trademark.i-assist.jp/data/china/image_1904th/79212144.pdf", "79212144")</f>
        <v>79212144</v>
      </c>
      <c r="F398" s="11" t="s">
        <v>1303</v>
      </c>
      <c r="G398" s="11" t="s">
        <v>1304</v>
      </c>
      <c r="H398" s="11" t="s">
        <v>1305</v>
      </c>
      <c r="I398" s="11" t="s">
        <v>162</v>
      </c>
    </row>
    <row r="399" spans="1:9" x14ac:dyDescent="0.15">
      <c r="A399" s="10">
        <v>398</v>
      </c>
      <c r="B399" s="11" t="s">
        <v>9</v>
      </c>
      <c r="C399" s="11" t="s">
        <v>170</v>
      </c>
      <c r="D399" s="11" t="s">
        <v>171</v>
      </c>
      <c r="E399" s="9" t="str">
        <f>+HYPERLINK("http://trademark.i-assist.jp/data/china/image_1904th/79212666.pdf", "79212666")</f>
        <v>79212666</v>
      </c>
      <c r="F399" s="11" t="s">
        <v>1306</v>
      </c>
      <c r="G399" s="11" t="s">
        <v>1307</v>
      </c>
      <c r="H399" s="11" t="s">
        <v>1308</v>
      </c>
      <c r="I399" s="11" t="s">
        <v>162</v>
      </c>
    </row>
    <row r="400" spans="1:9" x14ac:dyDescent="0.15">
      <c r="A400" s="10">
        <v>399</v>
      </c>
      <c r="B400" s="11" t="s">
        <v>9</v>
      </c>
      <c r="C400" s="11" t="s">
        <v>170</v>
      </c>
      <c r="D400" s="11" t="s">
        <v>171</v>
      </c>
      <c r="E400" s="9" t="str">
        <f>+HYPERLINK("http://trademark.i-assist.jp/data/china/image_1904th/79213113.pdf", "79213113")</f>
        <v>79213113</v>
      </c>
      <c r="F400" s="11" t="s">
        <v>1309</v>
      </c>
      <c r="G400" s="11" t="s">
        <v>1310</v>
      </c>
      <c r="H400" s="11" t="s">
        <v>1311</v>
      </c>
      <c r="I400" s="11" t="s">
        <v>162</v>
      </c>
    </row>
    <row r="401" spans="1:9" x14ac:dyDescent="0.15">
      <c r="A401" s="10">
        <v>400</v>
      </c>
      <c r="B401" s="11" t="s">
        <v>9</v>
      </c>
      <c r="C401" s="11" t="s">
        <v>170</v>
      </c>
      <c r="D401" s="11" t="s">
        <v>171</v>
      </c>
      <c r="E401" s="9" t="str">
        <f>+HYPERLINK("http://trademark.i-assist.jp/data/china/image_1904th/79213692.pdf", "79213692")</f>
        <v>79213692</v>
      </c>
      <c r="F401" s="11" t="s">
        <v>1312</v>
      </c>
      <c r="G401" s="11" t="s">
        <v>1313</v>
      </c>
      <c r="H401" s="11" t="s">
        <v>1314</v>
      </c>
      <c r="I401" s="11" t="s">
        <v>162</v>
      </c>
    </row>
    <row r="402" spans="1:9" x14ac:dyDescent="0.15">
      <c r="A402" s="10">
        <v>401</v>
      </c>
      <c r="B402" s="11" t="s">
        <v>9</v>
      </c>
      <c r="C402" s="11" t="s">
        <v>170</v>
      </c>
      <c r="D402" s="11" t="s">
        <v>171</v>
      </c>
      <c r="E402" s="9" t="str">
        <f>+HYPERLINK("http://trademark.i-assist.jp/data/china/image_1904th/79214307.pdf", "79214307")</f>
        <v>79214307</v>
      </c>
      <c r="F402" s="11" t="s">
        <v>1315</v>
      </c>
      <c r="G402" s="11" t="s">
        <v>1316</v>
      </c>
      <c r="H402" s="11" t="s">
        <v>18</v>
      </c>
      <c r="I402" s="11" t="s">
        <v>162</v>
      </c>
    </row>
    <row r="403" spans="1:9" x14ac:dyDescent="0.15">
      <c r="A403" s="10">
        <v>402</v>
      </c>
      <c r="B403" s="11" t="s">
        <v>9</v>
      </c>
      <c r="C403" s="11" t="s">
        <v>170</v>
      </c>
      <c r="D403" s="11" t="s">
        <v>171</v>
      </c>
      <c r="E403" s="9" t="str">
        <f>+HYPERLINK("http://trademark.i-assist.jp/data/china/image_1904th/79214620.pdf", "79214620")</f>
        <v>79214620</v>
      </c>
      <c r="F403" s="11" t="s">
        <v>1317</v>
      </c>
      <c r="G403" s="11" t="s">
        <v>1318</v>
      </c>
      <c r="H403" s="11" t="s">
        <v>1319</v>
      </c>
      <c r="I403" s="11" t="s">
        <v>162</v>
      </c>
    </row>
    <row r="404" spans="1:9" x14ac:dyDescent="0.15">
      <c r="A404" s="10">
        <v>403</v>
      </c>
      <c r="B404" s="11" t="s">
        <v>9</v>
      </c>
      <c r="C404" s="11" t="s">
        <v>170</v>
      </c>
      <c r="D404" s="11" t="s">
        <v>171</v>
      </c>
      <c r="E404" s="9" t="str">
        <f>+HYPERLINK("http://trademark.i-assist.jp/data/china/image_1904th/79214688.pdf", "79214688")</f>
        <v>79214688</v>
      </c>
      <c r="F404" s="11" t="s">
        <v>1320</v>
      </c>
      <c r="G404" s="11" t="s">
        <v>1321</v>
      </c>
      <c r="H404" s="11" t="s">
        <v>1322</v>
      </c>
      <c r="I404" s="11" t="s">
        <v>162</v>
      </c>
    </row>
    <row r="405" spans="1:9" x14ac:dyDescent="0.15">
      <c r="A405" s="10">
        <v>404</v>
      </c>
      <c r="B405" s="11" t="s">
        <v>9</v>
      </c>
      <c r="C405" s="11" t="s">
        <v>170</v>
      </c>
      <c r="D405" s="11" t="s">
        <v>171</v>
      </c>
      <c r="E405" s="9" t="str">
        <f>+HYPERLINK("http://trademark.i-assist.jp/data/china/image_1904th/79215579.pdf", "79215579")</f>
        <v>79215579</v>
      </c>
      <c r="F405" s="11" t="s">
        <v>1323</v>
      </c>
      <c r="G405" s="11" t="s">
        <v>1324</v>
      </c>
      <c r="H405" s="11" t="s">
        <v>1325</v>
      </c>
      <c r="I405" s="11" t="s">
        <v>162</v>
      </c>
    </row>
    <row r="406" spans="1:9" x14ac:dyDescent="0.15">
      <c r="A406" s="10">
        <v>405</v>
      </c>
      <c r="B406" s="11" t="s">
        <v>9</v>
      </c>
      <c r="C406" s="11" t="s">
        <v>170</v>
      </c>
      <c r="D406" s="11" t="s">
        <v>171</v>
      </c>
      <c r="E406" s="9" t="str">
        <f>+HYPERLINK("http://trademark.i-assist.jp/data/china/image_1904th/79217195.pdf", "79217195")</f>
        <v>79217195</v>
      </c>
      <c r="F406" s="11" t="s">
        <v>1326</v>
      </c>
      <c r="G406" s="11" t="s">
        <v>1327</v>
      </c>
      <c r="H406" s="11" t="s">
        <v>1328</v>
      </c>
      <c r="I406" s="11" t="s">
        <v>162</v>
      </c>
    </row>
    <row r="407" spans="1:9" x14ac:dyDescent="0.15">
      <c r="A407" s="10">
        <v>406</v>
      </c>
      <c r="B407" s="11" t="s">
        <v>9</v>
      </c>
      <c r="C407" s="11" t="s">
        <v>170</v>
      </c>
      <c r="D407" s="11" t="s">
        <v>171</v>
      </c>
      <c r="E407" s="9" t="str">
        <f>+HYPERLINK("http://trademark.i-assist.jp/data/china/image_1904th/79217569.pdf", "79217569")</f>
        <v>79217569</v>
      </c>
      <c r="F407" s="11" t="s">
        <v>1329</v>
      </c>
      <c r="G407" s="11" t="s">
        <v>1330</v>
      </c>
      <c r="H407" s="11" t="s">
        <v>1331</v>
      </c>
      <c r="I407" s="11" t="s">
        <v>162</v>
      </c>
    </row>
    <row r="408" spans="1:9" x14ac:dyDescent="0.15">
      <c r="A408" s="10">
        <v>407</v>
      </c>
      <c r="B408" s="11" t="s">
        <v>9</v>
      </c>
      <c r="C408" s="11" t="s">
        <v>170</v>
      </c>
      <c r="D408" s="11" t="s">
        <v>171</v>
      </c>
      <c r="E408" s="9" t="str">
        <f>+HYPERLINK("http://trademark.i-assist.jp/data/china/image_1904th/79217897.pdf", "79217897")</f>
        <v>79217897</v>
      </c>
      <c r="F408" s="11" t="s">
        <v>1332</v>
      </c>
      <c r="G408" s="11" t="s">
        <v>136</v>
      </c>
      <c r="H408" s="11" t="s">
        <v>1333</v>
      </c>
      <c r="I408" s="11" t="s">
        <v>162</v>
      </c>
    </row>
    <row r="409" spans="1:9" x14ac:dyDescent="0.15">
      <c r="A409" s="10">
        <v>408</v>
      </c>
      <c r="B409" s="11" t="s">
        <v>9</v>
      </c>
      <c r="C409" s="11" t="s">
        <v>170</v>
      </c>
      <c r="D409" s="11" t="s">
        <v>171</v>
      </c>
      <c r="E409" s="9" t="str">
        <f>+HYPERLINK("http://trademark.i-assist.jp/data/china/image_1904th/79218638.pdf", "79218638")</f>
        <v>79218638</v>
      </c>
      <c r="F409" s="11" t="s">
        <v>1334</v>
      </c>
      <c r="G409" s="11" t="s">
        <v>1335</v>
      </c>
      <c r="H409" s="11" t="s">
        <v>1336</v>
      </c>
      <c r="I409" s="11" t="s">
        <v>162</v>
      </c>
    </row>
    <row r="410" spans="1:9" x14ac:dyDescent="0.15">
      <c r="A410" s="10">
        <v>409</v>
      </c>
      <c r="B410" s="11" t="s">
        <v>9</v>
      </c>
      <c r="C410" s="11" t="s">
        <v>170</v>
      </c>
      <c r="D410" s="11" t="s">
        <v>171</v>
      </c>
      <c r="E410" s="9" t="str">
        <f>+HYPERLINK("http://trademark.i-assist.jp/data/china/image_1904th/79219258.pdf", "79219258")</f>
        <v>79219258</v>
      </c>
      <c r="F410" s="11" t="s">
        <v>1337</v>
      </c>
      <c r="G410" s="11" t="s">
        <v>1338</v>
      </c>
      <c r="H410" s="11" t="s">
        <v>1339</v>
      </c>
      <c r="I410" s="11" t="s">
        <v>162</v>
      </c>
    </row>
    <row r="411" spans="1:9" x14ac:dyDescent="0.15">
      <c r="A411" s="10">
        <v>410</v>
      </c>
      <c r="B411" s="11" t="s">
        <v>9</v>
      </c>
      <c r="C411" s="11" t="s">
        <v>170</v>
      </c>
      <c r="D411" s="11" t="s">
        <v>171</v>
      </c>
      <c r="E411" s="9" t="str">
        <f>+HYPERLINK("http://trademark.i-assist.jp/data/china/image_1904th/79220172.pdf", "79220172")</f>
        <v>79220172</v>
      </c>
      <c r="F411" s="11" t="s">
        <v>1340</v>
      </c>
      <c r="G411" s="11" t="s">
        <v>1341</v>
      </c>
      <c r="H411" s="11" t="s">
        <v>1342</v>
      </c>
      <c r="I411" s="11" t="s">
        <v>162</v>
      </c>
    </row>
    <row r="412" spans="1:9" x14ac:dyDescent="0.15">
      <c r="A412" s="10">
        <v>411</v>
      </c>
      <c r="B412" s="11" t="s">
        <v>9</v>
      </c>
      <c r="C412" s="11" t="s">
        <v>170</v>
      </c>
      <c r="D412" s="11" t="s">
        <v>171</v>
      </c>
      <c r="E412" s="9" t="str">
        <f>+HYPERLINK("http://trademark.i-assist.jp/data/china/image_1904th/79220358.pdf", "79220358")</f>
        <v>79220358</v>
      </c>
      <c r="F412" s="11" t="s">
        <v>1343</v>
      </c>
      <c r="G412" s="11" t="s">
        <v>1344</v>
      </c>
      <c r="H412" s="11" t="s">
        <v>1345</v>
      </c>
      <c r="I412" s="11" t="s">
        <v>162</v>
      </c>
    </row>
    <row r="413" spans="1:9" x14ac:dyDescent="0.15">
      <c r="A413" s="10">
        <v>412</v>
      </c>
      <c r="B413" s="11" t="s">
        <v>9</v>
      </c>
      <c r="C413" s="11" t="s">
        <v>170</v>
      </c>
      <c r="D413" s="11" t="s">
        <v>171</v>
      </c>
      <c r="E413" s="9" t="str">
        <f>+HYPERLINK("http://trademark.i-assist.jp/data/china/image_1904th/79221329.pdf", "79221329")</f>
        <v>79221329</v>
      </c>
      <c r="F413" s="11" t="s">
        <v>1346</v>
      </c>
      <c r="G413" s="11" t="s">
        <v>1347</v>
      </c>
      <c r="H413" s="11" t="s">
        <v>1348</v>
      </c>
      <c r="I413" s="11" t="s">
        <v>162</v>
      </c>
    </row>
    <row r="414" spans="1:9" x14ac:dyDescent="0.15">
      <c r="A414" s="10">
        <v>413</v>
      </c>
      <c r="B414" s="11" t="s">
        <v>9</v>
      </c>
      <c r="C414" s="11" t="s">
        <v>170</v>
      </c>
      <c r="D414" s="11" t="s">
        <v>171</v>
      </c>
      <c r="E414" s="9" t="str">
        <f>+HYPERLINK("http://trademark.i-assist.jp/data/china/image_1904th/79221662.pdf", "79221662")</f>
        <v>79221662</v>
      </c>
      <c r="F414" s="11" t="s">
        <v>1349</v>
      </c>
      <c r="G414" s="11" t="s">
        <v>1350</v>
      </c>
      <c r="H414" s="11" t="s">
        <v>1351</v>
      </c>
      <c r="I414" s="11" t="s">
        <v>162</v>
      </c>
    </row>
    <row r="415" spans="1:9" x14ac:dyDescent="0.15">
      <c r="A415" s="10">
        <v>414</v>
      </c>
      <c r="B415" s="11" t="s">
        <v>9</v>
      </c>
      <c r="C415" s="11" t="s">
        <v>170</v>
      </c>
      <c r="D415" s="11" t="s">
        <v>171</v>
      </c>
      <c r="E415" s="9" t="str">
        <f>+HYPERLINK("http://trademark.i-assist.jp/data/china/image_1904th/79222290.pdf", "79222290")</f>
        <v>79222290</v>
      </c>
      <c r="F415" s="11" t="s">
        <v>1352</v>
      </c>
      <c r="G415" s="11" t="s">
        <v>1304</v>
      </c>
      <c r="H415" s="11" t="s">
        <v>1353</v>
      </c>
      <c r="I415" s="11" t="s">
        <v>162</v>
      </c>
    </row>
    <row r="416" spans="1:9" x14ac:dyDescent="0.15">
      <c r="A416" s="10">
        <v>415</v>
      </c>
      <c r="B416" s="11" t="s">
        <v>9</v>
      </c>
      <c r="C416" s="11" t="s">
        <v>170</v>
      </c>
      <c r="D416" s="11" t="s">
        <v>171</v>
      </c>
      <c r="E416" s="9" t="str">
        <f>+HYPERLINK("http://trademark.i-assist.jp/data/china/image_1904th/79223000.pdf", "79223000")</f>
        <v>79223000</v>
      </c>
      <c r="F416" s="11" t="s">
        <v>1354</v>
      </c>
      <c r="G416" s="11" t="s">
        <v>1355</v>
      </c>
      <c r="H416" s="11" t="s">
        <v>1356</v>
      </c>
      <c r="I416" s="11" t="s">
        <v>162</v>
      </c>
    </row>
    <row r="417" spans="1:9" x14ac:dyDescent="0.15">
      <c r="A417" s="10">
        <v>416</v>
      </c>
      <c r="B417" s="11" t="s">
        <v>9</v>
      </c>
      <c r="C417" s="11" t="s">
        <v>170</v>
      </c>
      <c r="D417" s="11" t="s">
        <v>171</v>
      </c>
      <c r="E417" s="9" t="str">
        <f>+HYPERLINK("http://trademark.i-assist.jp/data/china/image_1904th/79223540.pdf", "79223540")</f>
        <v>79223540</v>
      </c>
      <c r="F417" s="11" t="s">
        <v>1357</v>
      </c>
      <c r="G417" s="11" t="s">
        <v>1358</v>
      </c>
      <c r="H417" s="11" t="s">
        <v>1359</v>
      </c>
      <c r="I417" s="11" t="s">
        <v>162</v>
      </c>
    </row>
    <row r="418" spans="1:9" x14ac:dyDescent="0.15">
      <c r="A418" s="10">
        <v>417</v>
      </c>
      <c r="B418" s="11" t="s">
        <v>9</v>
      </c>
      <c r="C418" s="11" t="s">
        <v>170</v>
      </c>
      <c r="D418" s="11" t="s">
        <v>171</v>
      </c>
      <c r="E418" s="9" t="str">
        <f>+HYPERLINK("http://trademark.i-assist.jp/data/china/image_1904th/79224576.pdf", "79224576")</f>
        <v>79224576</v>
      </c>
      <c r="F418" s="11" t="s">
        <v>1360</v>
      </c>
      <c r="G418" s="11" t="s">
        <v>1361</v>
      </c>
      <c r="H418" s="11" t="s">
        <v>1362</v>
      </c>
      <c r="I418" s="11" t="s">
        <v>162</v>
      </c>
    </row>
    <row r="419" spans="1:9" x14ac:dyDescent="0.15">
      <c r="A419" s="10">
        <v>418</v>
      </c>
      <c r="B419" s="11" t="s">
        <v>9</v>
      </c>
      <c r="C419" s="11" t="s">
        <v>170</v>
      </c>
      <c r="D419" s="11" t="s">
        <v>171</v>
      </c>
      <c r="E419" s="9" t="str">
        <f>+HYPERLINK("http://trademark.i-assist.jp/data/china/image_1904th/79224738.pdf", "79224738")</f>
        <v>79224738</v>
      </c>
      <c r="F419" s="11" t="s">
        <v>1363</v>
      </c>
      <c r="G419" s="11" t="s">
        <v>1364</v>
      </c>
      <c r="H419" s="11" t="s">
        <v>1365</v>
      </c>
      <c r="I419" s="11" t="s">
        <v>162</v>
      </c>
    </row>
    <row r="420" spans="1:9" x14ac:dyDescent="0.15">
      <c r="A420" s="10">
        <v>419</v>
      </c>
      <c r="B420" s="11" t="s">
        <v>9</v>
      </c>
      <c r="C420" s="11" t="s">
        <v>170</v>
      </c>
      <c r="D420" s="11" t="s">
        <v>171</v>
      </c>
      <c r="E420" s="9" t="str">
        <f>+HYPERLINK("http://trademark.i-assist.jp/data/china/image_1904th/79225233.pdf", "79225233")</f>
        <v>79225233</v>
      </c>
      <c r="F420" s="11" t="s">
        <v>1366</v>
      </c>
      <c r="G420" s="11" t="s">
        <v>129</v>
      </c>
      <c r="H420" s="11" t="s">
        <v>1367</v>
      </c>
      <c r="I420" s="11" t="s">
        <v>162</v>
      </c>
    </row>
    <row r="421" spans="1:9" x14ac:dyDescent="0.15">
      <c r="A421" s="10">
        <v>420</v>
      </c>
      <c r="B421" s="11" t="s">
        <v>9</v>
      </c>
      <c r="C421" s="11" t="s">
        <v>170</v>
      </c>
      <c r="D421" s="11" t="s">
        <v>171</v>
      </c>
      <c r="E421" s="9" t="str">
        <f>+HYPERLINK("http://trademark.i-assist.jp/data/china/image_1904th/79225488.pdf", "79225488")</f>
        <v>79225488</v>
      </c>
      <c r="F421" s="11" t="s">
        <v>1368</v>
      </c>
      <c r="G421" s="11" t="s">
        <v>1369</v>
      </c>
      <c r="H421" s="11" t="s">
        <v>1370</v>
      </c>
      <c r="I421" s="11" t="s">
        <v>162</v>
      </c>
    </row>
    <row r="422" spans="1:9" x14ac:dyDescent="0.15">
      <c r="A422" s="10">
        <v>421</v>
      </c>
      <c r="B422" s="11" t="s">
        <v>9</v>
      </c>
      <c r="C422" s="11" t="s">
        <v>170</v>
      </c>
      <c r="D422" s="11" t="s">
        <v>171</v>
      </c>
      <c r="E422" s="9" t="str">
        <f>+HYPERLINK("http://trademark.i-assist.jp/data/china/image_1904th/79225830.pdf", "79225830")</f>
        <v>79225830</v>
      </c>
      <c r="F422" s="11" t="s">
        <v>12</v>
      </c>
      <c r="G422" s="11" t="s">
        <v>1371</v>
      </c>
      <c r="H422" s="11" t="s">
        <v>1372</v>
      </c>
      <c r="I422" s="11" t="s">
        <v>162</v>
      </c>
    </row>
    <row r="423" spans="1:9" x14ac:dyDescent="0.15">
      <c r="A423" s="10">
        <v>422</v>
      </c>
      <c r="B423" s="11" t="s">
        <v>9</v>
      </c>
      <c r="C423" s="11" t="s">
        <v>170</v>
      </c>
      <c r="D423" s="11" t="s">
        <v>171</v>
      </c>
      <c r="E423" s="9" t="str">
        <f>+HYPERLINK("http://trademark.i-assist.jp/data/china/image_1904th/79226537.pdf", "79226537")</f>
        <v>79226537</v>
      </c>
      <c r="F423" s="11" t="s">
        <v>1373</v>
      </c>
      <c r="G423" s="11" t="s">
        <v>1374</v>
      </c>
      <c r="H423" s="11" t="s">
        <v>1375</v>
      </c>
      <c r="I423" s="11" t="s">
        <v>162</v>
      </c>
    </row>
    <row r="424" spans="1:9" x14ac:dyDescent="0.15">
      <c r="A424" s="10">
        <v>423</v>
      </c>
      <c r="B424" s="11" t="s">
        <v>9</v>
      </c>
      <c r="C424" s="11" t="s">
        <v>170</v>
      </c>
      <c r="D424" s="11" t="s">
        <v>171</v>
      </c>
      <c r="E424" s="9" t="str">
        <f>+HYPERLINK("http://trademark.i-assist.jp/data/china/image_1904th/79227178.pdf", "79227178")</f>
        <v>79227178</v>
      </c>
      <c r="F424" s="11" t="s">
        <v>1376</v>
      </c>
      <c r="G424" s="11" t="s">
        <v>1377</v>
      </c>
      <c r="H424" s="11" t="s">
        <v>1378</v>
      </c>
      <c r="I424" s="11" t="s">
        <v>162</v>
      </c>
    </row>
    <row r="425" spans="1:9" x14ac:dyDescent="0.15">
      <c r="A425" s="10">
        <v>424</v>
      </c>
      <c r="B425" s="11" t="s">
        <v>9</v>
      </c>
      <c r="C425" s="11" t="s">
        <v>170</v>
      </c>
      <c r="D425" s="11" t="s">
        <v>171</v>
      </c>
      <c r="E425" s="9" t="str">
        <f>+HYPERLINK("http://trademark.i-assist.jp/data/china/image_1904th/79227414.pdf", "79227414")</f>
        <v>79227414</v>
      </c>
      <c r="F425" s="11" t="s">
        <v>1337</v>
      </c>
      <c r="G425" s="11" t="s">
        <v>1338</v>
      </c>
      <c r="H425" s="11" t="s">
        <v>1379</v>
      </c>
      <c r="I425" s="11" t="s">
        <v>162</v>
      </c>
    </row>
    <row r="426" spans="1:9" x14ac:dyDescent="0.15">
      <c r="A426" s="10">
        <v>425</v>
      </c>
      <c r="B426" s="11" t="s">
        <v>9</v>
      </c>
      <c r="C426" s="11" t="s">
        <v>170</v>
      </c>
      <c r="D426" s="11" t="s">
        <v>171</v>
      </c>
      <c r="E426" s="9" t="str">
        <f>+HYPERLINK("http://trademark.i-assist.jp/data/china/image_1904th/79228030.pdf", "79228030")</f>
        <v>79228030</v>
      </c>
      <c r="F426" s="11" t="s">
        <v>1380</v>
      </c>
      <c r="G426" s="11" t="s">
        <v>1381</v>
      </c>
      <c r="H426" s="11" t="s">
        <v>1382</v>
      </c>
      <c r="I426" s="11" t="s">
        <v>162</v>
      </c>
    </row>
    <row r="427" spans="1:9" x14ac:dyDescent="0.15">
      <c r="A427" s="10">
        <v>426</v>
      </c>
      <c r="B427" s="11" t="s">
        <v>9</v>
      </c>
      <c r="C427" s="11" t="s">
        <v>170</v>
      </c>
      <c r="D427" s="11" t="s">
        <v>171</v>
      </c>
      <c r="E427" s="9" t="str">
        <f>+HYPERLINK("http://trademark.i-assist.jp/data/china/image_1904th/79228178.pdf", "79228178")</f>
        <v>79228178</v>
      </c>
      <c r="F427" s="11" t="s">
        <v>1383</v>
      </c>
      <c r="G427" s="11" t="s">
        <v>1384</v>
      </c>
      <c r="H427" s="11" t="s">
        <v>1385</v>
      </c>
      <c r="I427" s="11" t="s">
        <v>162</v>
      </c>
    </row>
    <row r="428" spans="1:9" x14ac:dyDescent="0.15">
      <c r="A428" s="10">
        <v>427</v>
      </c>
      <c r="B428" s="11" t="s">
        <v>9</v>
      </c>
      <c r="C428" s="11" t="s">
        <v>170</v>
      </c>
      <c r="D428" s="11" t="s">
        <v>171</v>
      </c>
      <c r="E428" s="9" t="str">
        <f>+HYPERLINK("http://trademark.i-assist.jp/data/china/image_1904th/79229497.pdf", "79229497")</f>
        <v>79229497</v>
      </c>
      <c r="F428" s="11" t="s">
        <v>1386</v>
      </c>
      <c r="G428" s="11" t="s">
        <v>146</v>
      </c>
      <c r="H428" s="11" t="s">
        <v>1387</v>
      </c>
      <c r="I428" s="11" t="s">
        <v>162</v>
      </c>
    </row>
    <row r="429" spans="1:9" x14ac:dyDescent="0.15">
      <c r="A429" s="10">
        <v>428</v>
      </c>
      <c r="B429" s="11" t="s">
        <v>9</v>
      </c>
      <c r="C429" s="11" t="s">
        <v>170</v>
      </c>
      <c r="D429" s="11" t="s">
        <v>171</v>
      </c>
      <c r="E429" s="9" t="str">
        <f>+HYPERLINK("http://trademark.i-assist.jp/data/china/image_1904th/79231236.pdf", "79231236")</f>
        <v>79231236</v>
      </c>
      <c r="F429" s="11" t="s">
        <v>1388</v>
      </c>
      <c r="G429" s="11" t="s">
        <v>1389</v>
      </c>
      <c r="H429" s="11" t="s">
        <v>1390</v>
      </c>
      <c r="I429" s="11" t="s">
        <v>162</v>
      </c>
    </row>
    <row r="430" spans="1:9" x14ac:dyDescent="0.15">
      <c r="A430" s="10">
        <v>429</v>
      </c>
      <c r="B430" s="11" t="s">
        <v>9</v>
      </c>
      <c r="C430" s="11" t="s">
        <v>170</v>
      </c>
      <c r="D430" s="11" t="s">
        <v>171</v>
      </c>
      <c r="E430" s="9" t="str">
        <f>+HYPERLINK("http://trademark.i-assist.jp/data/china/image_1904th/79231287.pdf", "79231287")</f>
        <v>79231287</v>
      </c>
      <c r="F430" s="11" t="s">
        <v>1391</v>
      </c>
      <c r="G430" s="11" t="s">
        <v>1330</v>
      </c>
      <c r="H430" s="11" t="s">
        <v>1392</v>
      </c>
      <c r="I430" s="11" t="s">
        <v>162</v>
      </c>
    </row>
    <row r="431" spans="1:9" x14ac:dyDescent="0.15">
      <c r="A431" s="10">
        <v>430</v>
      </c>
      <c r="B431" s="11" t="s">
        <v>9</v>
      </c>
      <c r="C431" s="11" t="s">
        <v>170</v>
      </c>
      <c r="D431" s="11" t="s">
        <v>171</v>
      </c>
      <c r="E431" s="9" t="str">
        <f>+HYPERLINK("http://trademark.i-assist.jp/data/china/image_1904th/79231988.pdf", "79231988")</f>
        <v>79231988</v>
      </c>
      <c r="F431" s="11" t="s">
        <v>1393</v>
      </c>
      <c r="G431" s="11" t="s">
        <v>1304</v>
      </c>
      <c r="H431" s="11" t="s">
        <v>1394</v>
      </c>
      <c r="I431" s="11" t="s">
        <v>162</v>
      </c>
    </row>
    <row r="432" spans="1:9" x14ac:dyDescent="0.15">
      <c r="A432" s="10">
        <v>431</v>
      </c>
      <c r="B432" s="11" t="s">
        <v>9</v>
      </c>
      <c r="C432" s="11" t="s">
        <v>170</v>
      </c>
      <c r="D432" s="11" t="s">
        <v>171</v>
      </c>
      <c r="E432" s="9" t="str">
        <f>+HYPERLINK("http://trademark.i-assist.jp/data/china/image_1904th/79232074.pdf", "79232074")</f>
        <v>79232074</v>
      </c>
      <c r="F432" s="11" t="s">
        <v>1395</v>
      </c>
      <c r="G432" s="11" t="s">
        <v>1396</v>
      </c>
      <c r="H432" s="11" t="s">
        <v>1397</v>
      </c>
      <c r="I432" s="11" t="s">
        <v>162</v>
      </c>
    </row>
    <row r="433" spans="1:9" x14ac:dyDescent="0.15">
      <c r="A433" s="10">
        <v>432</v>
      </c>
      <c r="B433" s="11" t="s">
        <v>9</v>
      </c>
      <c r="C433" s="11" t="s">
        <v>170</v>
      </c>
      <c r="D433" s="11" t="s">
        <v>171</v>
      </c>
      <c r="E433" s="9" t="str">
        <f>+HYPERLINK("http://trademark.i-assist.jp/data/china/image_1904th/79232108.pdf", "79232108")</f>
        <v>79232108</v>
      </c>
      <c r="F433" s="11" t="s">
        <v>1398</v>
      </c>
      <c r="G433" s="11" t="s">
        <v>1301</v>
      </c>
      <c r="H433" s="11" t="s">
        <v>1399</v>
      </c>
      <c r="I433" s="11" t="s">
        <v>162</v>
      </c>
    </row>
    <row r="434" spans="1:9" x14ac:dyDescent="0.15">
      <c r="A434" s="10">
        <v>433</v>
      </c>
      <c r="B434" s="11" t="s">
        <v>9</v>
      </c>
      <c r="C434" s="11" t="s">
        <v>170</v>
      </c>
      <c r="D434" s="11" t="s">
        <v>171</v>
      </c>
      <c r="E434" s="9" t="str">
        <f>+HYPERLINK("http://trademark.i-assist.jp/data/china/image_1904th/79232278.pdf", "79232278")</f>
        <v>79232278</v>
      </c>
      <c r="F434" s="11" t="s">
        <v>1400</v>
      </c>
      <c r="G434" s="11" t="s">
        <v>1401</v>
      </c>
      <c r="H434" s="11" t="s">
        <v>1402</v>
      </c>
      <c r="I434" s="11" t="s">
        <v>162</v>
      </c>
    </row>
    <row r="435" spans="1:9" x14ac:dyDescent="0.15">
      <c r="A435" s="10">
        <v>434</v>
      </c>
      <c r="B435" s="11" t="s">
        <v>9</v>
      </c>
      <c r="C435" s="11" t="s">
        <v>170</v>
      </c>
      <c r="D435" s="11" t="s">
        <v>171</v>
      </c>
      <c r="E435" s="9" t="str">
        <f>+HYPERLINK("http://trademark.i-assist.jp/data/china/image_1904th/79233276.pdf", "79233276")</f>
        <v>79233276</v>
      </c>
      <c r="F435" s="11" t="s">
        <v>1403</v>
      </c>
      <c r="G435" s="11" t="s">
        <v>1404</v>
      </c>
      <c r="H435" s="11" t="s">
        <v>1405</v>
      </c>
      <c r="I435" s="11" t="s">
        <v>163</v>
      </c>
    </row>
    <row r="436" spans="1:9" x14ac:dyDescent="0.15">
      <c r="A436" s="10">
        <v>435</v>
      </c>
      <c r="B436" s="11" t="s">
        <v>9</v>
      </c>
      <c r="C436" s="11" t="s">
        <v>170</v>
      </c>
      <c r="D436" s="11" t="s">
        <v>171</v>
      </c>
      <c r="E436" s="9" t="str">
        <f>+HYPERLINK("http://trademark.i-assist.jp/data/china/image_1904th/79233515.pdf", "79233515")</f>
        <v>79233515</v>
      </c>
      <c r="F436" s="11" t="s">
        <v>1406</v>
      </c>
      <c r="G436" s="11" t="s">
        <v>1407</v>
      </c>
      <c r="H436" s="11" t="s">
        <v>1408</v>
      </c>
      <c r="I436" s="11" t="s">
        <v>163</v>
      </c>
    </row>
    <row r="437" spans="1:9" x14ac:dyDescent="0.15">
      <c r="A437" s="10">
        <v>436</v>
      </c>
      <c r="B437" s="11" t="s">
        <v>9</v>
      </c>
      <c r="C437" s="11" t="s">
        <v>170</v>
      </c>
      <c r="D437" s="11" t="s">
        <v>171</v>
      </c>
      <c r="E437" s="9" t="str">
        <f>+HYPERLINK("http://trademark.i-assist.jp/data/china/image_1904th/79233789.pdf", "79233789")</f>
        <v>79233789</v>
      </c>
      <c r="F437" s="11" t="s">
        <v>1409</v>
      </c>
      <c r="G437" s="11" t="s">
        <v>1410</v>
      </c>
      <c r="H437" s="11" t="s">
        <v>1411</v>
      </c>
      <c r="I437" s="11" t="s">
        <v>163</v>
      </c>
    </row>
    <row r="438" spans="1:9" x14ac:dyDescent="0.15">
      <c r="A438" s="10">
        <v>437</v>
      </c>
      <c r="B438" s="11" t="s">
        <v>9</v>
      </c>
      <c r="C438" s="11" t="s">
        <v>170</v>
      </c>
      <c r="D438" s="11" t="s">
        <v>171</v>
      </c>
      <c r="E438" s="9" t="str">
        <f>+HYPERLINK("http://trademark.i-assist.jp/data/china/image_1904th/79234610.pdf", "79234610")</f>
        <v>79234610</v>
      </c>
      <c r="F438" s="11" t="s">
        <v>1412</v>
      </c>
      <c r="G438" s="11" t="s">
        <v>1413</v>
      </c>
      <c r="H438" s="11" t="s">
        <v>1414</v>
      </c>
      <c r="I438" s="11" t="s">
        <v>163</v>
      </c>
    </row>
    <row r="439" spans="1:9" x14ac:dyDescent="0.15">
      <c r="A439" s="10">
        <v>438</v>
      </c>
      <c r="B439" s="11" t="s">
        <v>9</v>
      </c>
      <c r="C439" s="11" t="s">
        <v>170</v>
      </c>
      <c r="D439" s="11" t="s">
        <v>171</v>
      </c>
      <c r="E439" s="9" t="str">
        <f>+HYPERLINK("http://trademark.i-assist.jp/data/china/image_1904th/79235003.pdf", "79235003")</f>
        <v>79235003</v>
      </c>
      <c r="F439" s="11" t="s">
        <v>1415</v>
      </c>
      <c r="G439" s="11" t="s">
        <v>1416</v>
      </c>
      <c r="H439" s="11" t="s">
        <v>1417</v>
      </c>
      <c r="I439" s="11" t="s">
        <v>163</v>
      </c>
    </row>
    <row r="440" spans="1:9" x14ac:dyDescent="0.15">
      <c r="A440" s="10">
        <v>439</v>
      </c>
      <c r="B440" s="11" t="s">
        <v>9</v>
      </c>
      <c r="C440" s="11" t="s">
        <v>170</v>
      </c>
      <c r="D440" s="11" t="s">
        <v>171</v>
      </c>
      <c r="E440" s="9" t="str">
        <f>+HYPERLINK("http://trademark.i-assist.jp/data/china/image_1904th/79235067.pdf", "79235067")</f>
        <v>79235067</v>
      </c>
      <c r="F440" s="11" t="s">
        <v>1418</v>
      </c>
      <c r="G440" s="11" t="s">
        <v>1419</v>
      </c>
      <c r="H440" s="11" t="s">
        <v>1420</v>
      </c>
      <c r="I440" s="11" t="s">
        <v>163</v>
      </c>
    </row>
    <row r="441" spans="1:9" x14ac:dyDescent="0.15">
      <c r="A441" s="10">
        <v>440</v>
      </c>
      <c r="B441" s="11" t="s">
        <v>9</v>
      </c>
      <c r="C441" s="11" t="s">
        <v>170</v>
      </c>
      <c r="D441" s="11" t="s">
        <v>171</v>
      </c>
      <c r="E441" s="9" t="str">
        <f>+HYPERLINK("http://trademark.i-assist.jp/data/china/image_1904th/79236535.pdf", "79236535")</f>
        <v>79236535</v>
      </c>
      <c r="F441" s="11" t="s">
        <v>1421</v>
      </c>
      <c r="G441" s="11" t="s">
        <v>1422</v>
      </c>
      <c r="H441" s="11" t="s">
        <v>1423</v>
      </c>
      <c r="I441" s="11" t="s">
        <v>163</v>
      </c>
    </row>
    <row r="442" spans="1:9" x14ac:dyDescent="0.15">
      <c r="A442" s="10">
        <v>441</v>
      </c>
      <c r="B442" s="11" t="s">
        <v>9</v>
      </c>
      <c r="C442" s="11" t="s">
        <v>170</v>
      </c>
      <c r="D442" s="11" t="s">
        <v>171</v>
      </c>
      <c r="E442" s="9" t="str">
        <f>+HYPERLINK("http://trademark.i-assist.jp/data/china/image_1904th/79237172.pdf", "79237172")</f>
        <v>79237172</v>
      </c>
      <c r="F442" s="11" t="s">
        <v>1424</v>
      </c>
      <c r="G442" s="11" t="s">
        <v>157</v>
      </c>
      <c r="H442" s="11" t="s">
        <v>1425</v>
      </c>
      <c r="I442" s="11" t="s">
        <v>163</v>
      </c>
    </row>
    <row r="443" spans="1:9" x14ac:dyDescent="0.15">
      <c r="A443" s="10">
        <v>442</v>
      </c>
      <c r="B443" s="11" t="s">
        <v>9</v>
      </c>
      <c r="C443" s="11" t="s">
        <v>170</v>
      </c>
      <c r="D443" s="11" t="s">
        <v>171</v>
      </c>
      <c r="E443" s="9" t="str">
        <f>+HYPERLINK("http://trademark.i-assist.jp/data/china/image_1904th/79238648.pdf", "79238648")</f>
        <v>79238648</v>
      </c>
      <c r="F443" s="11" t="s">
        <v>1426</v>
      </c>
      <c r="G443" s="11" t="s">
        <v>1416</v>
      </c>
      <c r="H443" s="11" t="s">
        <v>1427</v>
      </c>
      <c r="I443" s="11" t="s">
        <v>163</v>
      </c>
    </row>
    <row r="444" spans="1:9" x14ac:dyDescent="0.15">
      <c r="A444" s="10">
        <v>443</v>
      </c>
      <c r="B444" s="11" t="s">
        <v>9</v>
      </c>
      <c r="C444" s="11" t="s">
        <v>170</v>
      </c>
      <c r="D444" s="11" t="s">
        <v>171</v>
      </c>
      <c r="E444" s="9" t="str">
        <f>+HYPERLINK("http://trademark.i-assist.jp/data/china/image_1904th/79239541.pdf", "79239541")</f>
        <v>79239541</v>
      </c>
      <c r="F444" s="11" t="s">
        <v>1428</v>
      </c>
      <c r="G444" s="11" t="s">
        <v>1429</v>
      </c>
      <c r="H444" s="11" t="s">
        <v>1430</v>
      </c>
      <c r="I444" s="11" t="s">
        <v>164</v>
      </c>
    </row>
    <row r="445" spans="1:9" x14ac:dyDescent="0.15">
      <c r="A445" s="10">
        <v>444</v>
      </c>
      <c r="B445" s="11" t="s">
        <v>9</v>
      </c>
      <c r="C445" s="11" t="s">
        <v>170</v>
      </c>
      <c r="D445" s="11" t="s">
        <v>171</v>
      </c>
      <c r="E445" s="9" t="str">
        <f>+HYPERLINK("http://trademark.i-assist.jp/data/china/image_1904th/79239954.pdf", "79239954")</f>
        <v>79239954</v>
      </c>
      <c r="F445" s="11" t="s">
        <v>1431</v>
      </c>
      <c r="G445" s="11" t="s">
        <v>1432</v>
      </c>
      <c r="H445" s="11" t="s">
        <v>1433</v>
      </c>
      <c r="I445" s="11" t="s">
        <v>164</v>
      </c>
    </row>
    <row r="446" spans="1:9" x14ac:dyDescent="0.15">
      <c r="A446" s="10">
        <v>445</v>
      </c>
      <c r="B446" s="11" t="s">
        <v>9</v>
      </c>
      <c r="C446" s="11" t="s">
        <v>170</v>
      </c>
      <c r="D446" s="11" t="s">
        <v>171</v>
      </c>
      <c r="E446" s="9" t="str">
        <f>+HYPERLINK("http://trademark.i-assist.jp/data/china/image_1904th/79240193.pdf", "79240193")</f>
        <v>79240193</v>
      </c>
      <c r="F446" s="11" t="s">
        <v>1434</v>
      </c>
      <c r="G446" s="11" t="s">
        <v>1435</v>
      </c>
      <c r="H446" s="11" t="s">
        <v>1436</v>
      </c>
      <c r="I446" s="11" t="s">
        <v>164</v>
      </c>
    </row>
    <row r="447" spans="1:9" x14ac:dyDescent="0.15">
      <c r="A447" s="10">
        <v>446</v>
      </c>
      <c r="B447" s="11" t="s">
        <v>9</v>
      </c>
      <c r="C447" s="11" t="s">
        <v>170</v>
      </c>
      <c r="D447" s="11" t="s">
        <v>171</v>
      </c>
      <c r="E447" s="9" t="str">
        <f>+HYPERLINK("http://trademark.i-assist.jp/data/china/image_1904th/79240256.pdf", "79240256")</f>
        <v>79240256</v>
      </c>
      <c r="F447" s="11" t="s">
        <v>1437</v>
      </c>
      <c r="G447" s="11" t="s">
        <v>1438</v>
      </c>
      <c r="H447" s="11" t="s">
        <v>1439</v>
      </c>
      <c r="I447" s="11" t="s">
        <v>164</v>
      </c>
    </row>
    <row r="448" spans="1:9" x14ac:dyDescent="0.15">
      <c r="A448" s="10">
        <v>447</v>
      </c>
      <c r="B448" s="11" t="s">
        <v>9</v>
      </c>
      <c r="C448" s="11" t="s">
        <v>170</v>
      </c>
      <c r="D448" s="11" t="s">
        <v>171</v>
      </c>
      <c r="E448" s="9" t="str">
        <f>+HYPERLINK("http://trademark.i-assist.jp/data/china/image_1904th/79240368.pdf", "79240368")</f>
        <v>79240368</v>
      </c>
      <c r="F448" s="11" t="s">
        <v>1440</v>
      </c>
      <c r="G448" s="11" t="s">
        <v>83</v>
      </c>
      <c r="H448" s="11" t="s">
        <v>1441</v>
      </c>
      <c r="I448" s="11" t="s">
        <v>164</v>
      </c>
    </row>
    <row r="449" spans="1:9" x14ac:dyDescent="0.15">
      <c r="A449" s="10">
        <v>448</v>
      </c>
      <c r="B449" s="11" t="s">
        <v>9</v>
      </c>
      <c r="C449" s="11" t="s">
        <v>170</v>
      </c>
      <c r="D449" s="11" t="s">
        <v>171</v>
      </c>
      <c r="E449" s="9" t="str">
        <f>+HYPERLINK("http://trademark.i-assist.jp/data/china/image_1904th/79240414.pdf", "79240414")</f>
        <v>79240414</v>
      </c>
      <c r="F449" s="11" t="s">
        <v>12</v>
      </c>
      <c r="G449" s="11" t="s">
        <v>1442</v>
      </c>
      <c r="H449" s="11" t="s">
        <v>1443</v>
      </c>
      <c r="I449" s="11" t="s">
        <v>164</v>
      </c>
    </row>
    <row r="450" spans="1:9" x14ac:dyDescent="0.15">
      <c r="A450" s="10">
        <v>449</v>
      </c>
      <c r="B450" s="11" t="s">
        <v>9</v>
      </c>
      <c r="C450" s="11" t="s">
        <v>170</v>
      </c>
      <c r="D450" s="11" t="s">
        <v>171</v>
      </c>
      <c r="E450" s="9" t="str">
        <f>+HYPERLINK("http://trademark.i-assist.jp/data/china/image_1904th/79240421.pdf", "79240421")</f>
        <v>79240421</v>
      </c>
      <c r="F450" s="11" t="s">
        <v>1444</v>
      </c>
      <c r="G450" s="11" t="s">
        <v>1445</v>
      </c>
      <c r="H450" s="11" t="s">
        <v>1446</v>
      </c>
      <c r="I450" s="11" t="s">
        <v>164</v>
      </c>
    </row>
    <row r="451" spans="1:9" x14ac:dyDescent="0.15">
      <c r="A451" s="10">
        <v>450</v>
      </c>
      <c r="B451" s="11" t="s">
        <v>9</v>
      </c>
      <c r="C451" s="11" t="s">
        <v>170</v>
      </c>
      <c r="D451" s="11" t="s">
        <v>171</v>
      </c>
      <c r="E451" s="9" t="str">
        <f>+HYPERLINK("http://trademark.i-assist.jp/data/china/image_1904th/79241244.pdf", "79241244")</f>
        <v>79241244</v>
      </c>
      <c r="F451" s="11" t="s">
        <v>1447</v>
      </c>
      <c r="G451" s="11" t="s">
        <v>1438</v>
      </c>
      <c r="H451" s="11" t="s">
        <v>1448</v>
      </c>
      <c r="I451" s="11" t="s">
        <v>164</v>
      </c>
    </row>
    <row r="452" spans="1:9" x14ac:dyDescent="0.15">
      <c r="A452" s="10">
        <v>451</v>
      </c>
      <c r="B452" s="11" t="s">
        <v>9</v>
      </c>
      <c r="C452" s="11" t="s">
        <v>170</v>
      </c>
      <c r="D452" s="11" t="s">
        <v>171</v>
      </c>
      <c r="E452" s="9" t="str">
        <f>+HYPERLINK("http://trademark.i-assist.jp/data/china/image_1904th/79241739.pdf", "79241739")</f>
        <v>79241739</v>
      </c>
      <c r="F452" s="11" t="s">
        <v>1449</v>
      </c>
      <c r="G452" s="11" t="s">
        <v>1438</v>
      </c>
      <c r="H452" s="11" t="s">
        <v>1450</v>
      </c>
      <c r="I452" s="11" t="s">
        <v>164</v>
      </c>
    </row>
    <row r="453" spans="1:9" x14ac:dyDescent="0.15">
      <c r="A453" s="10">
        <v>452</v>
      </c>
      <c r="B453" s="11" t="s">
        <v>9</v>
      </c>
      <c r="C453" s="11" t="s">
        <v>170</v>
      </c>
      <c r="D453" s="11" t="s">
        <v>171</v>
      </c>
      <c r="E453" s="9" t="str">
        <f>+HYPERLINK("http://trademark.i-assist.jp/data/china/image_1904th/79241797.pdf", "79241797")</f>
        <v>79241797</v>
      </c>
      <c r="F453" s="11" t="s">
        <v>1451</v>
      </c>
      <c r="G453" s="11" t="s">
        <v>1432</v>
      </c>
      <c r="H453" s="11" t="s">
        <v>1452</v>
      </c>
      <c r="I453" s="11" t="s">
        <v>164</v>
      </c>
    </row>
    <row r="454" spans="1:9" x14ac:dyDescent="0.15">
      <c r="A454" s="10">
        <v>453</v>
      </c>
      <c r="B454" s="11" t="s">
        <v>9</v>
      </c>
      <c r="C454" s="11" t="s">
        <v>170</v>
      </c>
      <c r="D454" s="11" t="s">
        <v>171</v>
      </c>
      <c r="E454" s="9" t="str">
        <f>+HYPERLINK("http://trademark.i-assist.jp/data/china/image_1904th/79242133.pdf", "79242133")</f>
        <v>79242133</v>
      </c>
      <c r="F454" s="11" t="s">
        <v>1453</v>
      </c>
      <c r="G454" s="11" t="s">
        <v>134</v>
      </c>
      <c r="H454" s="11" t="s">
        <v>1454</v>
      </c>
      <c r="I454" s="11" t="s">
        <v>164</v>
      </c>
    </row>
    <row r="455" spans="1:9" x14ac:dyDescent="0.15">
      <c r="A455" s="10">
        <v>454</v>
      </c>
      <c r="B455" s="11" t="s">
        <v>9</v>
      </c>
      <c r="C455" s="11" t="s">
        <v>170</v>
      </c>
      <c r="D455" s="11" t="s">
        <v>171</v>
      </c>
      <c r="E455" s="9" t="str">
        <f>+HYPERLINK("http://trademark.i-assist.jp/data/china/image_1904th/79242993.pdf", "79242993")</f>
        <v>79242993</v>
      </c>
      <c r="F455" s="11" t="s">
        <v>1455</v>
      </c>
      <c r="G455" s="11" t="s">
        <v>1456</v>
      </c>
      <c r="H455" s="11" t="s">
        <v>1457</v>
      </c>
      <c r="I455" s="11" t="s">
        <v>165</v>
      </c>
    </row>
    <row r="456" spans="1:9" x14ac:dyDescent="0.15">
      <c r="A456" s="10">
        <v>455</v>
      </c>
      <c r="B456" s="11" t="s">
        <v>9</v>
      </c>
      <c r="C456" s="11" t="s">
        <v>170</v>
      </c>
      <c r="D456" s="11" t="s">
        <v>171</v>
      </c>
      <c r="E456" s="9" t="str">
        <f>+HYPERLINK("http://trademark.i-assist.jp/data/china/image_1904th/79243457.pdf", "79243457")</f>
        <v>79243457</v>
      </c>
      <c r="F456" s="11" t="s">
        <v>1458</v>
      </c>
      <c r="G456" s="11" t="s">
        <v>1459</v>
      </c>
      <c r="H456" s="11" t="s">
        <v>1460</v>
      </c>
      <c r="I456" s="11" t="s">
        <v>165</v>
      </c>
    </row>
    <row r="457" spans="1:9" x14ac:dyDescent="0.15">
      <c r="A457" s="10">
        <v>456</v>
      </c>
      <c r="B457" s="11" t="s">
        <v>9</v>
      </c>
      <c r="C457" s="11" t="s">
        <v>170</v>
      </c>
      <c r="D457" s="11" t="s">
        <v>171</v>
      </c>
      <c r="E457" s="9" t="str">
        <f>+HYPERLINK("http://trademark.i-assist.jp/data/china/image_1904th/79244012.pdf", "79244012")</f>
        <v>79244012</v>
      </c>
      <c r="F457" s="11" t="s">
        <v>1461</v>
      </c>
      <c r="G457" s="11" t="s">
        <v>1462</v>
      </c>
      <c r="H457" s="11" t="s">
        <v>1463</v>
      </c>
      <c r="I457" s="11" t="s">
        <v>165</v>
      </c>
    </row>
    <row r="458" spans="1:9" x14ac:dyDescent="0.15">
      <c r="A458" s="10">
        <v>457</v>
      </c>
      <c r="B458" s="11" t="s">
        <v>9</v>
      </c>
      <c r="C458" s="11" t="s">
        <v>170</v>
      </c>
      <c r="D458" s="11" t="s">
        <v>171</v>
      </c>
      <c r="E458" s="9" t="str">
        <f>+HYPERLINK("http://trademark.i-assist.jp/data/china/image_1904th/79244036.pdf", "79244036")</f>
        <v>79244036</v>
      </c>
      <c r="F458" s="11" t="s">
        <v>1464</v>
      </c>
      <c r="G458" s="11" t="s">
        <v>1465</v>
      </c>
      <c r="H458" s="11" t="s">
        <v>1466</v>
      </c>
      <c r="I458" s="11" t="s">
        <v>165</v>
      </c>
    </row>
    <row r="459" spans="1:9" x14ac:dyDescent="0.15">
      <c r="A459" s="10">
        <v>458</v>
      </c>
      <c r="B459" s="11" t="s">
        <v>9</v>
      </c>
      <c r="C459" s="11" t="s">
        <v>170</v>
      </c>
      <c r="D459" s="11" t="s">
        <v>171</v>
      </c>
      <c r="E459" s="9" t="str">
        <f>+HYPERLINK("http://trademark.i-assist.jp/data/china/image_1904th/79244600.pdf", "79244600")</f>
        <v>79244600</v>
      </c>
      <c r="F459" s="11" t="s">
        <v>1467</v>
      </c>
      <c r="G459" s="11" t="s">
        <v>1468</v>
      </c>
      <c r="H459" s="11" t="s">
        <v>1469</v>
      </c>
      <c r="I459" s="11" t="s">
        <v>165</v>
      </c>
    </row>
    <row r="460" spans="1:9" x14ac:dyDescent="0.15">
      <c r="A460" s="10">
        <v>459</v>
      </c>
      <c r="B460" s="11" t="s">
        <v>9</v>
      </c>
      <c r="C460" s="11" t="s">
        <v>170</v>
      </c>
      <c r="D460" s="11" t="s">
        <v>171</v>
      </c>
      <c r="E460" s="9" t="str">
        <f>+HYPERLINK("http://trademark.i-assist.jp/data/china/image_1904th/79245323.pdf", "79245323")</f>
        <v>79245323</v>
      </c>
      <c r="F460" s="11" t="s">
        <v>1470</v>
      </c>
      <c r="G460" s="11" t="s">
        <v>1456</v>
      </c>
      <c r="H460" s="11" t="s">
        <v>1471</v>
      </c>
      <c r="I460" s="11" t="s">
        <v>165</v>
      </c>
    </row>
    <row r="461" spans="1:9" x14ac:dyDescent="0.15">
      <c r="A461" s="10">
        <v>460</v>
      </c>
      <c r="B461" s="11" t="s">
        <v>9</v>
      </c>
      <c r="C461" s="11" t="s">
        <v>170</v>
      </c>
      <c r="D461" s="11" t="s">
        <v>171</v>
      </c>
      <c r="E461" s="9" t="str">
        <f>+HYPERLINK("http://trademark.i-assist.jp/data/china/image_1904th/79245649.pdf", "79245649")</f>
        <v>79245649</v>
      </c>
      <c r="F461" s="11" t="s">
        <v>12</v>
      </c>
      <c r="G461" s="11" t="s">
        <v>1472</v>
      </c>
      <c r="H461" s="11" t="s">
        <v>1473</v>
      </c>
      <c r="I461" s="11" t="s">
        <v>165</v>
      </c>
    </row>
    <row r="462" spans="1:9" x14ac:dyDescent="0.15">
      <c r="A462" s="10">
        <v>461</v>
      </c>
      <c r="B462" s="11" t="s">
        <v>9</v>
      </c>
      <c r="C462" s="11" t="s">
        <v>170</v>
      </c>
      <c r="D462" s="11" t="s">
        <v>171</v>
      </c>
      <c r="E462" s="9" t="str">
        <f>+HYPERLINK("http://trademark.i-assist.jp/data/china/image_1904th/79246236.pdf", "79246236")</f>
        <v>79246236</v>
      </c>
      <c r="F462" s="11" t="s">
        <v>12</v>
      </c>
      <c r="G462" s="11" t="s">
        <v>23</v>
      </c>
      <c r="H462" s="11" t="s">
        <v>1474</v>
      </c>
      <c r="I462" s="11" t="s">
        <v>165</v>
      </c>
    </row>
    <row r="463" spans="1:9" x14ac:dyDescent="0.15">
      <c r="A463" s="10">
        <v>462</v>
      </c>
      <c r="B463" s="11" t="s">
        <v>9</v>
      </c>
      <c r="C463" s="11" t="s">
        <v>170</v>
      </c>
      <c r="D463" s="11" t="s">
        <v>171</v>
      </c>
      <c r="E463" s="9" t="str">
        <f>+HYPERLINK("http://trademark.i-assist.jp/data/china/image_1904th/79246852.pdf", "79246852")</f>
        <v>79246852</v>
      </c>
      <c r="F463" s="11" t="s">
        <v>1475</v>
      </c>
      <c r="G463" s="11" t="s">
        <v>1476</v>
      </c>
      <c r="H463" s="11" t="s">
        <v>1477</v>
      </c>
      <c r="I463" s="11" t="s">
        <v>165</v>
      </c>
    </row>
    <row r="464" spans="1:9" x14ac:dyDescent="0.15">
      <c r="A464" s="10">
        <v>463</v>
      </c>
      <c r="B464" s="11" t="s">
        <v>9</v>
      </c>
      <c r="C464" s="11" t="s">
        <v>170</v>
      </c>
      <c r="D464" s="11" t="s">
        <v>171</v>
      </c>
      <c r="E464" s="9" t="str">
        <f>+HYPERLINK("http://trademark.i-assist.jp/data/china/image_1904th/79247108.pdf", "79247108")</f>
        <v>79247108</v>
      </c>
      <c r="F464" s="11" t="s">
        <v>1478</v>
      </c>
      <c r="G464" s="11" t="s">
        <v>1479</v>
      </c>
      <c r="H464" s="11" t="s">
        <v>1480</v>
      </c>
      <c r="I464" s="11" t="s">
        <v>165</v>
      </c>
    </row>
    <row r="465" spans="1:9" x14ac:dyDescent="0.15">
      <c r="A465" s="10">
        <v>464</v>
      </c>
      <c r="B465" s="11" t="s">
        <v>9</v>
      </c>
      <c r="C465" s="11" t="s">
        <v>170</v>
      </c>
      <c r="D465" s="11" t="s">
        <v>171</v>
      </c>
      <c r="E465" s="9" t="str">
        <f>+HYPERLINK("http://trademark.i-assist.jp/data/china/image_1904th/79247638.pdf", "79247638")</f>
        <v>79247638</v>
      </c>
      <c r="F465" s="11" t="s">
        <v>1481</v>
      </c>
      <c r="G465" s="11" t="s">
        <v>1482</v>
      </c>
      <c r="H465" s="11" t="s">
        <v>1483</v>
      </c>
      <c r="I465" s="11" t="s">
        <v>165</v>
      </c>
    </row>
    <row r="466" spans="1:9" x14ac:dyDescent="0.15">
      <c r="A466" s="10">
        <v>465</v>
      </c>
      <c r="B466" s="11" t="s">
        <v>9</v>
      </c>
      <c r="C466" s="11" t="s">
        <v>170</v>
      </c>
      <c r="D466" s="11" t="s">
        <v>171</v>
      </c>
      <c r="E466" s="9" t="str">
        <f>+HYPERLINK("http://trademark.i-assist.jp/data/china/image_1904th/79249601.pdf", "79249601")</f>
        <v>79249601</v>
      </c>
      <c r="F466" s="11" t="s">
        <v>1484</v>
      </c>
      <c r="G466" s="11" t="s">
        <v>1456</v>
      </c>
      <c r="H466" s="11" t="s">
        <v>1485</v>
      </c>
      <c r="I466" s="11" t="s">
        <v>165</v>
      </c>
    </row>
    <row r="467" spans="1:9" x14ac:dyDescent="0.15">
      <c r="A467" s="10">
        <v>466</v>
      </c>
      <c r="B467" s="11" t="s">
        <v>9</v>
      </c>
      <c r="C467" s="11" t="s">
        <v>170</v>
      </c>
      <c r="D467" s="11" t="s">
        <v>171</v>
      </c>
      <c r="E467" s="9" t="str">
        <f>+HYPERLINK("http://trademark.i-assist.jp/data/china/image_1904th/79250262.pdf", "79250262")</f>
        <v>79250262</v>
      </c>
      <c r="F467" s="11" t="s">
        <v>1486</v>
      </c>
      <c r="G467" s="11" t="s">
        <v>1487</v>
      </c>
      <c r="H467" s="11" t="s">
        <v>1488</v>
      </c>
      <c r="I467" s="11" t="s">
        <v>165</v>
      </c>
    </row>
    <row r="468" spans="1:9" x14ac:dyDescent="0.15">
      <c r="A468" s="10">
        <v>467</v>
      </c>
      <c r="B468" s="11" t="s">
        <v>9</v>
      </c>
      <c r="C468" s="11" t="s">
        <v>170</v>
      </c>
      <c r="D468" s="11" t="s">
        <v>171</v>
      </c>
      <c r="E468" s="9" t="str">
        <f>+HYPERLINK("http://trademark.i-assist.jp/data/china/image_1904th/79251214.pdf", "79251214")</f>
        <v>79251214</v>
      </c>
      <c r="F468" s="11" t="s">
        <v>1489</v>
      </c>
      <c r="G468" s="11" t="s">
        <v>1490</v>
      </c>
      <c r="H468" s="11" t="s">
        <v>1491</v>
      </c>
      <c r="I468" s="11" t="s">
        <v>165</v>
      </c>
    </row>
    <row r="469" spans="1:9" x14ac:dyDescent="0.15">
      <c r="A469" s="10">
        <v>468</v>
      </c>
      <c r="B469" s="11" t="s">
        <v>9</v>
      </c>
      <c r="C469" s="11" t="s">
        <v>170</v>
      </c>
      <c r="D469" s="11" t="s">
        <v>171</v>
      </c>
      <c r="E469" s="9" t="str">
        <f>+HYPERLINK("http://trademark.i-assist.jp/data/china/image_1904th/79253169.pdf", "79253169")</f>
        <v>79253169</v>
      </c>
      <c r="F469" s="11" t="s">
        <v>1492</v>
      </c>
      <c r="G469" s="11" t="s">
        <v>1456</v>
      </c>
      <c r="H469" s="11" t="s">
        <v>1493</v>
      </c>
      <c r="I469" s="11" t="s">
        <v>165</v>
      </c>
    </row>
    <row r="470" spans="1:9" x14ac:dyDescent="0.15">
      <c r="A470" s="10">
        <v>469</v>
      </c>
      <c r="B470" s="11" t="s">
        <v>9</v>
      </c>
      <c r="C470" s="11" t="s">
        <v>170</v>
      </c>
      <c r="D470" s="11" t="s">
        <v>171</v>
      </c>
      <c r="E470" s="9" t="str">
        <f>+HYPERLINK("http://trademark.i-assist.jp/data/china/image_1904th/79253756.pdf", "79253756")</f>
        <v>79253756</v>
      </c>
      <c r="F470" s="11" t="s">
        <v>1494</v>
      </c>
      <c r="G470" s="11" t="s">
        <v>1495</v>
      </c>
      <c r="H470" s="11" t="s">
        <v>1496</v>
      </c>
      <c r="I470" s="11" t="s">
        <v>165</v>
      </c>
    </row>
    <row r="471" spans="1:9" x14ac:dyDescent="0.15">
      <c r="A471" s="10">
        <v>470</v>
      </c>
      <c r="B471" s="11" t="s">
        <v>9</v>
      </c>
      <c r="C471" s="11" t="s">
        <v>170</v>
      </c>
      <c r="D471" s="11" t="s">
        <v>171</v>
      </c>
      <c r="E471" s="9" t="str">
        <f>+HYPERLINK("http://trademark.i-assist.jp/data/china/image_1904th/79254563.pdf", "79254563")</f>
        <v>79254563</v>
      </c>
      <c r="F471" s="11" t="s">
        <v>12</v>
      </c>
      <c r="G471" s="11" t="s">
        <v>1497</v>
      </c>
      <c r="H471" s="11" t="s">
        <v>1498</v>
      </c>
      <c r="I471" s="11" t="s">
        <v>165</v>
      </c>
    </row>
    <row r="472" spans="1:9" x14ac:dyDescent="0.15">
      <c r="A472" s="10">
        <v>471</v>
      </c>
      <c r="B472" s="11" t="s">
        <v>9</v>
      </c>
      <c r="C472" s="11" t="s">
        <v>170</v>
      </c>
      <c r="D472" s="11" t="s">
        <v>171</v>
      </c>
      <c r="E472" s="9" t="str">
        <f>+HYPERLINK("http://trademark.i-assist.jp/data/china/image_1904th/79255342.pdf", "79255342")</f>
        <v>79255342</v>
      </c>
      <c r="F472" s="11" t="s">
        <v>1499</v>
      </c>
      <c r="G472" s="11" t="s">
        <v>1500</v>
      </c>
      <c r="H472" s="11" t="s">
        <v>1501</v>
      </c>
      <c r="I472" s="11" t="s">
        <v>165</v>
      </c>
    </row>
    <row r="473" spans="1:9" x14ac:dyDescent="0.15">
      <c r="A473" s="10">
        <v>472</v>
      </c>
      <c r="B473" s="11" t="s">
        <v>9</v>
      </c>
      <c r="C473" s="11" t="s">
        <v>170</v>
      </c>
      <c r="D473" s="11" t="s">
        <v>171</v>
      </c>
      <c r="E473" s="9" t="str">
        <f>+HYPERLINK("http://trademark.i-assist.jp/data/china/image_1904th/79260474.pdf", "79260474")</f>
        <v>79260474</v>
      </c>
      <c r="F473" s="11" t="s">
        <v>1502</v>
      </c>
      <c r="G473" s="11" t="s">
        <v>1503</v>
      </c>
      <c r="H473" s="11" t="s">
        <v>1504</v>
      </c>
      <c r="I473" s="11" t="s">
        <v>165</v>
      </c>
    </row>
    <row r="474" spans="1:9" x14ac:dyDescent="0.15">
      <c r="A474" s="10">
        <v>473</v>
      </c>
      <c r="B474" s="11" t="s">
        <v>9</v>
      </c>
      <c r="C474" s="11" t="s">
        <v>170</v>
      </c>
      <c r="D474" s="11" t="s">
        <v>171</v>
      </c>
      <c r="E474" s="9" t="str">
        <f>+HYPERLINK("http://trademark.i-assist.jp/data/china/image_1904th/79260672.pdf", "79260672")</f>
        <v>79260672</v>
      </c>
      <c r="F474" s="11" t="s">
        <v>1505</v>
      </c>
      <c r="G474" s="11" t="s">
        <v>1506</v>
      </c>
      <c r="H474" s="11" t="s">
        <v>1507</v>
      </c>
      <c r="I474" s="11" t="s">
        <v>165</v>
      </c>
    </row>
    <row r="475" spans="1:9" x14ac:dyDescent="0.15">
      <c r="A475" s="10">
        <v>474</v>
      </c>
      <c r="B475" s="11" t="s">
        <v>9</v>
      </c>
      <c r="C475" s="11" t="s">
        <v>170</v>
      </c>
      <c r="D475" s="11" t="s">
        <v>171</v>
      </c>
      <c r="E475" s="9" t="str">
        <f>+HYPERLINK("http://trademark.i-assist.jp/data/china/image_1904th/79261671.pdf", "79261671")</f>
        <v>79261671</v>
      </c>
      <c r="F475" s="11" t="s">
        <v>1508</v>
      </c>
      <c r="G475" s="11" t="s">
        <v>1509</v>
      </c>
      <c r="H475" s="11" t="s">
        <v>1510</v>
      </c>
      <c r="I475" s="11" t="s">
        <v>165</v>
      </c>
    </row>
    <row r="476" spans="1:9" x14ac:dyDescent="0.15">
      <c r="A476" s="10">
        <v>475</v>
      </c>
      <c r="B476" s="11" t="s">
        <v>9</v>
      </c>
      <c r="C476" s="11" t="s">
        <v>170</v>
      </c>
      <c r="D476" s="11" t="s">
        <v>171</v>
      </c>
      <c r="E476" s="9" t="str">
        <f>+HYPERLINK("http://trademark.i-assist.jp/data/china/image_1904th/79261677.pdf", "79261677")</f>
        <v>79261677</v>
      </c>
      <c r="F476" s="11" t="s">
        <v>1511</v>
      </c>
      <c r="G476" s="11" t="s">
        <v>1512</v>
      </c>
      <c r="H476" s="11" t="s">
        <v>1513</v>
      </c>
      <c r="I476" s="11" t="s">
        <v>165</v>
      </c>
    </row>
    <row r="477" spans="1:9" x14ac:dyDescent="0.15">
      <c r="A477" s="10">
        <v>476</v>
      </c>
      <c r="B477" s="11" t="s">
        <v>9</v>
      </c>
      <c r="C477" s="11" t="s">
        <v>170</v>
      </c>
      <c r="D477" s="11" t="s">
        <v>171</v>
      </c>
      <c r="E477" s="9" t="str">
        <f>+HYPERLINK("http://trademark.i-assist.jp/data/china/image_1904th/79261745.pdf", "79261745")</f>
        <v>79261745</v>
      </c>
      <c r="F477" s="11" t="s">
        <v>1514</v>
      </c>
      <c r="G477" s="11" t="s">
        <v>1515</v>
      </c>
      <c r="H477" s="11" t="s">
        <v>1516</v>
      </c>
      <c r="I477" s="11" t="s">
        <v>165</v>
      </c>
    </row>
    <row r="478" spans="1:9" x14ac:dyDescent="0.15">
      <c r="A478" s="10">
        <v>477</v>
      </c>
      <c r="B478" s="11" t="s">
        <v>9</v>
      </c>
      <c r="C478" s="11" t="s">
        <v>170</v>
      </c>
      <c r="D478" s="11" t="s">
        <v>171</v>
      </c>
      <c r="E478" s="9" t="str">
        <f>+HYPERLINK("http://trademark.i-assist.jp/data/china/image_1904th/79263123A.pdf", "79263123A")</f>
        <v>79263123A</v>
      </c>
      <c r="F478" s="11" t="s">
        <v>1517</v>
      </c>
      <c r="G478" s="11" t="s">
        <v>1518</v>
      </c>
      <c r="H478" s="11" t="s">
        <v>1519</v>
      </c>
      <c r="I478" s="11" t="s">
        <v>165</v>
      </c>
    </row>
    <row r="479" spans="1:9" x14ac:dyDescent="0.15">
      <c r="A479" s="10">
        <v>478</v>
      </c>
      <c r="B479" s="11" t="s">
        <v>9</v>
      </c>
      <c r="C479" s="11" t="s">
        <v>170</v>
      </c>
      <c r="D479" s="11" t="s">
        <v>171</v>
      </c>
      <c r="E479" s="9" t="str">
        <f>+HYPERLINK("http://trademark.i-assist.jp/data/china/image_1904th/79263337.pdf", "79263337")</f>
        <v>79263337</v>
      </c>
      <c r="F479" s="11" t="s">
        <v>1520</v>
      </c>
      <c r="G479" s="11" t="s">
        <v>1521</v>
      </c>
      <c r="H479" s="11" t="s">
        <v>1522</v>
      </c>
      <c r="I479" s="11" t="s">
        <v>165</v>
      </c>
    </row>
    <row r="480" spans="1:9" x14ac:dyDescent="0.15">
      <c r="A480" s="10">
        <v>479</v>
      </c>
      <c r="B480" s="11" t="s">
        <v>9</v>
      </c>
      <c r="C480" s="11" t="s">
        <v>170</v>
      </c>
      <c r="D480" s="11" t="s">
        <v>171</v>
      </c>
      <c r="E480" s="9" t="str">
        <f>+HYPERLINK("http://trademark.i-assist.jp/data/china/image_1904th/79263393.pdf", "79263393")</f>
        <v>79263393</v>
      </c>
      <c r="F480" s="11" t="s">
        <v>1523</v>
      </c>
      <c r="G480" s="11" t="s">
        <v>1524</v>
      </c>
      <c r="H480" s="11" t="s">
        <v>1525</v>
      </c>
      <c r="I480" s="11" t="s">
        <v>165</v>
      </c>
    </row>
    <row r="481" spans="1:9" x14ac:dyDescent="0.15">
      <c r="A481" s="10">
        <v>480</v>
      </c>
      <c r="B481" s="11" t="s">
        <v>9</v>
      </c>
      <c r="C481" s="11" t="s">
        <v>170</v>
      </c>
      <c r="D481" s="11" t="s">
        <v>171</v>
      </c>
      <c r="E481" s="9" t="str">
        <f>+HYPERLINK("http://trademark.i-assist.jp/data/china/image_1904th/79263420.pdf", "79263420")</f>
        <v>79263420</v>
      </c>
      <c r="F481" s="11" t="s">
        <v>1526</v>
      </c>
      <c r="G481" s="11" t="s">
        <v>1527</v>
      </c>
      <c r="H481" s="11" t="s">
        <v>1528</v>
      </c>
      <c r="I481" s="11" t="s">
        <v>165</v>
      </c>
    </row>
    <row r="482" spans="1:9" x14ac:dyDescent="0.15">
      <c r="A482" s="10">
        <v>481</v>
      </c>
      <c r="B482" s="11" t="s">
        <v>9</v>
      </c>
      <c r="C482" s="11" t="s">
        <v>170</v>
      </c>
      <c r="D482" s="11" t="s">
        <v>171</v>
      </c>
      <c r="E482" s="9" t="str">
        <f>+HYPERLINK("http://trademark.i-assist.jp/data/china/image_1904th/79264116.pdf", "79264116")</f>
        <v>79264116</v>
      </c>
      <c r="F482" s="11" t="s">
        <v>1529</v>
      </c>
      <c r="G482" s="11" t="s">
        <v>1530</v>
      </c>
      <c r="H482" s="11" t="s">
        <v>1531</v>
      </c>
      <c r="I482" s="11" t="s">
        <v>165</v>
      </c>
    </row>
    <row r="483" spans="1:9" x14ac:dyDescent="0.15">
      <c r="A483" s="10">
        <v>482</v>
      </c>
      <c r="B483" s="11" t="s">
        <v>9</v>
      </c>
      <c r="C483" s="11" t="s">
        <v>170</v>
      </c>
      <c r="D483" s="11" t="s">
        <v>171</v>
      </c>
      <c r="E483" s="9" t="str">
        <f>+HYPERLINK("http://trademark.i-assist.jp/data/china/image_1904th/79265159.pdf", "79265159")</f>
        <v>79265159</v>
      </c>
      <c r="F483" s="11" t="s">
        <v>1532</v>
      </c>
      <c r="G483" s="11" t="s">
        <v>1533</v>
      </c>
      <c r="H483" s="11" t="s">
        <v>1534</v>
      </c>
      <c r="I483" s="11" t="s">
        <v>165</v>
      </c>
    </row>
    <row r="484" spans="1:9" x14ac:dyDescent="0.15">
      <c r="A484" s="10">
        <v>483</v>
      </c>
      <c r="B484" s="11" t="s">
        <v>9</v>
      </c>
      <c r="C484" s="11" t="s">
        <v>170</v>
      </c>
      <c r="D484" s="11" t="s">
        <v>171</v>
      </c>
      <c r="E484" s="9" t="str">
        <f>+HYPERLINK("http://trademark.i-assist.jp/data/china/image_1904th/79266025.pdf", "79266025")</f>
        <v>79266025</v>
      </c>
      <c r="F484" s="11" t="s">
        <v>1535</v>
      </c>
      <c r="G484" s="11" t="s">
        <v>1536</v>
      </c>
      <c r="H484" s="11" t="s">
        <v>1537</v>
      </c>
      <c r="I484" s="11" t="s">
        <v>165</v>
      </c>
    </row>
    <row r="485" spans="1:9" x14ac:dyDescent="0.15">
      <c r="A485" s="10">
        <v>484</v>
      </c>
      <c r="B485" s="11" t="s">
        <v>9</v>
      </c>
      <c r="C485" s="11" t="s">
        <v>170</v>
      </c>
      <c r="D485" s="11" t="s">
        <v>171</v>
      </c>
      <c r="E485" s="9" t="str">
        <f>+HYPERLINK("http://trademark.i-assist.jp/data/china/image_1904th/79267444.pdf", "79267444")</f>
        <v>79267444</v>
      </c>
      <c r="F485" s="11" t="s">
        <v>1538</v>
      </c>
      <c r="G485" s="11" t="s">
        <v>1539</v>
      </c>
      <c r="H485" s="11" t="s">
        <v>1540</v>
      </c>
      <c r="I485" s="11" t="s">
        <v>165</v>
      </c>
    </row>
    <row r="486" spans="1:9" x14ac:dyDescent="0.15">
      <c r="A486" s="10">
        <v>485</v>
      </c>
      <c r="B486" s="11" t="s">
        <v>9</v>
      </c>
      <c r="C486" s="11" t="s">
        <v>170</v>
      </c>
      <c r="D486" s="11" t="s">
        <v>171</v>
      </c>
      <c r="E486" s="9" t="str">
        <f>+HYPERLINK("http://trademark.i-assist.jp/data/china/image_1904th/79267543.pdf", "79267543")</f>
        <v>79267543</v>
      </c>
      <c r="F486" s="11" t="s">
        <v>1541</v>
      </c>
      <c r="G486" s="11" t="s">
        <v>1542</v>
      </c>
      <c r="H486" s="11" t="s">
        <v>1543</v>
      </c>
      <c r="I486" s="11" t="s">
        <v>165</v>
      </c>
    </row>
    <row r="487" spans="1:9" x14ac:dyDescent="0.15">
      <c r="A487" s="10">
        <v>486</v>
      </c>
      <c r="B487" s="11" t="s">
        <v>9</v>
      </c>
      <c r="C487" s="11" t="s">
        <v>170</v>
      </c>
      <c r="D487" s="11" t="s">
        <v>171</v>
      </c>
      <c r="E487" s="9" t="str">
        <f>+HYPERLINK("http://trademark.i-assist.jp/data/china/image_1904th/79268413.pdf", "79268413")</f>
        <v>79268413</v>
      </c>
      <c r="F487" s="11" t="s">
        <v>12</v>
      </c>
      <c r="G487" s="11" t="s">
        <v>1544</v>
      </c>
      <c r="H487" s="11" t="s">
        <v>1545</v>
      </c>
      <c r="I487" s="11" t="s">
        <v>165</v>
      </c>
    </row>
    <row r="488" spans="1:9" x14ac:dyDescent="0.15">
      <c r="A488" s="10">
        <v>487</v>
      </c>
      <c r="B488" s="11" t="s">
        <v>9</v>
      </c>
      <c r="C488" s="11" t="s">
        <v>170</v>
      </c>
      <c r="D488" s="11" t="s">
        <v>171</v>
      </c>
      <c r="E488" s="9" t="str">
        <f>+HYPERLINK("http://trademark.i-assist.jp/data/china/image_1904th/79269972.pdf", "79269972")</f>
        <v>79269972</v>
      </c>
      <c r="F488" s="11" t="s">
        <v>12</v>
      </c>
      <c r="G488" s="11" t="s">
        <v>1546</v>
      </c>
      <c r="H488" s="11" t="s">
        <v>1547</v>
      </c>
      <c r="I488" s="11" t="s">
        <v>165</v>
      </c>
    </row>
    <row r="489" spans="1:9" x14ac:dyDescent="0.15">
      <c r="A489" s="10">
        <v>488</v>
      </c>
      <c r="B489" s="11" t="s">
        <v>9</v>
      </c>
      <c r="C489" s="11" t="s">
        <v>170</v>
      </c>
      <c r="D489" s="11" t="s">
        <v>171</v>
      </c>
      <c r="E489" s="9" t="str">
        <f>+HYPERLINK("http://trademark.i-assist.jp/data/china/image_1904th/79271883.pdf", "79271883")</f>
        <v>79271883</v>
      </c>
      <c r="F489" s="11" t="s">
        <v>12</v>
      </c>
      <c r="G489" s="11" t="s">
        <v>1548</v>
      </c>
      <c r="H489" s="11" t="s">
        <v>1549</v>
      </c>
      <c r="I489" s="11" t="s">
        <v>166</v>
      </c>
    </row>
    <row r="490" spans="1:9" x14ac:dyDescent="0.15">
      <c r="A490" s="10">
        <v>489</v>
      </c>
      <c r="B490" s="11" t="s">
        <v>9</v>
      </c>
      <c r="C490" s="11" t="s">
        <v>170</v>
      </c>
      <c r="D490" s="11" t="s">
        <v>171</v>
      </c>
      <c r="E490" s="9" t="str">
        <f>+HYPERLINK("http://trademark.i-assist.jp/data/china/image_1904th/79273944.pdf", "79273944")</f>
        <v>79273944</v>
      </c>
      <c r="F490" s="11" t="s">
        <v>1550</v>
      </c>
      <c r="G490" s="11" t="s">
        <v>1551</v>
      </c>
      <c r="H490" s="11" t="s">
        <v>1552</v>
      </c>
      <c r="I490" s="11" t="s">
        <v>166</v>
      </c>
    </row>
    <row r="491" spans="1:9" x14ac:dyDescent="0.15">
      <c r="A491" s="10">
        <v>490</v>
      </c>
      <c r="B491" s="11" t="s">
        <v>9</v>
      </c>
      <c r="C491" s="11" t="s">
        <v>170</v>
      </c>
      <c r="D491" s="11" t="s">
        <v>171</v>
      </c>
      <c r="E491" s="9" t="str">
        <f>+HYPERLINK("http://trademark.i-assist.jp/data/china/image_1904th/79275863.pdf", "79275863")</f>
        <v>79275863</v>
      </c>
      <c r="F491" s="11" t="s">
        <v>1553</v>
      </c>
      <c r="G491" s="11" t="s">
        <v>1554</v>
      </c>
      <c r="H491" s="11" t="s">
        <v>1555</v>
      </c>
      <c r="I491" s="11" t="s">
        <v>166</v>
      </c>
    </row>
    <row r="492" spans="1:9" x14ac:dyDescent="0.15">
      <c r="A492" s="10">
        <v>491</v>
      </c>
      <c r="B492" s="11" t="s">
        <v>9</v>
      </c>
      <c r="C492" s="11" t="s">
        <v>170</v>
      </c>
      <c r="D492" s="11" t="s">
        <v>171</v>
      </c>
      <c r="E492" s="9" t="str">
        <f>+HYPERLINK("http://trademark.i-assist.jp/data/china/image_1904th/79278200.pdf", "79278200")</f>
        <v>79278200</v>
      </c>
      <c r="F492" s="11" t="s">
        <v>1556</v>
      </c>
      <c r="G492" s="11" t="s">
        <v>1557</v>
      </c>
      <c r="H492" s="11" t="s">
        <v>1558</v>
      </c>
      <c r="I492" s="11" t="s">
        <v>166</v>
      </c>
    </row>
    <row r="493" spans="1:9" x14ac:dyDescent="0.15">
      <c r="A493" s="10">
        <v>492</v>
      </c>
      <c r="B493" s="11" t="s">
        <v>9</v>
      </c>
      <c r="C493" s="11" t="s">
        <v>170</v>
      </c>
      <c r="D493" s="11" t="s">
        <v>171</v>
      </c>
      <c r="E493" s="9" t="str">
        <f>+HYPERLINK("http://trademark.i-assist.jp/data/china/image_1904th/79280004.pdf", "79280004")</f>
        <v>79280004</v>
      </c>
      <c r="F493" s="11" t="s">
        <v>1559</v>
      </c>
      <c r="G493" s="11" t="s">
        <v>1560</v>
      </c>
      <c r="H493" s="11" t="s">
        <v>1561</v>
      </c>
      <c r="I493" s="11" t="s">
        <v>166</v>
      </c>
    </row>
    <row r="494" spans="1:9" x14ac:dyDescent="0.15">
      <c r="A494" s="10">
        <v>493</v>
      </c>
      <c r="B494" s="11" t="s">
        <v>9</v>
      </c>
      <c r="C494" s="11" t="s">
        <v>170</v>
      </c>
      <c r="D494" s="11" t="s">
        <v>171</v>
      </c>
      <c r="E494" s="9" t="str">
        <f>+HYPERLINK("http://trademark.i-assist.jp/data/china/image_1904th/79281483.pdf", "79281483")</f>
        <v>79281483</v>
      </c>
      <c r="F494" s="11" t="s">
        <v>1562</v>
      </c>
      <c r="G494" s="11" t="s">
        <v>1563</v>
      </c>
      <c r="H494" s="11" t="s">
        <v>1564</v>
      </c>
      <c r="I494" s="11" t="s">
        <v>166</v>
      </c>
    </row>
    <row r="495" spans="1:9" x14ac:dyDescent="0.15">
      <c r="A495" s="10">
        <v>494</v>
      </c>
      <c r="B495" s="11" t="s">
        <v>9</v>
      </c>
      <c r="C495" s="11" t="s">
        <v>170</v>
      </c>
      <c r="D495" s="11" t="s">
        <v>171</v>
      </c>
      <c r="E495" s="9" t="str">
        <f>+HYPERLINK("http://trademark.i-assist.jp/data/china/image_1904th/79281897.pdf", "79281897")</f>
        <v>79281897</v>
      </c>
      <c r="F495" s="11" t="s">
        <v>12</v>
      </c>
      <c r="G495" s="11" t="s">
        <v>1565</v>
      </c>
      <c r="H495" s="11" t="s">
        <v>1566</v>
      </c>
      <c r="I495" s="11" t="s">
        <v>166</v>
      </c>
    </row>
    <row r="496" spans="1:9" x14ac:dyDescent="0.15">
      <c r="A496" s="10">
        <v>495</v>
      </c>
      <c r="B496" s="11" t="s">
        <v>9</v>
      </c>
      <c r="C496" s="11" t="s">
        <v>170</v>
      </c>
      <c r="D496" s="11" t="s">
        <v>171</v>
      </c>
      <c r="E496" s="9" t="str">
        <f>+HYPERLINK("http://trademark.i-assist.jp/data/china/image_1904th/79282703.pdf", "79282703")</f>
        <v>79282703</v>
      </c>
      <c r="F496" s="11" t="s">
        <v>1567</v>
      </c>
      <c r="G496" s="11" t="s">
        <v>1568</v>
      </c>
      <c r="H496" s="11" t="s">
        <v>1569</v>
      </c>
      <c r="I496" s="11" t="s">
        <v>166</v>
      </c>
    </row>
    <row r="497" spans="1:9" x14ac:dyDescent="0.15">
      <c r="A497" s="10">
        <v>496</v>
      </c>
      <c r="B497" s="11" t="s">
        <v>9</v>
      </c>
      <c r="C497" s="11" t="s">
        <v>170</v>
      </c>
      <c r="D497" s="11" t="s">
        <v>171</v>
      </c>
      <c r="E497" s="9" t="str">
        <f>+HYPERLINK("http://trademark.i-assist.jp/data/china/image_1904th/79283022.pdf", "79283022")</f>
        <v>79283022</v>
      </c>
      <c r="F497" s="11" t="s">
        <v>1570</v>
      </c>
      <c r="G497" s="11" t="s">
        <v>1571</v>
      </c>
      <c r="H497" s="11" t="s">
        <v>1572</v>
      </c>
      <c r="I497" s="11" t="s">
        <v>166</v>
      </c>
    </row>
    <row r="498" spans="1:9" x14ac:dyDescent="0.15">
      <c r="A498" s="10">
        <v>497</v>
      </c>
      <c r="B498" s="11" t="s">
        <v>9</v>
      </c>
      <c r="C498" s="11" t="s">
        <v>170</v>
      </c>
      <c r="D498" s="11" t="s">
        <v>171</v>
      </c>
      <c r="E498" s="9" t="str">
        <f>+HYPERLINK("http://trademark.i-assist.jp/data/china/image_1904th/79283333.pdf", "79283333")</f>
        <v>79283333</v>
      </c>
      <c r="F498" s="11" t="s">
        <v>1573</v>
      </c>
      <c r="G498" s="11" t="s">
        <v>1574</v>
      </c>
      <c r="H498" s="11" t="s">
        <v>1575</v>
      </c>
      <c r="I498" s="11" t="s">
        <v>166</v>
      </c>
    </row>
    <row r="499" spans="1:9" x14ac:dyDescent="0.15">
      <c r="A499" s="10">
        <v>498</v>
      </c>
      <c r="B499" s="11" t="s">
        <v>9</v>
      </c>
      <c r="C499" s="11" t="s">
        <v>170</v>
      </c>
      <c r="D499" s="11" t="s">
        <v>171</v>
      </c>
      <c r="E499" s="9" t="str">
        <f>+HYPERLINK("http://trademark.i-assist.jp/data/china/image_1904th/79284756.pdf", "79284756")</f>
        <v>79284756</v>
      </c>
      <c r="F499" s="11" t="s">
        <v>1576</v>
      </c>
      <c r="G499" s="11" t="s">
        <v>1577</v>
      </c>
      <c r="H499" s="11" t="s">
        <v>1578</v>
      </c>
      <c r="I499" s="11" t="s">
        <v>166</v>
      </c>
    </row>
    <row r="500" spans="1:9" x14ac:dyDescent="0.15">
      <c r="A500" s="10">
        <v>499</v>
      </c>
      <c r="B500" s="11" t="s">
        <v>9</v>
      </c>
      <c r="C500" s="11" t="s">
        <v>170</v>
      </c>
      <c r="D500" s="11" t="s">
        <v>171</v>
      </c>
      <c r="E500" s="9" t="str">
        <f>+HYPERLINK("http://trademark.i-assist.jp/data/china/image_1904th/79284941.pdf", "79284941")</f>
        <v>79284941</v>
      </c>
      <c r="F500" s="11" t="s">
        <v>1579</v>
      </c>
      <c r="G500" s="11" t="s">
        <v>1580</v>
      </c>
      <c r="H500" s="11" t="s">
        <v>1581</v>
      </c>
      <c r="I500" s="11" t="s">
        <v>166</v>
      </c>
    </row>
    <row r="501" spans="1:9" x14ac:dyDescent="0.15">
      <c r="A501" s="10">
        <v>500</v>
      </c>
      <c r="B501" s="11" t="s">
        <v>9</v>
      </c>
      <c r="C501" s="11" t="s">
        <v>170</v>
      </c>
      <c r="D501" s="11" t="s">
        <v>171</v>
      </c>
      <c r="E501" s="9" t="str">
        <f>+HYPERLINK("http://trademark.i-assist.jp/data/china/image_1904th/79287387.pdf", "79287387")</f>
        <v>79287387</v>
      </c>
      <c r="F501" s="11" t="s">
        <v>1582</v>
      </c>
      <c r="G501" s="11" t="s">
        <v>1583</v>
      </c>
      <c r="H501" s="11" t="s">
        <v>1584</v>
      </c>
      <c r="I501" s="11" t="s">
        <v>166</v>
      </c>
    </row>
    <row r="502" spans="1:9" x14ac:dyDescent="0.15">
      <c r="A502" s="10">
        <v>501</v>
      </c>
      <c r="B502" s="11" t="s">
        <v>9</v>
      </c>
      <c r="C502" s="11" t="s">
        <v>170</v>
      </c>
      <c r="D502" s="11" t="s">
        <v>171</v>
      </c>
      <c r="E502" s="9" t="str">
        <f>+HYPERLINK("http://trademark.i-assist.jp/data/china/image_1904th/79289603.pdf", "79289603")</f>
        <v>79289603</v>
      </c>
      <c r="F502" s="11" t="s">
        <v>12</v>
      </c>
      <c r="G502" s="11" t="s">
        <v>1585</v>
      </c>
      <c r="H502" s="11" t="s">
        <v>1586</v>
      </c>
      <c r="I502" s="11" t="s">
        <v>166</v>
      </c>
    </row>
    <row r="503" spans="1:9" x14ac:dyDescent="0.15">
      <c r="A503" s="10">
        <v>502</v>
      </c>
      <c r="B503" s="11" t="s">
        <v>9</v>
      </c>
      <c r="C503" s="11" t="s">
        <v>170</v>
      </c>
      <c r="D503" s="11" t="s">
        <v>171</v>
      </c>
      <c r="E503" s="9" t="str">
        <f>+HYPERLINK("http://trademark.i-assist.jp/data/china/image_1904th/79290472.pdf", "79290472")</f>
        <v>79290472</v>
      </c>
      <c r="F503" s="11" t="s">
        <v>1587</v>
      </c>
      <c r="G503" s="11" t="s">
        <v>169</v>
      </c>
      <c r="H503" s="11" t="s">
        <v>1588</v>
      </c>
      <c r="I503" s="11" t="s">
        <v>166</v>
      </c>
    </row>
    <row r="504" spans="1:9" x14ac:dyDescent="0.15">
      <c r="A504" s="10">
        <v>503</v>
      </c>
      <c r="B504" s="11" t="s">
        <v>9</v>
      </c>
      <c r="C504" s="11" t="s">
        <v>170</v>
      </c>
      <c r="D504" s="11" t="s">
        <v>171</v>
      </c>
      <c r="E504" s="9" t="str">
        <f>+HYPERLINK("http://trademark.i-assist.jp/data/china/image_1904th/79293643.pdf", "79293643")</f>
        <v>79293643</v>
      </c>
      <c r="F504" s="11" t="s">
        <v>1589</v>
      </c>
      <c r="G504" s="11" t="s">
        <v>1590</v>
      </c>
      <c r="H504" s="11" t="s">
        <v>1591</v>
      </c>
      <c r="I504" s="11" t="s">
        <v>166</v>
      </c>
    </row>
    <row r="505" spans="1:9" x14ac:dyDescent="0.15">
      <c r="A505" s="10">
        <v>504</v>
      </c>
      <c r="B505" s="11" t="s">
        <v>9</v>
      </c>
      <c r="C505" s="11" t="s">
        <v>170</v>
      </c>
      <c r="D505" s="11" t="s">
        <v>171</v>
      </c>
      <c r="E505" s="9" t="str">
        <f>+HYPERLINK("http://trademark.i-assist.jp/data/china/image_1904th/79294560.pdf", "79294560")</f>
        <v>79294560</v>
      </c>
      <c r="F505" s="11" t="s">
        <v>1592</v>
      </c>
      <c r="G505" s="11" t="s">
        <v>1593</v>
      </c>
      <c r="H505" s="11" t="s">
        <v>1594</v>
      </c>
      <c r="I505" s="11" t="s">
        <v>166</v>
      </c>
    </row>
    <row r="506" spans="1:9" x14ac:dyDescent="0.15">
      <c r="A506" s="10">
        <v>505</v>
      </c>
      <c r="B506" s="11" t="s">
        <v>9</v>
      </c>
      <c r="C506" s="11" t="s">
        <v>170</v>
      </c>
      <c r="D506" s="11" t="s">
        <v>171</v>
      </c>
      <c r="E506" s="9" t="str">
        <f>+HYPERLINK("http://trademark.i-assist.jp/data/china/image_1904th/79295438.pdf", "79295438")</f>
        <v>79295438</v>
      </c>
      <c r="F506" s="11" t="s">
        <v>1595</v>
      </c>
      <c r="G506" s="11" t="s">
        <v>1596</v>
      </c>
      <c r="H506" s="11" t="s">
        <v>18</v>
      </c>
      <c r="I506" s="11" t="s">
        <v>166</v>
      </c>
    </row>
    <row r="507" spans="1:9" x14ac:dyDescent="0.15">
      <c r="A507" s="10">
        <v>506</v>
      </c>
      <c r="B507" s="11" t="s">
        <v>9</v>
      </c>
      <c r="C507" s="11" t="s">
        <v>170</v>
      </c>
      <c r="D507" s="11" t="s">
        <v>171</v>
      </c>
      <c r="E507" s="9" t="str">
        <f>+HYPERLINK("http://trademark.i-assist.jp/data/china/image_1904th/79296149.pdf", "79296149")</f>
        <v>79296149</v>
      </c>
      <c r="F507" s="11" t="s">
        <v>1597</v>
      </c>
      <c r="G507" s="11" t="s">
        <v>1598</v>
      </c>
      <c r="H507" s="11" t="s">
        <v>1599</v>
      </c>
      <c r="I507" s="11" t="s">
        <v>166</v>
      </c>
    </row>
    <row r="508" spans="1:9" x14ac:dyDescent="0.15">
      <c r="A508" s="10">
        <v>507</v>
      </c>
      <c r="B508" s="11" t="s">
        <v>9</v>
      </c>
      <c r="C508" s="11" t="s">
        <v>170</v>
      </c>
      <c r="D508" s="11" t="s">
        <v>171</v>
      </c>
      <c r="E508" s="9" t="str">
        <f>+HYPERLINK("http://trademark.i-assist.jp/data/china/image_1904th/79296465.pdf", "79296465")</f>
        <v>79296465</v>
      </c>
      <c r="F508" s="11" t="s">
        <v>1600</v>
      </c>
      <c r="G508" s="11" t="s">
        <v>1601</v>
      </c>
      <c r="H508" s="11" t="s">
        <v>1602</v>
      </c>
      <c r="I508" s="11" t="s">
        <v>166</v>
      </c>
    </row>
    <row r="509" spans="1:9" x14ac:dyDescent="0.15">
      <c r="A509" s="10">
        <v>508</v>
      </c>
      <c r="B509" s="11" t="s">
        <v>9</v>
      </c>
      <c r="C509" s="11" t="s">
        <v>170</v>
      </c>
      <c r="D509" s="11" t="s">
        <v>171</v>
      </c>
      <c r="E509" s="9" t="str">
        <f>+HYPERLINK("http://trademark.i-assist.jp/data/china/image_1904th/79296916.pdf", "79296916")</f>
        <v>79296916</v>
      </c>
      <c r="F509" s="11" t="s">
        <v>1603</v>
      </c>
      <c r="G509" s="11" t="s">
        <v>1604</v>
      </c>
      <c r="H509" s="11" t="s">
        <v>1605</v>
      </c>
      <c r="I509" s="11" t="s">
        <v>166</v>
      </c>
    </row>
    <row r="510" spans="1:9" x14ac:dyDescent="0.15">
      <c r="A510" s="10">
        <v>509</v>
      </c>
      <c r="B510" s="11" t="s">
        <v>9</v>
      </c>
      <c r="C510" s="11" t="s">
        <v>170</v>
      </c>
      <c r="D510" s="11" t="s">
        <v>171</v>
      </c>
      <c r="E510" s="9" t="str">
        <f>+HYPERLINK("http://trademark.i-assist.jp/data/china/image_1904th/79297777.pdf", "79297777")</f>
        <v>79297777</v>
      </c>
      <c r="F510" s="11" t="s">
        <v>1606</v>
      </c>
      <c r="G510" s="11" t="s">
        <v>103</v>
      </c>
      <c r="H510" s="11" t="s">
        <v>1607</v>
      </c>
      <c r="I510" s="11" t="s">
        <v>167</v>
      </c>
    </row>
    <row r="511" spans="1:9" x14ac:dyDescent="0.15">
      <c r="A511" s="10">
        <v>510</v>
      </c>
      <c r="B511" s="11" t="s">
        <v>9</v>
      </c>
      <c r="C511" s="11" t="s">
        <v>170</v>
      </c>
      <c r="D511" s="11" t="s">
        <v>171</v>
      </c>
      <c r="E511" s="9" t="str">
        <f>+HYPERLINK("http://trademark.i-assist.jp/data/china/image_1904th/79297780.pdf", "79297780")</f>
        <v>79297780</v>
      </c>
      <c r="F511" s="11" t="s">
        <v>1608</v>
      </c>
      <c r="G511" s="11" t="s">
        <v>1609</v>
      </c>
      <c r="H511" s="11" t="s">
        <v>1610</v>
      </c>
      <c r="I511" s="11" t="s">
        <v>167</v>
      </c>
    </row>
    <row r="512" spans="1:9" x14ac:dyDescent="0.15">
      <c r="A512" s="10">
        <v>511</v>
      </c>
      <c r="B512" s="11" t="s">
        <v>9</v>
      </c>
      <c r="C512" s="11" t="s">
        <v>170</v>
      </c>
      <c r="D512" s="11" t="s">
        <v>171</v>
      </c>
      <c r="E512" s="9" t="str">
        <f>+HYPERLINK("http://trademark.i-assist.jp/data/china/image_1904th/79298531.pdf", "79298531")</f>
        <v>79298531</v>
      </c>
      <c r="F512" s="11" t="s">
        <v>1611</v>
      </c>
      <c r="G512" s="11" t="s">
        <v>1612</v>
      </c>
      <c r="H512" s="11" t="s">
        <v>1613</v>
      </c>
      <c r="I512" s="11" t="s">
        <v>167</v>
      </c>
    </row>
    <row r="513" spans="1:9" x14ac:dyDescent="0.15">
      <c r="A513" s="10">
        <v>512</v>
      </c>
      <c r="B513" s="11" t="s">
        <v>9</v>
      </c>
      <c r="C513" s="11" t="s">
        <v>170</v>
      </c>
      <c r="D513" s="11" t="s">
        <v>171</v>
      </c>
      <c r="E513" s="9" t="str">
        <f>+HYPERLINK("http://trademark.i-assist.jp/data/china/image_1904th/79299502.pdf", "79299502")</f>
        <v>79299502</v>
      </c>
      <c r="F513" s="11" t="s">
        <v>12</v>
      </c>
      <c r="G513" s="11" t="s">
        <v>1614</v>
      </c>
      <c r="H513" s="11" t="s">
        <v>1615</v>
      </c>
      <c r="I513" s="11" t="s">
        <v>167</v>
      </c>
    </row>
    <row r="514" spans="1:9" x14ac:dyDescent="0.15">
      <c r="A514" s="10">
        <v>513</v>
      </c>
      <c r="B514" s="11" t="s">
        <v>9</v>
      </c>
      <c r="C514" s="11" t="s">
        <v>170</v>
      </c>
      <c r="D514" s="11" t="s">
        <v>171</v>
      </c>
      <c r="E514" s="9" t="str">
        <f>+HYPERLINK("http://trademark.i-assist.jp/data/china/image_1904th/79300280.pdf", "79300280")</f>
        <v>79300280</v>
      </c>
      <c r="F514" s="11" t="s">
        <v>1616</v>
      </c>
      <c r="G514" s="11" t="s">
        <v>1617</v>
      </c>
      <c r="H514" s="11" t="s">
        <v>1618</v>
      </c>
      <c r="I514" s="11" t="s">
        <v>167</v>
      </c>
    </row>
    <row r="515" spans="1:9" x14ac:dyDescent="0.15">
      <c r="A515" s="10">
        <v>514</v>
      </c>
      <c r="B515" s="11" t="s">
        <v>9</v>
      </c>
      <c r="C515" s="11" t="s">
        <v>170</v>
      </c>
      <c r="D515" s="11" t="s">
        <v>171</v>
      </c>
      <c r="E515" s="9" t="str">
        <f>+HYPERLINK("http://trademark.i-assist.jp/data/china/image_1904th/79300400.pdf", "79300400")</f>
        <v>79300400</v>
      </c>
      <c r="F515" s="11" t="s">
        <v>1619</v>
      </c>
      <c r="G515" s="11" t="s">
        <v>1620</v>
      </c>
      <c r="H515" s="11" t="s">
        <v>1621</v>
      </c>
      <c r="I515" s="11" t="s">
        <v>167</v>
      </c>
    </row>
    <row r="516" spans="1:9" x14ac:dyDescent="0.15">
      <c r="A516" s="10">
        <v>515</v>
      </c>
      <c r="B516" s="11" t="s">
        <v>9</v>
      </c>
      <c r="C516" s="11" t="s">
        <v>170</v>
      </c>
      <c r="D516" s="11" t="s">
        <v>171</v>
      </c>
      <c r="E516" s="9" t="str">
        <f>+HYPERLINK("http://trademark.i-assist.jp/data/china/image_1904th/79300634.pdf", "79300634")</f>
        <v>79300634</v>
      </c>
      <c r="F516" s="11" t="s">
        <v>1622</v>
      </c>
      <c r="G516" s="11" t="s">
        <v>52</v>
      </c>
      <c r="H516" s="11" t="s">
        <v>1623</v>
      </c>
      <c r="I516" s="11" t="s">
        <v>167</v>
      </c>
    </row>
    <row r="517" spans="1:9" x14ac:dyDescent="0.15">
      <c r="A517" s="10">
        <v>516</v>
      </c>
      <c r="B517" s="11" t="s">
        <v>9</v>
      </c>
      <c r="C517" s="11" t="s">
        <v>170</v>
      </c>
      <c r="D517" s="11" t="s">
        <v>171</v>
      </c>
      <c r="E517" s="9" t="str">
        <f>+HYPERLINK("http://trademark.i-assist.jp/data/china/image_1904th/79301725.pdf", "79301725")</f>
        <v>79301725</v>
      </c>
      <c r="F517" s="11" t="s">
        <v>1624</v>
      </c>
      <c r="G517" s="11" t="s">
        <v>1625</v>
      </c>
      <c r="H517" s="11" t="s">
        <v>1626</v>
      </c>
      <c r="I517" s="11" t="s">
        <v>167</v>
      </c>
    </row>
    <row r="518" spans="1:9" x14ac:dyDescent="0.15">
      <c r="A518" s="10">
        <v>517</v>
      </c>
      <c r="B518" s="11" t="s">
        <v>9</v>
      </c>
      <c r="C518" s="11" t="s">
        <v>170</v>
      </c>
      <c r="D518" s="11" t="s">
        <v>171</v>
      </c>
      <c r="E518" s="9" t="str">
        <f>+HYPERLINK("http://trademark.i-assist.jp/data/china/image_1904th/79302666.pdf", "79302666")</f>
        <v>79302666</v>
      </c>
      <c r="F518" s="11" t="s">
        <v>1627</v>
      </c>
      <c r="G518" s="11" t="s">
        <v>1628</v>
      </c>
      <c r="H518" s="11" t="s">
        <v>1629</v>
      </c>
      <c r="I518" s="11" t="s">
        <v>167</v>
      </c>
    </row>
    <row r="519" spans="1:9" x14ac:dyDescent="0.15">
      <c r="A519" s="10">
        <v>518</v>
      </c>
      <c r="B519" s="11" t="s">
        <v>9</v>
      </c>
      <c r="C519" s="11" t="s">
        <v>170</v>
      </c>
      <c r="D519" s="11" t="s">
        <v>171</v>
      </c>
      <c r="E519" s="9" t="str">
        <f>+HYPERLINK("http://trademark.i-assist.jp/data/china/image_1904th/79303850.pdf", "79303850")</f>
        <v>79303850</v>
      </c>
      <c r="F519" s="11" t="s">
        <v>12</v>
      </c>
      <c r="G519" s="11" t="s">
        <v>1630</v>
      </c>
      <c r="H519" s="11" t="s">
        <v>1631</v>
      </c>
      <c r="I519" s="11" t="s">
        <v>167</v>
      </c>
    </row>
    <row r="520" spans="1:9" x14ac:dyDescent="0.15">
      <c r="A520" s="10">
        <v>519</v>
      </c>
      <c r="B520" s="11" t="s">
        <v>9</v>
      </c>
      <c r="C520" s="11" t="s">
        <v>170</v>
      </c>
      <c r="D520" s="11" t="s">
        <v>171</v>
      </c>
      <c r="E520" s="9" t="str">
        <f>+HYPERLINK("http://trademark.i-assist.jp/data/china/image_1904th/79304392.pdf", "79304392")</f>
        <v>79304392</v>
      </c>
      <c r="F520" s="11" t="s">
        <v>1632</v>
      </c>
      <c r="G520" s="11" t="s">
        <v>1633</v>
      </c>
      <c r="H520" s="11" t="s">
        <v>1634</v>
      </c>
      <c r="I520" s="11" t="s">
        <v>167</v>
      </c>
    </row>
    <row r="521" spans="1:9" x14ac:dyDescent="0.15">
      <c r="A521" s="10">
        <v>520</v>
      </c>
      <c r="B521" s="11" t="s">
        <v>9</v>
      </c>
      <c r="C521" s="11" t="s">
        <v>170</v>
      </c>
      <c r="D521" s="11" t="s">
        <v>171</v>
      </c>
      <c r="E521" s="9" t="str">
        <f>+HYPERLINK("http://trademark.i-assist.jp/data/china/image_1904th/79306769.pdf", "79306769")</f>
        <v>79306769</v>
      </c>
      <c r="F521" s="11" t="s">
        <v>1635</v>
      </c>
      <c r="G521" s="11" t="s">
        <v>1636</v>
      </c>
      <c r="H521" s="11" t="s">
        <v>1637</v>
      </c>
      <c r="I521" s="11" t="s">
        <v>167</v>
      </c>
    </row>
    <row r="522" spans="1:9" x14ac:dyDescent="0.15">
      <c r="A522" s="10">
        <v>521</v>
      </c>
      <c r="B522" s="11" t="s">
        <v>9</v>
      </c>
      <c r="C522" s="11" t="s">
        <v>170</v>
      </c>
      <c r="D522" s="11" t="s">
        <v>171</v>
      </c>
      <c r="E522" s="9" t="str">
        <f>+HYPERLINK("http://trademark.i-assist.jp/data/china/image_1904th/79307104.pdf", "79307104")</f>
        <v>79307104</v>
      </c>
      <c r="F522" s="11" t="s">
        <v>1638</v>
      </c>
      <c r="G522" s="11" t="s">
        <v>1620</v>
      </c>
      <c r="H522" s="11" t="s">
        <v>1639</v>
      </c>
      <c r="I522" s="11" t="s">
        <v>167</v>
      </c>
    </row>
    <row r="523" spans="1:9" x14ac:dyDescent="0.15">
      <c r="A523" s="10">
        <v>522</v>
      </c>
      <c r="B523" s="11" t="s">
        <v>9</v>
      </c>
      <c r="C523" s="11" t="s">
        <v>170</v>
      </c>
      <c r="D523" s="11" t="s">
        <v>171</v>
      </c>
      <c r="E523" s="9" t="str">
        <f>+HYPERLINK("http://trademark.i-assist.jp/data/china/image_1904th/79307317.pdf", "79307317")</f>
        <v>79307317</v>
      </c>
      <c r="F523" s="11" t="s">
        <v>1640</v>
      </c>
      <c r="G523" s="11" t="s">
        <v>1641</v>
      </c>
      <c r="H523" s="11" t="s">
        <v>13</v>
      </c>
      <c r="I523" s="11" t="s">
        <v>167</v>
      </c>
    </row>
    <row r="524" spans="1:9" x14ac:dyDescent="0.15">
      <c r="A524" s="10">
        <v>523</v>
      </c>
      <c r="B524" s="11" t="s">
        <v>9</v>
      </c>
      <c r="C524" s="11" t="s">
        <v>170</v>
      </c>
      <c r="D524" s="11" t="s">
        <v>171</v>
      </c>
      <c r="E524" s="9" t="str">
        <f>+HYPERLINK("http://trademark.i-assist.jp/data/china/image_1904th/79307643.pdf", "79307643")</f>
        <v>79307643</v>
      </c>
      <c r="F524" s="11" t="s">
        <v>1642</v>
      </c>
      <c r="G524" s="11" t="s">
        <v>1643</v>
      </c>
      <c r="H524" s="11" t="s">
        <v>1644</v>
      </c>
      <c r="I524" s="11" t="s">
        <v>167</v>
      </c>
    </row>
    <row r="525" spans="1:9" x14ac:dyDescent="0.15">
      <c r="A525" s="10">
        <v>524</v>
      </c>
      <c r="B525" s="11" t="s">
        <v>9</v>
      </c>
      <c r="C525" s="11" t="s">
        <v>170</v>
      </c>
      <c r="D525" s="11" t="s">
        <v>171</v>
      </c>
      <c r="E525" s="9" t="str">
        <f>+HYPERLINK("http://trademark.i-assist.jp/data/china/image_1904th/79308002.pdf", "79308002")</f>
        <v>79308002</v>
      </c>
      <c r="F525" s="11" t="s">
        <v>1645</v>
      </c>
      <c r="G525" s="11" t="s">
        <v>1646</v>
      </c>
      <c r="H525" s="11" t="s">
        <v>1647</v>
      </c>
      <c r="I525" s="11" t="s">
        <v>167</v>
      </c>
    </row>
    <row r="526" spans="1:9" x14ac:dyDescent="0.15">
      <c r="A526" s="10">
        <v>525</v>
      </c>
      <c r="B526" s="11" t="s">
        <v>9</v>
      </c>
      <c r="C526" s="11" t="s">
        <v>170</v>
      </c>
      <c r="D526" s="11" t="s">
        <v>171</v>
      </c>
      <c r="E526" s="9" t="str">
        <f>+HYPERLINK("http://trademark.i-assist.jp/data/china/image_1904th/79308207.pdf", "79308207")</f>
        <v>79308207</v>
      </c>
      <c r="F526" s="11" t="s">
        <v>1648</v>
      </c>
      <c r="G526" s="11" t="s">
        <v>1649</v>
      </c>
      <c r="H526" s="11" t="s">
        <v>1650</v>
      </c>
      <c r="I526" s="11" t="s">
        <v>167</v>
      </c>
    </row>
    <row r="527" spans="1:9" x14ac:dyDescent="0.15">
      <c r="A527" s="10">
        <v>526</v>
      </c>
      <c r="B527" s="11" t="s">
        <v>9</v>
      </c>
      <c r="C527" s="11" t="s">
        <v>170</v>
      </c>
      <c r="D527" s="11" t="s">
        <v>171</v>
      </c>
      <c r="E527" s="9" t="str">
        <f>+HYPERLINK("http://trademark.i-assist.jp/data/china/image_1904th/79309220.pdf", "79309220")</f>
        <v>79309220</v>
      </c>
      <c r="F527" s="11" t="s">
        <v>1651</v>
      </c>
      <c r="G527" s="11" t="s">
        <v>1652</v>
      </c>
      <c r="H527" s="11" t="s">
        <v>1653</v>
      </c>
      <c r="I527" s="11" t="s">
        <v>167</v>
      </c>
    </row>
    <row r="528" spans="1:9" x14ac:dyDescent="0.15">
      <c r="A528" s="10">
        <v>527</v>
      </c>
      <c r="B528" s="11" t="s">
        <v>9</v>
      </c>
      <c r="C528" s="11" t="s">
        <v>170</v>
      </c>
      <c r="D528" s="11" t="s">
        <v>171</v>
      </c>
      <c r="E528" s="9" t="str">
        <f>+HYPERLINK("http://trademark.i-assist.jp/data/china/image_1904th/79309515.pdf", "79309515")</f>
        <v>79309515</v>
      </c>
      <c r="F528" s="11" t="s">
        <v>1654</v>
      </c>
      <c r="G528" s="11" t="s">
        <v>107</v>
      </c>
      <c r="H528" s="11" t="s">
        <v>1655</v>
      </c>
      <c r="I528" s="11" t="s">
        <v>167</v>
      </c>
    </row>
    <row r="529" spans="1:9" x14ac:dyDescent="0.15">
      <c r="A529" s="10">
        <v>528</v>
      </c>
      <c r="B529" s="11" t="s">
        <v>9</v>
      </c>
      <c r="C529" s="11" t="s">
        <v>170</v>
      </c>
      <c r="D529" s="11" t="s">
        <v>171</v>
      </c>
      <c r="E529" s="9" t="str">
        <f>+HYPERLINK("http://trademark.i-assist.jp/data/china/image_1904th/79309519.pdf", "79309519")</f>
        <v>79309519</v>
      </c>
      <c r="F529" s="11" t="s">
        <v>1656</v>
      </c>
      <c r="G529" s="11" t="s">
        <v>112</v>
      </c>
      <c r="H529" s="11" t="s">
        <v>1657</v>
      </c>
      <c r="I529" s="11" t="s">
        <v>167</v>
      </c>
    </row>
    <row r="530" spans="1:9" x14ac:dyDescent="0.15">
      <c r="A530" s="10">
        <v>529</v>
      </c>
      <c r="B530" s="11" t="s">
        <v>9</v>
      </c>
      <c r="C530" s="11" t="s">
        <v>170</v>
      </c>
      <c r="D530" s="11" t="s">
        <v>171</v>
      </c>
      <c r="E530" s="9" t="str">
        <f>+HYPERLINK("http://trademark.i-assist.jp/data/china/image_1904th/79309556.pdf", "79309556")</f>
        <v>79309556</v>
      </c>
      <c r="F530" s="11" t="s">
        <v>1658</v>
      </c>
      <c r="G530" s="11" t="s">
        <v>1659</v>
      </c>
      <c r="H530" s="11" t="s">
        <v>1660</v>
      </c>
      <c r="I530" s="11" t="s">
        <v>167</v>
      </c>
    </row>
    <row r="531" spans="1:9" x14ac:dyDescent="0.15">
      <c r="A531" s="10">
        <v>530</v>
      </c>
      <c r="B531" s="11" t="s">
        <v>9</v>
      </c>
      <c r="C531" s="11" t="s">
        <v>170</v>
      </c>
      <c r="D531" s="11" t="s">
        <v>171</v>
      </c>
      <c r="E531" s="9" t="str">
        <f>+HYPERLINK("http://trademark.i-assist.jp/data/china/image_1904th/79309650.pdf", "79309650")</f>
        <v>79309650</v>
      </c>
      <c r="F531" s="11" t="s">
        <v>1661</v>
      </c>
      <c r="G531" s="11" t="s">
        <v>1662</v>
      </c>
      <c r="H531" s="11" t="s">
        <v>1663</v>
      </c>
      <c r="I531" s="11" t="s">
        <v>167</v>
      </c>
    </row>
    <row r="532" spans="1:9" x14ac:dyDescent="0.15">
      <c r="A532" s="10">
        <v>531</v>
      </c>
      <c r="B532" s="11" t="s">
        <v>9</v>
      </c>
      <c r="C532" s="11" t="s">
        <v>170</v>
      </c>
      <c r="D532" s="11" t="s">
        <v>171</v>
      </c>
      <c r="E532" s="9" t="str">
        <f>+HYPERLINK("http://trademark.i-assist.jp/data/china/image_1904th/79309652.pdf", "79309652")</f>
        <v>79309652</v>
      </c>
      <c r="F532" s="11" t="s">
        <v>1664</v>
      </c>
      <c r="G532" s="11" t="s">
        <v>1371</v>
      </c>
      <c r="H532" s="11" t="s">
        <v>1665</v>
      </c>
      <c r="I532" s="11" t="s">
        <v>167</v>
      </c>
    </row>
    <row r="533" spans="1:9" x14ac:dyDescent="0.15">
      <c r="A533" s="10">
        <v>532</v>
      </c>
      <c r="B533" s="11" t="s">
        <v>9</v>
      </c>
      <c r="C533" s="11" t="s">
        <v>170</v>
      </c>
      <c r="D533" s="11" t="s">
        <v>171</v>
      </c>
      <c r="E533" s="9" t="str">
        <f>+HYPERLINK("http://trademark.i-assist.jp/data/china/image_1904th/79310210.pdf", "79310210")</f>
        <v>79310210</v>
      </c>
      <c r="F533" s="11" t="s">
        <v>1666</v>
      </c>
      <c r="G533" s="11" t="s">
        <v>1667</v>
      </c>
      <c r="H533" s="11" t="s">
        <v>1668</v>
      </c>
      <c r="I533" s="11" t="s">
        <v>167</v>
      </c>
    </row>
    <row r="534" spans="1:9" x14ac:dyDescent="0.15">
      <c r="A534" s="10">
        <v>533</v>
      </c>
      <c r="B534" s="11" t="s">
        <v>9</v>
      </c>
      <c r="C534" s="11" t="s">
        <v>170</v>
      </c>
      <c r="D534" s="11" t="s">
        <v>171</v>
      </c>
      <c r="E534" s="9" t="str">
        <f>+HYPERLINK("http://trademark.i-assist.jp/data/china/image_1904th/79310240.pdf", "79310240")</f>
        <v>79310240</v>
      </c>
      <c r="F534" s="11" t="s">
        <v>1669</v>
      </c>
      <c r="G534" s="11" t="s">
        <v>1670</v>
      </c>
      <c r="H534" s="11" t="s">
        <v>1671</v>
      </c>
      <c r="I534" s="11" t="s">
        <v>167</v>
      </c>
    </row>
    <row r="535" spans="1:9" x14ac:dyDescent="0.15">
      <c r="A535" s="10">
        <v>534</v>
      </c>
      <c r="B535" s="11" t="s">
        <v>9</v>
      </c>
      <c r="C535" s="11" t="s">
        <v>170</v>
      </c>
      <c r="D535" s="11" t="s">
        <v>171</v>
      </c>
      <c r="E535" s="9" t="str">
        <f>+HYPERLINK("http://trademark.i-assist.jp/data/china/image_1904th/79310771.pdf", "79310771")</f>
        <v>79310771</v>
      </c>
      <c r="F535" s="11" t="s">
        <v>1672</v>
      </c>
      <c r="G535" s="11" t="s">
        <v>1673</v>
      </c>
      <c r="H535" s="11" t="s">
        <v>1674</v>
      </c>
      <c r="I535" s="11" t="s">
        <v>167</v>
      </c>
    </row>
    <row r="536" spans="1:9" x14ac:dyDescent="0.15">
      <c r="A536" s="10">
        <v>535</v>
      </c>
      <c r="B536" s="11" t="s">
        <v>9</v>
      </c>
      <c r="C536" s="11" t="s">
        <v>170</v>
      </c>
      <c r="D536" s="11" t="s">
        <v>171</v>
      </c>
      <c r="E536" s="9" t="str">
        <f>+HYPERLINK("http://trademark.i-assist.jp/data/china/image_1904th/79311601.pdf", "79311601")</f>
        <v>79311601</v>
      </c>
      <c r="F536" s="11" t="s">
        <v>1675</v>
      </c>
      <c r="G536" s="11" t="s">
        <v>1676</v>
      </c>
      <c r="H536" s="11" t="s">
        <v>1677</v>
      </c>
      <c r="I536" s="11" t="s">
        <v>167</v>
      </c>
    </row>
    <row r="537" spans="1:9" x14ac:dyDescent="0.15">
      <c r="A537" s="10">
        <v>536</v>
      </c>
      <c r="B537" s="11" t="s">
        <v>9</v>
      </c>
      <c r="C537" s="11" t="s">
        <v>170</v>
      </c>
      <c r="D537" s="11" t="s">
        <v>171</v>
      </c>
      <c r="E537" s="9" t="str">
        <f>+HYPERLINK("http://trademark.i-assist.jp/data/china/image_1904th/79312638.pdf", "79312638")</f>
        <v>79312638</v>
      </c>
      <c r="F537" s="11" t="s">
        <v>1678</v>
      </c>
      <c r="G537" s="11" t="s">
        <v>1679</v>
      </c>
      <c r="H537" s="11" t="s">
        <v>1680</v>
      </c>
      <c r="I537" s="11" t="s">
        <v>167</v>
      </c>
    </row>
    <row r="538" spans="1:9" x14ac:dyDescent="0.15">
      <c r="A538" s="10">
        <v>537</v>
      </c>
      <c r="B538" s="11" t="s">
        <v>9</v>
      </c>
      <c r="C538" s="11" t="s">
        <v>170</v>
      </c>
      <c r="D538" s="11" t="s">
        <v>171</v>
      </c>
      <c r="E538" s="9" t="str">
        <f>+HYPERLINK("http://trademark.i-assist.jp/data/china/image_1904th/79313654.pdf", "79313654")</f>
        <v>79313654</v>
      </c>
      <c r="F538" s="11" t="s">
        <v>1681</v>
      </c>
      <c r="G538" s="11" t="s">
        <v>1682</v>
      </c>
      <c r="H538" s="11" t="s">
        <v>1683</v>
      </c>
      <c r="I538" s="11" t="s">
        <v>167</v>
      </c>
    </row>
    <row r="539" spans="1:9" x14ac:dyDescent="0.15">
      <c r="A539" s="10">
        <v>538</v>
      </c>
      <c r="B539" s="11" t="s">
        <v>9</v>
      </c>
      <c r="C539" s="11" t="s">
        <v>170</v>
      </c>
      <c r="D539" s="11" t="s">
        <v>171</v>
      </c>
      <c r="E539" s="9" t="str">
        <f>+HYPERLINK("http://trademark.i-assist.jp/data/china/image_1904th/79316075.pdf", "79316075")</f>
        <v>79316075</v>
      </c>
      <c r="F539" s="11" t="s">
        <v>1684</v>
      </c>
      <c r="G539" s="11" t="s">
        <v>1685</v>
      </c>
      <c r="H539" s="11" t="s">
        <v>1686</v>
      </c>
      <c r="I539" s="11" t="s">
        <v>167</v>
      </c>
    </row>
    <row r="540" spans="1:9" x14ac:dyDescent="0.15">
      <c r="A540" s="10">
        <v>539</v>
      </c>
      <c r="B540" s="11" t="s">
        <v>9</v>
      </c>
      <c r="C540" s="11" t="s">
        <v>170</v>
      </c>
      <c r="D540" s="11" t="s">
        <v>171</v>
      </c>
      <c r="E540" s="9" t="str">
        <f>+HYPERLINK("http://trademark.i-assist.jp/data/china/image_1904th/79316281.pdf", "79316281")</f>
        <v>79316281</v>
      </c>
      <c r="F540" s="11" t="s">
        <v>1687</v>
      </c>
      <c r="G540" s="11" t="s">
        <v>1688</v>
      </c>
      <c r="H540" s="11" t="s">
        <v>1689</v>
      </c>
      <c r="I540" s="11" t="s">
        <v>167</v>
      </c>
    </row>
    <row r="541" spans="1:9" x14ac:dyDescent="0.15">
      <c r="A541" s="10">
        <v>540</v>
      </c>
      <c r="B541" s="11" t="s">
        <v>9</v>
      </c>
      <c r="C541" s="11" t="s">
        <v>170</v>
      </c>
      <c r="D541" s="11" t="s">
        <v>171</v>
      </c>
      <c r="E541" s="9" t="str">
        <f>+HYPERLINK("http://trademark.i-assist.jp/data/china/image_1904th/79316340.pdf", "79316340")</f>
        <v>79316340</v>
      </c>
      <c r="F541" s="11" t="s">
        <v>1690</v>
      </c>
      <c r="G541" s="11" t="s">
        <v>1688</v>
      </c>
      <c r="H541" s="11" t="s">
        <v>1691</v>
      </c>
      <c r="I541" s="11" t="s">
        <v>167</v>
      </c>
    </row>
    <row r="542" spans="1:9" x14ac:dyDescent="0.15">
      <c r="A542" s="10">
        <v>541</v>
      </c>
      <c r="B542" s="11" t="s">
        <v>9</v>
      </c>
      <c r="C542" s="11" t="s">
        <v>170</v>
      </c>
      <c r="D542" s="11" t="s">
        <v>171</v>
      </c>
      <c r="E542" s="9" t="str">
        <f>+HYPERLINK("http://trademark.i-assist.jp/data/china/image_1904th/79316365.pdf", "79316365")</f>
        <v>79316365</v>
      </c>
      <c r="F542" s="11" t="s">
        <v>1692</v>
      </c>
      <c r="G542" s="11" t="s">
        <v>1693</v>
      </c>
      <c r="H542" s="11" t="s">
        <v>1694</v>
      </c>
      <c r="I542" s="11" t="s">
        <v>167</v>
      </c>
    </row>
    <row r="543" spans="1:9" x14ac:dyDescent="0.15">
      <c r="A543" s="10">
        <v>542</v>
      </c>
      <c r="B543" s="11" t="s">
        <v>9</v>
      </c>
      <c r="C543" s="11" t="s">
        <v>170</v>
      </c>
      <c r="D543" s="11" t="s">
        <v>171</v>
      </c>
      <c r="E543" s="9" t="str">
        <f>+HYPERLINK("http://trademark.i-assist.jp/data/china/image_1904th/79316530.pdf", "79316530")</f>
        <v>79316530</v>
      </c>
      <c r="F543" s="11" t="s">
        <v>1695</v>
      </c>
      <c r="G543" s="11" t="s">
        <v>1696</v>
      </c>
      <c r="H543" s="11" t="s">
        <v>1697</v>
      </c>
      <c r="I543" s="11" t="s">
        <v>167</v>
      </c>
    </row>
    <row r="544" spans="1:9" x14ac:dyDescent="0.15">
      <c r="A544" s="10">
        <v>543</v>
      </c>
      <c r="B544" s="11" t="s">
        <v>9</v>
      </c>
      <c r="C544" s="11" t="s">
        <v>170</v>
      </c>
      <c r="D544" s="11" t="s">
        <v>171</v>
      </c>
      <c r="E544" s="9" t="str">
        <f>+HYPERLINK("http://trademark.i-assist.jp/data/china/image_1904th/79316874.pdf", "79316874")</f>
        <v>79316874</v>
      </c>
      <c r="F544" s="11" t="s">
        <v>1698</v>
      </c>
      <c r="G544" s="11" t="s">
        <v>1673</v>
      </c>
      <c r="H544" s="11" t="s">
        <v>1699</v>
      </c>
      <c r="I544" s="11" t="s">
        <v>167</v>
      </c>
    </row>
    <row r="545" spans="1:9" x14ac:dyDescent="0.15">
      <c r="A545" s="10">
        <v>544</v>
      </c>
      <c r="B545" s="11" t="s">
        <v>9</v>
      </c>
      <c r="C545" s="11" t="s">
        <v>170</v>
      </c>
      <c r="D545" s="11" t="s">
        <v>171</v>
      </c>
      <c r="E545" s="9" t="str">
        <f>+HYPERLINK("http://trademark.i-assist.jp/data/china/image_1904th/79317654.pdf", "79317654")</f>
        <v>79317654</v>
      </c>
      <c r="F545" s="11" t="s">
        <v>1700</v>
      </c>
      <c r="G545" s="11" t="s">
        <v>1701</v>
      </c>
      <c r="H545" s="11" t="s">
        <v>1702</v>
      </c>
      <c r="I545" s="11" t="s">
        <v>167</v>
      </c>
    </row>
    <row r="546" spans="1:9" x14ac:dyDescent="0.15">
      <c r="A546" s="10">
        <v>545</v>
      </c>
      <c r="B546" s="11" t="s">
        <v>9</v>
      </c>
      <c r="C546" s="11" t="s">
        <v>170</v>
      </c>
      <c r="D546" s="11" t="s">
        <v>171</v>
      </c>
      <c r="E546" s="9" t="str">
        <f>+HYPERLINK("http://trademark.i-assist.jp/data/china/image_1904th/79317848.pdf", "79317848")</f>
        <v>79317848</v>
      </c>
      <c r="F546" s="11" t="s">
        <v>1703</v>
      </c>
      <c r="G546" s="11" t="s">
        <v>1704</v>
      </c>
      <c r="H546" s="11" t="s">
        <v>1705</v>
      </c>
      <c r="I546" s="11" t="s">
        <v>167</v>
      </c>
    </row>
    <row r="547" spans="1:9" x14ac:dyDescent="0.15">
      <c r="A547" s="10">
        <v>546</v>
      </c>
      <c r="B547" s="11" t="s">
        <v>9</v>
      </c>
      <c r="C547" s="11" t="s">
        <v>170</v>
      </c>
      <c r="D547" s="11" t="s">
        <v>171</v>
      </c>
      <c r="E547" s="9" t="str">
        <f>+HYPERLINK("http://trademark.i-assist.jp/data/china/image_1904th/79318383.pdf", "79318383")</f>
        <v>79318383</v>
      </c>
      <c r="F547" s="11" t="s">
        <v>1706</v>
      </c>
      <c r="G547" s="11" t="s">
        <v>1707</v>
      </c>
      <c r="H547" s="11" t="s">
        <v>1708</v>
      </c>
      <c r="I547" s="11" t="s">
        <v>167</v>
      </c>
    </row>
    <row r="548" spans="1:9" x14ac:dyDescent="0.15">
      <c r="A548" s="10">
        <v>547</v>
      </c>
      <c r="B548" s="11" t="s">
        <v>9</v>
      </c>
      <c r="C548" s="11" t="s">
        <v>170</v>
      </c>
      <c r="D548" s="11" t="s">
        <v>171</v>
      </c>
      <c r="E548" s="9" t="str">
        <f>+HYPERLINK("http://trademark.i-assist.jp/data/china/image_1904th/79318558.pdf", "79318558")</f>
        <v>79318558</v>
      </c>
      <c r="F548" s="11" t="s">
        <v>1709</v>
      </c>
      <c r="G548" s="11" t="s">
        <v>1710</v>
      </c>
      <c r="H548" s="11" t="s">
        <v>1711</v>
      </c>
      <c r="I548" s="11" t="s">
        <v>167</v>
      </c>
    </row>
    <row r="549" spans="1:9" x14ac:dyDescent="0.15">
      <c r="A549" s="10">
        <v>548</v>
      </c>
      <c r="B549" s="11" t="s">
        <v>9</v>
      </c>
      <c r="C549" s="11" t="s">
        <v>170</v>
      </c>
      <c r="D549" s="11" t="s">
        <v>171</v>
      </c>
      <c r="E549" s="9" t="str">
        <f>+HYPERLINK("http://trademark.i-assist.jp/data/china/image_1904th/79318757.pdf", "79318757")</f>
        <v>79318757</v>
      </c>
      <c r="F549" s="11" t="s">
        <v>1712</v>
      </c>
      <c r="G549" s="11" t="s">
        <v>1012</v>
      </c>
      <c r="H549" s="11" t="s">
        <v>1713</v>
      </c>
      <c r="I549" s="11" t="s">
        <v>167</v>
      </c>
    </row>
    <row r="550" spans="1:9" x14ac:dyDescent="0.15">
      <c r="A550" s="10">
        <v>549</v>
      </c>
      <c r="B550" s="11" t="s">
        <v>9</v>
      </c>
      <c r="C550" s="11" t="s">
        <v>170</v>
      </c>
      <c r="D550" s="11" t="s">
        <v>171</v>
      </c>
      <c r="E550" s="9" t="str">
        <f>+HYPERLINK("http://trademark.i-assist.jp/data/china/image_1904th/79318877.pdf", "79318877")</f>
        <v>79318877</v>
      </c>
      <c r="F550" s="11" t="s">
        <v>1714</v>
      </c>
      <c r="G550" s="11" t="s">
        <v>1715</v>
      </c>
      <c r="H550" s="11" t="s">
        <v>1716</v>
      </c>
      <c r="I550" s="11" t="s">
        <v>167</v>
      </c>
    </row>
    <row r="551" spans="1:9" x14ac:dyDescent="0.15">
      <c r="A551" s="10">
        <v>550</v>
      </c>
      <c r="B551" s="11" t="s">
        <v>9</v>
      </c>
      <c r="C551" s="11" t="s">
        <v>170</v>
      </c>
      <c r="D551" s="11" t="s">
        <v>171</v>
      </c>
      <c r="E551" s="9" t="str">
        <f>+HYPERLINK("http://trademark.i-assist.jp/data/china/image_1904th/79319517.pdf", "79319517")</f>
        <v>79319517</v>
      </c>
      <c r="F551" s="11" t="s">
        <v>1717</v>
      </c>
      <c r="G551" s="11" t="s">
        <v>1718</v>
      </c>
      <c r="H551" s="11" t="s">
        <v>1719</v>
      </c>
      <c r="I551" s="11" t="s">
        <v>167</v>
      </c>
    </row>
    <row r="552" spans="1:9" x14ac:dyDescent="0.15">
      <c r="A552" s="10">
        <v>551</v>
      </c>
      <c r="B552" s="11" t="s">
        <v>9</v>
      </c>
      <c r="C552" s="11" t="s">
        <v>170</v>
      </c>
      <c r="D552" s="11" t="s">
        <v>171</v>
      </c>
      <c r="E552" s="9" t="str">
        <f>+HYPERLINK("http://trademark.i-assist.jp/data/china/image_1904th/79320535.pdf", "79320535")</f>
        <v>79320535</v>
      </c>
      <c r="F552" s="11" t="s">
        <v>1720</v>
      </c>
      <c r="G552" s="11" t="s">
        <v>1371</v>
      </c>
      <c r="H552" s="11" t="s">
        <v>1721</v>
      </c>
      <c r="I552" s="11" t="s">
        <v>167</v>
      </c>
    </row>
    <row r="553" spans="1:9" x14ac:dyDescent="0.15">
      <c r="A553" s="10">
        <v>552</v>
      </c>
      <c r="B553" s="11" t="s">
        <v>9</v>
      </c>
      <c r="C553" s="11" t="s">
        <v>170</v>
      </c>
      <c r="D553" s="11" t="s">
        <v>171</v>
      </c>
      <c r="E553" s="9" t="str">
        <f>+HYPERLINK("http://trademark.i-assist.jp/data/china/image_1904th/79321861.pdf", "79321861")</f>
        <v>79321861</v>
      </c>
      <c r="F553" s="11" t="s">
        <v>1722</v>
      </c>
      <c r="G553" s="11" t="s">
        <v>107</v>
      </c>
      <c r="H553" s="11" t="s">
        <v>1723</v>
      </c>
      <c r="I553" s="11" t="s">
        <v>167</v>
      </c>
    </row>
    <row r="554" spans="1:9" x14ac:dyDescent="0.15">
      <c r="A554" s="10">
        <v>553</v>
      </c>
      <c r="B554" s="11" t="s">
        <v>9</v>
      </c>
      <c r="C554" s="11" t="s">
        <v>170</v>
      </c>
      <c r="D554" s="11" t="s">
        <v>171</v>
      </c>
      <c r="E554" s="9" t="str">
        <f>+HYPERLINK("http://trademark.i-assist.jp/data/china/image_1904th/79321895.pdf", "79321895")</f>
        <v>79321895</v>
      </c>
      <c r="F554" s="11" t="s">
        <v>1724</v>
      </c>
      <c r="G554" s="11" t="s">
        <v>1725</v>
      </c>
      <c r="H554" s="11" t="s">
        <v>1726</v>
      </c>
      <c r="I554" s="11" t="s">
        <v>167</v>
      </c>
    </row>
    <row r="555" spans="1:9" x14ac:dyDescent="0.15">
      <c r="A555" s="10">
        <v>554</v>
      </c>
      <c r="B555" s="11" t="s">
        <v>9</v>
      </c>
      <c r="C555" s="11" t="s">
        <v>170</v>
      </c>
      <c r="D555" s="11" t="s">
        <v>171</v>
      </c>
      <c r="E555" s="9" t="str">
        <f>+HYPERLINK("http://trademark.i-assist.jp/data/china/image_1904th/79322074.pdf", "79322074")</f>
        <v>79322074</v>
      </c>
      <c r="F555" s="11" t="s">
        <v>1727</v>
      </c>
      <c r="G555" s="11" t="s">
        <v>1628</v>
      </c>
      <c r="H555" s="11" t="s">
        <v>1728</v>
      </c>
      <c r="I555" s="11" t="s">
        <v>167</v>
      </c>
    </row>
    <row r="556" spans="1:9" x14ac:dyDescent="0.15">
      <c r="A556" s="10">
        <v>555</v>
      </c>
      <c r="B556" s="11" t="s">
        <v>9</v>
      </c>
      <c r="C556" s="11" t="s">
        <v>170</v>
      </c>
      <c r="D556" s="11" t="s">
        <v>171</v>
      </c>
      <c r="E556" s="9" t="str">
        <f>+HYPERLINK("http://trademark.i-assist.jp/data/china/image_1904th/79322090.pdf", "79322090")</f>
        <v>79322090</v>
      </c>
      <c r="F556" s="11" t="s">
        <v>1729</v>
      </c>
      <c r="G556" s="11" t="s">
        <v>1704</v>
      </c>
      <c r="H556" s="11" t="s">
        <v>1730</v>
      </c>
      <c r="I556" s="11" t="s">
        <v>167</v>
      </c>
    </row>
    <row r="557" spans="1:9" x14ac:dyDescent="0.15">
      <c r="A557" s="10">
        <v>556</v>
      </c>
      <c r="B557" s="11" t="s">
        <v>9</v>
      </c>
      <c r="C557" s="11" t="s">
        <v>170</v>
      </c>
      <c r="D557" s="11" t="s">
        <v>171</v>
      </c>
      <c r="E557" s="9" t="str">
        <f>+HYPERLINK("http://trademark.i-assist.jp/data/china/image_1904th/79322721.pdf", "79322721")</f>
        <v>79322721</v>
      </c>
      <c r="F557" s="11" t="s">
        <v>1731</v>
      </c>
      <c r="G557" s="11" t="s">
        <v>1732</v>
      </c>
      <c r="H557" s="11" t="s">
        <v>1733</v>
      </c>
      <c r="I557" s="11" t="s">
        <v>167</v>
      </c>
    </row>
    <row r="558" spans="1:9" x14ac:dyDescent="0.15">
      <c r="A558" s="10">
        <v>557</v>
      </c>
      <c r="B558" s="11" t="s">
        <v>9</v>
      </c>
      <c r="C558" s="11" t="s">
        <v>170</v>
      </c>
      <c r="D558" s="11" t="s">
        <v>171</v>
      </c>
      <c r="E558" s="9" t="str">
        <f>+HYPERLINK("http://trademark.i-assist.jp/data/china/image_1904th/79323107.pdf", "79323107")</f>
        <v>79323107</v>
      </c>
      <c r="F558" s="11" t="s">
        <v>1734</v>
      </c>
      <c r="G558" s="11" t="s">
        <v>1649</v>
      </c>
      <c r="H558" s="11" t="s">
        <v>1735</v>
      </c>
      <c r="I558" s="11" t="s">
        <v>167</v>
      </c>
    </row>
    <row r="559" spans="1:9" x14ac:dyDescent="0.15">
      <c r="A559" s="10">
        <v>558</v>
      </c>
      <c r="B559" s="11" t="s">
        <v>9</v>
      </c>
      <c r="C559" s="11" t="s">
        <v>170</v>
      </c>
      <c r="D559" s="11" t="s">
        <v>171</v>
      </c>
      <c r="E559" s="9" t="str">
        <f>+HYPERLINK("http://trademark.i-assist.jp/data/china/image_1904th/79323836.pdf", "79323836")</f>
        <v>79323836</v>
      </c>
      <c r="F559" s="11" t="s">
        <v>1736</v>
      </c>
      <c r="G559" s="11" t="s">
        <v>1737</v>
      </c>
      <c r="H559" s="11" t="s">
        <v>1738</v>
      </c>
      <c r="I559" s="11" t="s">
        <v>167</v>
      </c>
    </row>
    <row r="560" spans="1:9" x14ac:dyDescent="0.15">
      <c r="A560" s="10">
        <v>559</v>
      </c>
      <c r="B560" s="11" t="s">
        <v>9</v>
      </c>
      <c r="C560" s="11" t="s">
        <v>170</v>
      </c>
      <c r="D560" s="11" t="s">
        <v>171</v>
      </c>
      <c r="E560" s="9" t="str">
        <f>+HYPERLINK("http://trademark.i-assist.jp/data/china/image_1904th/79324020.pdf", "79324020")</f>
        <v>79324020</v>
      </c>
      <c r="F560" s="11" t="s">
        <v>1739</v>
      </c>
      <c r="G560" s="11" t="s">
        <v>1740</v>
      </c>
      <c r="H560" s="11" t="s">
        <v>1741</v>
      </c>
      <c r="I560" s="11" t="s">
        <v>168</v>
      </c>
    </row>
    <row r="561" spans="1:9" x14ac:dyDescent="0.15">
      <c r="A561" s="10">
        <v>560</v>
      </c>
      <c r="B561" s="11" t="s">
        <v>9</v>
      </c>
      <c r="C561" s="11" t="s">
        <v>170</v>
      </c>
      <c r="D561" s="11" t="s">
        <v>171</v>
      </c>
      <c r="E561" s="9" t="str">
        <f>+HYPERLINK("http://trademark.i-assist.jp/data/china/image_1904th/79324132.pdf", "79324132")</f>
        <v>79324132</v>
      </c>
      <c r="F561" s="11" t="s">
        <v>1742</v>
      </c>
      <c r="G561" s="11" t="s">
        <v>1743</v>
      </c>
      <c r="H561" s="11" t="s">
        <v>1744</v>
      </c>
      <c r="I561" s="11" t="s">
        <v>168</v>
      </c>
    </row>
    <row r="562" spans="1:9" x14ac:dyDescent="0.15">
      <c r="A562" s="10">
        <v>561</v>
      </c>
      <c r="B562" s="11" t="s">
        <v>9</v>
      </c>
      <c r="C562" s="11" t="s">
        <v>170</v>
      </c>
      <c r="D562" s="11" t="s">
        <v>171</v>
      </c>
      <c r="E562" s="9" t="str">
        <f>+HYPERLINK("http://trademark.i-assist.jp/data/china/image_1904th/79324553.pdf", "79324553")</f>
        <v>79324553</v>
      </c>
      <c r="F562" s="11" t="s">
        <v>1745</v>
      </c>
      <c r="G562" s="11" t="s">
        <v>1746</v>
      </c>
      <c r="H562" s="11" t="s">
        <v>1747</v>
      </c>
      <c r="I562" s="11" t="s">
        <v>168</v>
      </c>
    </row>
    <row r="563" spans="1:9" x14ac:dyDescent="0.15">
      <c r="A563" s="10">
        <v>562</v>
      </c>
      <c r="B563" s="11" t="s">
        <v>9</v>
      </c>
      <c r="C563" s="11" t="s">
        <v>170</v>
      </c>
      <c r="D563" s="11" t="s">
        <v>171</v>
      </c>
      <c r="E563" s="9" t="str">
        <f>+HYPERLINK("http://trademark.i-assist.jp/data/china/image_1904th/79325191.pdf", "79325191")</f>
        <v>79325191</v>
      </c>
      <c r="F563" s="11" t="s">
        <v>1748</v>
      </c>
      <c r="G563" s="11" t="s">
        <v>1749</v>
      </c>
      <c r="H563" s="11" t="s">
        <v>1750</v>
      </c>
      <c r="I563" s="11" t="s">
        <v>168</v>
      </c>
    </row>
    <row r="564" spans="1:9" x14ac:dyDescent="0.15">
      <c r="A564" s="10">
        <v>563</v>
      </c>
      <c r="B564" s="11" t="s">
        <v>9</v>
      </c>
      <c r="C564" s="11" t="s">
        <v>170</v>
      </c>
      <c r="D564" s="11" t="s">
        <v>171</v>
      </c>
      <c r="E564" s="9" t="str">
        <f>+HYPERLINK("http://trademark.i-assist.jp/data/china/image_1904th/79325321.pdf", "79325321")</f>
        <v>79325321</v>
      </c>
      <c r="F564" s="11" t="s">
        <v>1751</v>
      </c>
      <c r="G564" s="11" t="s">
        <v>1752</v>
      </c>
      <c r="H564" s="11" t="s">
        <v>1753</v>
      </c>
      <c r="I564" s="11" t="s">
        <v>168</v>
      </c>
    </row>
    <row r="565" spans="1:9" x14ac:dyDescent="0.15">
      <c r="A565" s="10">
        <v>564</v>
      </c>
      <c r="B565" s="11" t="s">
        <v>9</v>
      </c>
      <c r="C565" s="11" t="s">
        <v>170</v>
      </c>
      <c r="D565" s="11" t="s">
        <v>171</v>
      </c>
      <c r="E565" s="9" t="str">
        <f>+HYPERLINK("http://trademark.i-assist.jp/data/china/image_1904th/79325426.pdf", "79325426")</f>
        <v>79325426</v>
      </c>
      <c r="F565" s="11" t="s">
        <v>1754</v>
      </c>
      <c r="G565" s="11" t="s">
        <v>115</v>
      </c>
      <c r="H565" s="11" t="s">
        <v>1755</v>
      </c>
      <c r="I565" s="11" t="s">
        <v>168</v>
      </c>
    </row>
    <row r="566" spans="1:9" x14ac:dyDescent="0.15">
      <c r="A566" s="10">
        <v>565</v>
      </c>
      <c r="B566" s="11" t="s">
        <v>9</v>
      </c>
      <c r="C566" s="11" t="s">
        <v>170</v>
      </c>
      <c r="D566" s="11" t="s">
        <v>171</v>
      </c>
      <c r="E566" s="9" t="str">
        <f>+HYPERLINK("http://trademark.i-assist.jp/data/china/image_1904th/79326029.pdf", "79326029")</f>
        <v>79326029</v>
      </c>
      <c r="F566" s="11" t="s">
        <v>1756</v>
      </c>
      <c r="G566" s="11" t="s">
        <v>1757</v>
      </c>
      <c r="H566" s="11" t="s">
        <v>1758</v>
      </c>
      <c r="I566" s="11" t="s">
        <v>168</v>
      </c>
    </row>
    <row r="567" spans="1:9" x14ac:dyDescent="0.15">
      <c r="A567" s="10">
        <v>566</v>
      </c>
      <c r="B567" s="11" t="s">
        <v>9</v>
      </c>
      <c r="C567" s="11" t="s">
        <v>170</v>
      </c>
      <c r="D567" s="11" t="s">
        <v>171</v>
      </c>
      <c r="E567" s="9" t="str">
        <f>+HYPERLINK("http://trademark.i-assist.jp/data/china/image_1904th/79326288.pdf", "79326288")</f>
        <v>79326288</v>
      </c>
      <c r="F567" s="11" t="s">
        <v>1759</v>
      </c>
      <c r="G567" s="11" t="s">
        <v>1760</v>
      </c>
      <c r="H567" s="11" t="s">
        <v>1761</v>
      </c>
      <c r="I567" s="11" t="s">
        <v>168</v>
      </c>
    </row>
    <row r="568" spans="1:9" x14ac:dyDescent="0.15">
      <c r="A568" s="10">
        <v>567</v>
      </c>
      <c r="B568" s="11" t="s">
        <v>9</v>
      </c>
      <c r="C568" s="11" t="s">
        <v>170</v>
      </c>
      <c r="D568" s="11" t="s">
        <v>171</v>
      </c>
      <c r="E568" s="9" t="str">
        <f>+HYPERLINK("http://trademark.i-assist.jp/data/china/image_1904th/79326689.pdf", "79326689")</f>
        <v>79326689</v>
      </c>
      <c r="F568" s="11" t="s">
        <v>1762</v>
      </c>
      <c r="G568" s="11" t="s">
        <v>1763</v>
      </c>
      <c r="H568" s="11" t="s">
        <v>1764</v>
      </c>
      <c r="I568" s="11" t="s">
        <v>168</v>
      </c>
    </row>
    <row r="569" spans="1:9" x14ac:dyDescent="0.15">
      <c r="A569" s="10">
        <v>568</v>
      </c>
      <c r="B569" s="11" t="s">
        <v>9</v>
      </c>
      <c r="C569" s="11" t="s">
        <v>170</v>
      </c>
      <c r="D569" s="11" t="s">
        <v>171</v>
      </c>
      <c r="E569" s="9" t="str">
        <f>+HYPERLINK("http://trademark.i-assist.jp/data/china/image_1904th/79327007.pdf", "79327007")</f>
        <v>79327007</v>
      </c>
      <c r="F569" s="11" t="s">
        <v>1765</v>
      </c>
      <c r="G569" s="11" t="s">
        <v>115</v>
      </c>
      <c r="H569" s="11" t="s">
        <v>1766</v>
      </c>
      <c r="I569" s="11" t="s">
        <v>168</v>
      </c>
    </row>
    <row r="570" spans="1:9" x14ac:dyDescent="0.15">
      <c r="A570" s="10">
        <v>569</v>
      </c>
      <c r="B570" s="11" t="s">
        <v>9</v>
      </c>
      <c r="C570" s="11" t="s">
        <v>170</v>
      </c>
      <c r="D570" s="11" t="s">
        <v>171</v>
      </c>
      <c r="E570" s="9" t="str">
        <f>+HYPERLINK("http://trademark.i-assist.jp/data/china/image_1904th/79327245.pdf", "79327245")</f>
        <v>79327245</v>
      </c>
      <c r="F570" s="11" t="s">
        <v>1767</v>
      </c>
      <c r="G570" s="11" t="s">
        <v>68</v>
      </c>
      <c r="H570" s="11" t="s">
        <v>1768</v>
      </c>
      <c r="I570" s="11" t="s">
        <v>168</v>
      </c>
    </row>
    <row r="571" spans="1:9" x14ac:dyDescent="0.15">
      <c r="A571" s="10">
        <v>570</v>
      </c>
      <c r="B571" s="11" t="s">
        <v>9</v>
      </c>
      <c r="C571" s="11" t="s">
        <v>170</v>
      </c>
      <c r="D571" s="11" t="s">
        <v>171</v>
      </c>
      <c r="E571" s="9" t="str">
        <f>+HYPERLINK("http://trademark.i-assist.jp/data/china/image_1904th/79327284.pdf", "79327284")</f>
        <v>79327284</v>
      </c>
      <c r="F571" s="11" t="s">
        <v>1769</v>
      </c>
      <c r="G571" s="11" t="s">
        <v>1770</v>
      </c>
      <c r="H571" s="11" t="s">
        <v>1771</v>
      </c>
      <c r="I571" s="11" t="s">
        <v>168</v>
      </c>
    </row>
    <row r="572" spans="1:9" x14ac:dyDescent="0.15">
      <c r="A572" s="10">
        <v>571</v>
      </c>
      <c r="B572" s="11" t="s">
        <v>9</v>
      </c>
      <c r="C572" s="11" t="s">
        <v>170</v>
      </c>
      <c r="D572" s="11" t="s">
        <v>171</v>
      </c>
      <c r="E572" s="9" t="str">
        <f>+HYPERLINK("http://trademark.i-assist.jp/data/china/image_1904th/79327307.pdf", "79327307")</f>
        <v>79327307</v>
      </c>
      <c r="F572" s="11" t="s">
        <v>1772</v>
      </c>
      <c r="G572" s="11" t="s">
        <v>1773</v>
      </c>
      <c r="H572" s="11" t="s">
        <v>1774</v>
      </c>
      <c r="I572" s="11" t="s">
        <v>168</v>
      </c>
    </row>
    <row r="573" spans="1:9" x14ac:dyDescent="0.15">
      <c r="A573" s="10">
        <v>572</v>
      </c>
      <c r="B573" s="11" t="s">
        <v>9</v>
      </c>
      <c r="C573" s="11" t="s">
        <v>170</v>
      </c>
      <c r="D573" s="11" t="s">
        <v>171</v>
      </c>
      <c r="E573" s="9" t="str">
        <f>+HYPERLINK("http://trademark.i-assist.jp/data/china/image_1904th/79327358.pdf", "79327358")</f>
        <v>79327358</v>
      </c>
      <c r="F573" s="11" t="s">
        <v>1775</v>
      </c>
      <c r="G573" s="11" t="s">
        <v>1776</v>
      </c>
      <c r="H573" s="11" t="s">
        <v>1777</v>
      </c>
      <c r="I573" s="11" t="s">
        <v>168</v>
      </c>
    </row>
    <row r="574" spans="1:9" x14ac:dyDescent="0.15">
      <c r="A574" s="10">
        <v>573</v>
      </c>
      <c r="B574" s="11" t="s">
        <v>9</v>
      </c>
      <c r="C574" s="11" t="s">
        <v>170</v>
      </c>
      <c r="D574" s="11" t="s">
        <v>171</v>
      </c>
      <c r="E574" s="9" t="str">
        <f>+HYPERLINK("http://trademark.i-assist.jp/data/china/image_1904th/79327702.pdf", "79327702")</f>
        <v>79327702</v>
      </c>
      <c r="F574" s="11" t="s">
        <v>1778</v>
      </c>
      <c r="G574" s="11" t="s">
        <v>1779</v>
      </c>
      <c r="H574" s="11" t="s">
        <v>1780</v>
      </c>
      <c r="I574" s="11" t="s">
        <v>168</v>
      </c>
    </row>
    <row r="575" spans="1:9" x14ac:dyDescent="0.15">
      <c r="A575" s="10">
        <v>574</v>
      </c>
      <c r="B575" s="11" t="s">
        <v>9</v>
      </c>
      <c r="C575" s="11" t="s">
        <v>170</v>
      </c>
      <c r="D575" s="11" t="s">
        <v>171</v>
      </c>
      <c r="E575" s="9" t="str">
        <f>+HYPERLINK("http://trademark.i-assist.jp/data/china/image_1904th/79327794.pdf", "79327794")</f>
        <v>79327794</v>
      </c>
      <c r="F575" s="11" t="s">
        <v>1781</v>
      </c>
      <c r="G575" s="11" t="s">
        <v>1782</v>
      </c>
      <c r="H575" s="11" t="s">
        <v>1783</v>
      </c>
      <c r="I575" s="11" t="s">
        <v>168</v>
      </c>
    </row>
    <row r="576" spans="1:9" x14ac:dyDescent="0.15">
      <c r="A576" s="10">
        <v>575</v>
      </c>
      <c r="B576" s="11" t="s">
        <v>9</v>
      </c>
      <c r="C576" s="11" t="s">
        <v>170</v>
      </c>
      <c r="D576" s="11" t="s">
        <v>171</v>
      </c>
      <c r="E576" s="9" t="str">
        <f>+HYPERLINK("http://trademark.i-assist.jp/data/china/image_1904th/79327965.pdf", "79327965")</f>
        <v>79327965</v>
      </c>
      <c r="F576" s="11" t="s">
        <v>1784</v>
      </c>
      <c r="G576" s="11" t="s">
        <v>1785</v>
      </c>
      <c r="H576" s="11" t="s">
        <v>1786</v>
      </c>
      <c r="I576" s="11" t="s">
        <v>168</v>
      </c>
    </row>
    <row r="577" spans="1:9" x14ac:dyDescent="0.15">
      <c r="A577" s="10">
        <v>576</v>
      </c>
      <c r="B577" s="11" t="s">
        <v>9</v>
      </c>
      <c r="C577" s="11" t="s">
        <v>170</v>
      </c>
      <c r="D577" s="11" t="s">
        <v>171</v>
      </c>
      <c r="E577" s="9" t="str">
        <f>+HYPERLINK("http://trademark.i-assist.jp/data/china/image_1904th/79328203.pdf", "79328203")</f>
        <v>79328203</v>
      </c>
      <c r="F577" s="11" t="s">
        <v>1787</v>
      </c>
      <c r="G577" s="11" t="s">
        <v>1788</v>
      </c>
      <c r="H577" s="11" t="s">
        <v>1789</v>
      </c>
      <c r="I577" s="11" t="s">
        <v>168</v>
      </c>
    </row>
    <row r="578" spans="1:9" x14ac:dyDescent="0.15">
      <c r="A578" s="10">
        <v>577</v>
      </c>
      <c r="B578" s="11" t="s">
        <v>9</v>
      </c>
      <c r="C578" s="11" t="s">
        <v>170</v>
      </c>
      <c r="D578" s="11" t="s">
        <v>171</v>
      </c>
      <c r="E578" s="9" t="str">
        <f>+HYPERLINK("http://trademark.i-assist.jp/data/china/image_1904th/79328511.pdf", "79328511")</f>
        <v>79328511</v>
      </c>
      <c r="F578" s="11" t="s">
        <v>1790</v>
      </c>
      <c r="G578" s="11" t="s">
        <v>1749</v>
      </c>
      <c r="H578" s="11" t="s">
        <v>1791</v>
      </c>
      <c r="I578" s="11" t="s">
        <v>168</v>
      </c>
    </row>
    <row r="579" spans="1:9" x14ac:dyDescent="0.15">
      <c r="A579" s="10">
        <v>578</v>
      </c>
      <c r="B579" s="11" t="s">
        <v>9</v>
      </c>
      <c r="C579" s="11" t="s">
        <v>170</v>
      </c>
      <c r="D579" s="11" t="s">
        <v>171</v>
      </c>
      <c r="E579" s="9" t="str">
        <f>+HYPERLINK("http://trademark.i-assist.jp/data/china/image_1904th/79328557.pdf", "79328557")</f>
        <v>79328557</v>
      </c>
      <c r="F579" s="11" t="s">
        <v>1792</v>
      </c>
      <c r="G579" s="11" t="s">
        <v>1793</v>
      </c>
      <c r="H579" s="11" t="s">
        <v>1794</v>
      </c>
      <c r="I579" s="11" t="s">
        <v>168</v>
      </c>
    </row>
    <row r="580" spans="1:9" x14ac:dyDescent="0.15">
      <c r="A580" s="10">
        <v>579</v>
      </c>
      <c r="B580" s="11" t="s">
        <v>9</v>
      </c>
      <c r="C580" s="11" t="s">
        <v>170</v>
      </c>
      <c r="D580" s="11" t="s">
        <v>171</v>
      </c>
      <c r="E580" s="9" t="str">
        <f>+HYPERLINK("http://trademark.i-assist.jp/data/china/image_1904th/79328786.pdf", "79328786")</f>
        <v>79328786</v>
      </c>
      <c r="F580" s="11" t="s">
        <v>1795</v>
      </c>
      <c r="G580" s="11" t="s">
        <v>1796</v>
      </c>
      <c r="H580" s="11" t="s">
        <v>1797</v>
      </c>
      <c r="I580" s="11" t="s">
        <v>168</v>
      </c>
    </row>
    <row r="581" spans="1:9" x14ac:dyDescent="0.15">
      <c r="A581" s="10">
        <v>580</v>
      </c>
      <c r="B581" s="11" t="s">
        <v>9</v>
      </c>
      <c r="C581" s="11" t="s">
        <v>170</v>
      </c>
      <c r="D581" s="11" t="s">
        <v>171</v>
      </c>
      <c r="E581" s="9" t="str">
        <f>+HYPERLINK("http://trademark.i-assist.jp/data/china/image_1904th/79331005.pdf", "79331005")</f>
        <v>79331005</v>
      </c>
      <c r="F581" s="11" t="s">
        <v>1798</v>
      </c>
      <c r="G581" s="11" t="s">
        <v>1799</v>
      </c>
      <c r="H581" s="11" t="s">
        <v>1800</v>
      </c>
      <c r="I581" s="11" t="s">
        <v>168</v>
      </c>
    </row>
    <row r="582" spans="1:9" x14ac:dyDescent="0.15">
      <c r="A582" s="10">
        <v>581</v>
      </c>
      <c r="B582" s="11" t="s">
        <v>9</v>
      </c>
      <c r="C582" s="11" t="s">
        <v>170</v>
      </c>
      <c r="D582" s="11" t="s">
        <v>171</v>
      </c>
      <c r="E582" s="9" t="str">
        <f>+HYPERLINK("http://trademark.i-assist.jp/data/china/image_1904th/79332837.pdf", "79332837")</f>
        <v>79332837</v>
      </c>
      <c r="F582" s="11" t="s">
        <v>1801</v>
      </c>
      <c r="G582" s="11" t="s">
        <v>1802</v>
      </c>
      <c r="H582" s="11" t="s">
        <v>1803</v>
      </c>
      <c r="I582" s="11" t="s">
        <v>168</v>
      </c>
    </row>
    <row r="583" spans="1:9" x14ac:dyDescent="0.15">
      <c r="A583" s="10">
        <v>582</v>
      </c>
      <c r="B583" s="11" t="s">
        <v>9</v>
      </c>
      <c r="C583" s="11" t="s">
        <v>170</v>
      </c>
      <c r="D583" s="11" t="s">
        <v>171</v>
      </c>
      <c r="E583" s="9" t="str">
        <f>+HYPERLINK("http://trademark.i-assist.jp/data/china/image_1904th/79333025.pdf", "79333025")</f>
        <v>79333025</v>
      </c>
      <c r="F583" s="11" t="s">
        <v>1804</v>
      </c>
      <c r="G583" s="11" t="s">
        <v>1805</v>
      </c>
      <c r="H583" s="11" t="s">
        <v>1806</v>
      </c>
      <c r="I583" s="11" t="s">
        <v>168</v>
      </c>
    </row>
    <row r="584" spans="1:9" x14ac:dyDescent="0.15">
      <c r="A584" s="10">
        <v>583</v>
      </c>
      <c r="B584" s="11" t="s">
        <v>9</v>
      </c>
      <c r="C584" s="11" t="s">
        <v>170</v>
      </c>
      <c r="D584" s="11" t="s">
        <v>171</v>
      </c>
      <c r="E584" s="9" t="str">
        <f>+HYPERLINK("http://trademark.i-assist.jp/data/china/image_1904th/79333051.pdf", "79333051")</f>
        <v>79333051</v>
      </c>
      <c r="F584" s="11" t="s">
        <v>1807</v>
      </c>
      <c r="G584" s="11" t="s">
        <v>1808</v>
      </c>
      <c r="H584" s="11" t="s">
        <v>1809</v>
      </c>
      <c r="I584" s="11" t="s">
        <v>168</v>
      </c>
    </row>
    <row r="585" spans="1:9" x14ac:dyDescent="0.15">
      <c r="A585" s="10">
        <v>584</v>
      </c>
      <c r="B585" s="11" t="s">
        <v>9</v>
      </c>
      <c r="C585" s="11" t="s">
        <v>170</v>
      </c>
      <c r="D585" s="11" t="s">
        <v>171</v>
      </c>
      <c r="E585" s="9" t="str">
        <f>+HYPERLINK("http://trademark.i-assist.jp/data/china/image_1904th/79334029.pdf", "79334029")</f>
        <v>79334029</v>
      </c>
      <c r="F585" s="11" t="s">
        <v>1810</v>
      </c>
      <c r="G585" s="11" t="s">
        <v>1811</v>
      </c>
      <c r="H585" s="11" t="s">
        <v>1812</v>
      </c>
      <c r="I585" s="11" t="s">
        <v>168</v>
      </c>
    </row>
    <row r="586" spans="1:9" x14ac:dyDescent="0.15">
      <c r="A586" s="10">
        <v>585</v>
      </c>
      <c r="B586" s="11" t="s">
        <v>9</v>
      </c>
      <c r="C586" s="11" t="s">
        <v>170</v>
      </c>
      <c r="D586" s="11" t="s">
        <v>171</v>
      </c>
      <c r="E586" s="9" t="str">
        <f>+HYPERLINK("http://trademark.i-assist.jp/data/china/image_1904th/79334048.pdf", "79334048")</f>
        <v>79334048</v>
      </c>
      <c r="F586" s="11" t="s">
        <v>1813</v>
      </c>
      <c r="G586" s="11" t="s">
        <v>1814</v>
      </c>
      <c r="H586" s="11" t="s">
        <v>1815</v>
      </c>
      <c r="I586" s="11" t="s">
        <v>168</v>
      </c>
    </row>
    <row r="587" spans="1:9" x14ac:dyDescent="0.15">
      <c r="A587" s="10">
        <v>586</v>
      </c>
      <c r="B587" s="11" t="s">
        <v>9</v>
      </c>
      <c r="C587" s="11" t="s">
        <v>170</v>
      </c>
      <c r="D587" s="11" t="s">
        <v>171</v>
      </c>
      <c r="E587" s="9" t="str">
        <f>+HYPERLINK("http://trademark.i-assist.jp/data/china/image_1904th/79334689.pdf", "79334689")</f>
        <v>79334689</v>
      </c>
      <c r="F587" s="11" t="s">
        <v>12</v>
      </c>
      <c r="G587" s="11" t="s">
        <v>1816</v>
      </c>
      <c r="H587" s="11" t="s">
        <v>1817</v>
      </c>
      <c r="I587" s="11" t="s">
        <v>168</v>
      </c>
    </row>
    <row r="588" spans="1:9" x14ac:dyDescent="0.15">
      <c r="A588" s="10">
        <v>587</v>
      </c>
      <c r="B588" s="11" t="s">
        <v>9</v>
      </c>
      <c r="C588" s="11" t="s">
        <v>170</v>
      </c>
      <c r="D588" s="11" t="s">
        <v>171</v>
      </c>
      <c r="E588" s="9" t="str">
        <f>+HYPERLINK("http://trademark.i-assist.jp/data/china/image_1904th/79335045.pdf", "79335045")</f>
        <v>79335045</v>
      </c>
      <c r="F588" s="11" t="s">
        <v>1818</v>
      </c>
      <c r="G588" s="11" t="s">
        <v>1819</v>
      </c>
      <c r="H588" s="11" t="s">
        <v>1820</v>
      </c>
      <c r="I588" s="11" t="s">
        <v>168</v>
      </c>
    </row>
    <row r="589" spans="1:9" x14ac:dyDescent="0.15">
      <c r="A589" s="10">
        <v>588</v>
      </c>
      <c r="B589" s="11" t="s">
        <v>9</v>
      </c>
      <c r="C589" s="11" t="s">
        <v>170</v>
      </c>
      <c r="D589" s="11" t="s">
        <v>171</v>
      </c>
      <c r="E589" s="9" t="str">
        <f>+HYPERLINK("http://trademark.i-assist.jp/data/china/image_1904th/79335301.pdf", "79335301")</f>
        <v>79335301</v>
      </c>
      <c r="F589" s="11" t="s">
        <v>1821</v>
      </c>
      <c r="G589" s="11" t="s">
        <v>127</v>
      </c>
      <c r="H589" s="11" t="s">
        <v>1822</v>
      </c>
      <c r="I589" s="11" t="s">
        <v>168</v>
      </c>
    </row>
    <row r="590" spans="1:9" x14ac:dyDescent="0.15">
      <c r="A590" s="10">
        <v>589</v>
      </c>
      <c r="B590" s="11" t="s">
        <v>9</v>
      </c>
      <c r="C590" s="11" t="s">
        <v>170</v>
      </c>
      <c r="D590" s="11" t="s">
        <v>171</v>
      </c>
      <c r="E590" s="9" t="str">
        <f>+HYPERLINK("http://trademark.i-assist.jp/data/china/image_1904th/79336713.pdf", "79336713")</f>
        <v>79336713</v>
      </c>
      <c r="F590" s="11" t="s">
        <v>1823</v>
      </c>
      <c r="G590" s="11" t="s">
        <v>1824</v>
      </c>
      <c r="H590" s="11" t="s">
        <v>1825</v>
      </c>
      <c r="I590" s="11" t="s">
        <v>168</v>
      </c>
    </row>
    <row r="591" spans="1:9" x14ac:dyDescent="0.15">
      <c r="A591" s="10">
        <v>590</v>
      </c>
      <c r="B591" s="11" t="s">
        <v>9</v>
      </c>
      <c r="C591" s="11" t="s">
        <v>170</v>
      </c>
      <c r="D591" s="11" t="s">
        <v>171</v>
      </c>
      <c r="E591" s="9" t="str">
        <f>+HYPERLINK("http://trademark.i-assist.jp/data/china/image_1904th/79336716.pdf", "79336716")</f>
        <v>79336716</v>
      </c>
      <c r="F591" s="11" t="s">
        <v>1826</v>
      </c>
      <c r="G591" s="11" t="s">
        <v>1757</v>
      </c>
      <c r="H591" s="11" t="s">
        <v>1827</v>
      </c>
      <c r="I591" s="11" t="s">
        <v>168</v>
      </c>
    </row>
    <row r="592" spans="1:9" x14ac:dyDescent="0.15">
      <c r="A592" s="10">
        <v>591</v>
      </c>
      <c r="B592" s="11" t="s">
        <v>9</v>
      </c>
      <c r="C592" s="11" t="s">
        <v>170</v>
      </c>
      <c r="D592" s="11" t="s">
        <v>171</v>
      </c>
      <c r="E592" s="9" t="str">
        <f>+HYPERLINK("http://trademark.i-assist.jp/data/china/image_1904th/79336921.pdf", "79336921")</f>
        <v>79336921</v>
      </c>
      <c r="F592" s="11" t="s">
        <v>1828</v>
      </c>
      <c r="G592" s="11" t="s">
        <v>113</v>
      </c>
      <c r="H592" s="11" t="s">
        <v>1829</v>
      </c>
      <c r="I592" s="11" t="s">
        <v>168</v>
      </c>
    </row>
    <row r="593" spans="1:9" x14ac:dyDescent="0.15">
      <c r="A593" s="10">
        <v>592</v>
      </c>
      <c r="B593" s="11" t="s">
        <v>9</v>
      </c>
      <c r="C593" s="11" t="s">
        <v>170</v>
      </c>
      <c r="D593" s="11" t="s">
        <v>171</v>
      </c>
      <c r="E593" s="9" t="str">
        <f>+HYPERLINK("http://trademark.i-assist.jp/data/china/image_1904th/79337111.pdf", "79337111")</f>
        <v>79337111</v>
      </c>
      <c r="F593" s="11" t="s">
        <v>1830</v>
      </c>
      <c r="G593" s="11" t="s">
        <v>789</v>
      </c>
      <c r="H593" s="11" t="s">
        <v>1831</v>
      </c>
      <c r="I593" s="11" t="s">
        <v>168</v>
      </c>
    </row>
    <row r="594" spans="1:9" x14ac:dyDescent="0.15">
      <c r="A594" s="10">
        <v>593</v>
      </c>
      <c r="B594" s="11" t="s">
        <v>9</v>
      </c>
      <c r="C594" s="11" t="s">
        <v>170</v>
      </c>
      <c r="D594" s="11" t="s">
        <v>171</v>
      </c>
      <c r="E594" s="9" t="str">
        <f>+HYPERLINK("http://trademark.i-assist.jp/data/china/image_1904th/79337312.pdf", "79337312")</f>
        <v>79337312</v>
      </c>
      <c r="F594" s="11" t="s">
        <v>1832</v>
      </c>
      <c r="G594" s="11" t="s">
        <v>1833</v>
      </c>
      <c r="H594" s="11" t="s">
        <v>1834</v>
      </c>
      <c r="I594" s="11" t="s">
        <v>168</v>
      </c>
    </row>
    <row r="595" spans="1:9" x14ac:dyDescent="0.15">
      <c r="A595" s="10">
        <v>594</v>
      </c>
      <c r="B595" s="11" t="s">
        <v>9</v>
      </c>
      <c r="C595" s="11" t="s">
        <v>170</v>
      </c>
      <c r="D595" s="11" t="s">
        <v>171</v>
      </c>
      <c r="E595" s="9" t="str">
        <f>+HYPERLINK("http://trademark.i-assist.jp/data/china/image_1904th/79337364.pdf", "79337364")</f>
        <v>79337364</v>
      </c>
      <c r="F595" s="11" t="s">
        <v>1835</v>
      </c>
      <c r="G595" s="11" t="s">
        <v>98</v>
      </c>
      <c r="H595" s="11" t="s">
        <v>1836</v>
      </c>
      <c r="I595" s="11" t="s">
        <v>168</v>
      </c>
    </row>
    <row r="596" spans="1:9" x14ac:dyDescent="0.15">
      <c r="A596" s="10">
        <v>595</v>
      </c>
      <c r="B596" s="11" t="s">
        <v>9</v>
      </c>
      <c r="C596" s="11" t="s">
        <v>170</v>
      </c>
      <c r="D596" s="11" t="s">
        <v>171</v>
      </c>
      <c r="E596" s="9" t="str">
        <f>+HYPERLINK("http://trademark.i-assist.jp/data/china/image_1904th/79337847.pdf", "79337847")</f>
        <v>79337847</v>
      </c>
      <c r="F596" s="11" t="s">
        <v>12</v>
      </c>
      <c r="G596" s="11" t="s">
        <v>1837</v>
      </c>
      <c r="H596" s="11" t="s">
        <v>1838</v>
      </c>
      <c r="I596" s="11" t="s">
        <v>168</v>
      </c>
    </row>
    <row r="597" spans="1:9" x14ac:dyDescent="0.15">
      <c r="A597" s="10">
        <v>596</v>
      </c>
      <c r="B597" s="11" t="s">
        <v>9</v>
      </c>
      <c r="C597" s="11" t="s">
        <v>170</v>
      </c>
      <c r="D597" s="11" t="s">
        <v>171</v>
      </c>
      <c r="E597" s="9" t="str">
        <f>+HYPERLINK("http://trademark.i-assist.jp/data/china/image_1904th/79337966.pdf", "79337966")</f>
        <v>79337966</v>
      </c>
      <c r="F597" s="11" t="s">
        <v>1839</v>
      </c>
      <c r="G597" s="11" t="s">
        <v>1840</v>
      </c>
      <c r="H597" s="11" t="s">
        <v>1841</v>
      </c>
      <c r="I597" s="11" t="s">
        <v>168</v>
      </c>
    </row>
    <row r="598" spans="1:9" x14ac:dyDescent="0.15">
      <c r="A598" s="10">
        <v>597</v>
      </c>
      <c r="B598" s="11" t="s">
        <v>9</v>
      </c>
      <c r="C598" s="11" t="s">
        <v>170</v>
      </c>
      <c r="D598" s="11" t="s">
        <v>171</v>
      </c>
      <c r="E598" s="9" t="str">
        <f>+HYPERLINK("http://trademark.i-assist.jp/data/china/image_1904th/79338093.pdf", "79338093")</f>
        <v>79338093</v>
      </c>
      <c r="F598" s="11" t="s">
        <v>1842</v>
      </c>
      <c r="G598" s="11" t="s">
        <v>1843</v>
      </c>
      <c r="H598" s="11" t="s">
        <v>1844</v>
      </c>
      <c r="I598" s="11" t="s">
        <v>168</v>
      </c>
    </row>
    <row r="599" spans="1:9" x14ac:dyDescent="0.15">
      <c r="A599" s="10">
        <v>598</v>
      </c>
      <c r="B599" s="11" t="s">
        <v>9</v>
      </c>
      <c r="C599" s="11" t="s">
        <v>170</v>
      </c>
      <c r="D599" s="11" t="s">
        <v>171</v>
      </c>
      <c r="E599" s="9" t="str">
        <f>+HYPERLINK("http://trademark.i-assist.jp/data/china/image_1904th/79338262.pdf", "79338262")</f>
        <v>79338262</v>
      </c>
      <c r="F599" s="11" t="s">
        <v>1845</v>
      </c>
      <c r="G599" s="11" t="s">
        <v>1846</v>
      </c>
      <c r="H599" s="11" t="s">
        <v>1847</v>
      </c>
      <c r="I599" s="11" t="s">
        <v>168</v>
      </c>
    </row>
    <row r="600" spans="1:9" x14ac:dyDescent="0.15">
      <c r="A600" s="10">
        <v>599</v>
      </c>
      <c r="B600" s="11" t="s">
        <v>9</v>
      </c>
      <c r="C600" s="11" t="s">
        <v>170</v>
      </c>
      <c r="D600" s="11" t="s">
        <v>171</v>
      </c>
      <c r="E600" s="9" t="str">
        <f>+HYPERLINK("http://trademark.i-assist.jp/data/china/image_1904th/79338868.pdf", "79338868")</f>
        <v>79338868</v>
      </c>
      <c r="F600" s="11" t="s">
        <v>1848</v>
      </c>
      <c r="G600" s="11" t="s">
        <v>1849</v>
      </c>
      <c r="H600" s="11" t="s">
        <v>1850</v>
      </c>
      <c r="I600" s="11" t="s">
        <v>168</v>
      </c>
    </row>
    <row r="601" spans="1:9" x14ac:dyDescent="0.15">
      <c r="A601" s="10">
        <v>600</v>
      </c>
      <c r="B601" s="11" t="s">
        <v>9</v>
      </c>
      <c r="C601" s="11" t="s">
        <v>170</v>
      </c>
      <c r="D601" s="11" t="s">
        <v>171</v>
      </c>
      <c r="E601" s="9" t="str">
        <f>+HYPERLINK("http://trademark.i-assist.jp/data/china/image_1904th/79339427.pdf", "79339427")</f>
        <v>79339427</v>
      </c>
      <c r="F601" s="11" t="s">
        <v>1851</v>
      </c>
      <c r="G601" s="11" t="s">
        <v>1852</v>
      </c>
      <c r="H601" s="11" t="s">
        <v>1853</v>
      </c>
      <c r="I601" s="11" t="s">
        <v>168</v>
      </c>
    </row>
    <row r="602" spans="1:9" x14ac:dyDescent="0.15">
      <c r="A602" s="10">
        <v>601</v>
      </c>
      <c r="B602" s="11" t="s">
        <v>9</v>
      </c>
      <c r="C602" s="11" t="s">
        <v>170</v>
      </c>
      <c r="D602" s="11" t="s">
        <v>171</v>
      </c>
      <c r="E602" s="9" t="str">
        <f>+HYPERLINK("http://trademark.i-assist.jp/data/china/image_1904th/79339739.pdf", "79339739")</f>
        <v>79339739</v>
      </c>
      <c r="F602" s="11" t="s">
        <v>12</v>
      </c>
      <c r="G602" s="11" t="s">
        <v>1854</v>
      </c>
      <c r="H602" s="11" t="s">
        <v>1855</v>
      </c>
      <c r="I602" s="11" t="s">
        <v>168</v>
      </c>
    </row>
    <row r="603" spans="1:9" x14ac:dyDescent="0.15">
      <c r="A603" s="10">
        <v>602</v>
      </c>
      <c r="B603" s="11" t="s">
        <v>9</v>
      </c>
      <c r="C603" s="11" t="s">
        <v>170</v>
      </c>
      <c r="D603" s="11" t="s">
        <v>171</v>
      </c>
      <c r="E603" s="9" t="str">
        <f>+HYPERLINK("http://trademark.i-assist.jp/data/china/image_1904th/79339871.pdf", "79339871")</f>
        <v>79339871</v>
      </c>
      <c r="F603" s="11" t="s">
        <v>1856</v>
      </c>
      <c r="G603" s="11" t="s">
        <v>1857</v>
      </c>
      <c r="H603" s="11" t="s">
        <v>1858</v>
      </c>
      <c r="I603" s="11" t="s">
        <v>168</v>
      </c>
    </row>
    <row r="604" spans="1:9" x14ac:dyDescent="0.15">
      <c r="A604" s="10">
        <v>603</v>
      </c>
      <c r="B604" s="11" t="s">
        <v>9</v>
      </c>
      <c r="C604" s="11" t="s">
        <v>170</v>
      </c>
      <c r="D604" s="11" t="s">
        <v>171</v>
      </c>
      <c r="E604" s="9" t="str">
        <f>+HYPERLINK("http://trademark.i-assist.jp/data/china/image_1904th/79340080.pdf", "79340080")</f>
        <v>79340080</v>
      </c>
      <c r="F604" s="11" t="s">
        <v>1859</v>
      </c>
      <c r="G604" s="11" t="s">
        <v>1860</v>
      </c>
      <c r="H604" s="11" t="s">
        <v>1861</v>
      </c>
      <c r="I604" s="11" t="s">
        <v>168</v>
      </c>
    </row>
    <row r="605" spans="1:9" x14ac:dyDescent="0.15">
      <c r="A605" s="10">
        <v>604</v>
      </c>
      <c r="B605" s="11" t="s">
        <v>9</v>
      </c>
      <c r="C605" s="11" t="s">
        <v>170</v>
      </c>
      <c r="D605" s="11" t="s">
        <v>171</v>
      </c>
      <c r="E605" s="9" t="str">
        <f>+HYPERLINK("http://trademark.i-assist.jp/data/china/image_1904th/79340569.pdf", "79340569")</f>
        <v>79340569</v>
      </c>
      <c r="F605" s="11" t="s">
        <v>1862</v>
      </c>
      <c r="G605" s="11" t="s">
        <v>1863</v>
      </c>
      <c r="H605" s="11" t="s">
        <v>1864</v>
      </c>
      <c r="I605" s="11" t="s">
        <v>168</v>
      </c>
    </row>
    <row r="606" spans="1:9" x14ac:dyDescent="0.15">
      <c r="A606" s="10">
        <v>605</v>
      </c>
      <c r="B606" s="11" t="s">
        <v>9</v>
      </c>
      <c r="C606" s="11" t="s">
        <v>170</v>
      </c>
      <c r="D606" s="11" t="s">
        <v>171</v>
      </c>
      <c r="E606" s="9" t="str">
        <f>+HYPERLINK("http://trademark.i-assist.jp/data/china/image_1904th/79340945.pdf", "79340945")</f>
        <v>79340945</v>
      </c>
      <c r="F606" s="11" t="s">
        <v>1865</v>
      </c>
      <c r="G606" s="11" t="s">
        <v>1866</v>
      </c>
      <c r="H606" s="11" t="s">
        <v>1867</v>
      </c>
      <c r="I606" s="11" t="s">
        <v>168</v>
      </c>
    </row>
    <row r="607" spans="1:9" x14ac:dyDescent="0.15">
      <c r="A607" s="10">
        <v>606</v>
      </c>
      <c r="B607" s="11" t="s">
        <v>9</v>
      </c>
      <c r="C607" s="11" t="s">
        <v>170</v>
      </c>
      <c r="D607" s="11" t="s">
        <v>171</v>
      </c>
      <c r="E607" s="9" t="str">
        <f>+HYPERLINK("http://trademark.i-assist.jp/data/china/image_1904th/79341245.pdf", "79341245")</f>
        <v>79341245</v>
      </c>
      <c r="F607" s="11" t="s">
        <v>1868</v>
      </c>
      <c r="G607" s="11" t="s">
        <v>1757</v>
      </c>
      <c r="H607" s="11" t="s">
        <v>1869</v>
      </c>
      <c r="I607" s="11" t="s">
        <v>168</v>
      </c>
    </row>
    <row r="608" spans="1:9" x14ac:dyDescent="0.15">
      <c r="A608" s="10">
        <v>607</v>
      </c>
      <c r="B608" s="11" t="s">
        <v>9</v>
      </c>
      <c r="C608" s="11" t="s">
        <v>170</v>
      </c>
      <c r="D608" s="11" t="s">
        <v>171</v>
      </c>
      <c r="E608" s="9" t="str">
        <f>+HYPERLINK("http://trademark.i-assist.jp/data/china/image_1904th/79341250.pdf", "79341250")</f>
        <v>79341250</v>
      </c>
      <c r="F608" s="11" t="s">
        <v>1870</v>
      </c>
      <c r="G608" s="11" t="s">
        <v>1871</v>
      </c>
      <c r="H608" s="11" t="s">
        <v>1872</v>
      </c>
      <c r="I608" s="11" t="s">
        <v>168</v>
      </c>
    </row>
    <row r="609" spans="1:9" x14ac:dyDescent="0.15">
      <c r="A609" s="10">
        <v>608</v>
      </c>
      <c r="B609" s="11" t="s">
        <v>9</v>
      </c>
      <c r="C609" s="11" t="s">
        <v>170</v>
      </c>
      <c r="D609" s="11" t="s">
        <v>171</v>
      </c>
      <c r="E609" s="9" t="str">
        <f>+HYPERLINK("http://trademark.i-assist.jp/data/china/image_1904th/79341400.pdf", "79341400")</f>
        <v>79341400</v>
      </c>
      <c r="F609" s="11" t="s">
        <v>1873</v>
      </c>
      <c r="G609" s="11" t="s">
        <v>1874</v>
      </c>
      <c r="H609" s="11" t="s">
        <v>1875</v>
      </c>
      <c r="I609" s="11" t="s">
        <v>168</v>
      </c>
    </row>
    <row r="610" spans="1:9" x14ac:dyDescent="0.15">
      <c r="A610" s="10">
        <v>609</v>
      </c>
      <c r="B610" s="11" t="s">
        <v>9</v>
      </c>
      <c r="C610" s="11" t="s">
        <v>170</v>
      </c>
      <c r="D610" s="11" t="s">
        <v>171</v>
      </c>
      <c r="E610" s="9" t="str">
        <f>+HYPERLINK("http://trademark.i-assist.jp/data/china/image_1904th/79341904.pdf", "79341904")</f>
        <v>79341904</v>
      </c>
      <c r="F610" s="11" t="s">
        <v>1876</v>
      </c>
      <c r="G610" s="11" t="s">
        <v>1877</v>
      </c>
      <c r="H610" s="11" t="s">
        <v>1878</v>
      </c>
      <c r="I610" s="11" t="s">
        <v>168</v>
      </c>
    </row>
    <row r="611" spans="1:9" x14ac:dyDescent="0.15">
      <c r="A611" s="10">
        <v>610</v>
      </c>
      <c r="B611" s="11" t="s">
        <v>9</v>
      </c>
      <c r="C611" s="11" t="s">
        <v>170</v>
      </c>
      <c r="D611" s="11" t="s">
        <v>171</v>
      </c>
      <c r="E611" s="9" t="str">
        <f>+HYPERLINK("http://trademark.i-assist.jp/data/china/image_1904th/79342908.pdf", "79342908")</f>
        <v>79342908</v>
      </c>
      <c r="F611" s="11" t="s">
        <v>1879</v>
      </c>
      <c r="G611" s="11" t="s">
        <v>1880</v>
      </c>
      <c r="H611" s="11" t="s">
        <v>1881</v>
      </c>
      <c r="I611" s="11" t="s">
        <v>168</v>
      </c>
    </row>
    <row r="612" spans="1:9" x14ac:dyDescent="0.15">
      <c r="A612" s="10">
        <v>611</v>
      </c>
      <c r="B612" s="11" t="s">
        <v>9</v>
      </c>
      <c r="C612" s="11" t="s">
        <v>170</v>
      </c>
      <c r="D612" s="11" t="s">
        <v>171</v>
      </c>
      <c r="E612" s="9" t="str">
        <f>+HYPERLINK("http://trademark.i-assist.jp/data/china/image_1904th/79343082.pdf", "79343082")</f>
        <v>79343082</v>
      </c>
      <c r="F612" s="11" t="s">
        <v>1882</v>
      </c>
      <c r="G612" s="11" t="s">
        <v>1883</v>
      </c>
      <c r="H612" s="11" t="s">
        <v>1884</v>
      </c>
      <c r="I612" s="11" t="s">
        <v>168</v>
      </c>
    </row>
    <row r="613" spans="1:9" x14ac:dyDescent="0.15">
      <c r="A613" s="10">
        <v>612</v>
      </c>
      <c r="B613" s="11" t="s">
        <v>9</v>
      </c>
      <c r="C613" s="11" t="s">
        <v>170</v>
      </c>
      <c r="D613" s="11" t="s">
        <v>171</v>
      </c>
      <c r="E613" s="9" t="str">
        <f>+HYPERLINK("http://trademark.i-assist.jp/data/china/image_1904th/79343727.pdf", "79343727")</f>
        <v>79343727</v>
      </c>
      <c r="F613" s="11" t="s">
        <v>1885</v>
      </c>
      <c r="G613" s="11" t="s">
        <v>127</v>
      </c>
      <c r="H613" s="11" t="s">
        <v>1886</v>
      </c>
      <c r="I613" s="11" t="s">
        <v>168</v>
      </c>
    </row>
    <row r="614" spans="1:9" x14ac:dyDescent="0.15">
      <c r="A614" s="10">
        <v>613</v>
      </c>
      <c r="B614" s="11" t="s">
        <v>9</v>
      </c>
      <c r="C614" s="11" t="s">
        <v>170</v>
      </c>
      <c r="D614" s="11" t="s">
        <v>171</v>
      </c>
      <c r="E614" s="9" t="str">
        <f>+HYPERLINK("http://trademark.i-assist.jp/data/china/image_1904th/79344314.pdf", "79344314")</f>
        <v>79344314</v>
      </c>
      <c r="F614" s="11" t="s">
        <v>1887</v>
      </c>
      <c r="G614" s="11" t="s">
        <v>1888</v>
      </c>
      <c r="H614" s="11" t="s">
        <v>1889</v>
      </c>
      <c r="I614" s="11" t="s">
        <v>168</v>
      </c>
    </row>
    <row r="615" spans="1:9" x14ac:dyDescent="0.15">
      <c r="A615" s="10">
        <v>614</v>
      </c>
      <c r="B615" s="11" t="s">
        <v>9</v>
      </c>
      <c r="C615" s="11" t="s">
        <v>170</v>
      </c>
      <c r="D615" s="11" t="s">
        <v>171</v>
      </c>
      <c r="E615" s="9" t="str">
        <f>+HYPERLINK("http://trademark.i-assist.jp/data/china/image_1904th/79344576.pdf", "79344576")</f>
        <v>79344576</v>
      </c>
      <c r="F615" s="11" t="s">
        <v>1890</v>
      </c>
      <c r="G615" s="11" t="s">
        <v>1891</v>
      </c>
      <c r="H615" s="11" t="s">
        <v>1892</v>
      </c>
      <c r="I615" s="11" t="s">
        <v>168</v>
      </c>
    </row>
    <row r="616" spans="1:9" x14ac:dyDescent="0.15">
      <c r="A616" s="10">
        <v>615</v>
      </c>
      <c r="B616" s="11" t="s">
        <v>9</v>
      </c>
      <c r="C616" s="11" t="s">
        <v>170</v>
      </c>
      <c r="D616" s="11" t="s">
        <v>171</v>
      </c>
      <c r="E616" s="9" t="str">
        <f>+HYPERLINK("http://trademark.i-assist.jp/data/china/image_1904th/79344714.pdf", "79344714")</f>
        <v>79344714</v>
      </c>
      <c r="F616" s="11" t="s">
        <v>1893</v>
      </c>
      <c r="G616" s="11" t="s">
        <v>1894</v>
      </c>
      <c r="H616" s="11" t="s">
        <v>1895</v>
      </c>
      <c r="I616" s="11" t="s">
        <v>168</v>
      </c>
    </row>
    <row r="617" spans="1:9" x14ac:dyDescent="0.15">
      <c r="A617" s="10">
        <v>616</v>
      </c>
      <c r="B617" s="11" t="s">
        <v>9</v>
      </c>
      <c r="C617" s="11" t="s">
        <v>170</v>
      </c>
      <c r="D617" s="11" t="s">
        <v>171</v>
      </c>
      <c r="E617" s="9" t="str">
        <f>+HYPERLINK("http://trademark.i-assist.jp/data/china/image_1904th/79345091.pdf", "79345091")</f>
        <v>79345091</v>
      </c>
      <c r="F617" s="11" t="s">
        <v>1896</v>
      </c>
      <c r="G617" s="11" t="s">
        <v>1897</v>
      </c>
      <c r="H617" s="11" t="s">
        <v>1898</v>
      </c>
      <c r="I617" s="11" t="s">
        <v>168</v>
      </c>
    </row>
    <row r="618" spans="1:9" x14ac:dyDescent="0.15">
      <c r="A618" s="10">
        <v>617</v>
      </c>
      <c r="B618" s="11" t="s">
        <v>9</v>
      </c>
      <c r="C618" s="11" t="s">
        <v>170</v>
      </c>
      <c r="D618" s="11" t="s">
        <v>171</v>
      </c>
      <c r="E618" s="9" t="str">
        <f>+HYPERLINK("http://trademark.i-assist.jp/data/china/image_1904th/79345165.pdf", "79345165")</f>
        <v>79345165</v>
      </c>
      <c r="F618" s="11" t="s">
        <v>1899</v>
      </c>
      <c r="G618" s="11" t="s">
        <v>1860</v>
      </c>
      <c r="H618" s="11" t="s">
        <v>1900</v>
      </c>
      <c r="I618" s="11" t="s">
        <v>168</v>
      </c>
    </row>
    <row r="619" spans="1:9" x14ac:dyDescent="0.15">
      <c r="A619" s="10">
        <v>618</v>
      </c>
      <c r="B619" s="11" t="s">
        <v>9</v>
      </c>
      <c r="C619" s="11" t="s">
        <v>170</v>
      </c>
      <c r="D619" s="11" t="s">
        <v>171</v>
      </c>
      <c r="E619" s="9" t="str">
        <f>+HYPERLINK("http://trademark.i-assist.jp/data/china/image_1904th/79345271.pdf", "79345271")</f>
        <v>79345271</v>
      </c>
      <c r="F619" s="11" t="s">
        <v>1901</v>
      </c>
      <c r="G619" s="11" t="s">
        <v>1902</v>
      </c>
      <c r="H619" s="11" t="s">
        <v>1903</v>
      </c>
      <c r="I619" s="11" t="s">
        <v>168</v>
      </c>
    </row>
    <row r="620" spans="1:9" x14ac:dyDescent="0.15">
      <c r="A620" s="10">
        <v>619</v>
      </c>
      <c r="B620" s="11" t="s">
        <v>9</v>
      </c>
      <c r="C620" s="11" t="s">
        <v>170</v>
      </c>
      <c r="D620" s="11" t="s">
        <v>171</v>
      </c>
      <c r="E620" s="9" t="str">
        <f>+HYPERLINK("http://trademark.i-assist.jp/data/china/image_1904th/79345507.pdf", "79345507")</f>
        <v>79345507</v>
      </c>
      <c r="F620" s="11" t="s">
        <v>1904</v>
      </c>
      <c r="G620" s="11" t="s">
        <v>98</v>
      </c>
      <c r="H620" s="11" t="s">
        <v>1905</v>
      </c>
      <c r="I620" s="11" t="s">
        <v>168</v>
      </c>
    </row>
    <row r="621" spans="1:9" x14ac:dyDescent="0.15">
      <c r="A621" s="10">
        <v>620</v>
      </c>
      <c r="B621" s="11" t="s">
        <v>9</v>
      </c>
      <c r="C621" s="11" t="s">
        <v>170</v>
      </c>
      <c r="D621" s="11" t="s">
        <v>171</v>
      </c>
      <c r="E621" s="9" t="str">
        <f>+HYPERLINK("http://trademark.i-assist.jp/data/china/image_1904th/79346102.pdf", "79346102")</f>
        <v>79346102</v>
      </c>
      <c r="F621" s="11" t="s">
        <v>1906</v>
      </c>
      <c r="G621" s="11" t="s">
        <v>1907</v>
      </c>
      <c r="H621" s="11" t="s">
        <v>1908</v>
      </c>
      <c r="I621" s="11" t="s">
        <v>168</v>
      </c>
    </row>
    <row r="622" spans="1:9" x14ac:dyDescent="0.15">
      <c r="A622" s="10">
        <v>621</v>
      </c>
      <c r="B622" s="11" t="s">
        <v>9</v>
      </c>
      <c r="C622" s="11" t="s">
        <v>170</v>
      </c>
      <c r="D622" s="11" t="s">
        <v>171</v>
      </c>
      <c r="E622" s="9" t="str">
        <f>+HYPERLINK("http://trademark.i-assist.jp/data/china/image_1904th/79346177.pdf", "79346177")</f>
        <v>79346177</v>
      </c>
      <c r="F622" s="11" t="s">
        <v>1909</v>
      </c>
      <c r="G622" s="11" t="s">
        <v>1910</v>
      </c>
      <c r="H622" s="11" t="s">
        <v>1911</v>
      </c>
      <c r="I622" s="11" t="s">
        <v>168</v>
      </c>
    </row>
    <row r="623" spans="1:9" x14ac:dyDescent="0.15">
      <c r="A623" s="10">
        <v>622</v>
      </c>
      <c r="B623" s="11" t="s">
        <v>9</v>
      </c>
      <c r="C623" s="11" t="s">
        <v>170</v>
      </c>
      <c r="D623" s="11" t="s">
        <v>171</v>
      </c>
      <c r="E623" s="9" t="str">
        <f>+HYPERLINK("http://trademark.i-assist.jp/data/china/image_1904th/79346234.pdf", "79346234")</f>
        <v>79346234</v>
      </c>
      <c r="F623" s="11" t="s">
        <v>1912</v>
      </c>
      <c r="G623" s="11" t="s">
        <v>1913</v>
      </c>
      <c r="H623" s="11" t="s">
        <v>1914</v>
      </c>
      <c r="I623" s="11" t="s">
        <v>168</v>
      </c>
    </row>
    <row r="624" spans="1:9" x14ac:dyDescent="0.15">
      <c r="A624" s="10">
        <v>623</v>
      </c>
      <c r="B624" s="11" t="s">
        <v>9</v>
      </c>
      <c r="C624" s="11" t="s">
        <v>170</v>
      </c>
      <c r="D624" s="11" t="s">
        <v>171</v>
      </c>
      <c r="E624" s="9" t="str">
        <f>+HYPERLINK("http://trademark.i-assist.jp/data/china/image_1904th/79346452.pdf", "79346452")</f>
        <v>79346452</v>
      </c>
      <c r="F624" s="11" t="s">
        <v>1915</v>
      </c>
      <c r="G624" s="11" t="s">
        <v>1916</v>
      </c>
      <c r="H624" s="11" t="s">
        <v>1917</v>
      </c>
      <c r="I624" s="11" t="s">
        <v>168</v>
      </c>
    </row>
    <row r="625" spans="1:9" x14ac:dyDescent="0.15">
      <c r="A625" s="10">
        <v>624</v>
      </c>
      <c r="B625" s="11" t="s">
        <v>9</v>
      </c>
      <c r="C625" s="11" t="s">
        <v>170</v>
      </c>
      <c r="D625" s="11" t="s">
        <v>171</v>
      </c>
      <c r="E625" s="9" t="str">
        <f>+HYPERLINK("http://trademark.i-assist.jp/data/china/image_1904th/79346657.pdf", "79346657")</f>
        <v>79346657</v>
      </c>
      <c r="F625" s="11" t="s">
        <v>1918</v>
      </c>
      <c r="G625" s="11" t="s">
        <v>1757</v>
      </c>
      <c r="H625" s="11" t="s">
        <v>1919</v>
      </c>
      <c r="I625" s="11" t="s">
        <v>168</v>
      </c>
    </row>
    <row r="626" spans="1:9" x14ac:dyDescent="0.15">
      <c r="A626" s="10">
        <v>625</v>
      </c>
      <c r="B626" s="11" t="s">
        <v>9</v>
      </c>
      <c r="C626" s="11" t="s">
        <v>170</v>
      </c>
      <c r="D626" s="11" t="s">
        <v>171</v>
      </c>
      <c r="E626" s="9" t="str">
        <f>+HYPERLINK("http://trademark.i-assist.jp/data/china/image_1904th/79346933.pdf", "79346933")</f>
        <v>79346933</v>
      </c>
      <c r="F626" s="11" t="s">
        <v>1920</v>
      </c>
      <c r="G626" s="11" t="s">
        <v>1863</v>
      </c>
      <c r="H626" s="11" t="s">
        <v>1921</v>
      </c>
      <c r="I626" s="11" t="s">
        <v>168</v>
      </c>
    </row>
    <row r="627" spans="1:9" x14ac:dyDescent="0.15">
      <c r="A627" s="10">
        <v>626</v>
      </c>
      <c r="B627" s="11" t="s">
        <v>9</v>
      </c>
      <c r="C627" s="11" t="s">
        <v>170</v>
      </c>
      <c r="D627" s="11" t="s">
        <v>171</v>
      </c>
      <c r="E627" s="9" t="str">
        <f>+HYPERLINK("http://trademark.i-assist.jp/data/china/image_1904th/79347480.pdf", "79347480")</f>
        <v>79347480</v>
      </c>
      <c r="F627" s="11" t="s">
        <v>1922</v>
      </c>
      <c r="G627" s="11" t="s">
        <v>1923</v>
      </c>
      <c r="H627" s="11" t="s">
        <v>1924</v>
      </c>
      <c r="I627" s="11" t="s">
        <v>168</v>
      </c>
    </row>
    <row r="628" spans="1:9" x14ac:dyDescent="0.15">
      <c r="A628" s="10">
        <v>627</v>
      </c>
      <c r="B628" s="11" t="s">
        <v>9</v>
      </c>
      <c r="C628" s="11" t="s">
        <v>170</v>
      </c>
      <c r="D628" s="11" t="s">
        <v>171</v>
      </c>
      <c r="E628" s="9" t="str">
        <f>+HYPERLINK("http://trademark.i-assist.jp/data/china/image_1904th/79347610.pdf", "79347610")</f>
        <v>79347610</v>
      </c>
      <c r="F628" s="11" t="s">
        <v>1925</v>
      </c>
      <c r="G628" s="11" t="s">
        <v>1926</v>
      </c>
      <c r="H628" s="11" t="s">
        <v>1927</v>
      </c>
      <c r="I628" s="11" t="s">
        <v>168</v>
      </c>
    </row>
    <row r="629" spans="1:9" x14ac:dyDescent="0.15">
      <c r="A629" s="10">
        <v>628</v>
      </c>
      <c r="B629" s="11" t="s">
        <v>9</v>
      </c>
      <c r="C629" s="11" t="s">
        <v>170</v>
      </c>
      <c r="D629" s="11" t="s">
        <v>171</v>
      </c>
      <c r="E629" s="9" t="str">
        <f>+HYPERLINK("http://trademark.i-assist.jp/data/china/image_1904th/79348068.pdf", "79348068")</f>
        <v>79348068</v>
      </c>
      <c r="F629" s="11" t="s">
        <v>1928</v>
      </c>
      <c r="G629" s="11" t="s">
        <v>1929</v>
      </c>
      <c r="H629" s="11" t="s">
        <v>1930</v>
      </c>
      <c r="I629" s="11" t="s">
        <v>168</v>
      </c>
    </row>
    <row r="630" spans="1:9" x14ac:dyDescent="0.15">
      <c r="A630" s="10">
        <v>629</v>
      </c>
      <c r="B630" s="11" t="s">
        <v>9</v>
      </c>
      <c r="C630" s="11" t="s">
        <v>170</v>
      </c>
      <c r="D630" s="11" t="s">
        <v>171</v>
      </c>
      <c r="E630" s="9" t="str">
        <f>+HYPERLINK("http://trademark.i-assist.jp/data/china/image_1904th/79348487.pdf", "79348487")</f>
        <v>79348487</v>
      </c>
      <c r="F630" s="11" t="s">
        <v>1931</v>
      </c>
      <c r="G630" s="11" t="s">
        <v>1932</v>
      </c>
      <c r="H630" s="11" t="s">
        <v>1933</v>
      </c>
      <c r="I630" s="11" t="s">
        <v>168</v>
      </c>
    </row>
    <row r="631" spans="1:9" x14ac:dyDescent="0.15">
      <c r="A631" s="10">
        <v>630</v>
      </c>
      <c r="B631" s="11" t="s">
        <v>9</v>
      </c>
      <c r="C631" s="11" t="s">
        <v>170</v>
      </c>
      <c r="D631" s="11" t="s">
        <v>171</v>
      </c>
      <c r="E631" s="9" t="str">
        <f>+HYPERLINK("http://trademark.i-assist.jp/data/china/image_1904th/79349312.pdf", "79349312")</f>
        <v>79349312</v>
      </c>
      <c r="F631" s="11" t="s">
        <v>1934</v>
      </c>
      <c r="G631" s="11" t="s">
        <v>1935</v>
      </c>
      <c r="H631" s="11" t="s">
        <v>1936</v>
      </c>
      <c r="I631" s="11" t="s">
        <v>1937</v>
      </c>
    </row>
    <row r="632" spans="1:9" x14ac:dyDescent="0.15">
      <c r="A632" s="10">
        <v>631</v>
      </c>
      <c r="B632" s="11" t="s">
        <v>9</v>
      </c>
      <c r="C632" s="11" t="s">
        <v>170</v>
      </c>
      <c r="D632" s="11" t="s">
        <v>171</v>
      </c>
      <c r="E632" s="9" t="str">
        <f>+HYPERLINK("http://trademark.i-assist.jp/data/china/image_1904th/79349388.pdf", "79349388")</f>
        <v>79349388</v>
      </c>
      <c r="F632" s="11" t="s">
        <v>1938</v>
      </c>
      <c r="G632" s="11" t="s">
        <v>1939</v>
      </c>
      <c r="H632" s="11" t="s">
        <v>1940</v>
      </c>
      <c r="I632" s="11" t="s">
        <v>1937</v>
      </c>
    </row>
    <row r="633" spans="1:9" x14ac:dyDescent="0.15">
      <c r="A633" s="10">
        <v>632</v>
      </c>
      <c r="B633" s="11" t="s">
        <v>9</v>
      </c>
      <c r="C633" s="11" t="s">
        <v>170</v>
      </c>
      <c r="D633" s="11" t="s">
        <v>171</v>
      </c>
      <c r="E633" s="9" t="str">
        <f>+HYPERLINK("http://trademark.i-assist.jp/data/china/image_1904th/79349621.pdf", "79349621")</f>
        <v>79349621</v>
      </c>
      <c r="F633" s="11" t="s">
        <v>1941</v>
      </c>
      <c r="G633" s="11" t="s">
        <v>1942</v>
      </c>
      <c r="H633" s="11" t="s">
        <v>1943</v>
      </c>
      <c r="I633" s="11" t="s">
        <v>1937</v>
      </c>
    </row>
    <row r="634" spans="1:9" x14ac:dyDescent="0.15">
      <c r="A634" s="10">
        <v>633</v>
      </c>
      <c r="B634" s="11" t="s">
        <v>9</v>
      </c>
      <c r="C634" s="11" t="s">
        <v>170</v>
      </c>
      <c r="D634" s="11" t="s">
        <v>171</v>
      </c>
      <c r="E634" s="9" t="str">
        <f>+HYPERLINK("http://trademark.i-assist.jp/data/china/image_1904th/79349952.pdf", "79349952")</f>
        <v>79349952</v>
      </c>
      <c r="F634" s="11" t="s">
        <v>1944</v>
      </c>
      <c r="G634" s="11" t="s">
        <v>1945</v>
      </c>
      <c r="H634" s="11" t="s">
        <v>1946</v>
      </c>
      <c r="I634" s="11" t="s">
        <v>1937</v>
      </c>
    </row>
    <row r="635" spans="1:9" x14ac:dyDescent="0.15">
      <c r="A635" s="10">
        <v>634</v>
      </c>
      <c r="B635" s="11" t="s">
        <v>9</v>
      </c>
      <c r="C635" s="11" t="s">
        <v>170</v>
      </c>
      <c r="D635" s="11" t="s">
        <v>171</v>
      </c>
      <c r="E635" s="9" t="str">
        <f>+HYPERLINK("http://trademark.i-assist.jp/data/china/image_1904th/79351266.pdf", "79351266")</f>
        <v>79351266</v>
      </c>
      <c r="F635" s="11" t="s">
        <v>1947</v>
      </c>
      <c r="G635" s="11" t="s">
        <v>1948</v>
      </c>
      <c r="H635" s="11" t="s">
        <v>1949</v>
      </c>
      <c r="I635" s="11" t="s">
        <v>1937</v>
      </c>
    </row>
    <row r="636" spans="1:9" x14ac:dyDescent="0.15">
      <c r="A636" s="10">
        <v>635</v>
      </c>
      <c r="B636" s="11" t="s">
        <v>9</v>
      </c>
      <c r="C636" s="11" t="s">
        <v>170</v>
      </c>
      <c r="D636" s="11" t="s">
        <v>171</v>
      </c>
      <c r="E636" s="9" t="str">
        <f>+HYPERLINK("http://trademark.i-assist.jp/data/china/image_1904th/79351312.pdf", "79351312")</f>
        <v>79351312</v>
      </c>
      <c r="F636" s="11" t="s">
        <v>1950</v>
      </c>
      <c r="G636" s="11" t="s">
        <v>1951</v>
      </c>
      <c r="H636" s="11" t="s">
        <v>1952</v>
      </c>
      <c r="I636" s="11" t="s">
        <v>1937</v>
      </c>
    </row>
    <row r="637" spans="1:9" x14ac:dyDescent="0.15">
      <c r="A637" s="10">
        <v>636</v>
      </c>
      <c r="B637" s="11" t="s">
        <v>9</v>
      </c>
      <c r="C637" s="11" t="s">
        <v>170</v>
      </c>
      <c r="D637" s="11" t="s">
        <v>171</v>
      </c>
      <c r="E637" s="9" t="str">
        <f>+HYPERLINK("http://trademark.i-assist.jp/data/china/image_1904th/79351543.pdf", "79351543")</f>
        <v>79351543</v>
      </c>
      <c r="F637" s="11" t="s">
        <v>1953</v>
      </c>
      <c r="G637" s="11" t="s">
        <v>1954</v>
      </c>
      <c r="H637" s="11" t="s">
        <v>1955</v>
      </c>
      <c r="I637" s="11" t="s">
        <v>1937</v>
      </c>
    </row>
    <row r="638" spans="1:9" x14ac:dyDescent="0.15">
      <c r="A638" s="10">
        <v>637</v>
      </c>
      <c r="B638" s="11" t="s">
        <v>9</v>
      </c>
      <c r="C638" s="11" t="s">
        <v>170</v>
      </c>
      <c r="D638" s="11" t="s">
        <v>171</v>
      </c>
      <c r="E638" s="9" t="str">
        <f>+HYPERLINK("http://trademark.i-assist.jp/data/china/image_1904th/79351752.pdf", "79351752")</f>
        <v>79351752</v>
      </c>
      <c r="F638" s="11" t="s">
        <v>1956</v>
      </c>
      <c r="G638" s="11" t="s">
        <v>1957</v>
      </c>
      <c r="H638" s="11" t="s">
        <v>1958</v>
      </c>
      <c r="I638" s="11" t="s">
        <v>1937</v>
      </c>
    </row>
    <row r="639" spans="1:9" x14ac:dyDescent="0.15">
      <c r="A639" s="10">
        <v>638</v>
      </c>
      <c r="B639" s="11" t="s">
        <v>9</v>
      </c>
      <c r="C639" s="11" t="s">
        <v>170</v>
      </c>
      <c r="D639" s="11" t="s">
        <v>171</v>
      </c>
      <c r="E639" s="9" t="str">
        <f>+HYPERLINK("http://trademark.i-assist.jp/data/china/image_1904th/79352495.pdf", "79352495")</f>
        <v>79352495</v>
      </c>
      <c r="F639" s="11" t="s">
        <v>1959</v>
      </c>
      <c r="G639" s="11" t="s">
        <v>1960</v>
      </c>
      <c r="H639" s="11" t="s">
        <v>1961</v>
      </c>
      <c r="I639" s="11" t="s">
        <v>1937</v>
      </c>
    </row>
    <row r="640" spans="1:9" x14ac:dyDescent="0.15">
      <c r="A640" s="10">
        <v>639</v>
      </c>
      <c r="B640" s="11" t="s">
        <v>9</v>
      </c>
      <c r="C640" s="11" t="s">
        <v>170</v>
      </c>
      <c r="D640" s="11" t="s">
        <v>171</v>
      </c>
      <c r="E640" s="9" t="str">
        <f>+HYPERLINK("http://trademark.i-assist.jp/data/china/image_1904th/79353586.pdf", "79353586")</f>
        <v>79353586</v>
      </c>
      <c r="F640" s="11" t="s">
        <v>1962</v>
      </c>
      <c r="G640" s="11" t="s">
        <v>1963</v>
      </c>
      <c r="H640" s="11" t="s">
        <v>1964</v>
      </c>
      <c r="I640" s="11" t="s">
        <v>1937</v>
      </c>
    </row>
    <row r="641" spans="1:9" x14ac:dyDescent="0.15">
      <c r="A641" s="10">
        <v>640</v>
      </c>
      <c r="B641" s="11" t="s">
        <v>9</v>
      </c>
      <c r="C641" s="11" t="s">
        <v>170</v>
      </c>
      <c r="D641" s="11" t="s">
        <v>171</v>
      </c>
      <c r="E641" s="9" t="str">
        <f>+HYPERLINK("http://trademark.i-assist.jp/data/china/image_1904th/79354155.pdf", "79354155")</f>
        <v>79354155</v>
      </c>
      <c r="F641" s="11" t="s">
        <v>1965</v>
      </c>
      <c r="G641" s="11" t="s">
        <v>1966</v>
      </c>
      <c r="H641" s="11" t="s">
        <v>1967</v>
      </c>
      <c r="I641" s="11" t="s">
        <v>1937</v>
      </c>
    </row>
    <row r="642" spans="1:9" x14ac:dyDescent="0.15">
      <c r="A642" s="10">
        <v>641</v>
      </c>
      <c r="B642" s="11" t="s">
        <v>9</v>
      </c>
      <c r="C642" s="11" t="s">
        <v>170</v>
      </c>
      <c r="D642" s="11" t="s">
        <v>171</v>
      </c>
      <c r="E642" s="9" t="str">
        <f>+HYPERLINK("http://trademark.i-assist.jp/data/china/image_1904th/79354526.pdf", "79354526")</f>
        <v>79354526</v>
      </c>
      <c r="F642" s="11" t="s">
        <v>1968</v>
      </c>
      <c r="G642" s="11" t="s">
        <v>1969</v>
      </c>
      <c r="H642" s="11" t="s">
        <v>1970</v>
      </c>
      <c r="I642" s="11" t="s">
        <v>1937</v>
      </c>
    </row>
    <row r="643" spans="1:9" x14ac:dyDescent="0.15">
      <c r="A643" s="10">
        <v>642</v>
      </c>
      <c r="B643" s="11" t="s">
        <v>9</v>
      </c>
      <c r="C643" s="11" t="s">
        <v>170</v>
      </c>
      <c r="D643" s="11" t="s">
        <v>171</v>
      </c>
      <c r="E643" s="9" t="str">
        <f>+HYPERLINK("http://trademark.i-assist.jp/data/china/image_1904th/79356715.pdf", "79356715")</f>
        <v>79356715</v>
      </c>
      <c r="F643" s="11" t="s">
        <v>1971</v>
      </c>
      <c r="G643" s="11" t="s">
        <v>1972</v>
      </c>
      <c r="H643" s="11" t="s">
        <v>1973</v>
      </c>
      <c r="I643" s="11" t="s">
        <v>1937</v>
      </c>
    </row>
    <row r="644" spans="1:9" x14ac:dyDescent="0.15">
      <c r="A644" s="10">
        <v>643</v>
      </c>
      <c r="B644" s="11" t="s">
        <v>9</v>
      </c>
      <c r="C644" s="11" t="s">
        <v>170</v>
      </c>
      <c r="D644" s="11" t="s">
        <v>171</v>
      </c>
      <c r="E644" s="9" t="str">
        <f>+HYPERLINK("http://trademark.i-assist.jp/data/china/image_1904th/79357299.pdf", "79357299")</f>
        <v>79357299</v>
      </c>
      <c r="F644" s="11" t="s">
        <v>1974</v>
      </c>
      <c r="G644" s="11" t="s">
        <v>1975</v>
      </c>
      <c r="H644" s="11" t="s">
        <v>1976</v>
      </c>
      <c r="I644" s="11" t="s">
        <v>1937</v>
      </c>
    </row>
    <row r="645" spans="1:9" x14ac:dyDescent="0.15">
      <c r="A645" s="10">
        <v>644</v>
      </c>
      <c r="B645" s="11" t="s">
        <v>9</v>
      </c>
      <c r="C645" s="11" t="s">
        <v>170</v>
      </c>
      <c r="D645" s="11" t="s">
        <v>171</v>
      </c>
      <c r="E645" s="9" t="str">
        <f>+HYPERLINK("http://trademark.i-assist.jp/data/china/image_1904th/79359134.pdf", "79359134")</f>
        <v>79359134</v>
      </c>
      <c r="F645" s="11" t="s">
        <v>1977</v>
      </c>
      <c r="G645" s="11" t="s">
        <v>1978</v>
      </c>
      <c r="H645" s="11" t="s">
        <v>1979</v>
      </c>
      <c r="I645" s="11" t="s">
        <v>1937</v>
      </c>
    </row>
    <row r="646" spans="1:9" x14ac:dyDescent="0.15">
      <c r="A646" s="10">
        <v>645</v>
      </c>
      <c r="B646" s="11" t="s">
        <v>9</v>
      </c>
      <c r="C646" s="11" t="s">
        <v>170</v>
      </c>
      <c r="D646" s="11" t="s">
        <v>171</v>
      </c>
      <c r="E646" s="9" t="str">
        <f>+HYPERLINK("http://trademark.i-assist.jp/data/china/image_1904th/79359717.pdf", "79359717")</f>
        <v>79359717</v>
      </c>
      <c r="F646" s="11" t="s">
        <v>1980</v>
      </c>
      <c r="G646" s="11" t="s">
        <v>1981</v>
      </c>
      <c r="H646" s="11" t="s">
        <v>1982</v>
      </c>
      <c r="I646" s="11" t="s">
        <v>1937</v>
      </c>
    </row>
    <row r="647" spans="1:9" x14ac:dyDescent="0.15">
      <c r="A647" s="10">
        <v>646</v>
      </c>
      <c r="B647" s="11" t="s">
        <v>9</v>
      </c>
      <c r="C647" s="11" t="s">
        <v>170</v>
      </c>
      <c r="D647" s="11" t="s">
        <v>171</v>
      </c>
      <c r="E647" s="9" t="str">
        <f>+HYPERLINK("http://trademark.i-assist.jp/data/china/image_1904th/79359983.pdf", "79359983")</f>
        <v>79359983</v>
      </c>
      <c r="F647" s="11" t="s">
        <v>1983</v>
      </c>
      <c r="G647" s="11" t="s">
        <v>1984</v>
      </c>
      <c r="H647" s="11" t="s">
        <v>1985</v>
      </c>
      <c r="I647" s="11" t="s">
        <v>1937</v>
      </c>
    </row>
    <row r="648" spans="1:9" x14ac:dyDescent="0.15">
      <c r="A648" s="10">
        <v>647</v>
      </c>
      <c r="B648" s="11" t="s">
        <v>9</v>
      </c>
      <c r="C648" s="11" t="s">
        <v>170</v>
      </c>
      <c r="D648" s="11" t="s">
        <v>171</v>
      </c>
      <c r="E648" s="9" t="str">
        <f>+HYPERLINK("http://trademark.i-assist.jp/data/china/image_1904th/79360029.pdf", "79360029")</f>
        <v>79360029</v>
      </c>
      <c r="F648" s="11" t="s">
        <v>1986</v>
      </c>
      <c r="G648" s="11" t="s">
        <v>1987</v>
      </c>
      <c r="H648" s="11" t="s">
        <v>1988</v>
      </c>
      <c r="I648" s="11" t="s">
        <v>1937</v>
      </c>
    </row>
    <row r="649" spans="1:9" x14ac:dyDescent="0.15">
      <c r="A649" s="10">
        <v>648</v>
      </c>
      <c r="B649" s="11" t="s">
        <v>9</v>
      </c>
      <c r="C649" s="11" t="s">
        <v>170</v>
      </c>
      <c r="D649" s="11" t="s">
        <v>171</v>
      </c>
      <c r="E649" s="9" t="str">
        <f>+HYPERLINK("http://trademark.i-assist.jp/data/china/image_1904th/79360420.pdf", "79360420")</f>
        <v>79360420</v>
      </c>
      <c r="F649" s="11" t="s">
        <v>1989</v>
      </c>
      <c r="G649" s="11" t="s">
        <v>803</v>
      </c>
      <c r="H649" s="11" t="s">
        <v>1990</v>
      </c>
      <c r="I649" s="11" t="s">
        <v>1937</v>
      </c>
    </row>
    <row r="650" spans="1:9" x14ac:dyDescent="0.15">
      <c r="A650" s="10">
        <v>649</v>
      </c>
      <c r="B650" s="11" t="s">
        <v>9</v>
      </c>
      <c r="C650" s="11" t="s">
        <v>170</v>
      </c>
      <c r="D650" s="11" t="s">
        <v>171</v>
      </c>
      <c r="E650" s="9" t="str">
        <f>+HYPERLINK("http://trademark.i-assist.jp/data/china/image_1904th/79360573.pdf", "79360573")</f>
        <v>79360573</v>
      </c>
      <c r="F650" s="11" t="s">
        <v>1991</v>
      </c>
      <c r="G650" s="11" t="s">
        <v>1992</v>
      </c>
      <c r="H650" s="11" t="s">
        <v>1993</v>
      </c>
      <c r="I650" s="11" t="s">
        <v>1937</v>
      </c>
    </row>
    <row r="651" spans="1:9" x14ac:dyDescent="0.15">
      <c r="A651" s="10">
        <v>650</v>
      </c>
      <c r="B651" s="11" t="s">
        <v>9</v>
      </c>
      <c r="C651" s="11" t="s">
        <v>170</v>
      </c>
      <c r="D651" s="11" t="s">
        <v>171</v>
      </c>
      <c r="E651" s="9" t="str">
        <f>+HYPERLINK("http://trademark.i-assist.jp/data/china/image_1904th/79360971.pdf", "79360971")</f>
        <v>79360971</v>
      </c>
      <c r="F651" s="11" t="s">
        <v>1994</v>
      </c>
      <c r="G651" s="11" t="s">
        <v>125</v>
      </c>
      <c r="H651" s="11" t="s">
        <v>1995</v>
      </c>
      <c r="I651" s="11" t="s">
        <v>1937</v>
      </c>
    </row>
    <row r="652" spans="1:9" x14ac:dyDescent="0.15">
      <c r="A652" s="10">
        <v>651</v>
      </c>
      <c r="B652" s="11" t="s">
        <v>9</v>
      </c>
      <c r="C652" s="11" t="s">
        <v>170</v>
      </c>
      <c r="D652" s="11" t="s">
        <v>171</v>
      </c>
      <c r="E652" s="9" t="str">
        <f>+HYPERLINK("http://trademark.i-assist.jp/data/china/image_1904th/79361311.pdf", "79361311")</f>
        <v>79361311</v>
      </c>
      <c r="F652" s="11" t="s">
        <v>1996</v>
      </c>
      <c r="G652" s="11" t="s">
        <v>1997</v>
      </c>
      <c r="H652" s="11" t="s">
        <v>1998</v>
      </c>
      <c r="I652" s="11" t="s">
        <v>1937</v>
      </c>
    </row>
    <row r="653" spans="1:9" x14ac:dyDescent="0.15">
      <c r="A653" s="10">
        <v>652</v>
      </c>
      <c r="B653" s="11" t="s">
        <v>9</v>
      </c>
      <c r="C653" s="11" t="s">
        <v>170</v>
      </c>
      <c r="D653" s="11" t="s">
        <v>171</v>
      </c>
      <c r="E653" s="9" t="str">
        <f>+HYPERLINK("http://trademark.i-assist.jp/data/china/image_1904th/79361506.pdf", "79361506")</f>
        <v>79361506</v>
      </c>
      <c r="F653" s="11" t="s">
        <v>1999</v>
      </c>
      <c r="G653" s="11" t="s">
        <v>1954</v>
      </c>
      <c r="H653" s="11" t="s">
        <v>2000</v>
      </c>
      <c r="I653" s="11" t="s">
        <v>1937</v>
      </c>
    </row>
    <row r="654" spans="1:9" x14ac:dyDescent="0.15">
      <c r="A654" s="10">
        <v>653</v>
      </c>
      <c r="B654" s="11" t="s">
        <v>9</v>
      </c>
      <c r="C654" s="11" t="s">
        <v>170</v>
      </c>
      <c r="D654" s="11" t="s">
        <v>171</v>
      </c>
      <c r="E654" s="9" t="str">
        <f>+HYPERLINK("http://trademark.i-assist.jp/data/china/image_1904th/79361720.pdf", "79361720")</f>
        <v>79361720</v>
      </c>
      <c r="F654" s="11" t="s">
        <v>2001</v>
      </c>
      <c r="G654" s="11" t="s">
        <v>159</v>
      </c>
      <c r="H654" s="11" t="s">
        <v>2002</v>
      </c>
      <c r="I654" s="11" t="s">
        <v>1937</v>
      </c>
    </row>
    <row r="655" spans="1:9" x14ac:dyDescent="0.15">
      <c r="A655" s="10">
        <v>654</v>
      </c>
      <c r="B655" s="11" t="s">
        <v>9</v>
      </c>
      <c r="C655" s="11" t="s">
        <v>170</v>
      </c>
      <c r="D655" s="11" t="s">
        <v>171</v>
      </c>
      <c r="E655" s="9" t="str">
        <f>+HYPERLINK("http://trademark.i-assist.jp/data/china/image_1904th/79361826.pdf", "79361826")</f>
        <v>79361826</v>
      </c>
      <c r="F655" s="11" t="s">
        <v>2003</v>
      </c>
      <c r="G655" s="11" t="s">
        <v>2004</v>
      </c>
      <c r="H655" s="11" t="s">
        <v>2005</v>
      </c>
      <c r="I655" s="11" t="s">
        <v>1937</v>
      </c>
    </row>
    <row r="656" spans="1:9" x14ac:dyDescent="0.15">
      <c r="A656" s="10">
        <v>655</v>
      </c>
      <c r="B656" s="11" t="s">
        <v>9</v>
      </c>
      <c r="C656" s="11" t="s">
        <v>170</v>
      </c>
      <c r="D656" s="11" t="s">
        <v>171</v>
      </c>
      <c r="E656" s="9" t="str">
        <f>+HYPERLINK("http://trademark.i-assist.jp/data/china/image_1904th/79362328.pdf", "79362328")</f>
        <v>79362328</v>
      </c>
      <c r="F656" s="11" t="s">
        <v>2006</v>
      </c>
      <c r="G656" s="11" t="s">
        <v>2007</v>
      </c>
      <c r="H656" s="11" t="s">
        <v>2008</v>
      </c>
      <c r="I656" s="11" t="s">
        <v>1937</v>
      </c>
    </row>
    <row r="657" spans="1:9" x14ac:dyDescent="0.15">
      <c r="A657" s="10">
        <v>656</v>
      </c>
      <c r="B657" s="11" t="s">
        <v>9</v>
      </c>
      <c r="C657" s="11" t="s">
        <v>170</v>
      </c>
      <c r="D657" s="11" t="s">
        <v>171</v>
      </c>
      <c r="E657" s="9" t="str">
        <f>+HYPERLINK("http://trademark.i-assist.jp/data/china/image_1904th/79362421.pdf", "79362421")</f>
        <v>79362421</v>
      </c>
      <c r="F657" s="11" t="s">
        <v>2009</v>
      </c>
      <c r="G657" s="11" t="s">
        <v>2010</v>
      </c>
      <c r="H657" s="11" t="s">
        <v>2011</v>
      </c>
      <c r="I657" s="11" t="s">
        <v>1937</v>
      </c>
    </row>
    <row r="658" spans="1:9" x14ac:dyDescent="0.15">
      <c r="A658" s="10">
        <v>657</v>
      </c>
      <c r="B658" s="11" t="s">
        <v>9</v>
      </c>
      <c r="C658" s="11" t="s">
        <v>170</v>
      </c>
      <c r="D658" s="11" t="s">
        <v>171</v>
      </c>
      <c r="E658" s="9" t="str">
        <f>+HYPERLINK("http://trademark.i-assist.jp/data/china/image_1904th/79362478.pdf", "79362478")</f>
        <v>79362478</v>
      </c>
      <c r="F658" s="11" t="s">
        <v>2012</v>
      </c>
      <c r="G658" s="11" t="s">
        <v>96</v>
      </c>
      <c r="H658" s="11" t="s">
        <v>2013</v>
      </c>
      <c r="I658" s="11" t="s">
        <v>1937</v>
      </c>
    </row>
    <row r="659" spans="1:9" x14ac:dyDescent="0.15">
      <c r="A659" s="10">
        <v>658</v>
      </c>
      <c r="B659" s="11" t="s">
        <v>9</v>
      </c>
      <c r="C659" s="11" t="s">
        <v>170</v>
      </c>
      <c r="D659" s="11" t="s">
        <v>171</v>
      </c>
      <c r="E659" s="9" t="str">
        <f>+HYPERLINK("http://trademark.i-assist.jp/data/china/image_1904th/79363064.pdf", "79363064")</f>
        <v>79363064</v>
      </c>
      <c r="F659" s="11" t="s">
        <v>2014</v>
      </c>
      <c r="G659" s="11" t="s">
        <v>2015</v>
      </c>
      <c r="H659" s="11" t="s">
        <v>2016</v>
      </c>
      <c r="I659" s="11" t="s">
        <v>1937</v>
      </c>
    </row>
    <row r="660" spans="1:9" x14ac:dyDescent="0.15">
      <c r="A660" s="10">
        <v>659</v>
      </c>
      <c r="B660" s="11" t="s">
        <v>9</v>
      </c>
      <c r="C660" s="11" t="s">
        <v>170</v>
      </c>
      <c r="D660" s="11" t="s">
        <v>171</v>
      </c>
      <c r="E660" s="9" t="str">
        <f>+HYPERLINK("http://trademark.i-assist.jp/data/china/image_1904th/79363549.pdf", "79363549")</f>
        <v>79363549</v>
      </c>
      <c r="F660" s="11" t="s">
        <v>2017</v>
      </c>
      <c r="G660" s="11" t="s">
        <v>2018</v>
      </c>
      <c r="H660" s="11" t="s">
        <v>2019</v>
      </c>
      <c r="I660" s="11" t="s">
        <v>1937</v>
      </c>
    </row>
    <row r="661" spans="1:9" x14ac:dyDescent="0.15">
      <c r="A661" s="10">
        <v>660</v>
      </c>
      <c r="B661" s="11" t="s">
        <v>9</v>
      </c>
      <c r="C661" s="11" t="s">
        <v>170</v>
      </c>
      <c r="D661" s="11" t="s">
        <v>171</v>
      </c>
      <c r="E661" s="9" t="str">
        <f>+HYPERLINK("http://trademark.i-assist.jp/data/china/image_1904th/79363748.pdf", "79363748")</f>
        <v>79363748</v>
      </c>
      <c r="F661" s="11" t="s">
        <v>2020</v>
      </c>
      <c r="G661" s="11" t="s">
        <v>133</v>
      </c>
      <c r="H661" s="11" t="s">
        <v>2021</v>
      </c>
      <c r="I661" s="11" t="s">
        <v>1937</v>
      </c>
    </row>
    <row r="662" spans="1:9" x14ac:dyDescent="0.15">
      <c r="A662" s="10">
        <v>661</v>
      </c>
      <c r="B662" s="11" t="s">
        <v>9</v>
      </c>
      <c r="C662" s="11" t="s">
        <v>170</v>
      </c>
      <c r="D662" s="11" t="s">
        <v>171</v>
      </c>
      <c r="E662" s="9" t="str">
        <f>+HYPERLINK("http://trademark.i-assist.jp/data/china/image_1904th/79363837.pdf", "79363837")</f>
        <v>79363837</v>
      </c>
      <c r="F662" s="11" t="s">
        <v>2022</v>
      </c>
      <c r="G662" s="11" t="s">
        <v>2023</v>
      </c>
      <c r="H662" s="11" t="s">
        <v>2024</v>
      </c>
      <c r="I662" s="11" t="s">
        <v>1937</v>
      </c>
    </row>
    <row r="663" spans="1:9" x14ac:dyDescent="0.15">
      <c r="A663" s="10">
        <v>662</v>
      </c>
      <c r="B663" s="11" t="s">
        <v>9</v>
      </c>
      <c r="C663" s="11" t="s">
        <v>170</v>
      </c>
      <c r="D663" s="11" t="s">
        <v>171</v>
      </c>
      <c r="E663" s="9" t="str">
        <f>+HYPERLINK("http://trademark.i-assist.jp/data/china/image_1904th/79364635.pdf", "79364635")</f>
        <v>79364635</v>
      </c>
      <c r="F663" s="11" t="s">
        <v>2025</v>
      </c>
      <c r="G663" s="11" t="s">
        <v>2026</v>
      </c>
      <c r="H663" s="11" t="s">
        <v>2027</v>
      </c>
      <c r="I663" s="11" t="s">
        <v>1937</v>
      </c>
    </row>
    <row r="664" spans="1:9" x14ac:dyDescent="0.15">
      <c r="A664" s="10">
        <v>663</v>
      </c>
      <c r="B664" s="11" t="s">
        <v>9</v>
      </c>
      <c r="C664" s="11" t="s">
        <v>170</v>
      </c>
      <c r="D664" s="11" t="s">
        <v>171</v>
      </c>
      <c r="E664" s="9" t="str">
        <f>+HYPERLINK("http://trademark.i-assist.jp/data/china/image_1904th/79365017.pdf", "79365017")</f>
        <v>79365017</v>
      </c>
      <c r="F664" s="11" t="s">
        <v>2028</v>
      </c>
      <c r="G664" s="11" t="s">
        <v>125</v>
      </c>
      <c r="H664" s="11" t="s">
        <v>2029</v>
      </c>
      <c r="I664" s="11" t="s">
        <v>1937</v>
      </c>
    </row>
    <row r="665" spans="1:9" x14ac:dyDescent="0.15">
      <c r="A665" s="10">
        <v>664</v>
      </c>
      <c r="B665" s="11" t="s">
        <v>9</v>
      </c>
      <c r="C665" s="11" t="s">
        <v>170</v>
      </c>
      <c r="D665" s="11" t="s">
        <v>171</v>
      </c>
      <c r="E665" s="9" t="str">
        <f>+HYPERLINK("http://trademark.i-assist.jp/data/china/image_1904th/79365126.pdf", "79365126")</f>
        <v>79365126</v>
      </c>
      <c r="F665" s="11" t="s">
        <v>2030</v>
      </c>
      <c r="G665" s="11" t="s">
        <v>102</v>
      </c>
      <c r="H665" s="11" t="s">
        <v>2031</v>
      </c>
      <c r="I665" s="11" t="s">
        <v>1937</v>
      </c>
    </row>
    <row r="666" spans="1:9" x14ac:dyDescent="0.15">
      <c r="A666" s="10">
        <v>665</v>
      </c>
      <c r="B666" s="11" t="s">
        <v>9</v>
      </c>
      <c r="C666" s="11" t="s">
        <v>170</v>
      </c>
      <c r="D666" s="11" t="s">
        <v>171</v>
      </c>
      <c r="E666" s="9" t="str">
        <f>+HYPERLINK("http://trademark.i-assist.jp/data/china/image_1904th/79365383.pdf", "79365383")</f>
        <v>79365383</v>
      </c>
      <c r="F666" s="11" t="s">
        <v>2032</v>
      </c>
      <c r="G666" s="11" t="s">
        <v>2033</v>
      </c>
      <c r="H666" s="11" t="s">
        <v>2034</v>
      </c>
      <c r="I666" s="11" t="s">
        <v>1937</v>
      </c>
    </row>
    <row r="667" spans="1:9" x14ac:dyDescent="0.15">
      <c r="A667" s="10">
        <v>666</v>
      </c>
      <c r="B667" s="11" t="s">
        <v>9</v>
      </c>
      <c r="C667" s="11" t="s">
        <v>170</v>
      </c>
      <c r="D667" s="11" t="s">
        <v>171</v>
      </c>
      <c r="E667" s="9" t="str">
        <f>+HYPERLINK("http://trademark.i-assist.jp/data/china/image_1904th/79365548.pdf", "79365548")</f>
        <v>79365548</v>
      </c>
      <c r="F667" s="11" t="s">
        <v>12</v>
      </c>
      <c r="G667" s="11" t="s">
        <v>2035</v>
      </c>
      <c r="H667" s="11" t="s">
        <v>2036</v>
      </c>
      <c r="I667" s="11" t="s">
        <v>1937</v>
      </c>
    </row>
    <row r="668" spans="1:9" x14ac:dyDescent="0.15">
      <c r="A668" s="10">
        <v>667</v>
      </c>
      <c r="B668" s="11" t="s">
        <v>9</v>
      </c>
      <c r="C668" s="11" t="s">
        <v>170</v>
      </c>
      <c r="D668" s="11" t="s">
        <v>171</v>
      </c>
      <c r="E668" s="9" t="str">
        <f>+HYPERLINK("http://trademark.i-assist.jp/data/china/image_1904th/79365764.pdf", "79365764")</f>
        <v>79365764</v>
      </c>
      <c r="F668" s="11" t="s">
        <v>2037</v>
      </c>
      <c r="G668" s="11" t="s">
        <v>2038</v>
      </c>
      <c r="H668" s="11" t="s">
        <v>2039</v>
      </c>
      <c r="I668" s="11" t="s">
        <v>1937</v>
      </c>
    </row>
    <row r="669" spans="1:9" x14ac:dyDescent="0.15">
      <c r="A669" s="10">
        <v>668</v>
      </c>
      <c r="B669" s="11" t="s">
        <v>9</v>
      </c>
      <c r="C669" s="11" t="s">
        <v>170</v>
      </c>
      <c r="D669" s="11" t="s">
        <v>171</v>
      </c>
      <c r="E669" s="9" t="str">
        <f>+HYPERLINK("http://trademark.i-assist.jp/data/china/image_1904th/79366040.pdf", "79366040")</f>
        <v>79366040</v>
      </c>
      <c r="F669" s="11" t="s">
        <v>2040</v>
      </c>
      <c r="G669" s="11" t="s">
        <v>135</v>
      </c>
      <c r="H669" s="11" t="s">
        <v>2041</v>
      </c>
      <c r="I669" s="11" t="s">
        <v>1937</v>
      </c>
    </row>
    <row r="670" spans="1:9" x14ac:dyDescent="0.15">
      <c r="A670" s="10">
        <v>669</v>
      </c>
      <c r="B670" s="11" t="s">
        <v>9</v>
      </c>
      <c r="C670" s="11" t="s">
        <v>170</v>
      </c>
      <c r="D670" s="11" t="s">
        <v>171</v>
      </c>
      <c r="E670" s="9" t="str">
        <f>+HYPERLINK("http://trademark.i-assist.jp/data/china/image_1904th/79366487.pdf", "79366487")</f>
        <v>79366487</v>
      </c>
      <c r="F670" s="11" t="s">
        <v>12</v>
      </c>
      <c r="G670" s="11" t="s">
        <v>2042</v>
      </c>
      <c r="H670" s="11" t="s">
        <v>2043</v>
      </c>
      <c r="I670" s="11" t="s">
        <v>1937</v>
      </c>
    </row>
    <row r="671" spans="1:9" x14ac:dyDescent="0.15">
      <c r="A671" s="10">
        <v>670</v>
      </c>
      <c r="B671" s="11" t="s">
        <v>9</v>
      </c>
      <c r="C671" s="11" t="s">
        <v>170</v>
      </c>
      <c r="D671" s="11" t="s">
        <v>171</v>
      </c>
      <c r="E671" s="9" t="str">
        <f>+HYPERLINK("http://trademark.i-assist.jp/data/china/image_1904th/79366589.pdf", "79366589")</f>
        <v>79366589</v>
      </c>
      <c r="F671" s="11" t="s">
        <v>2044</v>
      </c>
      <c r="G671" s="11" t="s">
        <v>2045</v>
      </c>
      <c r="H671" s="11" t="s">
        <v>2046</v>
      </c>
      <c r="I671" s="11" t="s">
        <v>1937</v>
      </c>
    </row>
    <row r="672" spans="1:9" x14ac:dyDescent="0.15">
      <c r="A672" s="10">
        <v>671</v>
      </c>
      <c r="B672" s="11" t="s">
        <v>9</v>
      </c>
      <c r="C672" s="11" t="s">
        <v>170</v>
      </c>
      <c r="D672" s="11" t="s">
        <v>171</v>
      </c>
      <c r="E672" s="9" t="str">
        <f>+HYPERLINK("http://trademark.i-assist.jp/data/china/image_1904th/79366767.pdf", "79366767")</f>
        <v>79366767</v>
      </c>
      <c r="F672" s="11" t="s">
        <v>2047</v>
      </c>
      <c r="G672" s="11" t="s">
        <v>2048</v>
      </c>
      <c r="H672" s="11" t="s">
        <v>2049</v>
      </c>
      <c r="I672" s="11" t="s">
        <v>1937</v>
      </c>
    </row>
    <row r="673" spans="1:9" x14ac:dyDescent="0.15">
      <c r="A673" s="10">
        <v>672</v>
      </c>
      <c r="B673" s="11" t="s">
        <v>9</v>
      </c>
      <c r="C673" s="11" t="s">
        <v>170</v>
      </c>
      <c r="D673" s="11" t="s">
        <v>171</v>
      </c>
      <c r="E673" s="9" t="str">
        <f>+HYPERLINK("http://trademark.i-assist.jp/data/china/image_1904th/79367469.pdf", "79367469")</f>
        <v>79367469</v>
      </c>
      <c r="F673" s="11" t="s">
        <v>2050</v>
      </c>
      <c r="G673" s="11" t="s">
        <v>1954</v>
      </c>
      <c r="H673" s="11" t="s">
        <v>2051</v>
      </c>
      <c r="I673" s="11" t="s">
        <v>1937</v>
      </c>
    </row>
    <row r="674" spans="1:9" x14ac:dyDescent="0.15">
      <c r="A674" s="10">
        <v>673</v>
      </c>
      <c r="B674" s="11" t="s">
        <v>9</v>
      </c>
      <c r="C674" s="11" t="s">
        <v>170</v>
      </c>
      <c r="D674" s="11" t="s">
        <v>171</v>
      </c>
      <c r="E674" s="9" t="str">
        <f>+HYPERLINK("http://trademark.i-assist.jp/data/china/image_1904th/79367785.pdf", "79367785")</f>
        <v>79367785</v>
      </c>
      <c r="F674" s="11" t="s">
        <v>2052</v>
      </c>
      <c r="G674" s="11" t="s">
        <v>131</v>
      </c>
      <c r="H674" s="11" t="s">
        <v>2053</v>
      </c>
      <c r="I674" s="11" t="s">
        <v>1937</v>
      </c>
    </row>
    <row r="675" spans="1:9" x14ac:dyDescent="0.15">
      <c r="A675" s="10">
        <v>674</v>
      </c>
      <c r="B675" s="11" t="s">
        <v>9</v>
      </c>
      <c r="C675" s="11" t="s">
        <v>170</v>
      </c>
      <c r="D675" s="11" t="s">
        <v>171</v>
      </c>
      <c r="E675" s="9" t="str">
        <f>+HYPERLINK("http://trademark.i-assist.jp/data/china/image_1904th/79368053.pdf", "79368053")</f>
        <v>79368053</v>
      </c>
      <c r="F675" s="11" t="s">
        <v>2054</v>
      </c>
      <c r="G675" s="11" t="s">
        <v>1972</v>
      </c>
      <c r="H675" s="11" t="s">
        <v>2055</v>
      </c>
      <c r="I675" s="11" t="s">
        <v>1937</v>
      </c>
    </row>
    <row r="676" spans="1:9" x14ac:dyDescent="0.15">
      <c r="A676" s="10">
        <v>675</v>
      </c>
      <c r="B676" s="11" t="s">
        <v>9</v>
      </c>
      <c r="C676" s="11" t="s">
        <v>170</v>
      </c>
      <c r="D676" s="11" t="s">
        <v>171</v>
      </c>
      <c r="E676" s="9" t="str">
        <f>+HYPERLINK("http://trademark.i-assist.jp/data/china/image_1904th/79368070.pdf", "79368070")</f>
        <v>79368070</v>
      </c>
      <c r="F676" s="11" t="s">
        <v>2056</v>
      </c>
      <c r="G676" s="11" t="s">
        <v>1972</v>
      </c>
      <c r="H676" s="11" t="s">
        <v>2057</v>
      </c>
      <c r="I676" s="11" t="s">
        <v>1937</v>
      </c>
    </row>
    <row r="677" spans="1:9" x14ac:dyDescent="0.15">
      <c r="A677" s="10">
        <v>676</v>
      </c>
      <c r="B677" s="11" t="s">
        <v>9</v>
      </c>
      <c r="C677" s="11" t="s">
        <v>170</v>
      </c>
      <c r="D677" s="11" t="s">
        <v>171</v>
      </c>
      <c r="E677" s="9" t="str">
        <f>+HYPERLINK("http://trademark.i-assist.jp/data/china/image_1904th/79368890.pdf", "79368890")</f>
        <v>79368890</v>
      </c>
      <c r="F677" s="11" t="s">
        <v>2058</v>
      </c>
      <c r="G677" s="11" t="s">
        <v>2059</v>
      </c>
      <c r="H677" s="11" t="s">
        <v>2060</v>
      </c>
      <c r="I677" s="11" t="s">
        <v>1937</v>
      </c>
    </row>
    <row r="678" spans="1:9" x14ac:dyDescent="0.15">
      <c r="A678" s="10">
        <v>677</v>
      </c>
      <c r="B678" s="11" t="s">
        <v>9</v>
      </c>
      <c r="C678" s="11" t="s">
        <v>170</v>
      </c>
      <c r="D678" s="11" t="s">
        <v>171</v>
      </c>
      <c r="E678" s="9" t="str">
        <f>+HYPERLINK("http://trademark.i-assist.jp/data/china/image_1904th/79368962.pdf", "79368962")</f>
        <v>79368962</v>
      </c>
      <c r="F678" s="11" t="s">
        <v>2061</v>
      </c>
      <c r="G678" s="11" t="s">
        <v>2062</v>
      </c>
      <c r="H678" s="11" t="s">
        <v>2063</v>
      </c>
      <c r="I678" s="11" t="s">
        <v>1937</v>
      </c>
    </row>
    <row r="679" spans="1:9" x14ac:dyDescent="0.15">
      <c r="A679" s="10">
        <v>678</v>
      </c>
      <c r="B679" s="11" t="s">
        <v>9</v>
      </c>
      <c r="C679" s="11" t="s">
        <v>170</v>
      </c>
      <c r="D679" s="11" t="s">
        <v>171</v>
      </c>
      <c r="E679" s="9" t="str">
        <f>+HYPERLINK("http://trademark.i-assist.jp/data/china/image_1904th/79368978.pdf", "79368978")</f>
        <v>79368978</v>
      </c>
      <c r="F679" s="11" t="s">
        <v>2064</v>
      </c>
      <c r="G679" s="11" t="s">
        <v>110</v>
      </c>
      <c r="H679" s="11" t="s">
        <v>2065</v>
      </c>
      <c r="I679" s="11" t="s">
        <v>1937</v>
      </c>
    </row>
    <row r="680" spans="1:9" x14ac:dyDescent="0.15">
      <c r="A680" s="10">
        <v>679</v>
      </c>
      <c r="B680" s="11" t="s">
        <v>9</v>
      </c>
      <c r="C680" s="11" t="s">
        <v>170</v>
      </c>
      <c r="D680" s="11" t="s">
        <v>171</v>
      </c>
      <c r="E680" s="9" t="str">
        <f>+HYPERLINK("http://trademark.i-assist.jp/data/china/image_1904th/79369068.pdf", "79369068")</f>
        <v>79369068</v>
      </c>
      <c r="F680" s="11" t="s">
        <v>2066</v>
      </c>
      <c r="G680" s="11" t="s">
        <v>2067</v>
      </c>
      <c r="H680" s="11" t="s">
        <v>2068</v>
      </c>
      <c r="I680" s="11" t="s">
        <v>1937</v>
      </c>
    </row>
    <row r="681" spans="1:9" x14ac:dyDescent="0.15">
      <c r="A681" s="10">
        <v>680</v>
      </c>
      <c r="B681" s="11" t="s">
        <v>9</v>
      </c>
      <c r="C681" s="11" t="s">
        <v>170</v>
      </c>
      <c r="D681" s="11" t="s">
        <v>171</v>
      </c>
      <c r="E681" s="9" t="str">
        <f>+HYPERLINK("http://trademark.i-assist.jp/data/china/image_1904th/79369187.pdf", "79369187")</f>
        <v>79369187</v>
      </c>
      <c r="F681" s="11" t="s">
        <v>2069</v>
      </c>
      <c r="G681" s="11" t="s">
        <v>2070</v>
      </c>
      <c r="H681" s="11" t="s">
        <v>2071</v>
      </c>
      <c r="I681" s="11" t="s">
        <v>1937</v>
      </c>
    </row>
    <row r="682" spans="1:9" x14ac:dyDescent="0.15">
      <c r="A682" s="10">
        <v>681</v>
      </c>
      <c r="B682" s="11" t="s">
        <v>9</v>
      </c>
      <c r="C682" s="11" t="s">
        <v>170</v>
      </c>
      <c r="D682" s="11" t="s">
        <v>171</v>
      </c>
      <c r="E682" s="9" t="str">
        <f>+HYPERLINK("http://trademark.i-assist.jp/data/china/image_1904th/79369223.pdf", "79369223")</f>
        <v>79369223</v>
      </c>
      <c r="F682" s="11" t="s">
        <v>2072</v>
      </c>
      <c r="G682" s="11" t="s">
        <v>2073</v>
      </c>
      <c r="H682" s="11" t="s">
        <v>2074</v>
      </c>
      <c r="I682" s="11" t="s">
        <v>1937</v>
      </c>
    </row>
    <row r="683" spans="1:9" x14ac:dyDescent="0.15">
      <c r="A683" s="10">
        <v>682</v>
      </c>
      <c r="B683" s="11" t="s">
        <v>9</v>
      </c>
      <c r="C683" s="11" t="s">
        <v>170</v>
      </c>
      <c r="D683" s="11" t="s">
        <v>171</v>
      </c>
      <c r="E683" s="9" t="str">
        <f>+HYPERLINK("http://trademark.i-assist.jp/data/china/image_1904th/79369249.pdf", "79369249")</f>
        <v>79369249</v>
      </c>
      <c r="F683" s="11" t="s">
        <v>2075</v>
      </c>
      <c r="G683" s="11" t="s">
        <v>2076</v>
      </c>
      <c r="H683" s="11" t="s">
        <v>2077</v>
      </c>
      <c r="I683" s="11" t="s">
        <v>1937</v>
      </c>
    </row>
    <row r="684" spans="1:9" x14ac:dyDescent="0.15">
      <c r="A684" s="10">
        <v>683</v>
      </c>
      <c r="B684" s="11" t="s">
        <v>9</v>
      </c>
      <c r="C684" s="11" t="s">
        <v>170</v>
      </c>
      <c r="D684" s="11" t="s">
        <v>171</v>
      </c>
      <c r="E684" s="9" t="str">
        <f>+HYPERLINK("http://trademark.i-assist.jp/data/china/image_1904th/79369471.pdf", "79369471")</f>
        <v>79369471</v>
      </c>
      <c r="F684" s="11" t="s">
        <v>12</v>
      </c>
      <c r="G684" s="11" t="s">
        <v>2078</v>
      </c>
      <c r="H684" s="11" t="s">
        <v>2079</v>
      </c>
      <c r="I684" s="11" t="s">
        <v>1937</v>
      </c>
    </row>
    <row r="685" spans="1:9" x14ac:dyDescent="0.15">
      <c r="A685" s="10">
        <v>684</v>
      </c>
      <c r="B685" s="11" t="s">
        <v>9</v>
      </c>
      <c r="C685" s="11" t="s">
        <v>170</v>
      </c>
      <c r="D685" s="11" t="s">
        <v>171</v>
      </c>
      <c r="E685" s="9" t="str">
        <f>+HYPERLINK("http://trademark.i-assist.jp/data/china/image_1904th/79369626.pdf", "79369626")</f>
        <v>79369626</v>
      </c>
      <c r="F685" s="11" t="s">
        <v>2080</v>
      </c>
      <c r="G685" s="11" t="s">
        <v>1981</v>
      </c>
      <c r="H685" s="11" t="s">
        <v>2081</v>
      </c>
      <c r="I685" s="11" t="s">
        <v>1937</v>
      </c>
    </row>
    <row r="686" spans="1:9" x14ac:dyDescent="0.15">
      <c r="A686" s="10">
        <v>685</v>
      </c>
      <c r="B686" s="11" t="s">
        <v>9</v>
      </c>
      <c r="C686" s="11" t="s">
        <v>170</v>
      </c>
      <c r="D686" s="11" t="s">
        <v>171</v>
      </c>
      <c r="E686" s="9" t="str">
        <f>+HYPERLINK("http://trademark.i-assist.jp/data/china/image_1904th/79369719.pdf", "79369719")</f>
        <v>79369719</v>
      </c>
      <c r="F686" s="11" t="s">
        <v>2082</v>
      </c>
      <c r="G686" s="11" t="s">
        <v>2083</v>
      </c>
      <c r="H686" s="11" t="s">
        <v>2084</v>
      </c>
      <c r="I686" s="11" t="s">
        <v>1937</v>
      </c>
    </row>
    <row r="687" spans="1:9" x14ac:dyDescent="0.15">
      <c r="A687" s="10">
        <v>686</v>
      </c>
      <c r="B687" s="11" t="s">
        <v>9</v>
      </c>
      <c r="C687" s="11" t="s">
        <v>170</v>
      </c>
      <c r="D687" s="11" t="s">
        <v>171</v>
      </c>
      <c r="E687" s="9" t="str">
        <f>+HYPERLINK("http://trademark.i-assist.jp/data/china/image_1904th/79370238.pdf", "79370238")</f>
        <v>79370238</v>
      </c>
      <c r="F687" s="11" t="s">
        <v>2085</v>
      </c>
      <c r="G687" s="11" t="s">
        <v>2086</v>
      </c>
      <c r="H687" s="11" t="s">
        <v>2087</v>
      </c>
      <c r="I687" s="11" t="s">
        <v>1937</v>
      </c>
    </row>
    <row r="688" spans="1:9" x14ac:dyDescent="0.15">
      <c r="A688" s="10">
        <v>687</v>
      </c>
      <c r="B688" s="11" t="s">
        <v>9</v>
      </c>
      <c r="C688" s="11" t="s">
        <v>170</v>
      </c>
      <c r="D688" s="11" t="s">
        <v>171</v>
      </c>
      <c r="E688" s="9" t="str">
        <f>+HYPERLINK("http://trademark.i-assist.jp/data/china/image_1904th/79370385.pdf", "79370385")</f>
        <v>79370385</v>
      </c>
      <c r="F688" s="11" t="s">
        <v>2088</v>
      </c>
      <c r="G688" s="11" t="s">
        <v>2089</v>
      </c>
      <c r="H688" s="11" t="s">
        <v>2090</v>
      </c>
      <c r="I688" s="11" t="s">
        <v>1937</v>
      </c>
    </row>
    <row r="689" spans="1:9" x14ac:dyDescent="0.15">
      <c r="A689" s="10">
        <v>688</v>
      </c>
      <c r="B689" s="11" t="s">
        <v>9</v>
      </c>
      <c r="C689" s="11" t="s">
        <v>170</v>
      </c>
      <c r="D689" s="11" t="s">
        <v>171</v>
      </c>
      <c r="E689" s="9" t="str">
        <f>+HYPERLINK("http://trademark.i-assist.jp/data/china/image_1904th/79370741.pdf", "79370741")</f>
        <v>79370741</v>
      </c>
      <c r="F689" s="11" t="s">
        <v>2091</v>
      </c>
      <c r="G689" s="11" t="s">
        <v>2092</v>
      </c>
      <c r="H689" s="11" t="s">
        <v>2093</v>
      </c>
      <c r="I689" s="11" t="s">
        <v>1937</v>
      </c>
    </row>
    <row r="690" spans="1:9" x14ac:dyDescent="0.15">
      <c r="A690" s="10">
        <v>689</v>
      </c>
      <c r="B690" s="11" t="s">
        <v>9</v>
      </c>
      <c r="C690" s="11" t="s">
        <v>170</v>
      </c>
      <c r="D690" s="11" t="s">
        <v>171</v>
      </c>
      <c r="E690" s="9" t="str">
        <f>+HYPERLINK("http://trademark.i-assist.jp/data/china/image_1904th/79371557.pdf", "79371557")</f>
        <v>79371557</v>
      </c>
      <c r="F690" s="11" t="s">
        <v>2094</v>
      </c>
      <c r="G690" s="11" t="s">
        <v>2095</v>
      </c>
      <c r="H690" s="11" t="s">
        <v>2096</v>
      </c>
      <c r="I690" s="11" t="s">
        <v>1937</v>
      </c>
    </row>
    <row r="691" spans="1:9" x14ac:dyDescent="0.15">
      <c r="A691" s="10">
        <v>690</v>
      </c>
      <c r="B691" s="11" t="s">
        <v>9</v>
      </c>
      <c r="C691" s="11" t="s">
        <v>170</v>
      </c>
      <c r="D691" s="11" t="s">
        <v>171</v>
      </c>
      <c r="E691" s="9" t="str">
        <f>+HYPERLINK("http://trademark.i-assist.jp/data/china/image_1904th/79371776.pdf", "79371776")</f>
        <v>79371776</v>
      </c>
      <c r="F691" s="11" t="s">
        <v>2097</v>
      </c>
      <c r="G691" s="11" t="s">
        <v>2098</v>
      </c>
      <c r="H691" s="11" t="s">
        <v>2099</v>
      </c>
      <c r="I691" s="11" t="s">
        <v>1937</v>
      </c>
    </row>
    <row r="692" spans="1:9" x14ac:dyDescent="0.15">
      <c r="A692" s="10">
        <v>691</v>
      </c>
      <c r="B692" s="11" t="s">
        <v>9</v>
      </c>
      <c r="C692" s="11" t="s">
        <v>170</v>
      </c>
      <c r="D692" s="11" t="s">
        <v>171</v>
      </c>
      <c r="E692" s="9" t="str">
        <f>+HYPERLINK("http://trademark.i-assist.jp/data/china/image_1904th/79372268.pdf", "79372268")</f>
        <v>79372268</v>
      </c>
      <c r="F692" s="11" t="s">
        <v>2100</v>
      </c>
      <c r="G692" s="11" t="s">
        <v>2101</v>
      </c>
      <c r="H692" s="11" t="s">
        <v>2102</v>
      </c>
      <c r="I692" s="11" t="s">
        <v>1937</v>
      </c>
    </row>
    <row r="693" spans="1:9" x14ac:dyDescent="0.15">
      <c r="A693" s="10">
        <v>692</v>
      </c>
      <c r="B693" s="11" t="s">
        <v>9</v>
      </c>
      <c r="C693" s="11" t="s">
        <v>170</v>
      </c>
      <c r="D693" s="11" t="s">
        <v>171</v>
      </c>
      <c r="E693" s="9" t="str">
        <f>+HYPERLINK("http://trademark.i-assist.jp/data/china/image_1904th/79373249.pdf", "79373249")</f>
        <v>79373249</v>
      </c>
      <c r="F693" s="11" t="s">
        <v>2103</v>
      </c>
      <c r="G693" s="11" t="s">
        <v>2104</v>
      </c>
      <c r="H693" s="11" t="s">
        <v>2105</v>
      </c>
      <c r="I693" s="11" t="s">
        <v>1937</v>
      </c>
    </row>
    <row r="694" spans="1:9" x14ac:dyDescent="0.15">
      <c r="A694" s="10">
        <v>693</v>
      </c>
      <c r="B694" s="11" t="s">
        <v>9</v>
      </c>
      <c r="C694" s="11" t="s">
        <v>170</v>
      </c>
      <c r="D694" s="11" t="s">
        <v>171</v>
      </c>
      <c r="E694" s="9" t="str">
        <f>+HYPERLINK("http://trademark.i-assist.jp/data/china/image_1904th/79373631.pdf", "79373631")</f>
        <v>79373631</v>
      </c>
      <c r="F694" s="11" t="s">
        <v>2106</v>
      </c>
      <c r="G694" s="11" t="s">
        <v>2107</v>
      </c>
      <c r="H694" s="11" t="s">
        <v>2108</v>
      </c>
      <c r="I694" s="11" t="s">
        <v>1937</v>
      </c>
    </row>
    <row r="695" spans="1:9" x14ac:dyDescent="0.15">
      <c r="A695" s="10">
        <v>694</v>
      </c>
      <c r="B695" s="11" t="s">
        <v>9</v>
      </c>
      <c r="C695" s="11" t="s">
        <v>170</v>
      </c>
      <c r="D695" s="11" t="s">
        <v>171</v>
      </c>
      <c r="E695" s="9" t="str">
        <f>+HYPERLINK("http://trademark.i-assist.jp/data/china/image_1904th/79373677.pdf", "79373677")</f>
        <v>79373677</v>
      </c>
      <c r="F695" s="11" t="s">
        <v>2109</v>
      </c>
      <c r="G695" s="11" t="s">
        <v>2110</v>
      </c>
      <c r="H695" s="11" t="s">
        <v>2111</v>
      </c>
      <c r="I695" s="11" t="s">
        <v>1937</v>
      </c>
    </row>
    <row r="696" spans="1:9" x14ac:dyDescent="0.15">
      <c r="A696" s="10">
        <v>695</v>
      </c>
      <c r="B696" s="11" t="s">
        <v>9</v>
      </c>
      <c r="C696" s="11" t="s">
        <v>170</v>
      </c>
      <c r="D696" s="11" t="s">
        <v>171</v>
      </c>
      <c r="E696" s="9" t="str">
        <f>+HYPERLINK("http://trademark.i-assist.jp/data/china/image_1904th/79373707.pdf", "79373707")</f>
        <v>79373707</v>
      </c>
      <c r="F696" s="11" t="s">
        <v>2112</v>
      </c>
      <c r="G696" s="11" t="s">
        <v>2113</v>
      </c>
      <c r="H696" s="11" t="s">
        <v>2114</v>
      </c>
      <c r="I696" s="11" t="s">
        <v>1937</v>
      </c>
    </row>
    <row r="697" spans="1:9" x14ac:dyDescent="0.15">
      <c r="A697" s="10">
        <v>696</v>
      </c>
      <c r="B697" s="11" t="s">
        <v>9</v>
      </c>
      <c r="C697" s="11" t="s">
        <v>170</v>
      </c>
      <c r="D697" s="11" t="s">
        <v>171</v>
      </c>
      <c r="E697" s="9" t="str">
        <f>+HYPERLINK("http://trademark.i-assist.jp/data/china/image_1904th/79373769.pdf", "79373769")</f>
        <v>79373769</v>
      </c>
      <c r="F697" s="11" t="s">
        <v>2115</v>
      </c>
      <c r="G697" s="11" t="s">
        <v>2116</v>
      </c>
      <c r="H697" s="11" t="s">
        <v>2117</v>
      </c>
      <c r="I697" s="11" t="s">
        <v>1937</v>
      </c>
    </row>
    <row r="698" spans="1:9" x14ac:dyDescent="0.15">
      <c r="A698" s="10">
        <v>697</v>
      </c>
      <c r="B698" s="11" t="s">
        <v>9</v>
      </c>
      <c r="C698" s="11" t="s">
        <v>170</v>
      </c>
      <c r="D698" s="11" t="s">
        <v>171</v>
      </c>
      <c r="E698" s="9" t="str">
        <f>+HYPERLINK("http://trademark.i-assist.jp/data/china/image_1904th/79373781.pdf", "79373781")</f>
        <v>79373781</v>
      </c>
      <c r="F698" s="11" t="s">
        <v>2118</v>
      </c>
      <c r="G698" s="11" t="s">
        <v>1972</v>
      </c>
      <c r="H698" s="11" t="s">
        <v>2119</v>
      </c>
      <c r="I698" s="11" t="s">
        <v>1937</v>
      </c>
    </row>
    <row r="699" spans="1:9" x14ac:dyDescent="0.15">
      <c r="A699" s="10">
        <v>698</v>
      </c>
      <c r="B699" s="11" t="s">
        <v>9</v>
      </c>
      <c r="C699" s="11" t="s">
        <v>170</v>
      </c>
      <c r="D699" s="11" t="s">
        <v>171</v>
      </c>
      <c r="E699" s="9" t="str">
        <f>+HYPERLINK("http://trademark.i-assist.jp/data/china/image_1904th/79373894.pdf", "79373894")</f>
        <v>79373894</v>
      </c>
      <c r="F699" s="11" t="s">
        <v>2120</v>
      </c>
      <c r="G699" s="11" t="s">
        <v>2121</v>
      </c>
      <c r="H699" s="11" t="s">
        <v>2122</v>
      </c>
      <c r="I699" s="11" t="s">
        <v>1937</v>
      </c>
    </row>
    <row r="700" spans="1:9" x14ac:dyDescent="0.15">
      <c r="A700" s="10">
        <v>699</v>
      </c>
      <c r="B700" s="11" t="s">
        <v>9</v>
      </c>
      <c r="C700" s="11" t="s">
        <v>170</v>
      </c>
      <c r="D700" s="11" t="s">
        <v>171</v>
      </c>
      <c r="E700" s="9" t="str">
        <f>+HYPERLINK("http://trademark.i-assist.jp/data/china/image_1904th/79374173.pdf", "79374173")</f>
        <v>79374173</v>
      </c>
      <c r="F700" s="11" t="s">
        <v>2123</v>
      </c>
      <c r="G700" s="11" t="s">
        <v>2026</v>
      </c>
      <c r="H700" s="11" t="s">
        <v>2124</v>
      </c>
      <c r="I700" s="11" t="s">
        <v>1937</v>
      </c>
    </row>
    <row r="701" spans="1:9" x14ac:dyDescent="0.15">
      <c r="A701" s="10">
        <v>700</v>
      </c>
      <c r="B701" s="11" t="s">
        <v>9</v>
      </c>
      <c r="C701" s="11" t="s">
        <v>170</v>
      </c>
      <c r="D701" s="11" t="s">
        <v>171</v>
      </c>
      <c r="E701" s="9" t="str">
        <f>+HYPERLINK("http://trademark.i-assist.jp/data/china/image_1904th/79374191.pdf", "79374191")</f>
        <v>79374191</v>
      </c>
      <c r="F701" s="11" t="s">
        <v>12</v>
      </c>
      <c r="G701" s="11" t="s">
        <v>2125</v>
      </c>
      <c r="H701" s="11" t="s">
        <v>2126</v>
      </c>
      <c r="I701" s="11" t="s">
        <v>1937</v>
      </c>
    </row>
    <row r="702" spans="1:9" x14ac:dyDescent="0.15">
      <c r="A702" s="10">
        <v>701</v>
      </c>
      <c r="B702" s="11" t="s">
        <v>9</v>
      </c>
      <c r="C702" s="11" t="s">
        <v>170</v>
      </c>
      <c r="D702" s="11" t="s">
        <v>171</v>
      </c>
      <c r="E702" s="9" t="str">
        <f>+HYPERLINK("http://trademark.i-assist.jp/data/china/image_1904th/79374306.pdf", "79374306")</f>
        <v>79374306</v>
      </c>
      <c r="F702" s="11" t="s">
        <v>2127</v>
      </c>
      <c r="G702" s="11" t="s">
        <v>133</v>
      </c>
      <c r="H702" s="11" t="s">
        <v>2128</v>
      </c>
      <c r="I702" s="11" t="s">
        <v>1937</v>
      </c>
    </row>
    <row r="703" spans="1:9" x14ac:dyDescent="0.15">
      <c r="A703" s="10">
        <v>702</v>
      </c>
      <c r="B703" s="11" t="s">
        <v>9</v>
      </c>
      <c r="C703" s="11" t="s">
        <v>170</v>
      </c>
      <c r="D703" s="11" t="s">
        <v>171</v>
      </c>
      <c r="E703" s="9" t="str">
        <f>+HYPERLINK("http://trademark.i-assist.jp/data/china/image_1904th/79375082.pdf", "79375082")</f>
        <v>79375082</v>
      </c>
      <c r="F703" s="11" t="s">
        <v>2129</v>
      </c>
      <c r="G703" s="11" t="s">
        <v>2130</v>
      </c>
      <c r="H703" s="11" t="s">
        <v>2131</v>
      </c>
      <c r="I703" s="11" t="s">
        <v>1937</v>
      </c>
    </row>
    <row r="704" spans="1:9" x14ac:dyDescent="0.15">
      <c r="A704" s="10">
        <v>703</v>
      </c>
      <c r="B704" s="11" t="s">
        <v>9</v>
      </c>
      <c r="C704" s="11" t="s">
        <v>170</v>
      </c>
      <c r="D704" s="11" t="s">
        <v>171</v>
      </c>
      <c r="E704" s="9" t="str">
        <f>+HYPERLINK("http://trademark.i-assist.jp/data/china/image_1904th/79375221.pdf", "79375221")</f>
        <v>79375221</v>
      </c>
      <c r="F704" s="11" t="s">
        <v>2132</v>
      </c>
      <c r="G704" s="11" t="s">
        <v>2133</v>
      </c>
      <c r="H704" s="11" t="s">
        <v>2134</v>
      </c>
      <c r="I704" s="11" t="s">
        <v>1937</v>
      </c>
    </row>
    <row r="705" spans="1:9" x14ac:dyDescent="0.15">
      <c r="A705" s="10">
        <v>704</v>
      </c>
      <c r="B705" s="11" t="s">
        <v>9</v>
      </c>
      <c r="C705" s="11" t="s">
        <v>170</v>
      </c>
      <c r="D705" s="11" t="s">
        <v>171</v>
      </c>
      <c r="E705" s="9" t="str">
        <f>+HYPERLINK("http://trademark.i-assist.jp/data/china/image_1904th/79375539.pdf", "79375539")</f>
        <v>79375539</v>
      </c>
      <c r="F705" s="11" t="s">
        <v>2135</v>
      </c>
      <c r="G705" s="11" t="s">
        <v>2136</v>
      </c>
      <c r="H705" s="11" t="s">
        <v>2137</v>
      </c>
      <c r="I705" s="11" t="s">
        <v>2138</v>
      </c>
    </row>
    <row r="706" spans="1:9" x14ac:dyDescent="0.15">
      <c r="A706" s="10">
        <v>705</v>
      </c>
      <c r="B706" s="11" t="s">
        <v>9</v>
      </c>
      <c r="C706" s="11" t="s">
        <v>170</v>
      </c>
      <c r="D706" s="11" t="s">
        <v>171</v>
      </c>
      <c r="E706" s="9" t="str">
        <f>+HYPERLINK("http://trademark.i-assist.jp/data/china/image_1904th/79375779.pdf", "79375779")</f>
        <v>79375779</v>
      </c>
      <c r="F706" s="11" t="s">
        <v>2139</v>
      </c>
      <c r="G706" s="11" t="s">
        <v>2140</v>
      </c>
      <c r="H706" s="11" t="s">
        <v>2141</v>
      </c>
      <c r="I706" s="11" t="s">
        <v>2138</v>
      </c>
    </row>
    <row r="707" spans="1:9" x14ac:dyDescent="0.15">
      <c r="A707" s="10">
        <v>706</v>
      </c>
      <c r="B707" s="11" t="s">
        <v>9</v>
      </c>
      <c r="C707" s="11" t="s">
        <v>170</v>
      </c>
      <c r="D707" s="11" t="s">
        <v>171</v>
      </c>
      <c r="E707" s="9" t="str">
        <f>+HYPERLINK("http://trademark.i-assist.jp/data/china/image_1904th/79376330.pdf", "79376330")</f>
        <v>79376330</v>
      </c>
      <c r="F707" s="11" t="s">
        <v>2142</v>
      </c>
      <c r="G707" s="11" t="s">
        <v>2143</v>
      </c>
      <c r="H707" s="11" t="s">
        <v>2144</v>
      </c>
      <c r="I707" s="11" t="s">
        <v>2138</v>
      </c>
    </row>
    <row r="708" spans="1:9" x14ac:dyDescent="0.15">
      <c r="A708" s="10">
        <v>707</v>
      </c>
      <c r="B708" s="11" t="s">
        <v>9</v>
      </c>
      <c r="C708" s="11" t="s">
        <v>170</v>
      </c>
      <c r="D708" s="11" t="s">
        <v>171</v>
      </c>
      <c r="E708" s="9" t="str">
        <f>+HYPERLINK("http://trademark.i-assist.jp/data/china/image_1904th/79377751.pdf", "79377751")</f>
        <v>79377751</v>
      </c>
      <c r="F708" s="11" t="s">
        <v>2145</v>
      </c>
      <c r="G708" s="11" t="s">
        <v>2146</v>
      </c>
      <c r="H708" s="11" t="s">
        <v>2147</v>
      </c>
      <c r="I708" s="11" t="s">
        <v>2138</v>
      </c>
    </row>
    <row r="709" spans="1:9" x14ac:dyDescent="0.15">
      <c r="A709" s="10">
        <v>708</v>
      </c>
      <c r="B709" s="11" t="s">
        <v>9</v>
      </c>
      <c r="C709" s="11" t="s">
        <v>170</v>
      </c>
      <c r="D709" s="11" t="s">
        <v>171</v>
      </c>
      <c r="E709" s="9" t="str">
        <f>+HYPERLINK("http://trademark.i-assist.jp/data/china/image_1904th/79377840.pdf", "79377840")</f>
        <v>79377840</v>
      </c>
      <c r="F709" s="11" t="s">
        <v>2148</v>
      </c>
      <c r="G709" s="11" t="s">
        <v>2113</v>
      </c>
      <c r="H709" s="11" t="s">
        <v>2149</v>
      </c>
      <c r="I709" s="11" t="s">
        <v>2138</v>
      </c>
    </row>
    <row r="710" spans="1:9" x14ac:dyDescent="0.15">
      <c r="A710" s="10">
        <v>709</v>
      </c>
      <c r="B710" s="11" t="s">
        <v>9</v>
      </c>
      <c r="C710" s="11" t="s">
        <v>170</v>
      </c>
      <c r="D710" s="11" t="s">
        <v>171</v>
      </c>
      <c r="E710" s="9" t="str">
        <f>+HYPERLINK("http://trademark.i-assist.jp/data/china/image_1904th/79378656.pdf", "79378656")</f>
        <v>79378656</v>
      </c>
      <c r="F710" s="11" t="s">
        <v>2150</v>
      </c>
      <c r="G710" s="11" t="s">
        <v>2151</v>
      </c>
      <c r="H710" s="11" t="s">
        <v>2152</v>
      </c>
      <c r="I710" s="11" t="s">
        <v>2138</v>
      </c>
    </row>
    <row r="711" spans="1:9" x14ac:dyDescent="0.15">
      <c r="A711" s="10">
        <v>710</v>
      </c>
      <c r="B711" s="11" t="s">
        <v>9</v>
      </c>
      <c r="C711" s="11" t="s">
        <v>170</v>
      </c>
      <c r="D711" s="11" t="s">
        <v>171</v>
      </c>
      <c r="E711" s="9" t="str">
        <f>+HYPERLINK("http://trademark.i-assist.jp/data/china/image_1904th/79378886.pdf", "79378886")</f>
        <v>79378886</v>
      </c>
      <c r="F711" s="11" t="s">
        <v>2153</v>
      </c>
      <c r="G711" s="11" t="s">
        <v>2154</v>
      </c>
      <c r="H711" s="11" t="s">
        <v>2155</v>
      </c>
      <c r="I711" s="11" t="s">
        <v>2138</v>
      </c>
    </row>
    <row r="712" spans="1:9" x14ac:dyDescent="0.15">
      <c r="A712" s="10">
        <v>711</v>
      </c>
      <c r="B712" s="11" t="s">
        <v>9</v>
      </c>
      <c r="C712" s="11" t="s">
        <v>170</v>
      </c>
      <c r="D712" s="11" t="s">
        <v>171</v>
      </c>
      <c r="E712" s="9" t="str">
        <f>+HYPERLINK("http://trademark.i-assist.jp/data/china/image_1904th/79379809.pdf", "79379809")</f>
        <v>79379809</v>
      </c>
      <c r="F712" s="11" t="s">
        <v>2156</v>
      </c>
      <c r="G712" s="11" t="s">
        <v>2157</v>
      </c>
      <c r="H712" s="11" t="s">
        <v>2158</v>
      </c>
      <c r="I712" s="11" t="s">
        <v>2138</v>
      </c>
    </row>
    <row r="713" spans="1:9" x14ac:dyDescent="0.15">
      <c r="A713" s="10">
        <v>712</v>
      </c>
      <c r="B713" s="11" t="s">
        <v>9</v>
      </c>
      <c r="C713" s="11" t="s">
        <v>170</v>
      </c>
      <c r="D713" s="11" t="s">
        <v>171</v>
      </c>
      <c r="E713" s="9" t="str">
        <f>+HYPERLINK("http://trademark.i-assist.jp/data/china/image_1904th/79380587.pdf", "79380587")</f>
        <v>79380587</v>
      </c>
      <c r="F713" s="11" t="s">
        <v>2159</v>
      </c>
      <c r="G713" s="11" t="s">
        <v>2146</v>
      </c>
      <c r="H713" s="11" t="s">
        <v>2160</v>
      </c>
      <c r="I713" s="11" t="s">
        <v>2138</v>
      </c>
    </row>
    <row r="714" spans="1:9" x14ac:dyDescent="0.15">
      <c r="A714" s="10">
        <v>713</v>
      </c>
      <c r="B714" s="11" t="s">
        <v>9</v>
      </c>
      <c r="C714" s="11" t="s">
        <v>170</v>
      </c>
      <c r="D714" s="11" t="s">
        <v>171</v>
      </c>
      <c r="E714" s="9" t="str">
        <f>+HYPERLINK("http://trademark.i-assist.jp/data/china/image_1904th/79380902.pdf", "79380902")</f>
        <v>79380902</v>
      </c>
      <c r="F714" s="11" t="s">
        <v>2161</v>
      </c>
      <c r="G714" s="11" t="s">
        <v>2162</v>
      </c>
      <c r="H714" s="11" t="s">
        <v>2163</v>
      </c>
      <c r="I714" s="11" t="s">
        <v>2138</v>
      </c>
    </row>
    <row r="715" spans="1:9" x14ac:dyDescent="0.15">
      <c r="A715" s="10">
        <v>714</v>
      </c>
      <c r="B715" s="11" t="s">
        <v>9</v>
      </c>
      <c r="C715" s="11" t="s">
        <v>170</v>
      </c>
      <c r="D715" s="11" t="s">
        <v>171</v>
      </c>
      <c r="E715" s="9" t="str">
        <f>+HYPERLINK("http://trademark.i-assist.jp/data/china/image_1904th/79380992.pdf", "79380992")</f>
        <v>79380992</v>
      </c>
      <c r="F715" s="11" t="s">
        <v>2164</v>
      </c>
      <c r="G715" s="11" t="s">
        <v>2165</v>
      </c>
      <c r="H715" s="11" t="s">
        <v>2166</v>
      </c>
      <c r="I715" s="11" t="s">
        <v>2138</v>
      </c>
    </row>
    <row r="716" spans="1:9" x14ac:dyDescent="0.15">
      <c r="A716" s="10">
        <v>715</v>
      </c>
      <c r="B716" s="11" t="s">
        <v>9</v>
      </c>
      <c r="C716" s="11" t="s">
        <v>170</v>
      </c>
      <c r="D716" s="11" t="s">
        <v>171</v>
      </c>
      <c r="E716" s="9" t="str">
        <f>+HYPERLINK("http://trademark.i-assist.jp/data/china/image_1904th/79384691.pdf", "79384691")</f>
        <v>79384691</v>
      </c>
      <c r="F716" s="11" t="s">
        <v>2167</v>
      </c>
      <c r="G716" s="11" t="s">
        <v>1081</v>
      </c>
      <c r="H716" s="11" t="s">
        <v>2168</v>
      </c>
      <c r="I716" s="11" t="s">
        <v>2169</v>
      </c>
    </row>
    <row r="717" spans="1:9" x14ac:dyDescent="0.15">
      <c r="A717" s="10">
        <v>716</v>
      </c>
      <c r="B717" s="11" t="s">
        <v>9</v>
      </c>
      <c r="C717" s="11" t="s">
        <v>170</v>
      </c>
      <c r="D717" s="11" t="s">
        <v>171</v>
      </c>
      <c r="E717" s="9" t="str">
        <f>+HYPERLINK("http://trademark.i-assist.jp/data/china/image_1904th/79384860.pdf", "79384860")</f>
        <v>79384860</v>
      </c>
      <c r="F717" s="11" t="s">
        <v>2170</v>
      </c>
      <c r="G717" s="11" t="s">
        <v>2171</v>
      </c>
      <c r="H717" s="11" t="s">
        <v>2172</v>
      </c>
      <c r="I717" s="11" t="s">
        <v>2169</v>
      </c>
    </row>
    <row r="718" spans="1:9" x14ac:dyDescent="0.15">
      <c r="A718" s="10">
        <v>717</v>
      </c>
      <c r="B718" s="11" t="s">
        <v>9</v>
      </c>
      <c r="C718" s="11" t="s">
        <v>170</v>
      </c>
      <c r="D718" s="11" t="s">
        <v>171</v>
      </c>
      <c r="E718" s="9" t="str">
        <f>+HYPERLINK("http://trademark.i-assist.jp/data/china/image_1904th/79384909.pdf", "79384909")</f>
        <v>79384909</v>
      </c>
      <c r="F718" s="11" t="s">
        <v>2173</v>
      </c>
      <c r="G718" s="11" t="s">
        <v>2174</v>
      </c>
      <c r="H718" s="11" t="s">
        <v>2175</v>
      </c>
      <c r="I718" s="11" t="s">
        <v>2169</v>
      </c>
    </row>
    <row r="719" spans="1:9" x14ac:dyDescent="0.15">
      <c r="A719" s="10">
        <v>718</v>
      </c>
      <c r="B719" s="11" t="s">
        <v>9</v>
      </c>
      <c r="C719" s="11" t="s">
        <v>170</v>
      </c>
      <c r="D719" s="11" t="s">
        <v>171</v>
      </c>
      <c r="E719" s="9" t="str">
        <f>+HYPERLINK("http://trademark.i-assist.jp/data/china/image_1904th/79384982.pdf", "79384982")</f>
        <v>79384982</v>
      </c>
      <c r="F719" s="11" t="s">
        <v>2176</v>
      </c>
      <c r="G719" s="11" t="s">
        <v>2177</v>
      </c>
      <c r="H719" s="11" t="s">
        <v>2178</v>
      </c>
      <c r="I719" s="11" t="s">
        <v>2169</v>
      </c>
    </row>
    <row r="720" spans="1:9" x14ac:dyDescent="0.15">
      <c r="A720" s="10">
        <v>719</v>
      </c>
      <c r="B720" s="11" t="s">
        <v>9</v>
      </c>
      <c r="C720" s="11" t="s">
        <v>170</v>
      </c>
      <c r="D720" s="11" t="s">
        <v>171</v>
      </c>
      <c r="E720" s="9" t="str">
        <f>+HYPERLINK("http://trademark.i-assist.jp/data/china/image_1904th/79385466.pdf", "79385466")</f>
        <v>79385466</v>
      </c>
      <c r="F720" s="11" t="s">
        <v>2179</v>
      </c>
      <c r="G720" s="11" t="s">
        <v>2180</v>
      </c>
      <c r="H720" s="11" t="s">
        <v>2181</v>
      </c>
      <c r="I720" s="11" t="s">
        <v>2169</v>
      </c>
    </row>
    <row r="721" spans="1:9" x14ac:dyDescent="0.15">
      <c r="A721" s="10">
        <v>720</v>
      </c>
      <c r="B721" s="11" t="s">
        <v>9</v>
      </c>
      <c r="C721" s="11" t="s">
        <v>170</v>
      </c>
      <c r="D721" s="11" t="s">
        <v>171</v>
      </c>
      <c r="E721" s="9" t="str">
        <f>+HYPERLINK("http://trademark.i-assist.jp/data/china/image_1904th/79386217.pdf", "79386217")</f>
        <v>79386217</v>
      </c>
      <c r="F721" s="11" t="s">
        <v>2182</v>
      </c>
      <c r="G721" s="11" t="s">
        <v>2183</v>
      </c>
      <c r="H721" s="11" t="s">
        <v>2184</v>
      </c>
      <c r="I721" s="11" t="s">
        <v>2169</v>
      </c>
    </row>
    <row r="722" spans="1:9" x14ac:dyDescent="0.15">
      <c r="A722" s="10">
        <v>721</v>
      </c>
      <c r="B722" s="11" t="s">
        <v>9</v>
      </c>
      <c r="C722" s="11" t="s">
        <v>170</v>
      </c>
      <c r="D722" s="11" t="s">
        <v>171</v>
      </c>
      <c r="E722" s="9" t="str">
        <f>+HYPERLINK("http://trademark.i-assist.jp/data/china/image_1904th/79386589.pdf", "79386589")</f>
        <v>79386589</v>
      </c>
      <c r="F722" s="11" t="s">
        <v>2185</v>
      </c>
      <c r="G722" s="11" t="s">
        <v>2186</v>
      </c>
      <c r="H722" s="11" t="s">
        <v>2187</v>
      </c>
      <c r="I722" s="11" t="s">
        <v>2169</v>
      </c>
    </row>
    <row r="723" spans="1:9" x14ac:dyDescent="0.15">
      <c r="A723" s="10">
        <v>722</v>
      </c>
      <c r="B723" s="11" t="s">
        <v>9</v>
      </c>
      <c r="C723" s="11" t="s">
        <v>170</v>
      </c>
      <c r="D723" s="11" t="s">
        <v>171</v>
      </c>
      <c r="E723" s="9" t="str">
        <f>+HYPERLINK("http://trademark.i-assist.jp/data/china/image_1904th/79386784.pdf", "79386784")</f>
        <v>79386784</v>
      </c>
      <c r="F723" s="11" t="s">
        <v>2188</v>
      </c>
      <c r="G723" s="11" t="s">
        <v>2189</v>
      </c>
      <c r="H723" s="11" t="s">
        <v>18</v>
      </c>
      <c r="I723" s="11" t="s">
        <v>2169</v>
      </c>
    </row>
    <row r="724" spans="1:9" x14ac:dyDescent="0.15">
      <c r="A724" s="10">
        <v>723</v>
      </c>
      <c r="B724" s="11" t="s">
        <v>9</v>
      </c>
      <c r="C724" s="11" t="s">
        <v>170</v>
      </c>
      <c r="D724" s="11" t="s">
        <v>171</v>
      </c>
      <c r="E724" s="9" t="str">
        <f>+HYPERLINK("http://trademark.i-assist.jp/data/china/image_1904th/79387289.pdf", "79387289")</f>
        <v>79387289</v>
      </c>
      <c r="F724" s="11" t="s">
        <v>2190</v>
      </c>
      <c r="G724" s="11" t="s">
        <v>2191</v>
      </c>
      <c r="H724" s="11" t="s">
        <v>2192</v>
      </c>
      <c r="I724" s="11" t="s">
        <v>2169</v>
      </c>
    </row>
    <row r="725" spans="1:9" x14ac:dyDescent="0.15">
      <c r="A725" s="10">
        <v>724</v>
      </c>
      <c r="B725" s="11" t="s">
        <v>9</v>
      </c>
      <c r="C725" s="11" t="s">
        <v>170</v>
      </c>
      <c r="D725" s="11" t="s">
        <v>171</v>
      </c>
      <c r="E725" s="9" t="str">
        <f>+HYPERLINK("http://trademark.i-assist.jp/data/china/image_1904th/79387312.pdf", "79387312")</f>
        <v>79387312</v>
      </c>
      <c r="F725" s="11" t="s">
        <v>2193</v>
      </c>
      <c r="G725" s="11" t="s">
        <v>2194</v>
      </c>
      <c r="H725" s="11" t="s">
        <v>2195</v>
      </c>
      <c r="I725" s="11" t="s">
        <v>2169</v>
      </c>
    </row>
    <row r="726" spans="1:9" x14ac:dyDescent="0.15">
      <c r="A726" s="10">
        <v>725</v>
      </c>
      <c r="B726" s="11" t="s">
        <v>9</v>
      </c>
      <c r="C726" s="11" t="s">
        <v>170</v>
      </c>
      <c r="D726" s="11" t="s">
        <v>171</v>
      </c>
      <c r="E726" s="9" t="str">
        <f>+HYPERLINK("http://trademark.i-assist.jp/data/china/image_1904th/79387396.pdf", "79387396")</f>
        <v>79387396</v>
      </c>
      <c r="F726" s="11" t="s">
        <v>2196</v>
      </c>
      <c r="G726" s="11" t="s">
        <v>2197</v>
      </c>
      <c r="H726" s="11" t="s">
        <v>2198</v>
      </c>
      <c r="I726" s="11" t="s">
        <v>2169</v>
      </c>
    </row>
    <row r="727" spans="1:9" x14ac:dyDescent="0.15">
      <c r="A727" s="10">
        <v>726</v>
      </c>
      <c r="B727" s="11" t="s">
        <v>9</v>
      </c>
      <c r="C727" s="11" t="s">
        <v>170</v>
      </c>
      <c r="D727" s="11" t="s">
        <v>171</v>
      </c>
      <c r="E727" s="9" t="str">
        <f>+HYPERLINK("http://trademark.i-assist.jp/data/china/image_1904th/79387784.pdf", "79387784")</f>
        <v>79387784</v>
      </c>
      <c r="F727" s="11" t="s">
        <v>12</v>
      </c>
      <c r="G727" s="11" t="s">
        <v>2199</v>
      </c>
      <c r="H727" s="11" t="s">
        <v>2200</v>
      </c>
      <c r="I727" s="11" t="s">
        <v>2169</v>
      </c>
    </row>
    <row r="728" spans="1:9" x14ac:dyDescent="0.15">
      <c r="A728" s="10">
        <v>727</v>
      </c>
      <c r="B728" s="11" t="s">
        <v>9</v>
      </c>
      <c r="C728" s="11" t="s">
        <v>170</v>
      </c>
      <c r="D728" s="11" t="s">
        <v>171</v>
      </c>
      <c r="E728" s="9" t="str">
        <f>+HYPERLINK("http://trademark.i-assist.jp/data/china/image_1904th/79388375.pdf", "79388375")</f>
        <v>79388375</v>
      </c>
      <c r="F728" s="11" t="s">
        <v>2201</v>
      </c>
      <c r="G728" s="11" t="s">
        <v>2202</v>
      </c>
      <c r="H728" s="11" t="s">
        <v>2203</v>
      </c>
      <c r="I728" s="11" t="s">
        <v>2169</v>
      </c>
    </row>
    <row r="729" spans="1:9" x14ac:dyDescent="0.15">
      <c r="A729" s="10">
        <v>728</v>
      </c>
      <c r="B729" s="11" t="s">
        <v>9</v>
      </c>
      <c r="C729" s="11" t="s">
        <v>170</v>
      </c>
      <c r="D729" s="11" t="s">
        <v>171</v>
      </c>
      <c r="E729" s="9" t="str">
        <f>+HYPERLINK("http://trademark.i-assist.jp/data/china/image_1904th/79388384.pdf", "79388384")</f>
        <v>79388384</v>
      </c>
      <c r="F729" s="11" t="s">
        <v>2204</v>
      </c>
      <c r="G729" s="11" t="s">
        <v>2202</v>
      </c>
      <c r="H729" s="11" t="s">
        <v>2205</v>
      </c>
      <c r="I729" s="11" t="s">
        <v>2169</v>
      </c>
    </row>
    <row r="730" spans="1:9" x14ac:dyDescent="0.15">
      <c r="A730" s="10">
        <v>729</v>
      </c>
      <c r="B730" s="11" t="s">
        <v>9</v>
      </c>
      <c r="C730" s="11" t="s">
        <v>170</v>
      </c>
      <c r="D730" s="11" t="s">
        <v>171</v>
      </c>
      <c r="E730" s="9" t="str">
        <f>+HYPERLINK("http://trademark.i-assist.jp/data/china/image_1904th/79388489.pdf", "79388489")</f>
        <v>79388489</v>
      </c>
      <c r="F730" s="11" t="s">
        <v>2206</v>
      </c>
      <c r="G730" s="11" t="s">
        <v>2207</v>
      </c>
      <c r="H730" s="11" t="s">
        <v>2208</v>
      </c>
      <c r="I730" s="11" t="s">
        <v>2169</v>
      </c>
    </row>
    <row r="731" spans="1:9" x14ac:dyDescent="0.15">
      <c r="A731" s="10">
        <v>730</v>
      </c>
      <c r="B731" s="11" t="s">
        <v>9</v>
      </c>
      <c r="C731" s="11" t="s">
        <v>170</v>
      </c>
      <c r="D731" s="11" t="s">
        <v>171</v>
      </c>
      <c r="E731" s="9" t="str">
        <f>+HYPERLINK("http://trademark.i-assist.jp/data/china/image_1904th/79388543.pdf", "79388543")</f>
        <v>79388543</v>
      </c>
      <c r="F731" s="11" t="s">
        <v>2209</v>
      </c>
      <c r="G731" s="11" t="s">
        <v>2210</v>
      </c>
      <c r="H731" s="11" t="s">
        <v>2211</v>
      </c>
      <c r="I731" s="11" t="s">
        <v>2169</v>
      </c>
    </row>
    <row r="732" spans="1:9" x14ac:dyDescent="0.15">
      <c r="A732" s="10">
        <v>731</v>
      </c>
      <c r="B732" s="11" t="s">
        <v>9</v>
      </c>
      <c r="C732" s="11" t="s">
        <v>170</v>
      </c>
      <c r="D732" s="11" t="s">
        <v>171</v>
      </c>
      <c r="E732" s="9" t="str">
        <f>+HYPERLINK("http://trademark.i-assist.jp/data/china/image_1904th/79388559.pdf", "79388559")</f>
        <v>79388559</v>
      </c>
      <c r="F732" s="11" t="s">
        <v>2212</v>
      </c>
      <c r="G732" s="11" t="s">
        <v>2213</v>
      </c>
      <c r="H732" s="11" t="s">
        <v>2214</v>
      </c>
      <c r="I732" s="11" t="s">
        <v>2169</v>
      </c>
    </row>
    <row r="733" spans="1:9" x14ac:dyDescent="0.15">
      <c r="A733" s="10">
        <v>732</v>
      </c>
      <c r="B733" s="11" t="s">
        <v>9</v>
      </c>
      <c r="C733" s="11" t="s">
        <v>170</v>
      </c>
      <c r="D733" s="11" t="s">
        <v>171</v>
      </c>
      <c r="E733" s="9" t="str">
        <f>+HYPERLINK("http://trademark.i-assist.jp/data/china/image_1904th/79389371.pdf", "79389371")</f>
        <v>79389371</v>
      </c>
      <c r="F733" s="11" t="s">
        <v>2215</v>
      </c>
      <c r="G733" s="11" t="s">
        <v>209</v>
      </c>
      <c r="H733" s="11" t="s">
        <v>2216</v>
      </c>
      <c r="I733" s="11" t="s">
        <v>2169</v>
      </c>
    </row>
    <row r="734" spans="1:9" x14ac:dyDescent="0.15">
      <c r="A734" s="10">
        <v>733</v>
      </c>
      <c r="B734" s="11" t="s">
        <v>9</v>
      </c>
      <c r="C734" s="11" t="s">
        <v>170</v>
      </c>
      <c r="D734" s="11" t="s">
        <v>171</v>
      </c>
      <c r="E734" s="9" t="str">
        <f>+HYPERLINK("http://trademark.i-assist.jp/data/china/image_1904th/79389511.pdf", "79389511")</f>
        <v>79389511</v>
      </c>
      <c r="F734" s="11" t="s">
        <v>2217</v>
      </c>
      <c r="G734" s="11" t="s">
        <v>2218</v>
      </c>
      <c r="H734" s="11" t="s">
        <v>2219</v>
      </c>
      <c r="I734" s="11" t="s">
        <v>2169</v>
      </c>
    </row>
    <row r="735" spans="1:9" x14ac:dyDescent="0.15">
      <c r="A735" s="10">
        <v>734</v>
      </c>
      <c r="B735" s="11" t="s">
        <v>9</v>
      </c>
      <c r="C735" s="11" t="s">
        <v>170</v>
      </c>
      <c r="D735" s="11" t="s">
        <v>171</v>
      </c>
      <c r="E735" s="9" t="str">
        <f>+HYPERLINK("http://trademark.i-assist.jp/data/china/image_1904th/79389586.pdf", "79389586")</f>
        <v>79389586</v>
      </c>
      <c r="F735" s="11" t="s">
        <v>2220</v>
      </c>
      <c r="G735" s="11" t="s">
        <v>2177</v>
      </c>
      <c r="H735" s="11" t="s">
        <v>2221</v>
      </c>
      <c r="I735" s="11" t="s">
        <v>2169</v>
      </c>
    </row>
    <row r="736" spans="1:9" x14ac:dyDescent="0.15">
      <c r="A736" s="10">
        <v>735</v>
      </c>
      <c r="B736" s="11" t="s">
        <v>9</v>
      </c>
      <c r="C736" s="11" t="s">
        <v>170</v>
      </c>
      <c r="D736" s="11" t="s">
        <v>171</v>
      </c>
      <c r="E736" s="9" t="str">
        <f>+HYPERLINK("http://trademark.i-assist.jp/data/china/image_1904th/79390132.pdf", "79390132")</f>
        <v>79390132</v>
      </c>
      <c r="F736" s="11" t="s">
        <v>2222</v>
      </c>
      <c r="G736" s="11" t="s">
        <v>2223</v>
      </c>
      <c r="H736" s="11" t="s">
        <v>2224</v>
      </c>
      <c r="I736" s="11" t="s">
        <v>2169</v>
      </c>
    </row>
    <row r="737" spans="1:9" x14ac:dyDescent="0.15">
      <c r="A737" s="10">
        <v>736</v>
      </c>
      <c r="B737" s="11" t="s">
        <v>9</v>
      </c>
      <c r="C737" s="11" t="s">
        <v>170</v>
      </c>
      <c r="D737" s="11" t="s">
        <v>171</v>
      </c>
      <c r="E737" s="9" t="str">
        <f>+HYPERLINK("http://trademark.i-assist.jp/data/china/image_1904th/79390181.pdf", "79390181")</f>
        <v>79390181</v>
      </c>
      <c r="F737" s="11" t="s">
        <v>2225</v>
      </c>
      <c r="G737" s="11" t="s">
        <v>2226</v>
      </c>
      <c r="H737" s="11" t="s">
        <v>2227</v>
      </c>
      <c r="I737" s="11" t="s">
        <v>2169</v>
      </c>
    </row>
    <row r="738" spans="1:9" x14ac:dyDescent="0.15">
      <c r="A738" s="10">
        <v>737</v>
      </c>
      <c r="B738" s="11" t="s">
        <v>9</v>
      </c>
      <c r="C738" s="11" t="s">
        <v>170</v>
      </c>
      <c r="D738" s="11" t="s">
        <v>171</v>
      </c>
      <c r="E738" s="9" t="str">
        <f>+HYPERLINK("http://trademark.i-assist.jp/data/china/image_1904th/79390561.pdf", "79390561")</f>
        <v>79390561</v>
      </c>
      <c r="F738" s="11" t="s">
        <v>2228</v>
      </c>
      <c r="G738" s="11" t="s">
        <v>2229</v>
      </c>
      <c r="H738" s="11" t="s">
        <v>2230</v>
      </c>
      <c r="I738" s="11" t="s">
        <v>2169</v>
      </c>
    </row>
    <row r="739" spans="1:9" x14ac:dyDescent="0.15">
      <c r="A739" s="10">
        <v>738</v>
      </c>
      <c r="B739" s="11" t="s">
        <v>9</v>
      </c>
      <c r="C739" s="11" t="s">
        <v>170</v>
      </c>
      <c r="D739" s="11" t="s">
        <v>171</v>
      </c>
      <c r="E739" s="9" t="str">
        <f>+HYPERLINK("http://trademark.i-assist.jp/data/china/image_1904th/79391035.pdf", "79391035")</f>
        <v>79391035</v>
      </c>
      <c r="F739" s="11" t="s">
        <v>2231</v>
      </c>
      <c r="G739" s="11" t="s">
        <v>2232</v>
      </c>
      <c r="H739" s="11" t="s">
        <v>2233</v>
      </c>
      <c r="I739" s="11" t="s">
        <v>2169</v>
      </c>
    </row>
    <row r="740" spans="1:9" x14ac:dyDescent="0.15">
      <c r="A740" s="10">
        <v>739</v>
      </c>
      <c r="B740" s="11" t="s">
        <v>9</v>
      </c>
      <c r="C740" s="11" t="s">
        <v>170</v>
      </c>
      <c r="D740" s="11" t="s">
        <v>171</v>
      </c>
      <c r="E740" s="9" t="str">
        <f>+HYPERLINK("http://trademark.i-assist.jp/data/china/image_1904th/79391186.pdf", "79391186")</f>
        <v>79391186</v>
      </c>
      <c r="F740" s="11" t="s">
        <v>2234</v>
      </c>
      <c r="G740" s="11" t="s">
        <v>2235</v>
      </c>
      <c r="H740" s="11" t="s">
        <v>2236</v>
      </c>
      <c r="I740" s="11" t="s">
        <v>2169</v>
      </c>
    </row>
    <row r="741" spans="1:9" x14ac:dyDescent="0.15">
      <c r="A741" s="10">
        <v>740</v>
      </c>
      <c r="B741" s="11" t="s">
        <v>9</v>
      </c>
      <c r="C741" s="11" t="s">
        <v>170</v>
      </c>
      <c r="D741" s="11" t="s">
        <v>171</v>
      </c>
      <c r="E741" s="9" t="str">
        <f>+HYPERLINK("http://trademark.i-assist.jp/data/china/image_1904th/79391439.pdf", "79391439")</f>
        <v>79391439</v>
      </c>
      <c r="F741" s="11" t="s">
        <v>2237</v>
      </c>
      <c r="G741" s="11" t="s">
        <v>2238</v>
      </c>
      <c r="H741" s="11" t="s">
        <v>2239</v>
      </c>
      <c r="I741" s="11" t="s">
        <v>2169</v>
      </c>
    </row>
    <row r="742" spans="1:9" x14ac:dyDescent="0.15">
      <c r="A742" s="10">
        <v>741</v>
      </c>
      <c r="B742" s="11" t="s">
        <v>9</v>
      </c>
      <c r="C742" s="11" t="s">
        <v>170</v>
      </c>
      <c r="D742" s="11" t="s">
        <v>171</v>
      </c>
      <c r="E742" s="9" t="str">
        <f>+HYPERLINK("http://trademark.i-assist.jp/data/china/image_1904th/79391824.pdf", "79391824")</f>
        <v>79391824</v>
      </c>
      <c r="F742" s="11" t="s">
        <v>2240</v>
      </c>
      <c r="G742" s="11" t="s">
        <v>2241</v>
      </c>
      <c r="H742" s="11" t="s">
        <v>2242</v>
      </c>
      <c r="I742" s="11" t="s">
        <v>2169</v>
      </c>
    </row>
    <row r="743" spans="1:9" x14ac:dyDescent="0.15">
      <c r="A743" s="10">
        <v>742</v>
      </c>
      <c r="B743" s="11" t="s">
        <v>9</v>
      </c>
      <c r="C743" s="11" t="s">
        <v>170</v>
      </c>
      <c r="D743" s="11" t="s">
        <v>171</v>
      </c>
      <c r="E743" s="9" t="str">
        <f>+HYPERLINK("http://trademark.i-assist.jp/data/china/image_1904th/79391842.pdf", "79391842")</f>
        <v>79391842</v>
      </c>
      <c r="F743" s="11" t="s">
        <v>2243</v>
      </c>
      <c r="G743" s="11" t="s">
        <v>2244</v>
      </c>
      <c r="H743" s="11" t="s">
        <v>2245</v>
      </c>
      <c r="I743" s="11" t="s">
        <v>2169</v>
      </c>
    </row>
    <row r="744" spans="1:9" x14ac:dyDescent="0.15">
      <c r="A744" s="10">
        <v>743</v>
      </c>
      <c r="B744" s="11" t="s">
        <v>9</v>
      </c>
      <c r="C744" s="11" t="s">
        <v>170</v>
      </c>
      <c r="D744" s="11" t="s">
        <v>171</v>
      </c>
      <c r="E744" s="9" t="str">
        <f>+HYPERLINK("http://trademark.i-assist.jp/data/china/image_1904th/79392824.pdf", "79392824")</f>
        <v>79392824</v>
      </c>
      <c r="F744" s="11" t="s">
        <v>2246</v>
      </c>
      <c r="G744" s="11" t="s">
        <v>2247</v>
      </c>
      <c r="H744" s="11" t="s">
        <v>2248</v>
      </c>
      <c r="I744" s="11" t="s">
        <v>2169</v>
      </c>
    </row>
    <row r="745" spans="1:9" x14ac:dyDescent="0.15">
      <c r="A745" s="10">
        <v>744</v>
      </c>
      <c r="B745" s="11" t="s">
        <v>9</v>
      </c>
      <c r="C745" s="11" t="s">
        <v>170</v>
      </c>
      <c r="D745" s="11" t="s">
        <v>171</v>
      </c>
      <c r="E745" s="9" t="str">
        <f>+HYPERLINK("http://trademark.i-assist.jp/data/china/image_1904th/79393164.pdf", "79393164")</f>
        <v>79393164</v>
      </c>
      <c r="F745" s="11" t="s">
        <v>2249</v>
      </c>
      <c r="G745" s="11" t="s">
        <v>2250</v>
      </c>
      <c r="H745" s="11" t="s">
        <v>2251</v>
      </c>
      <c r="I745" s="11" t="s">
        <v>2169</v>
      </c>
    </row>
    <row r="746" spans="1:9" x14ac:dyDescent="0.15">
      <c r="A746" s="10">
        <v>745</v>
      </c>
      <c r="B746" s="11" t="s">
        <v>9</v>
      </c>
      <c r="C746" s="11" t="s">
        <v>170</v>
      </c>
      <c r="D746" s="11" t="s">
        <v>171</v>
      </c>
      <c r="E746" s="9" t="str">
        <f>+HYPERLINK("http://trademark.i-assist.jp/data/china/image_1904th/79393221.pdf", "79393221")</f>
        <v>79393221</v>
      </c>
      <c r="F746" s="11" t="s">
        <v>2252</v>
      </c>
      <c r="G746" s="11" t="s">
        <v>2253</v>
      </c>
      <c r="H746" s="11" t="s">
        <v>2254</v>
      </c>
      <c r="I746" s="11" t="s">
        <v>2169</v>
      </c>
    </row>
    <row r="747" spans="1:9" x14ac:dyDescent="0.15">
      <c r="A747" s="10">
        <v>746</v>
      </c>
      <c r="B747" s="11" t="s">
        <v>9</v>
      </c>
      <c r="C747" s="11" t="s">
        <v>170</v>
      </c>
      <c r="D747" s="11" t="s">
        <v>171</v>
      </c>
      <c r="E747" s="9" t="str">
        <f>+HYPERLINK("http://trademark.i-assist.jp/data/china/image_1904th/79393233.pdf", "79393233")</f>
        <v>79393233</v>
      </c>
      <c r="F747" s="11" t="s">
        <v>2255</v>
      </c>
      <c r="G747" s="11" t="s">
        <v>2256</v>
      </c>
      <c r="H747" s="11" t="s">
        <v>2257</v>
      </c>
      <c r="I747" s="11" t="s">
        <v>2169</v>
      </c>
    </row>
    <row r="748" spans="1:9" x14ac:dyDescent="0.15">
      <c r="A748" s="10">
        <v>747</v>
      </c>
      <c r="B748" s="11" t="s">
        <v>9</v>
      </c>
      <c r="C748" s="11" t="s">
        <v>170</v>
      </c>
      <c r="D748" s="11" t="s">
        <v>171</v>
      </c>
      <c r="E748" s="9" t="str">
        <f>+HYPERLINK("http://trademark.i-assist.jp/data/china/image_1904th/79393264.pdf", "79393264")</f>
        <v>79393264</v>
      </c>
      <c r="F748" s="11" t="s">
        <v>2258</v>
      </c>
      <c r="G748" s="11" t="s">
        <v>2259</v>
      </c>
      <c r="H748" s="11" t="s">
        <v>2260</v>
      </c>
      <c r="I748" s="11" t="s">
        <v>2169</v>
      </c>
    </row>
    <row r="749" spans="1:9" x14ac:dyDescent="0.15">
      <c r="A749" s="10">
        <v>748</v>
      </c>
      <c r="B749" s="11" t="s">
        <v>9</v>
      </c>
      <c r="C749" s="11" t="s">
        <v>170</v>
      </c>
      <c r="D749" s="11" t="s">
        <v>171</v>
      </c>
      <c r="E749" s="9" t="str">
        <f>+HYPERLINK("http://trademark.i-assist.jp/data/china/image_1904th/79393671.pdf", "79393671")</f>
        <v>79393671</v>
      </c>
      <c r="F749" s="11" t="s">
        <v>2261</v>
      </c>
      <c r="G749" s="11" t="s">
        <v>2202</v>
      </c>
      <c r="H749" s="11" t="s">
        <v>2262</v>
      </c>
      <c r="I749" s="11" t="s">
        <v>2169</v>
      </c>
    </row>
    <row r="750" spans="1:9" x14ac:dyDescent="0.15">
      <c r="A750" s="10">
        <v>749</v>
      </c>
      <c r="B750" s="11" t="s">
        <v>9</v>
      </c>
      <c r="C750" s="11" t="s">
        <v>170</v>
      </c>
      <c r="D750" s="11" t="s">
        <v>171</v>
      </c>
      <c r="E750" s="9" t="str">
        <f>+HYPERLINK("http://trademark.i-assist.jp/data/china/image_1904th/79394264.pdf", "79394264")</f>
        <v>79394264</v>
      </c>
      <c r="F750" s="11" t="s">
        <v>12</v>
      </c>
      <c r="G750" s="11" t="s">
        <v>2263</v>
      </c>
      <c r="H750" s="11" t="s">
        <v>2264</v>
      </c>
      <c r="I750" s="11" t="s">
        <v>2169</v>
      </c>
    </row>
    <row r="751" spans="1:9" x14ac:dyDescent="0.15">
      <c r="A751" s="10">
        <v>750</v>
      </c>
      <c r="B751" s="11" t="s">
        <v>9</v>
      </c>
      <c r="C751" s="11" t="s">
        <v>170</v>
      </c>
      <c r="D751" s="11" t="s">
        <v>171</v>
      </c>
      <c r="E751" s="9" t="str">
        <f>+HYPERLINK("http://trademark.i-assist.jp/data/china/image_1904th/79394813.pdf", "79394813")</f>
        <v>79394813</v>
      </c>
      <c r="F751" s="11" t="s">
        <v>2265</v>
      </c>
      <c r="G751" s="11" t="s">
        <v>2266</v>
      </c>
      <c r="H751" s="11" t="s">
        <v>2267</v>
      </c>
      <c r="I751" s="11" t="s">
        <v>2169</v>
      </c>
    </row>
    <row r="752" spans="1:9" x14ac:dyDescent="0.15">
      <c r="A752" s="10">
        <v>751</v>
      </c>
      <c r="B752" s="11" t="s">
        <v>9</v>
      </c>
      <c r="C752" s="11" t="s">
        <v>170</v>
      </c>
      <c r="D752" s="11" t="s">
        <v>171</v>
      </c>
      <c r="E752" s="9" t="str">
        <f>+HYPERLINK("http://trademark.i-assist.jp/data/china/image_1904th/79396081.pdf", "79396081")</f>
        <v>79396081</v>
      </c>
      <c r="F752" s="11" t="s">
        <v>2268</v>
      </c>
      <c r="G752" s="11" t="s">
        <v>2269</v>
      </c>
      <c r="H752" s="11" t="s">
        <v>2270</v>
      </c>
      <c r="I752" s="11" t="s">
        <v>2169</v>
      </c>
    </row>
    <row r="753" spans="1:9" x14ac:dyDescent="0.15">
      <c r="A753" s="10">
        <v>752</v>
      </c>
      <c r="B753" s="11" t="s">
        <v>9</v>
      </c>
      <c r="C753" s="11" t="s">
        <v>170</v>
      </c>
      <c r="D753" s="11" t="s">
        <v>171</v>
      </c>
      <c r="E753" s="9" t="str">
        <f>+HYPERLINK("http://trademark.i-assist.jp/data/china/image_1904th/79396634.pdf", "79396634")</f>
        <v>79396634</v>
      </c>
      <c r="F753" s="11" t="s">
        <v>2271</v>
      </c>
      <c r="G753" s="11" t="s">
        <v>2272</v>
      </c>
      <c r="H753" s="11" t="s">
        <v>2273</v>
      </c>
      <c r="I753" s="11" t="s">
        <v>2169</v>
      </c>
    </row>
    <row r="754" spans="1:9" x14ac:dyDescent="0.15">
      <c r="A754" s="10">
        <v>753</v>
      </c>
      <c r="B754" s="11" t="s">
        <v>9</v>
      </c>
      <c r="C754" s="11" t="s">
        <v>170</v>
      </c>
      <c r="D754" s="11" t="s">
        <v>171</v>
      </c>
      <c r="E754" s="9" t="str">
        <f>+HYPERLINK("http://trademark.i-assist.jp/data/china/image_1904th/79397233.pdf", "79397233")</f>
        <v>79397233</v>
      </c>
      <c r="F754" s="11" t="s">
        <v>2274</v>
      </c>
      <c r="G754" s="11" t="s">
        <v>2238</v>
      </c>
      <c r="H754" s="11" t="s">
        <v>2275</v>
      </c>
      <c r="I754" s="11" t="s">
        <v>2169</v>
      </c>
    </row>
    <row r="755" spans="1:9" x14ac:dyDescent="0.15">
      <c r="A755" s="10">
        <v>754</v>
      </c>
      <c r="B755" s="11" t="s">
        <v>9</v>
      </c>
      <c r="C755" s="11" t="s">
        <v>170</v>
      </c>
      <c r="D755" s="11" t="s">
        <v>171</v>
      </c>
      <c r="E755" s="9" t="str">
        <f>+HYPERLINK("http://trademark.i-assist.jp/data/china/image_1904th/79397528.pdf", "79397528")</f>
        <v>79397528</v>
      </c>
      <c r="F755" s="11" t="s">
        <v>2276</v>
      </c>
      <c r="G755" s="11" t="s">
        <v>2277</v>
      </c>
      <c r="H755" s="11" t="s">
        <v>2278</v>
      </c>
      <c r="I755" s="11" t="s">
        <v>2169</v>
      </c>
    </row>
    <row r="756" spans="1:9" x14ac:dyDescent="0.15">
      <c r="A756" s="10">
        <v>755</v>
      </c>
      <c r="B756" s="11" t="s">
        <v>9</v>
      </c>
      <c r="C756" s="11" t="s">
        <v>170</v>
      </c>
      <c r="D756" s="11" t="s">
        <v>171</v>
      </c>
      <c r="E756" s="9" t="str">
        <f>+HYPERLINK("http://trademark.i-assist.jp/data/china/image_1904th/79397937.pdf", "79397937")</f>
        <v>79397937</v>
      </c>
      <c r="F756" s="11" t="s">
        <v>2279</v>
      </c>
      <c r="G756" s="11" t="s">
        <v>2280</v>
      </c>
      <c r="H756" s="11" t="s">
        <v>2281</v>
      </c>
      <c r="I756" s="11" t="s">
        <v>2169</v>
      </c>
    </row>
    <row r="757" spans="1:9" x14ac:dyDescent="0.15">
      <c r="A757" s="10">
        <v>756</v>
      </c>
      <c r="B757" s="11" t="s">
        <v>9</v>
      </c>
      <c r="C757" s="11" t="s">
        <v>170</v>
      </c>
      <c r="D757" s="11" t="s">
        <v>171</v>
      </c>
      <c r="E757" s="9" t="str">
        <f>+HYPERLINK("http://trademark.i-assist.jp/data/china/image_1904th/79397955.pdf", "79397955")</f>
        <v>79397955</v>
      </c>
      <c r="F757" s="11" t="s">
        <v>2282</v>
      </c>
      <c r="G757" s="11" t="s">
        <v>2283</v>
      </c>
      <c r="H757" s="11" t="s">
        <v>2284</v>
      </c>
      <c r="I757" s="11" t="s">
        <v>2169</v>
      </c>
    </row>
    <row r="758" spans="1:9" x14ac:dyDescent="0.15">
      <c r="A758" s="10">
        <v>757</v>
      </c>
      <c r="B758" s="11" t="s">
        <v>9</v>
      </c>
      <c r="C758" s="11" t="s">
        <v>170</v>
      </c>
      <c r="D758" s="11" t="s">
        <v>171</v>
      </c>
      <c r="E758" s="9" t="str">
        <f>+HYPERLINK("http://trademark.i-assist.jp/data/china/image_1904th/79397992.pdf", "79397992")</f>
        <v>79397992</v>
      </c>
      <c r="F758" s="11" t="s">
        <v>2285</v>
      </c>
      <c r="G758" s="11" t="s">
        <v>2286</v>
      </c>
      <c r="H758" s="11" t="s">
        <v>2287</v>
      </c>
      <c r="I758" s="11" t="s">
        <v>2169</v>
      </c>
    </row>
    <row r="759" spans="1:9" x14ac:dyDescent="0.15">
      <c r="A759" s="10">
        <v>758</v>
      </c>
      <c r="B759" s="11" t="s">
        <v>9</v>
      </c>
      <c r="C759" s="11" t="s">
        <v>170</v>
      </c>
      <c r="D759" s="11" t="s">
        <v>171</v>
      </c>
      <c r="E759" s="9" t="str">
        <f>+HYPERLINK("http://trademark.i-assist.jp/data/china/image_1904th/79398183.pdf", "79398183")</f>
        <v>79398183</v>
      </c>
      <c r="F759" s="11" t="s">
        <v>2288</v>
      </c>
      <c r="G759" s="11" t="s">
        <v>2288</v>
      </c>
      <c r="H759" s="11" t="s">
        <v>2289</v>
      </c>
      <c r="I759" s="11" t="s">
        <v>2169</v>
      </c>
    </row>
    <row r="760" spans="1:9" x14ac:dyDescent="0.15">
      <c r="A760" s="10">
        <v>759</v>
      </c>
      <c r="B760" s="11" t="s">
        <v>9</v>
      </c>
      <c r="C760" s="11" t="s">
        <v>170</v>
      </c>
      <c r="D760" s="11" t="s">
        <v>171</v>
      </c>
      <c r="E760" s="9" t="str">
        <f>+HYPERLINK("http://trademark.i-assist.jp/data/china/image_1904th/79398956.pdf", "79398956")</f>
        <v>79398956</v>
      </c>
      <c r="F760" s="11" t="s">
        <v>2290</v>
      </c>
      <c r="G760" s="11" t="s">
        <v>2291</v>
      </c>
      <c r="H760" s="11" t="s">
        <v>2292</v>
      </c>
      <c r="I760" s="11" t="s">
        <v>2169</v>
      </c>
    </row>
    <row r="761" spans="1:9" x14ac:dyDescent="0.15">
      <c r="A761" s="10">
        <v>760</v>
      </c>
      <c r="B761" s="11" t="s">
        <v>9</v>
      </c>
      <c r="C761" s="11" t="s">
        <v>170</v>
      </c>
      <c r="D761" s="11" t="s">
        <v>171</v>
      </c>
      <c r="E761" s="9" t="str">
        <f>+HYPERLINK("http://trademark.i-assist.jp/data/china/image_1904th/79399304.pdf", "79399304")</f>
        <v>79399304</v>
      </c>
      <c r="F761" s="11" t="s">
        <v>2293</v>
      </c>
      <c r="G761" s="11" t="s">
        <v>2294</v>
      </c>
      <c r="H761" s="11" t="s">
        <v>2295</v>
      </c>
      <c r="I761" s="11" t="s">
        <v>2169</v>
      </c>
    </row>
    <row r="762" spans="1:9" x14ac:dyDescent="0.15">
      <c r="A762" s="10">
        <v>761</v>
      </c>
      <c r="B762" s="11" t="s">
        <v>9</v>
      </c>
      <c r="C762" s="11" t="s">
        <v>170</v>
      </c>
      <c r="D762" s="11" t="s">
        <v>171</v>
      </c>
      <c r="E762" s="9" t="str">
        <f>+HYPERLINK("http://trademark.i-assist.jp/data/china/image_1904th/79399444.pdf", "79399444")</f>
        <v>79399444</v>
      </c>
      <c r="F762" s="11" t="s">
        <v>12</v>
      </c>
      <c r="G762" s="11" t="s">
        <v>2296</v>
      </c>
      <c r="H762" s="11" t="s">
        <v>2297</v>
      </c>
      <c r="I762" s="11" t="s">
        <v>2169</v>
      </c>
    </row>
    <row r="763" spans="1:9" x14ac:dyDescent="0.15">
      <c r="A763" s="10">
        <v>762</v>
      </c>
      <c r="B763" s="11" t="s">
        <v>9</v>
      </c>
      <c r="C763" s="11" t="s">
        <v>170</v>
      </c>
      <c r="D763" s="11" t="s">
        <v>171</v>
      </c>
      <c r="E763" s="9" t="str">
        <f>+HYPERLINK("http://trademark.i-assist.jp/data/china/image_1904th/79399527.pdf", "79399527")</f>
        <v>79399527</v>
      </c>
      <c r="F763" s="11" t="s">
        <v>2298</v>
      </c>
      <c r="G763" s="11" t="s">
        <v>2299</v>
      </c>
      <c r="H763" s="11" t="s">
        <v>2300</v>
      </c>
      <c r="I763" s="11" t="s">
        <v>2169</v>
      </c>
    </row>
    <row r="764" spans="1:9" x14ac:dyDescent="0.15">
      <c r="A764" s="10">
        <v>763</v>
      </c>
      <c r="B764" s="11" t="s">
        <v>9</v>
      </c>
      <c r="C764" s="11" t="s">
        <v>170</v>
      </c>
      <c r="D764" s="11" t="s">
        <v>171</v>
      </c>
      <c r="E764" s="9" t="str">
        <f>+HYPERLINK("http://trademark.i-assist.jp/data/china/image_1904th/79399656.pdf", "79399656")</f>
        <v>79399656</v>
      </c>
      <c r="F764" s="11" t="s">
        <v>2301</v>
      </c>
      <c r="G764" s="11" t="s">
        <v>2302</v>
      </c>
      <c r="H764" s="11" t="s">
        <v>2303</v>
      </c>
      <c r="I764" s="11" t="s">
        <v>2169</v>
      </c>
    </row>
    <row r="765" spans="1:9" x14ac:dyDescent="0.15">
      <c r="A765" s="10">
        <v>764</v>
      </c>
      <c r="B765" s="11" t="s">
        <v>9</v>
      </c>
      <c r="C765" s="11" t="s">
        <v>170</v>
      </c>
      <c r="D765" s="11" t="s">
        <v>171</v>
      </c>
      <c r="E765" s="9" t="str">
        <f>+HYPERLINK("http://trademark.i-assist.jp/data/china/image_1904th/79400479.pdf", "79400479")</f>
        <v>79400479</v>
      </c>
      <c r="F765" s="11" t="s">
        <v>2304</v>
      </c>
      <c r="G765" s="11" t="s">
        <v>2305</v>
      </c>
      <c r="H765" s="11" t="s">
        <v>2306</v>
      </c>
      <c r="I765" s="11" t="s">
        <v>2169</v>
      </c>
    </row>
    <row r="766" spans="1:9" x14ac:dyDescent="0.15">
      <c r="A766" s="10">
        <v>765</v>
      </c>
      <c r="B766" s="11" t="s">
        <v>9</v>
      </c>
      <c r="C766" s="11" t="s">
        <v>170</v>
      </c>
      <c r="D766" s="11" t="s">
        <v>171</v>
      </c>
      <c r="E766" s="9" t="str">
        <f>+HYPERLINK("http://trademark.i-assist.jp/data/china/image_1904th/79400504.pdf", "79400504")</f>
        <v>79400504</v>
      </c>
      <c r="F766" s="11" t="s">
        <v>2307</v>
      </c>
      <c r="G766" s="11" t="s">
        <v>2308</v>
      </c>
      <c r="H766" s="11" t="s">
        <v>2309</v>
      </c>
      <c r="I766" s="11" t="s">
        <v>2169</v>
      </c>
    </row>
    <row r="767" spans="1:9" x14ac:dyDescent="0.15">
      <c r="A767" s="10">
        <v>766</v>
      </c>
      <c r="B767" s="11" t="s">
        <v>9</v>
      </c>
      <c r="C767" s="11" t="s">
        <v>170</v>
      </c>
      <c r="D767" s="11" t="s">
        <v>171</v>
      </c>
      <c r="E767" s="9" t="str">
        <f>+HYPERLINK("http://trademark.i-assist.jp/data/china/image_1904th/79400554.pdf", "79400554")</f>
        <v>79400554</v>
      </c>
      <c r="F767" s="11" t="s">
        <v>2310</v>
      </c>
      <c r="G767" s="11" t="s">
        <v>154</v>
      </c>
      <c r="H767" s="11" t="s">
        <v>2311</v>
      </c>
      <c r="I767" s="11" t="s">
        <v>2169</v>
      </c>
    </row>
    <row r="768" spans="1:9" x14ac:dyDescent="0.15">
      <c r="A768" s="10">
        <v>767</v>
      </c>
      <c r="B768" s="11" t="s">
        <v>9</v>
      </c>
      <c r="C768" s="11" t="s">
        <v>170</v>
      </c>
      <c r="D768" s="11" t="s">
        <v>171</v>
      </c>
      <c r="E768" s="9" t="str">
        <f>+HYPERLINK("http://trademark.i-assist.jp/data/china/image_1904th/79400864.pdf", "79400864")</f>
        <v>79400864</v>
      </c>
      <c r="F768" s="11" t="s">
        <v>2312</v>
      </c>
      <c r="G768" s="11" t="s">
        <v>2313</v>
      </c>
      <c r="H768" s="11" t="s">
        <v>2314</v>
      </c>
      <c r="I768" s="11" t="s">
        <v>2169</v>
      </c>
    </row>
    <row r="769" spans="1:9" x14ac:dyDescent="0.15">
      <c r="A769" s="10">
        <v>768</v>
      </c>
      <c r="B769" s="11" t="s">
        <v>9</v>
      </c>
      <c r="C769" s="11" t="s">
        <v>170</v>
      </c>
      <c r="D769" s="11" t="s">
        <v>171</v>
      </c>
      <c r="E769" s="9" t="str">
        <f>+HYPERLINK("http://trademark.i-assist.jp/data/china/image_1904th/79401104.pdf", "79401104")</f>
        <v>79401104</v>
      </c>
      <c r="F769" s="11" t="s">
        <v>2315</v>
      </c>
      <c r="G769" s="11" t="s">
        <v>2316</v>
      </c>
      <c r="H769" s="11" t="s">
        <v>2317</v>
      </c>
      <c r="I769" s="11" t="s">
        <v>2169</v>
      </c>
    </row>
    <row r="770" spans="1:9" x14ac:dyDescent="0.15">
      <c r="A770" s="10">
        <v>769</v>
      </c>
      <c r="B770" s="11" t="s">
        <v>9</v>
      </c>
      <c r="C770" s="11" t="s">
        <v>170</v>
      </c>
      <c r="D770" s="11" t="s">
        <v>171</v>
      </c>
      <c r="E770" s="9" t="str">
        <f>+HYPERLINK("http://trademark.i-assist.jp/data/china/image_1904th/79401105.pdf", "79401105")</f>
        <v>79401105</v>
      </c>
      <c r="F770" s="11" t="s">
        <v>2318</v>
      </c>
      <c r="G770" s="11" t="s">
        <v>2286</v>
      </c>
      <c r="H770" s="11" t="s">
        <v>2319</v>
      </c>
      <c r="I770" s="11" t="s">
        <v>2169</v>
      </c>
    </row>
    <row r="771" spans="1:9" x14ac:dyDescent="0.15">
      <c r="A771" s="10">
        <v>770</v>
      </c>
      <c r="B771" s="11" t="s">
        <v>9</v>
      </c>
      <c r="C771" s="11" t="s">
        <v>170</v>
      </c>
      <c r="D771" s="11" t="s">
        <v>171</v>
      </c>
      <c r="E771" s="9" t="str">
        <f>+HYPERLINK("http://trademark.i-assist.jp/data/china/image_1904th/79401924.pdf", "79401924")</f>
        <v>79401924</v>
      </c>
      <c r="F771" s="11" t="s">
        <v>2320</v>
      </c>
      <c r="G771" s="11" t="s">
        <v>2321</v>
      </c>
      <c r="H771" s="11" t="s">
        <v>2322</v>
      </c>
      <c r="I771" s="11" t="s">
        <v>2169</v>
      </c>
    </row>
    <row r="772" spans="1:9" x14ac:dyDescent="0.15">
      <c r="A772" s="10">
        <v>771</v>
      </c>
      <c r="B772" s="11" t="s">
        <v>9</v>
      </c>
      <c r="C772" s="11" t="s">
        <v>170</v>
      </c>
      <c r="D772" s="11" t="s">
        <v>171</v>
      </c>
      <c r="E772" s="9" t="str">
        <f>+HYPERLINK("http://trademark.i-assist.jp/data/china/image_1904th/79402263.pdf", "79402263")</f>
        <v>79402263</v>
      </c>
      <c r="F772" s="11" t="s">
        <v>2323</v>
      </c>
      <c r="G772" s="11" t="s">
        <v>2324</v>
      </c>
      <c r="H772" s="11" t="s">
        <v>2325</v>
      </c>
      <c r="I772" s="11" t="s">
        <v>2169</v>
      </c>
    </row>
    <row r="773" spans="1:9" x14ac:dyDescent="0.15">
      <c r="A773" s="10">
        <v>772</v>
      </c>
      <c r="B773" s="11" t="s">
        <v>9</v>
      </c>
      <c r="C773" s="11" t="s">
        <v>170</v>
      </c>
      <c r="D773" s="11" t="s">
        <v>171</v>
      </c>
      <c r="E773" s="9" t="str">
        <f>+HYPERLINK("http://trademark.i-assist.jp/data/china/image_1904th/79402586.pdf", "79402586")</f>
        <v>79402586</v>
      </c>
      <c r="F773" s="11" t="s">
        <v>2326</v>
      </c>
      <c r="G773" s="11" t="s">
        <v>2327</v>
      </c>
      <c r="H773" s="11" t="s">
        <v>2328</v>
      </c>
      <c r="I773" s="11" t="s">
        <v>2169</v>
      </c>
    </row>
    <row r="774" spans="1:9" x14ac:dyDescent="0.15">
      <c r="A774" s="10">
        <v>773</v>
      </c>
      <c r="B774" s="11" t="s">
        <v>9</v>
      </c>
      <c r="C774" s="11" t="s">
        <v>170</v>
      </c>
      <c r="D774" s="11" t="s">
        <v>171</v>
      </c>
      <c r="E774" s="9" t="str">
        <f>+HYPERLINK("http://trademark.i-assist.jp/data/china/image_1904th/79402771.pdf", "79402771")</f>
        <v>79402771</v>
      </c>
      <c r="F774" s="11" t="s">
        <v>2329</v>
      </c>
      <c r="G774" s="11" t="s">
        <v>2330</v>
      </c>
      <c r="H774" s="11" t="s">
        <v>2331</v>
      </c>
      <c r="I774" s="11" t="s">
        <v>2169</v>
      </c>
    </row>
    <row r="775" spans="1:9" x14ac:dyDescent="0.15">
      <c r="A775" s="10">
        <v>774</v>
      </c>
      <c r="B775" s="11" t="s">
        <v>9</v>
      </c>
      <c r="C775" s="11" t="s">
        <v>170</v>
      </c>
      <c r="D775" s="11" t="s">
        <v>171</v>
      </c>
      <c r="E775" s="9" t="str">
        <f>+HYPERLINK("http://trademark.i-assist.jp/data/china/image_1904th/79403811.pdf", "79403811")</f>
        <v>79403811</v>
      </c>
      <c r="F775" s="11" t="s">
        <v>2332</v>
      </c>
      <c r="G775" s="11" t="s">
        <v>2333</v>
      </c>
      <c r="H775" s="11" t="s">
        <v>2334</v>
      </c>
      <c r="I775" s="11" t="s">
        <v>2169</v>
      </c>
    </row>
    <row r="776" spans="1:9" x14ac:dyDescent="0.15">
      <c r="A776" s="10">
        <v>775</v>
      </c>
      <c r="B776" s="11" t="s">
        <v>9</v>
      </c>
      <c r="C776" s="11" t="s">
        <v>170</v>
      </c>
      <c r="D776" s="11" t="s">
        <v>171</v>
      </c>
      <c r="E776" s="9" t="str">
        <f>+HYPERLINK("http://trademark.i-assist.jp/data/china/image_1904th/79404219.pdf", "79404219")</f>
        <v>79404219</v>
      </c>
      <c r="F776" s="11" t="s">
        <v>2335</v>
      </c>
      <c r="G776" s="11" t="s">
        <v>2336</v>
      </c>
      <c r="H776" s="11" t="s">
        <v>2337</v>
      </c>
      <c r="I776" s="11" t="s">
        <v>2169</v>
      </c>
    </row>
    <row r="777" spans="1:9" x14ac:dyDescent="0.15">
      <c r="A777" s="10">
        <v>776</v>
      </c>
      <c r="B777" s="11" t="s">
        <v>9</v>
      </c>
      <c r="C777" s="11" t="s">
        <v>170</v>
      </c>
      <c r="D777" s="11" t="s">
        <v>171</v>
      </c>
      <c r="E777" s="9" t="str">
        <f>+HYPERLINK("http://trademark.i-assist.jp/data/china/image_1904th/79404273.pdf", "79404273")</f>
        <v>79404273</v>
      </c>
      <c r="F777" s="11" t="s">
        <v>2338</v>
      </c>
      <c r="G777" s="11" t="s">
        <v>2339</v>
      </c>
      <c r="H777" s="11" t="s">
        <v>2340</v>
      </c>
      <c r="I777" s="11" t="s">
        <v>2169</v>
      </c>
    </row>
    <row r="778" spans="1:9" x14ac:dyDescent="0.15">
      <c r="A778" s="10">
        <v>777</v>
      </c>
      <c r="B778" s="11" t="s">
        <v>9</v>
      </c>
      <c r="C778" s="11" t="s">
        <v>170</v>
      </c>
      <c r="D778" s="11" t="s">
        <v>171</v>
      </c>
      <c r="E778" s="9" t="str">
        <f>+HYPERLINK("http://trademark.i-assist.jp/data/china/image_1904th/79404308.pdf", "79404308")</f>
        <v>79404308</v>
      </c>
      <c r="F778" s="11" t="s">
        <v>2341</v>
      </c>
      <c r="G778" s="11" t="s">
        <v>2342</v>
      </c>
      <c r="H778" s="11" t="s">
        <v>2343</v>
      </c>
      <c r="I778" s="11" t="s">
        <v>2169</v>
      </c>
    </row>
    <row r="779" spans="1:9" x14ac:dyDescent="0.15">
      <c r="A779" s="10">
        <v>778</v>
      </c>
      <c r="B779" s="11" t="s">
        <v>9</v>
      </c>
      <c r="C779" s="11" t="s">
        <v>170</v>
      </c>
      <c r="D779" s="11" t="s">
        <v>171</v>
      </c>
      <c r="E779" s="9" t="str">
        <f>+HYPERLINK("http://trademark.i-assist.jp/data/china/image_1904th/79404503.pdf", "79404503")</f>
        <v>79404503</v>
      </c>
      <c r="F779" s="11" t="s">
        <v>2344</v>
      </c>
      <c r="G779" s="11" t="s">
        <v>209</v>
      </c>
      <c r="H779" s="11" t="s">
        <v>2345</v>
      </c>
      <c r="I779" s="11" t="s">
        <v>2169</v>
      </c>
    </row>
    <row r="780" spans="1:9" x14ac:dyDescent="0.15">
      <c r="A780" s="10">
        <v>779</v>
      </c>
      <c r="B780" s="11" t="s">
        <v>9</v>
      </c>
      <c r="C780" s="11" t="s">
        <v>170</v>
      </c>
      <c r="D780" s="11" t="s">
        <v>171</v>
      </c>
      <c r="E780" s="9" t="str">
        <f>+HYPERLINK("http://trademark.i-assist.jp/data/china/image_1904th/79404631.pdf", "79404631")</f>
        <v>79404631</v>
      </c>
      <c r="F780" s="11" t="s">
        <v>2346</v>
      </c>
      <c r="G780" s="11" t="s">
        <v>2347</v>
      </c>
      <c r="H780" s="11" t="s">
        <v>2348</v>
      </c>
      <c r="I780" s="11" t="s">
        <v>2169</v>
      </c>
    </row>
    <row r="781" spans="1:9" x14ac:dyDescent="0.15">
      <c r="A781" s="10">
        <v>780</v>
      </c>
      <c r="B781" s="11" t="s">
        <v>9</v>
      </c>
      <c r="C781" s="11" t="s">
        <v>170</v>
      </c>
      <c r="D781" s="11" t="s">
        <v>171</v>
      </c>
      <c r="E781" s="9" t="str">
        <f>+HYPERLINK("http://trademark.i-assist.jp/data/china/image_1904th/79404911.pdf", "79404911")</f>
        <v>79404911</v>
      </c>
      <c r="F781" s="11" t="s">
        <v>2349</v>
      </c>
      <c r="G781" s="11" t="s">
        <v>2350</v>
      </c>
      <c r="H781" s="11" t="s">
        <v>2351</v>
      </c>
      <c r="I781" s="11" t="s">
        <v>2169</v>
      </c>
    </row>
    <row r="782" spans="1:9" x14ac:dyDescent="0.15">
      <c r="A782" s="10">
        <v>781</v>
      </c>
      <c r="B782" s="11" t="s">
        <v>9</v>
      </c>
      <c r="C782" s="11" t="s">
        <v>170</v>
      </c>
      <c r="D782" s="11" t="s">
        <v>171</v>
      </c>
      <c r="E782" s="9" t="str">
        <f>+HYPERLINK("http://trademark.i-assist.jp/data/china/image_1904th/79404938.pdf", "79404938")</f>
        <v>79404938</v>
      </c>
      <c r="F782" s="11" t="s">
        <v>2352</v>
      </c>
      <c r="G782" s="11" t="s">
        <v>2353</v>
      </c>
      <c r="H782" s="11" t="s">
        <v>2354</v>
      </c>
      <c r="I782" s="11" t="s">
        <v>2169</v>
      </c>
    </row>
    <row r="783" spans="1:9" x14ac:dyDescent="0.15">
      <c r="A783" s="10">
        <v>782</v>
      </c>
      <c r="B783" s="11" t="s">
        <v>9</v>
      </c>
      <c r="C783" s="11" t="s">
        <v>170</v>
      </c>
      <c r="D783" s="11" t="s">
        <v>171</v>
      </c>
      <c r="E783" s="9" t="str">
        <f>+HYPERLINK("http://trademark.i-assist.jp/data/china/image_1904th/79406041.pdf", "79406041")</f>
        <v>79406041</v>
      </c>
      <c r="F783" s="11" t="s">
        <v>2355</v>
      </c>
      <c r="G783" s="11" t="s">
        <v>2356</v>
      </c>
      <c r="H783" s="11" t="s">
        <v>2357</v>
      </c>
      <c r="I783" s="11" t="s">
        <v>2169</v>
      </c>
    </row>
    <row r="784" spans="1:9" x14ac:dyDescent="0.15">
      <c r="A784" s="10">
        <v>783</v>
      </c>
      <c r="B784" s="11" t="s">
        <v>9</v>
      </c>
      <c r="C784" s="11" t="s">
        <v>170</v>
      </c>
      <c r="D784" s="11" t="s">
        <v>171</v>
      </c>
      <c r="E784" s="9" t="str">
        <f>+HYPERLINK("http://trademark.i-assist.jp/data/china/image_1904th/79406205.pdf", "79406205")</f>
        <v>79406205</v>
      </c>
      <c r="F784" s="11" t="s">
        <v>2358</v>
      </c>
      <c r="G784" s="11" t="s">
        <v>2359</v>
      </c>
      <c r="H784" s="11" t="s">
        <v>2360</v>
      </c>
      <c r="I784" s="11" t="s">
        <v>2169</v>
      </c>
    </row>
    <row r="785" spans="1:9" x14ac:dyDescent="0.15">
      <c r="A785" s="10">
        <v>784</v>
      </c>
      <c r="B785" s="11" t="s">
        <v>9</v>
      </c>
      <c r="C785" s="11" t="s">
        <v>170</v>
      </c>
      <c r="D785" s="11" t="s">
        <v>171</v>
      </c>
      <c r="E785" s="9" t="str">
        <f>+HYPERLINK("http://trademark.i-assist.jp/data/china/image_1904th/79407920.pdf", "79407920")</f>
        <v>79407920</v>
      </c>
      <c r="F785" s="11" t="s">
        <v>2361</v>
      </c>
      <c r="G785" s="11" t="s">
        <v>2362</v>
      </c>
      <c r="H785" s="11" t="s">
        <v>2363</v>
      </c>
      <c r="I785" s="11" t="s">
        <v>2169</v>
      </c>
    </row>
    <row r="786" spans="1:9" x14ac:dyDescent="0.15">
      <c r="A786" s="10">
        <v>785</v>
      </c>
      <c r="B786" s="11" t="s">
        <v>9</v>
      </c>
      <c r="C786" s="11" t="s">
        <v>170</v>
      </c>
      <c r="D786" s="11" t="s">
        <v>171</v>
      </c>
      <c r="E786" s="9" t="str">
        <f>+HYPERLINK("http://trademark.i-assist.jp/data/china/image_1904th/79407979.pdf", "79407979")</f>
        <v>79407979</v>
      </c>
      <c r="F786" s="11" t="s">
        <v>2364</v>
      </c>
      <c r="G786" s="11" t="s">
        <v>2365</v>
      </c>
      <c r="H786" s="11" t="s">
        <v>2366</v>
      </c>
      <c r="I786" s="11" t="s">
        <v>2169</v>
      </c>
    </row>
    <row r="787" spans="1:9" x14ac:dyDescent="0.15">
      <c r="A787" s="10">
        <v>786</v>
      </c>
      <c r="B787" s="11" t="s">
        <v>9</v>
      </c>
      <c r="C787" s="11" t="s">
        <v>170</v>
      </c>
      <c r="D787" s="11" t="s">
        <v>171</v>
      </c>
      <c r="E787" s="9" t="str">
        <f>+HYPERLINK("http://trademark.i-assist.jp/data/china/image_1904th/79408014.pdf", "79408014")</f>
        <v>79408014</v>
      </c>
      <c r="F787" s="11" t="s">
        <v>2367</v>
      </c>
      <c r="G787" s="11" t="s">
        <v>2368</v>
      </c>
      <c r="H787" s="11" t="s">
        <v>2369</v>
      </c>
      <c r="I787" s="11" t="s">
        <v>2169</v>
      </c>
    </row>
    <row r="788" spans="1:9" x14ac:dyDescent="0.15">
      <c r="A788" s="10">
        <v>787</v>
      </c>
      <c r="B788" s="11" t="s">
        <v>9</v>
      </c>
      <c r="C788" s="11" t="s">
        <v>170</v>
      </c>
      <c r="D788" s="11" t="s">
        <v>171</v>
      </c>
      <c r="E788" s="9" t="str">
        <f>+HYPERLINK("http://trademark.i-assist.jp/data/china/image_1904th/79408198.pdf", "79408198")</f>
        <v>79408198</v>
      </c>
      <c r="F788" s="11" t="s">
        <v>2370</v>
      </c>
      <c r="G788" s="11" t="s">
        <v>2371</v>
      </c>
      <c r="H788" s="11" t="s">
        <v>2372</v>
      </c>
      <c r="I788" s="11" t="s">
        <v>2169</v>
      </c>
    </row>
    <row r="789" spans="1:9" x14ac:dyDescent="0.15">
      <c r="A789" s="10">
        <v>788</v>
      </c>
      <c r="B789" s="11" t="s">
        <v>9</v>
      </c>
      <c r="C789" s="11" t="s">
        <v>170</v>
      </c>
      <c r="D789" s="11" t="s">
        <v>171</v>
      </c>
      <c r="E789" s="9" t="str">
        <f>+HYPERLINK("http://trademark.i-assist.jp/data/china/image_1904th/79408921.pdf", "79408921")</f>
        <v>79408921</v>
      </c>
      <c r="F789" s="11" t="s">
        <v>2373</v>
      </c>
      <c r="G789" s="11" t="s">
        <v>2374</v>
      </c>
      <c r="H789" s="11" t="s">
        <v>2375</v>
      </c>
      <c r="I789" s="11" t="s">
        <v>2169</v>
      </c>
    </row>
    <row r="790" spans="1:9" x14ac:dyDescent="0.15">
      <c r="A790" s="10">
        <v>789</v>
      </c>
      <c r="B790" s="11" t="s">
        <v>9</v>
      </c>
      <c r="C790" s="11" t="s">
        <v>170</v>
      </c>
      <c r="D790" s="11" t="s">
        <v>171</v>
      </c>
      <c r="E790" s="9" t="str">
        <f>+HYPERLINK("http://trademark.i-assist.jp/data/china/image_1904th/79408928.pdf", "79408928")</f>
        <v>79408928</v>
      </c>
      <c r="F790" s="11" t="s">
        <v>2376</v>
      </c>
      <c r="G790" s="11" t="s">
        <v>2377</v>
      </c>
      <c r="H790" s="11" t="s">
        <v>2378</v>
      </c>
      <c r="I790" s="11" t="s">
        <v>2169</v>
      </c>
    </row>
    <row r="791" spans="1:9" x14ac:dyDescent="0.15">
      <c r="A791" s="10">
        <v>790</v>
      </c>
      <c r="B791" s="11" t="s">
        <v>9</v>
      </c>
      <c r="C791" s="11" t="s">
        <v>170</v>
      </c>
      <c r="D791" s="11" t="s">
        <v>171</v>
      </c>
      <c r="E791" s="9" t="str">
        <f>+HYPERLINK("http://trademark.i-assist.jp/data/china/image_1904th/79409026.pdf", "79409026")</f>
        <v>79409026</v>
      </c>
      <c r="F791" s="11" t="s">
        <v>2379</v>
      </c>
      <c r="G791" s="11" t="s">
        <v>2380</v>
      </c>
      <c r="H791" s="11" t="s">
        <v>2381</v>
      </c>
      <c r="I791" s="11" t="s">
        <v>2169</v>
      </c>
    </row>
    <row r="792" spans="1:9" x14ac:dyDescent="0.15">
      <c r="A792" s="10">
        <v>791</v>
      </c>
      <c r="B792" s="11" t="s">
        <v>9</v>
      </c>
      <c r="C792" s="11" t="s">
        <v>170</v>
      </c>
      <c r="D792" s="11" t="s">
        <v>171</v>
      </c>
      <c r="E792" s="9" t="str">
        <f>+HYPERLINK("http://trademark.i-assist.jp/data/china/image_1904th/79409333.pdf", "79409333")</f>
        <v>79409333</v>
      </c>
      <c r="F792" s="11" t="s">
        <v>2382</v>
      </c>
      <c r="G792" s="11" t="s">
        <v>2383</v>
      </c>
      <c r="H792" s="11" t="s">
        <v>2384</v>
      </c>
      <c r="I792" s="11" t="s">
        <v>2169</v>
      </c>
    </row>
    <row r="793" spans="1:9" x14ac:dyDescent="0.15">
      <c r="A793" s="10">
        <v>792</v>
      </c>
      <c r="B793" s="11" t="s">
        <v>9</v>
      </c>
      <c r="C793" s="11" t="s">
        <v>170</v>
      </c>
      <c r="D793" s="11" t="s">
        <v>171</v>
      </c>
      <c r="E793" s="9" t="str">
        <f>+HYPERLINK("http://trademark.i-assist.jp/data/china/image_1904th/79409674.pdf", "79409674")</f>
        <v>79409674</v>
      </c>
      <c r="F793" s="11" t="s">
        <v>2385</v>
      </c>
      <c r="G793" s="11" t="s">
        <v>2386</v>
      </c>
      <c r="H793" s="11" t="s">
        <v>2387</v>
      </c>
      <c r="I793" s="11" t="s">
        <v>2169</v>
      </c>
    </row>
    <row r="794" spans="1:9" x14ac:dyDescent="0.15">
      <c r="A794" s="10">
        <v>793</v>
      </c>
      <c r="B794" s="11" t="s">
        <v>9</v>
      </c>
      <c r="C794" s="11" t="s">
        <v>170</v>
      </c>
      <c r="D794" s="11" t="s">
        <v>171</v>
      </c>
      <c r="E794" s="9" t="str">
        <f>+HYPERLINK("http://trademark.i-assist.jp/data/china/image_1904th/79410146.pdf", "79410146")</f>
        <v>79410146</v>
      </c>
      <c r="F794" s="11" t="s">
        <v>2388</v>
      </c>
      <c r="G794" s="11" t="s">
        <v>2389</v>
      </c>
      <c r="H794" s="11" t="s">
        <v>2390</v>
      </c>
      <c r="I794" s="11" t="s">
        <v>2169</v>
      </c>
    </row>
    <row r="795" spans="1:9" x14ac:dyDescent="0.15">
      <c r="A795" s="10">
        <v>794</v>
      </c>
      <c r="B795" s="11" t="s">
        <v>9</v>
      </c>
      <c r="C795" s="11" t="s">
        <v>170</v>
      </c>
      <c r="D795" s="11" t="s">
        <v>171</v>
      </c>
      <c r="E795" s="9" t="str">
        <f>+HYPERLINK("http://trademark.i-assist.jp/data/china/image_1904th/79410150.pdf", "79410150")</f>
        <v>79410150</v>
      </c>
      <c r="F795" s="11" t="s">
        <v>2391</v>
      </c>
      <c r="G795" s="11" t="s">
        <v>2389</v>
      </c>
      <c r="H795" s="11" t="s">
        <v>2392</v>
      </c>
      <c r="I795" s="11" t="s">
        <v>2169</v>
      </c>
    </row>
    <row r="796" spans="1:9" x14ac:dyDescent="0.15">
      <c r="A796" s="10">
        <v>795</v>
      </c>
      <c r="B796" s="11" t="s">
        <v>9</v>
      </c>
      <c r="C796" s="11" t="s">
        <v>170</v>
      </c>
      <c r="D796" s="11" t="s">
        <v>171</v>
      </c>
      <c r="E796" s="9" t="str">
        <f>+HYPERLINK("http://trademark.i-assist.jp/data/china/image_1904th/79410383.pdf", "79410383")</f>
        <v>79410383</v>
      </c>
      <c r="F796" s="11" t="s">
        <v>2215</v>
      </c>
      <c r="G796" s="11" t="s">
        <v>209</v>
      </c>
      <c r="H796" s="11" t="s">
        <v>2393</v>
      </c>
      <c r="I796" s="11" t="s">
        <v>2169</v>
      </c>
    </row>
    <row r="797" spans="1:9" x14ac:dyDescent="0.15">
      <c r="A797" s="10">
        <v>796</v>
      </c>
      <c r="B797" s="11" t="s">
        <v>9</v>
      </c>
      <c r="C797" s="11" t="s">
        <v>170</v>
      </c>
      <c r="D797" s="11" t="s">
        <v>171</v>
      </c>
      <c r="E797" s="9" t="str">
        <f>+HYPERLINK("http://trademark.i-assist.jp/data/china/image_1904th/79410912.pdf", "79410912")</f>
        <v>79410912</v>
      </c>
      <c r="F797" s="11" t="s">
        <v>2394</v>
      </c>
      <c r="G797" s="11" t="s">
        <v>2395</v>
      </c>
      <c r="H797" s="11" t="s">
        <v>2396</v>
      </c>
      <c r="I797" s="11" t="s">
        <v>2169</v>
      </c>
    </row>
    <row r="798" spans="1:9" x14ac:dyDescent="0.15">
      <c r="A798" s="10">
        <v>797</v>
      </c>
      <c r="B798" s="11" t="s">
        <v>9</v>
      </c>
      <c r="C798" s="11" t="s">
        <v>170</v>
      </c>
      <c r="D798" s="11" t="s">
        <v>171</v>
      </c>
      <c r="E798" s="9" t="str">
        <f>+HYPERLINK("http://trademark.i-assist.jp/data/china/image_1904th/79410945.pdf", "79410945")</f>
        <v>79410945</v>
      </c>
      <c r="F798" s="11" t="s">
        <v>2397</v>
      </c>
      <c r="G798" s="11" t="s">
        <v>2398</v>
      </c>
      <c r="H798" s="11" t="s">
        <v>2399</v>
      </c>
      <c r="I798" s="11" t="s">
        <v>2169</v>
      </c>
    </row>
    <row r="799" spans="1:9" x14ac:dyDescent="0.15">
      <c r="A799" s="10">
        <v>798</v>
      </c>
      <c r="B799" s="11" t="s">
        <v>9</v>
      </c>
      <c r="C799" s="11" t="s">
        <v>170</v>
      </c>
      <c r="D799" s="11" t="s">
        <v>171</v>
      </c>
      <c r="E799" s="9" t="str">
        <f>+HYPERLINK("http://trademark.i-assist.jp/data/china/image_1904th/79411518.pdf", "79411518")</f>
        <v>79411518</v>
      </c>
      <c r="F799" s="11" t="s">
        <v>2400</v>
      </c>
      <c r="G799" s="11" t="s">
        <v>2401</v>
      </c>
      <c r="H799" s="11" t="s">
        <v>2402</v>
      </c>
      <c r="I799" s="11" t="s">
        <v>2403</v>
      </c>
    </row>
    <row r="800" spans="1:9" x14ac:dyDescent="0.15">
      <c r="A800" s="10">
        <v>799</v>
      </c>
      <c r="B800" s="11" t="s">
        <v>9</v>
      </c>
      <c r="C800" s="11" t="s">
        <v>170</v>
      </c>
      <c r="D800" s="11" t="s">
        <v>171</v>
      </c>
      <c r="E800" s="9" t="str">
        <f>+HYPERLINK("http://trademark.i-assist.jp/data/china/image_1904th/79411532.pdf", "79411532")</f>
        <v>79411532</v>
      </c>
      <c r="F800" s="11" t="s">
        <v>2404</v>
      </c>
      <c r="G800" s="11" t="s">
        <v>2401</v>
      </c>
      <c r="H800" s="11" t="s">
        <v>2405</v>
      </c>
      <c r="I800" s="11" t="s">
        <v>2403</v>
      </c>
    </row>
    <row r="801" spans="1:9" x14ac:dyDescent="0.15">
      <c r="A801" s="10">
        <v>800</v>
      </c>
      <c r="B801" s="11" t="s">
        <v>9</v>
      </c>
      <c r="C801" s="11" t="s">
        <v>170</v>
      </c>
      <c r="D801" s="11" t="s">
        <v>171</v>
      </c>
      <c r="E801" s="9" t="str">
        <f>+HYPERLINK("http://trademark.i-assist.jp/data/china/image_1904th/79411698.pdf", "79411698")</f>
        <v>79411698</v>
      </c>
      <c r="F801" s="11" t="s">
        <v>2406</v>
      </c>
      <c r="G801" s="11" t="s">
        <v>2407</v>
      </c>
      <c r="H801" s="11" t="s">
        <v>2408</v>
      </c>
      <c r="I801" s="11" t="s">
        <v>2403</v>
      </c>
    </row>
    <row r="802" spans="1:9" x14ac:dyDescent="0.15">
      <c r="A802" s="10">
        <v>801</v>
      </c>
      <c r="B802" s="11" t="s">
        <v>9</v>
      </c>
      <c r="C802" s="11" t="s">
        <v>170</v>
      </c>
      <c r="D802" s="11" t="s">
        <v>171</v>
      </c>
      <c r="E802" s="9" t="str">
        <f>+HYPERLINK("http://trademark.i-assist.jp/data/china/image_1904th/79412027.pdf", "79412027")</f>
        <v>79412027</v>
      </c>
      <c r="F802" s="11" t="s">
        <v>2409</v>
      </c>
      <c r="G802" s="11" t="s">
        <v>2410</v>
      </c>
      <c r="H802" s="11" t="s">
        <v>2411</v>
      </c>
      <c r="I802" s="11" t="s">
        <v>2403</v>
      </c>
    </row>
    <row r="803" spans="1:9" x14ac:dyDescent="0.15">
      <c r="A803" s="10">
        <v>802</v>
      </c>
      <c r="B803" s="11" t="s">
        <v>9</v>
      </c>
      <c r="C803" s="11" t="s">
        <v>170</v>
      </c>
      <c r="D803" s="11" t="s">
        <v>171</v>
      </c>
      <c r="E803" s="9" t="str">
        <f>+HYPERLINK("http://trademark.i-assist.jp/data/china/image_1904th/79412295.pdf", "79412295")</f>
        <v>79412295</v>
      </c>
      <c r="F803" s="11" t="s">
        <v>2412</v>
      </c>
      <c r="G803" s="11" t="s">
        <v>2413</v>
      </c>
      <c r="H803" s="11" t="s">
        <v>2414</v>
      </c>
      <c r="I803" s="11" t="s">
        <v>2403</v>
      </c>
    </row>
    <row r="804" spans="1:9" x14ac:dyDescent="0.15">
      <c r="A804" s="10">
        <v>803</v>
      </c>
      <c r="B804" s="11" t="s">
        <v>9</v>
      </c>
      <c r="C804" s="11" t="s">
        <v>170</v>
      </c>
      <c r="D804" s="11" t="s">
        <v>171</v>
      </c>
      <c r="E804" s="9" t="str">
        <f>+HYPERLINK("http://trademark.i-assist.jp/data/china/image_1904th/79412559.pdf", "79412559")</f>
        <v>79412559</v>
      </c>
      <c r="F804" s="11" t="s">
        <v>2415</v>
      </c>
      <c r="G804" s="11" t="s">
        <v>2416</v>
      </c>
      <c r="H804" s="11" t="s">
        <v>2417</v>
      </c>
      <c r="I804" s="11" t="s">
        <v>2403</v>
      </c>
    </row>
    <row r="805" spans="1:9" x14ac:dyDescent="0.15">
      <c r="A805" s="10">
        <v>804</v>
      </c>
      <c r="B805" s="11" t="s">
        <v>9</v>
      </c>
      <c r="C805" s="11" t="s">
        <v>170</v>
      </c>
      <c r="D805" s="11" t="s">
        <v>171</v>
      </c>
      <c r="E805" s="9" t="str">
        <f>+HYPERLINK("http://trademark.i-assist.jp/data/china/image_1904th/79412705.pdf", "79412705")</f>
        <v>79412705</v>
      </c>
      <c r="F805" s="11" t="s">
        <v>2418</v>
      </c>
      <c r="G805" s="11" t="s">
        <v>158</v>
      </c>
      <c r="H805" s="11" t="s">
        <v>2419</v>
      </c>
      <c r="I805" s="11" t="s">
        <v>2403</v>
      </c>
    </row>
    <row r="806" spans="1:9" x14ac:dyDescent="0.15">
      <c r="A806" s="10">
        <v>805</v>
      </c>
      <c r="B806" s="11" t="s">
        <v>9</v>
      </c>
      <c r="C806" s="11" t="s">
        <v>170</v>
      </c>
      <c r="D806" s="11" t="s">
        <v>171</v>
      </c>
      <c r="E806" s="9" t="str">
        <f>+HYPERLINK("http://trademark.i-assist.jp/data/china/image_1904th/79412808.pdf", "79412808")</f>
        <v>79412808</v>
      </c>
      <c r="F806" s="11" t="s">
        <v>2420</v>
      </c>
      <c r="G806" s="11" t="s">
        <v>128</v>
      </c>
      <c r="H806" s="11" t="s">
        <v>2421</v>
      </c>
      <c r="I806" s="11" t="s">
        <v>2403</v>
      </c>
    </row>
    <row r="807" spans="1:9" x14ac:dyDescent="0.15">
      <c r="A807" s="10">
        <v>806</v>
      </c>
      <c r="B807" s="11" t="s">
        <v>9</v>
      </c>
      <c r="C807" s="11" t="s">
        <v>170</v>
      </c>
      <c r="D807" s="11" t="s">
        <v>171</v>
      </c>
      <c r="E807" s="9" t="str">
        <f>+HYPERLINK("http://trademark.i-assist.jp/data/china/image_1904th/79413028.pdf", "79413028")</f>
        <v>79413028</v>
      </c>
      <c r="F807" s="11" t="s">
        <v>2422</v>
      </c>
      <c r="G807" s="11" t="s">
        <v>2423</v>
      </c>
      <c r="H807" s="11" t="s">
        <v>2424</v>
      </c>
      <c r="I807" s="11" t="s">
        <v>2403</v>
      </c>
    </row>
    <row r="808" spans="1:9" x14ac:dyDescent="0.15">
      <c r="A808" s="10">
        <v>807</v>
      </c>
      <c r="B808" s="11" t="s">
        <v>9</v>
      </c>
      <c r="C808" s="11" t="s">
        <v>170</v>
      </c>
      <c r="D808" s="11" t="s">
        <v>171</v>
      </c>
      <c r="E808" s="9" t="str">
        <f>+HYPERLINK("http://trademark.i-assist.jp/data/china/image_1904th/79413212.pdf", "79413212")</f>
        <v>79413212</v>
      </c>
      <c r="F808" s="11" t="s">
        <v>2425</v>
      </c>
      <c r="G808" s="11" t="s">
        <v>2426</v>
      </c>
      <c r="H808" s="11" t="s">
        <v>2427</v>
      </c>
      <c r="I808" s="11" t="s">
        <v>2403</v>
      </c>
    </row>
    <row r="809" spans="1:9" x14ac:dyDescent="0.15">
      <c r="A809" s="10">
        <v>808</v>
      </c>
      <c r="B809" s="11" t="s">
        <v>9</v>
      </c>
      <c r="C809" s="11" t="s">
        <v>170</v>
      </c>
      <c r="D809" s="11" t="s">
        <v>171</v>
      </c>
      <c r="E809" s="9" t="str">
        <f>+HYPERLINK("http://trademark.i-assist.jp/data/china/image_1904th/79413237.pdf", "79413237")</f>
        <v>79413237</v>
      </c>
      <c r="F809" s="11" t="s">
        <v>2428</v>
      </c>
      <c r="G809" s="11" t="s">
        <v>2407</v>
      </c>
      <c r="H809" s="11" t="s">
        <v>2429</v>
      </c>
      <c r="I809" s="11" t="s">
        <v>2403</v>
      </c>
    </row>
    <row r="810" spans="1:9" x14ac:dyDescent="0.15">
      <c r="A810" s="10">
        <v>809</v>
      </c>
      <c r="B810" s="11" t="s">
        <v>9</v>
      </c>
      <c r="C810" s="11" t="s">
        <v>170</v>
      </c>
      <c r="D810" s="11" t="s">
        <v>171</v>
      </c>
      <c r="E810" s="9" t="str">
        <f>+HYPERLINK("http://trademark.i-assist.jp/data/china/image_1904th/79413540.pdf", "79413540")</f>
        <v>79413540</v>
      </c>
      <c r="F810" s="11" t="s">
        <v>2430</v>
      </c>
      <c r="G810" s="11" t="s">
        <v>2431</v>
      </c>
      <c r="H810" s="11" t="s">
        <v>2432</v>
      </c>
      <c r="I810" s="11" t="s">
        <v>2403</v>
      </c>
    </row>
    <row r="811" spans="1:9" x14ac:dyDescent="0.15">
      <c r="A811" s="10">
        <v>810</v>
      </c>
      <c r="B811" s="11" t="s">
        <v>9</v>
      </c>
      <c r="C811" s="11" t="s">
        <v>170</v>
      </c>
      <c r="D811" s="11" t="s">
        <v>171</v>
      </c>
      <c r="E811" s="9" t="str">
        <f>+HYPERLINK("http://trademark.i-assist.jp/data/china/image_1904th/79413775.pdf", "79413775")</f>
        <v>79413775</v>
      </c>
      <c r="F811" s="11" t="s">
        <v>2433</v>
      </c>
      <c r="G811" s="11" t="s">
        <v>2434</v>
      </c>
      <c r="H811" s="11" t="s">
        <v>2435</v>
      </c>
      <c r="I811" s="11" t="s">
        <v>2403</v>
      </c>
    </row>
    <row r="812" spans="1:9" x14ac:dyDescent="0.15">
      <c r="A812" s="10">
        <v>811</v>
      </c>
      <c r="B812" s="11" t="s">
        <v>9</v>
      </c>
      <c r="C812" s="11" t="s">
        <v>170</v>
      </c>
      <c r="D812" s="11" t="s">
        <v>171</v>
      </c>
      <c r="E812" s="9" t="str">
        <f>+HYPERLINK("http://trademark.i-assist.jp/data/china/image_1904th/79413997.pdf", "79413997")</f>
        <v>79413997</v>
      </c>
      <c r="F812" s="11" t="s">
        <v>12</v>
      </c>
      <c r="G812" s="11" t="s">
        <v>2436</v>
      </c>
      <c r="H812" s="11" t="s">
        <v>2437</v>
      </c>
      <c r="I812" s="11" t="s">
        <v>2403</v>
      </c>
    </row>
    <row r="813" spans="1:9" x14ac:dyDescent="0.15">
      <c r="A813" s="10">
        <v>812</v>
      </c>
      <c r="B813" s="11" t="s">
        <v>9</v>
      </c>
      <c r="C813" s="11" t="s">
        <v>170</v>
      </c>
      <c r="D813" s="11" t="s">
        <v>171</v>
      </c>
      <c r="E813" s="9" t="str">
        <f>+HYPERLINK("http://trademark.i-assist.jp/data/china/image_1904th/79414084.pdf", "79414084")</f>
        <v>79414084</v>
      </c>
      <c r="F813" s="11" t="s">
        <v>2438</v>
      </c>
      <c r="G813" s="11" t="s">
        <v>2439</v>
      </c>
      <c r="H813" s="11" t="s">
        <v>2440</v>
      </c>
      <c r="I813" s="11" t="s">
        <v>2403</v>
      </c>
    </row>
    <row r="814" spans="1:9" x14ac:dyDescent="0.15">
      <c r="A814" s="10">
        <v>813</v>
      </c>
      <c r="B814" s="11" t="s">
        <v>9</v>
      </c>
      <c r="C814" s="11" t="s">
        <v>170</v>
      </c>
      <c r="D814" s="11" t="s">
        <v>171</v>
      </c>
      <c r="E814" s="9" t="str">
        <f>+HYPERLINK("http://trademark.i-assist.jp/data/china/image_1904th/79414219.pdf", "79414219")</f>
        <v>79414219</v>
      </c>
      <c r="F814" s="11" t="s">
        <v>2441</v>
      </c>
      <c r="G814" s="11" t="s">
        <v>2442</v>
      </c>
      <c r="H814" s="11" t="s">
        <v>2443</v>
      </c>
      <c r="I814" s="11" t="s">
        <v>2403</v>
      </c>
    </row>
    <row r="815" spans="1:9" x14ac:dyDescent="0.15">
      <c r="A815" s="10">
        <v>814</v>
      </c>
      <c r="B815" s="11" t="s">
        <v>9</v>
      </c>
      <c r="C815" s="11" t="s">
        <v>170</v>
      </c>
      <c r="D815" s="11" t="s">
        <v>171</v>
      </c>
      <c r="E815" s="9" t="str">
        <f>+HYPERLINK("http://trademark.i-assist.jp/data/china/image_1904th/79414780.pdf", "79414780")</f>
        <v>79414780</v>
      </c>
      <c r="F815" s="11" t="s">
        <v>2444</v>
      </c>
      <c r="G815" s="11" t="s">
        <v>2445</v>
      </c>
      <c r="H815" s="11" t="s">
        <v>2446</v>
      </c>
      <c r="I815" s="11" t="s">
        <v>2403</v>
      </c>
    </row>
    <row r="816" spans="1:9" x14ac:dyDescent="0.15">
      <c r="A816" s="10">
        <v>815</v>
      </c>
      <c r="B816" s="11" t="s">
        <v>9</v>
      </c>
      <c r="C816" s="11" t="s">
        <v>170</v>
      </c>
      <c r="D816" s="11" t="s">
        <v>171</v>
      </c>
      <c r="E816" s="9" t="str">
        <f>+HYPERLINK("http://trademark.i-assist.jp/data/china/image_1904th/79415279.pdf", "79415279")</f>
        <v>79415279</v>
      </c>
      <c r="F816" s="11" t="s">
        <v>12</v>
      </c>
      <c r="G816" s="11" t="s">
        <v>2447</v>
      </c>
      <c r="H816" s="11" t="s">
        <v>2448</v>
      </c>
      <c r="I816" s="11" t="s">
        <v>2403</v>
      </c>
    </row>
    <row r="817" spans="1:9" x14ac:dyDescent="0.15">
      <c r="A817" s="10">
        <v>816</v>
      </c>
      <c r="B817" s="11" t="s">
        <v>9</v>
      </c>
      <c r="C817" s="11" t="s">
        <v>170</v>
      </c>
      <c r="D817" s="11" t="s">
        <v>171</v>
      </c>
      <c r="E817" s="9" t="str">
        <f>+HYPERLINK("http://trademark.i-assist.jp/data/china/image_1904th/79415661.pdf", "79415661")</f>
        <v>79415661</v>
      </c>
      <c r="F817" s="11" t="s">
        <v>2449</v>
      </c>
      <c r="G817" s="11" t="s">
        <v>2450</v>
      </c>
      <c r="H817" s="11" t="s">
        <v>2451</v>
      </c>
      <c r="I817" s="11" t="s">
        <v>2403</v>
      </c>
    </row>
    <row r="818" spans="1:9" x14ac:dyDescent="0.15">
      <c r="A818" s="10">
        <v>817</v>
      </c>
      <c r="B818" s="11" t="s">
        <v>9</v>
      </c>
      <c r="C818" s="11" t="s">
        <v>170</v>
      </c>
      <c r="D818" s="11" t="s">
        <v>171</v>
      </c>
      <c r="E818" s="9" t="str">
        <f>+HYPERLINK("http://trademark.i-assist.jp/data/china/image_1904th/79416063.pdf", "79416063")</f>
        <v>79416063</v>
      </c>
      <c r="F818" s="11" t="s">
        <v>2452</v>
      </c>
      <c r="G818" s="11" t="s">
        <v>2453</v>
      </c>
      <c r="H818" s="11" t="s">
        <v>37</v>
      </c>
      <c r="I818" s="11" t="s">
        <v>2403</v>
      </c>
    </row>
    <row r="819" spans="1:9" x14ac:dyDescent="0.15">
      <c r="A819" s="10">
        <v>818</v>
      </c>
      <c r="B819" s="11" t="s">
        <v>9</v>
      </c>
      <c r="C819" s="11" t="s">
        <v>170</v>
      </c>
      <c r="D819" s="11" t="s">
        <v>171</v>
      </c>
      <c r="E819" s="9" t="str">
        <f>+HYPERLINK("http://trademark.i-assist.jp/data/china/image_1904th/79416184.pdf", "79416184")</f>
        <v>79416184</v>
      </c>
      <c r="F819" s="11" t="s">
        <v>2454</v>
      </c>
      <c r="G819" s="11" t="s">
        <v>2455</v>
      </c>
      <c r="H819" s="11" t="s">
        <v>2456</v>
      </c>
      <c r="I819" s="11" t="s">
        <v>2403</v>
      </c>
    </row>
    <row r="820" spans="1:9" x14ac:dyDescent="0.15">
      <c r="A820" s="10">
        <v>819</v>
      </c>
      <c r="B820" s="11" t="s">
        <v>9</v>
      </c>
      <c r="C820" s="11" t="s">
        <v>170</v>
      </c>
      <c r="D820" s="11" t="s">
        <v>171</v>
      </c>
      <c r="E820" s="9" t="str">
        <f>+HYPERLINK("http://trademark.i-assist.jp/data/china/image_1904th/79416221.pdf", "79416221")</f>
        <v>79416221</v>
      </c>
      <c r="F820" s="11" t="s">
        <v>2457</v>
      </c>
      <c r="G820" s="11" t="s">
        <v>2458</v>
      </c>
      <c r="H820" s="11" t="s">
        <v>2459</v>
      </c>
      <c r="I820" s="11" t="s">
        <v>2403</v>
      </c>
    </row>
    <row r="821" spans="1:9" x14ac:dyDescent="0.15">
      <c r="A821" s="10">
        <v>820</v>
      </c>
      <c r="B821" s="11" t="s">
        <v>9</v>
      </c>
      <c r="C821" s="11" t="s">
        <v>170</v>
      </c>
      <c r="D821" s="11" t="s">
        <v>171</v>
      </c>
      <c r="E821" s="9" t="str">
        <f>+HYPERLINK("http://trademark.i-assist.jp/data/china/image_1904th/79416626.pdf", "79416626")</f>
        <v>79416626</v>
      </c>
      <c r="F821" s="11" t="s">
        <v>2460</v>
      </c>
      <c r="G821" s="11" t="s">
        <v>2461</v>
      </c>
      <c r="H821" s="11" t="s">
        <v>2462</v>
      </c>
      <c r="I821" s="11" t="s">
        <v>2403</v>
      </c>
    </row>
    <row r="822" spans="1:9" x14ac:dyDescent="0.15">
      <c r="A822" s="10">
        <v>821</v>
      </c>
      <c r="B822" s="11" t="s">
        <v>9</v>
      </c>
      <c r="C822" s="11" t="s">
        <v>170</v>
      </c>
      <c r="D822" s="11" t="s">
        <v>171</v>
      </c>
      <c r="E822" s="9" t="str">
        <f>+HYPERLINK("http://trademark.i-assist.jp/data/china/image_1904th/79416694.pdf", "79416694")</f>
        <v>79416694</v>
      </c>
      <c r="F822" s="11" t="s">
        <v>2463</v>
      </c>
      <c r="G822" s="11" t="s">
        <v>2464</v>
      </c>
      <c r="H822" s="11" t="s">
        <v>2465</v>
      </c>
      <c r="I822" s="11" t="s">
        <v>2403</v>
      </c>
    </row>
    <row r="823" spans="1:9" x14ac:dyDescent="0.15">
      <c r="A823" s="10">
        <v>822</v>
      </c>
      <c r="B823" s="11" t="s">
        <v>9</v>
      </c>
      <c r="C823" s="11" t="s">
        <v>170</v>
      </c>
      <c r="D823" s="11" t="s">
        <v>171</v>
      </c>
      <c r="E823" s="9" t="str">
        <f>+HYPERLINK("http://trademark.i-assist.jp/data/china/image_1904th/79417102.pdf", "79417102")</f>
        <v>79417102</v>
      </c>
      <c r="F823" s="11" t="s">
        <v>2466</v>
      </c>
      <c r="G823" s="11" t="s">
        <v>2467</v>
      </c>
      <c r="H823" s="11" t="s">
        <v>2468</v>
      </c>
      <c r="I823" s="11" t="s">
        <v>2403</v>
      </c>
    </row>
    <row r="824" spans="1:9" x14ac:dyDescent="0.15">
      <c r="A824" s="10">
        <v>823</v>
      </c>
      <c r="B824" s="11" t="s">
        <v>9</v>
      </c>
      <c r="C824" s="11" t="s">
        <v>170</v>
      </c>
      <c r="D824" s="11" t="s">
        <v>171</v>
      </c>
      <c r="E824" s="9" t="str">
        <f>+HYPERLINK("http://trademark.i-assist.jp/data/china/image_1904th/79417107.pdf", "79417107")</f>
        <v>79417107</v>
      </c>
      <c r="F824" s="11" t="s">
        <v>2469</v>
      </c>
      <c r="G824" s="11" t="s">
        <v>2470</v>
      </c>
      <c r="H824" s="11" t="s">
        <v>2471</v>
      </c>
      <c r="I824" s="11" t="s">
        <v>2403</v>
      </c>
    </row>
    <row r="825" spans="1:9" x14ac:dyDescent="0.15">
      <c r="A825" s="10">
        <v>824</v>
      </c>
      <c r="B825" s="11" t="s">
        <v>9</v>
      </c>
      <c r="C825" s="11" t="s">
        <v>170</v>
      </c>
      <c r="D825" s="11" t="s">
        <v>171</v>
      </c>
      <c r="E825" s="9" t="str">
        <f>+HYPERLINK("http://trademark.i-assist.jp/data/china/image_1904th/79417211.pdf", "79417211")</f>
        <v>79417211</v>
      </c>
      <c r="F825" s="11" t="s">
        <v>2472</v>
      </c>
      <c r="G825" s="11" t="s">
        <v>2473</v>
      </c>
      <c r="H825" s="11" t="s">
        <v>2474</v>
      </c>
      <c r="I825" s="11" t="s">
        <v>2403</v>
      </c>
    </row>
    <row r="826" spans="1:9" x14ac:dyDescent="0.15">
      <c r="A826" s="10">
        <v>825</v>
      </c>
      <c r="B826" s="11" t="s">
        <v>9</v>
      </c>
      <c r="C826" s="11" t="s">
        <v>170</v>
      </c>
      <c r="D826" s="11" t="s">
        <v>171</v>
      </c>
      <c r="E826" s="9" t="str">
        <f>+HYPERLINK("http://trademark.i-assist.jp/data/china/image_1904th/79417739.pdf", "79417739")</f>
        <v>79417739</v>
      </c>
      <c r="F826" s="11" t="s">
        <v>2475</v>
      </c>
      <c r="G826" s="11" t="s">
        <v>2476</v>
      </c>
      <c r="H826" s="11" t="s">
        <v>2477</v>
      </c>
      <c r="I826" s="11" t="s">
        <v>2403</v>
      </c>
    </row>
    <row r="827" spans="1:9" x14ac:dyDescent="0.15">
      <c r="A827" s="10">
        <v>826</v>
      </c>
      <c r="B827" s="11" t="s">
        <v>9</v>
      </c>
      <c r="C827" s="11" t="s">
        <v>170</v>
      </c>
      <c r="D827" s="11" t="s">
        <v>171</v>
      </c>
      <c r="E827" s="9" t="str">
        <f>+HYPERLINK("http://trademark.i-assist.jp/data/china/image_1904th/79418733.pdf", "79418733")</f>
        <v>79418733</v>
      </c>
      <c r="F827" s="11" t="s">
        <v>12</v>
      </c>
      <c r="G827" s="11" t="s">
        <v>2478</v>
      </c>
      <c r="H827" s="11" t="s">
        <v>2479</v>
      </c>
      <c r="I827" s="11" t="s">
        <v>2403</v>
      </c>
    </row>
    <row r="828" spans="1:9" x14ac:dyDescent="0.15">
      <c r="A828" s="10">
        <v>827</v>
      </c>
      <c r="B828" s="11" t="s">
        <v>9</v>
      </c>
      <c r="C828" s="11" t="s">
        <v>170</v>
      </c>
      <c r="D828" s="11" t="s">
        <v>171</v>
      </c>
      <c r="E828" s="9" t="str">
        <f>+HYPERLINK("http://trademark.i-assist.jp/data/china/image_1904th/79419232.pdf", "79419232")</f>
        <v>79419232</v>
      </c>
      <c r="F828" s="11" t="s">
        <v>2480</v>
      </c>
      <c r="G828" s="11" t="s">
        <v>2480</v>
      </c>
      <c r="H828" s="11" t="s">
        <v>2481</v>
      </c>
      <c r="I828" s="11" t="s">
        <v>2403</v>
      </c>
    </row>
    <row r="829" spans="1:9" x14ac:dyDescent="0.15">
      <c r="A829" s="10">
        <v>828</v>
      </c>
      <c r="B829" s="11" t="s">
        <v>9</v>
      </c>
      <c r="C829" s="11" t="s">
        <v>170</v>
      </c>
      <c r="D829" s="11" t="s">
        <v>171</v>
      </c>
      <c r="E829" s="9" t="str">
        <f>+HYPERLINK("http://trademark.i-assist.jp/data/china/image_1904th/79419685.pdf", "79419685")</f>
        <v>79419685</v>
      </c>
      <c r="F829" s="11" t="s">
        <v>2482</v>
      </c>
      <c r="G829" s="11" t="s">
        <v>2483</v>
      </c>
      <c r="H829" s="11" t="s">
        <v>2484</v>
      </c>
      <c r="I829" s="11" t="s">
        <v>2403</v>
      </c>
    </row>
    <row r="830" spans="1:9" x14ac:dyDescent="0.15">
      <c r="A830" s="10">
        <v>829</v>
      </c>
      <c r="B830" s="11" t="s">
        <v>9</v>
      </c>
      <c r="C830" s="11" t="s">
        <v>170</v>
      </c>
      <c r="D830" s="11" t="s">
        <v>171</v>
      </c>
      <c r="E830" s="9" t="str">
        <f>+HYPERLINK("http://trademark.i-assist.jp/data/china/image_1904th/79419965.pdf", "79419965")</f>
        <v>79419965</v>
      </c>
      <c r="F830" s="11" t="s">
        <v>2485</v>
      </c>
      <c r="G830" s="11" t="s">
        <v>2486</v>
      </c>
      <c r="H830" s="11" t="s">
        <v>2487</v>
      </c>
      <c r="I830" s="11" t="s">
        <v>2403</v>
      </c>
    </row>
    <row r="831" spans="1:9" x14ac:dyDescent="0.15">
      <c r="A831" s="10">
        <v>830</v>
      </c>
      <c r="B831" s="11" t="s">
        <v>9</v>
      </c>
      <c r="C831" s="11" t="s">
        <v>170</v>
      </c>
      <c r="D831" s="11" t="s">
        <v>171</v>
      </c>
      <c r="E831" s="9" t="str">
        <f>+HYPERLINK("http://trademark.i-assist.jp/data/china/image_1904th/79420012.pdf", "79420012")</f>
        <v>79420012</v>
      </c>
      <c r="F831" s="11" t="s">
        <v>2488</v>
      </c>
      <c r="G831" s="11" t="s">
        <v>2489</v>
      </c>
      <c r="H831" s="11" t="s">
        <v>2490</v>
      </c>
      <c r="I831" s="11" t="s">
        <v>2403</v>
      </c>
    </row>
    <row r="832" spans="1:9" x14ac:dyDescent="0.15">
      <c r="A832" s="10">
        <v>831</v>
      </c>
      <c r="B832" s="11" t="s">
        <v>9</v>
      </c>
      <c r="C832" s="11" t="s">
        <v>170</v>
      </c>
      <c r="D832" s="11" t="s">
        <v>171</v>
      </c>
      <c r="E832" s="9" t="str">
        <f>+HYPERLINK("http://trademark.i-assist.jp/data/china/image_1904th/79420851.pdf", "79420851")</f>
        <v>79420851</v>
      </c>
      <c r="F832" s="11" t="s">
        <v>2491</v>
      </c>
      <c r="G832" s="11" t="s">
        <v>112</v>
      </c>
      <c r="H832" s="11" t="s">
        <v>2492</v>
      </c>
      <c r="I832" s="11" t="s">
        <v>2403</v>
      </c>
    </row>
    <row r="833" spans="1:9" x14ac:dyDescent="0.15">
      <c r="A833" s="10">
        <v>832</v>
      </c>
      <c r="B833" s="11" t="s">
        <v>9</v>
      </c>
      <c r="C833" s="11" t="s">
        <v>170</v>
      </c>
      <c r="D833" s="11" t="s">
        <v>171</v>
      </c>
      <c r="E833" s="9" t="str">
        <f>+HYPERLINK("http://trademark.i-assist.jp/data/china/image_1904th/79420950.pdf", "79420950")</f>
        <v>79420950</v>
      </c>
      <c r="F833" s="11" t="s">
        <v>2493</v>
      </c>
      <c r="G833" s="11" t="s">
        <v>2494</v>
      </c>
      <c r="H833" s="11" t="s">
        <v>2495</v>
      </c>
      <c r="I833" s="11" t="s">
        <v>2403</v>
      </c>
    </row>
    <row r="834" spans="1:9" x14ac:dyDescent="0.15">
      <c r="A834" s="10">
        <v>833</v>
      </c>
      <c r="B834" s="11" t="s">
        <v>9</v>
      </c>
      <c r="C834" s="11" t="s">
        <v>170</v>
      </c>
      <c r="D834" s="11" t="s">
        <v>171</v>
      </c>
      <c r="E834" s="9" t="str">
        <f>+HYPERLINK("http://trademark.i-assist.jp/data/china/image_1904th/79421494.pdf", "79421494")</f>
        <v>79421494</v>
      </c>
      <c r="F834" s="11" t="s">
        <v>2496</v>
      </c>
      <c r="G834" s="11" t="s">
        <v>2497</v>
      </c>
      <c r="H834" s="11" t="s">
        <v>2498</v>
      </c>
      <c r="I834" s="11" t="s">
        <v>2403</v>
      </c>
    </row>
    <row r="835" spans="1:9" x14ac:dyDescent="0.15">
      <c r="A835" s="10">
        <v>834</v>
      </c>
      <c r="B835" s="11" t="s">
        <v>9</v>
      </c>
      <c r="C835" s="11" t="s">
        <v>170</v>
      </c>
      <c r="D835" s="11" t="s">
        <v>171</v>
      </c>
      <c r="E835" s="9" t="str">
        <f>+HYPERLINK("http://trademark.i-assist.jp/data/china/image_1904th/79421553.pdf", "79421553")</f>
        <v>79421553</v>
      </c>
      <c r="F835" s="11" t="s">
        <v>2499</v>
      </c>
      <c r="G835" s="11" t="s">
        <v>2500</v>
      </c>
      <c r="H835" s="11" t="s">
        <v>2501</v>
      </c>
      <c r="I835" s="11" t="s">
        <v>2403</v>
      </c>
    </row>
    <row r="836" spans="1:9" x14ac:dyDescent="0.15">
      <c r="A836" s="10">
        <v>835</v>
      </c>
      <c r="B836" s="11" t="s">
        <v>9</v>
      </c>
      <c r="C836" s="11" t="s">
        <v>170</v>
      </c>
      <c r="D836" s="11" t="s">
        <v>171</v>
      </c>
      <c r="E836" s="9" t="str">
        <f>+HYPERLINK("http://trademark.i-assist.jp/data/china/image_1904th/79421554.pdf", "79421554")</f>
        <v>79421554</v>
      </c>
      <c r="F836" s="11" t="s">
        <v>2502</v>
      </c>
      <c r="G836" s="11" t="s">
        <v>2503</v>
      </c>
      <c r="H836" s="11" t="s">
        <v>2504</v>
      </c>
      <c r="I836" s="11" t="s">
        <v>2403</v>
      </c>
    </row>
    <row r="837" spans="1:9" x14ac:dyDescent="0.15">
      <c r="A837" s="10">
        <v>836</v>
      </c>
      <c r="B837" s="11" t="s">
        <v>9</v>
      </c>
      <c r="C837" s="11" t="s">
        <v>170</v>
      </c>
      <c r="D837" s="11" t="s">
        <v>171</v>
      </c>
      <c r="E837" s="9" t="str">
        <f>+HYPERLINK("http://trademark.i-assist.jp/data/china/image_1904th/79422561.pdf", "79422561")</f>
        <v>79422561</v>
      </c>
      <c r="F837" s="11" t="s">
        <v>2505</v>
      </c>
      <c r="G837" s="11" t="s">
        <v>2506</v>
      </c>
      <c r="H837" s="11" t="s">
        <v>2507</v>
      </c>
      <c r="I837" s="11" t="s">
        <v>2403</v>
      </c>
    </row>
    <row r="838" spans="1:9" x14ac:dyDescent="0.15">
      <c r="A838" s="10">
        <v>837</v>
      </c>
      <c r="B838" s="11" t="s">
        <v>9</v>
      </c>
      <c r="C838" s="11" t="s">
        <v>170</v>
      </c>
      <c r="D838" s="11" t="s">
        <v>171</v>
      </c>
      <c r="E838" s="9" t="str">
        <f>+HYPERLINK("http://trademark.i-assist.jp/data/china/image_1904th/79423600.pdf", "79423600")</f>
        <v>79423600</v>
      </c>
      <c r="F838" s="11" t="s">
        <v>2508</v>
      </c>
      <c r="G838" s="11" t="s">
        <v>2509</v>
      </c>
      <c r="H838" s="11" t="s">
        <v>2510</v>
      </c>
      <c r="I838" s="11" t="s">
        <v>2403</v>
      </c>
    </row>
    <row r="839" spans="1:9" x14ac:dyDescent="0.15">
      <c r="A839" s="10">
        <v>838</v>
      </c>
      <c r="B839" s="11" t="s">
        <v>9</v>
      </c>
      <c r="C839" s="11" t="s">
        <v>170</v>
      </c>
      <c r="D839" s="11" t="s">
        <v>171</v>
      </c>
      <c r="E839" s="9" t="str">
        <f>+HYPERLINK("http://trademark.i-assist.jp/data/china/image_1904th/79423703.pdf", "79423703")</f>
        <v>79423703</v>
      </c>
      <c r="F839" s="11" t="s">
        <v>2511</v>
      </c>
      <c r="G839" s="11" t="s">
        <v>2442</v>
      </c>
      <c r="H839" s="11" t="s">
        <v>2512</v>
      </c>
      <c r="I839" s="11" t="s">
        <v>2403</v>
      </c>
    </row>
    <row r="840" spans="1:9" x14ac:dyDescent="0.15">
      <c r="A840" s="10">
        <v>839</v>
      </c>
      <c r="B840" s="11" t="s">
        <v>9</v>
      </c>
      <c r="C840" s="11" t="s">
        <v>170</v>
      </c>
      <c r="D840" s="11" t="s">
        <v>171</v>
      </c>
      <c r="E840" s="9" t="str">
        <f>+HYPERLINK("http://trademark.i-assist.jp/data/china/image_1904th/79423809.pdf", "79423809")</f>
        <v>79423809</v>
      </c>
      <c r="F840" s="11" t="s">
        <v>2513</v>
      </c>
      <c r="G840" s="11" t="s">
        <v>2514</v>
      </c>
      <c r="H840" s="11" t="s">
        <v>2515</v>
      </c>
      <c r="I840" s="11" t="s">
        <v>2403</v>
      </c>
    </row>
    <row r="841" spans="1:9" x14ac:dyDescent="0.15">
      <c r="A841" s="10">
        <v>840</v>
      </c>
      <c r="B841" s="11" t="s">
        <v>9</v>
      </c>
      <c r="C841" s="11" t="s">
        <v>170</v>
      </c>
      <c r="D841" s="11" t="s">
        <v>171</v>
      </c>
      <c r="E841" s="9" t="str">
        <f>+HYPERLINK("http://trademark.i-assist.jp/data/china/image_1904th/79424083.pdf", "79424083")</f>
        <v>79424083</v>
      </c>
      <c r="F841" s="11" t="s">
        <v>2516</v>
      </c>
      <c r="G841" s="11" t="s">
        <v>2517</v>
      </c>
      <c r="H841" s="11" t="s">
        <v>2518</v>
      </c>
      <c r="I841" s="11" t="s">
        <v>2403</v>
      </c>
    </row>
    <row r="842" spans="1:9" x14ac:dyDescent="0.15">
      <c r="A842" s="10">
        <v>841</v>
      </c>
      <c r="B842" s="11" t="s">
        <v>9</v>
      </c>
      <c r="C842" s="11" t="s">
        <v>170</v>
      </c>
      <c r="D842" s="11" t="s">
        <v>171</v>
      </c>
      <c r="E842" s="9" t="str">
        <f>+HYPERLINK("http://trademark.i-assist.jp/data/china/image_1904th/79424091.pdf", "79424091")</f>
        <v>79424091</v>
      </c>
      <c r="F842" s="11" t="s">
        <v>2519</v>
      </c>
      <c r="G842" s="11" t="s">
        <v>2520</v>
      </c>
      <c r="H842" s="11" t="s">
        <v>2521</v>
      </c>
      <c r="I842" s="11" t="s">
        <v>2403</v>
      </c>
    </row>
    <row r="843" spans="1:9" x14ac:dyDescent="0.15">
      <c r="A843" s="10">
        <v>842</v>
      </c>
      <c r="B843" s="11" t="s">
        <v>9</v>
      </c>
      <c r="C843" s="11" t="s">
        <v>170</v>
      </c>
      <c r="D843" s="11" t="s">
        <v>171</v>
      </c>
      <c r="E843" s="9" t="str">
        <f>+HYPERLINK("http://trademark.i-assist.jp/data/china/image_1904th/79424268.pdf", "79424268")</f>
        <v>79424268</v>
      </c>
      <c r="F843" s="11" t="s">
        <v>2522</v>
      </c>
      <c r="G843" s="11" t="s">
        <v>2523</v>
      </c>
      <c r="H843" s="11" t="s">
        <v>2524</v>
      </c>
      <c r="I843" s="11" t="s">
        <v>2403</v>
      </c>
    </row>
    <row r="844" spans="1:9" x14ac:dyDescent="0.15">
      <c r="A844" s="10">
        <v>843</v>
      </c>
      <c r="B844" s="11" t="s">
        <v>9</v>
      </c>
      <c r="C844" s="11" t="s">
        <v>170</v>
      </c>
      <c r="D844" s="11" t="s">
        <v>171</v>
      </c>
      <c r="E844" s="9" t="str">
        <f>+HYPERLINK("http://trademark.i-assist.jp/data/china/image_1904th/79424302.pdf", "79424302")</f>
        <v>79424302</v>
      </c>
      <c r="F844" s="11" t="s">
        <v>2525</v>
      </c>
      <c r="G844" s="11" t="s">
        <v>2526</v>
      </c>
      <c r="H844" s="11" t="s">
        <v>2527</v>
      </c>
      <c r="I844" s="11" t="s">
        <v>2403</v>
      </c>
    </row>
    <row r="845" spans="1:9" x14ac:dyDescent="0.15">
      <c r="A845" s="10">
        <v>844</v>
      </c>
      <c r="B845" s="11" t="s">
        <v>9</v>
      </c>
      <c r="C845" s="11" t="s">
        <v>170</v>
      </c>
      <c r="D845" s="11" t="s">
        <v>171</v>
      </c>
      <c r="E845" s="9" t="str">
        <f>+HYPERLINK("http://trademark.i-assist.jp/data/china/image_1904th/79424346.pdf", "79424346")</f>
        <v>79424346</v>
      </c>
      <c r="F845" s="11" t="s">
        <v>2528</v>
      </c>
      <c r="G845" s="11" t="s">
        <v>2458</v>
      </c>
      <c r="H845" s="11" t="s">
        <v>2529</v>
      </c>
      <c r="I845" s="11" t="s">
        <v>2403</v>
      </c>
    </row>
    <row r="846" spans="1:9" x14ac:dyDescent="0.15">
      <c r="A846" s="10">
        <v>845</v>
      </c>
      <c r="B846" s="11" t="s">
        <v>9</v>
      </c>
      <c r="C846" s="11" t="s">
        <v>170</v>
      </c>
      <c r="D846" s="11" t="s">
        <v>171</v>
      </c>
      <c r="E846" s="9" t="str">
        <f>+HYPERLINK("http://trademark.i-assist.jp/data/china/image_1904th/79424819.pdf", "79424819")</f>
        <v>79424819</v>
      </c>
      <c r="F846" s="11" t="s">
        <v>2530</v>
      </c>
      <c r="G846" s="11" t="s">
        <v>2531</v>
      </c>
      <c r="H846" s="11" t="s">
        <v>2532</v>
      </c>
      <c r="I846" s="11" t="s">
        <v>2403</v>
      </c>
    </row>
    <row r="847" spans="1:9" x14ac:dyDescent="0.15">
      <c r="A847" s="10">
        <v>846</v>
      </c>
      <c r="B847" s="11" t="s">
        <v>9</v>
      </c>
      <c r="C847" s="11" t="s">
        <v>170</v>
      </c>
      <c r="D847" s="11" t="s">
        <v>171</v>
      </c>
      <c r="E847" s="9" t="str">
        <f>+HYPERLINK("http://trademark.i-assist.jp/data/china/image_1904th/79424830.pdf", "79424830")</f>
        <v>79424830</v>
      </c>
      <c r="F847" s="11" t="s">
        <v>2533</v>
      </c>
      <c r="G847" s="11" t="s">
        <v>2534</v>
      </c>
      <c r="H847" s="11" t="s">
        <v>2535</v>
      </c>
      <c r="I847" s="11" t="s">
        <v>2403</v>
      </c>
    </row>
    <row r="848" spans="1:9" x14ac:dyDescent="0.15">
      <c r="A848" s="10">
        <v>847</v>
      </c>
      <c r="B848" s="11" t="s">
        <v>9</v>
      </c>
      <c r="C848" s="11" t="s">
        <v>170</v>
      </c>
      <c r="D848" s="11" t="s">
        <v>171</v>
      </c>
      <c r="E848" s="9" t="str">
        <f>+HYPERLINK("http://trademark.i-assist.jp/data/china/image_1904th/79424838.pdf", "79424838")</f>
        <v>79424838</v>
      </c>
      <c r="F848" s="11" t="s">
        <v>2536</v>
      </c>
      <c r="G848" s="11" t="s">
        <v>2450</v>
      </c>
      <c r="H848" s="11" t="s">
        <v>2537</v>
      </c>
      <c r="I848" s="11" t="s">
        <v>2403</v>
      </c>
    </row>
    <row r="849" spans="1:9" x14ac:dyDescent="0.15">
      <c r="A849" s="10">
        <v>848</v>
      </c>
      <c r="B849" s="11" t="s">
        <v>9</v>
      </c>
      <c r="C849" s="11" t="s">
        <v>170</v>
      </c>
      <c r="D849" s="11" t="s">
        <v>171</v>
      </c>
      <c r="E849" s="9" t="str">
        <f>+HYPERLINK("http://trademark.i-assist.jp/data/china/image_1904th/79425061.pdf", "79425061")</f>
        <v>79425061</v>
      </c>
      <c r="F849" s="11" t="s">
        <v>2538</v>
      </c>
      <c r="G849" s="11" t="s">
        <v>2539</v>
      </c>
      <c r="H849" s="11" t="s">
        <v>2540</v>
      </c>
      <c r="I849" s="11" t="s">
        <v>2403</v>
      </c>
    </row>
    <row r="850" spans="1:9" x14ac:dyDescent="0.15">
      <c r="A850" s="10">
        <v>849</v>
      </c>
      <c r="B850" s="11" t="s">
        <v>9</v>
      </c>
      <c r="C850" s="11" t="s">
        <v>170</v>
      </c>
      <c r="D850" s="11" t="s">
        <v>171</v>
      </c>
      <c r="E850" s="9" t="str">
        <f>+HYPERLINK("http://trademark.i-assist.jp/data/china/image_1904th/79425191.pdf", "79425191")</f>
        <v>79425191</v>
      </c>
      <c r="F850" s="11" t="s">
        <v>2541</v>
      </c>
      <c r="G850" s="11" t="s">
        <v>2542</v>
      </c>
      <c r="H850" s="11" t="s">
        <v>2543</v>
      </c>
      <c r="I850" s="11" t="s">
        <v>2403</v>
      </c>
    </row>
    <row r="851" spans="1:9" x14ac:dyDescent="0.15">
      <c r="A851" s="10">
        <v>850</v>
      </c>
      <c r="B851" s="11" t="s">
        <v>9</v>
      </c>
      <c r="C851" s="11" t="s">
        <v>170</v>
      </c>
      <c r="D851" s="11" t="s">
        <v>171</v>
      </c>
      <c r="E851" s="9" t="str">
        <f>+HYPERLINK("http://trademark.i-assist.jp/data/china/image_1904th/79425195.pdf", "79425195")</f>
        <v>79425195</v>
      </c>
      <c r="F851" s="11" t="s">
        <v>12</v>
      </c>
      <c r="G851" s="11" t="s">
        <v>2478</v>
      </c>
      <c r="H851" s="11" t="s">
        <v>2544</v>
      </c>
      <c r="I851" s="11" t="s">
        <v>2403</v>
      </c>
    </row>
    <row r="852" spans="1:9" x14ac:dyDescent="0.15">
      <c r="A852" s="10">
        <v>851</v>
      </c>
      <c r="B852" s="11" t="s">
        <v>9</v>
      </c>
      <c r="C852" s="11" t="s">
        <v>170</v>
      </c>
      <c r="D852" s="11" t="s">
        <v>171</v>
      </c>
      <c r="E852" s="9" t="str">
        <f>+HYPERLINK("http://trademark.i-assist.jp/data/china/image_1904th/79426411.pdf", "79426411")</f>
        <v>79426411</v>
      </c>
      <c r="F852" s="11" t="s">
        <v>2545</v>
      </c>
      <c r="G852" s="11" t="s">
        <v>2494</v>
      </c>
      <c r="H852" s="11" t="s">
        <v>2546</v>
      </c>
      <c r="I852" s="11" t="s">
        <v>2403</v>
      </c>
    </row>
    <row r="853" spans="1:9" x14ac:dyDescent="0.15">
      <c r="A853" s="10">
        <v>852</v>
      </c>
      <c r="B853" s="11" t="s">
        <v>9</v>
      </c>
      <c r="C853" s="11" t="s">
        <v>170</v>
      </c>
      <c r="D853" s="11" t="s">
        <v>171</v>
      </c>
      <c r="E853" s="9" t="str">
        <f>+HYPERLINK("http://trademark.i-assist.jp/data/china/image_1904th/79426508.pdf", "79426508")</f>
        <v>79426508</v>
      </c>
      <c r="F853" s="11" t="s">
        <v>2547</v>
      </c>
      <c r="G853" s="11" t="s">
        <v>2548</v>
      </c>
      <c r="H853" s="11" t="s">
        <v>2549</v>
      </c>
      <c r="I853" s="11" t="s">
        <v>2403</v>
      </c>
    </row>
    <row r="854" spans="1:9" x14ac:dyDescent="0.15">
      <c r="A854" s="10">
        <v>853</v>
      </c>
      <c r="B854" s="11" t="s">
        <v>9</v>
      </c>
      <c r="C854" s="11" t="s">
        <v>170</v>
      </c>
      <c r="D854" s="11" t="s">
        <v>171</v>
      </c>
      <c r="E854" s="9" t="str">
        <f>+HYPERLINK("http://trademark.i-assist.jp/data/china/image_1904th/79426868.pdf", "79426868")</f>
        <v>79426868</v>
      </c>
      <c r="F854" s="11" t="s">
        <v>2550</v>
      </c>
      <c r="G854" s="11" t="s">
        <v>2551</v>
      </c>
      <c r="H854" s="11" t="s">
        <v>2552</v>
      </c>
      <c r="I854" s="11" t="s">
        <v>2403</v>
      </c>
    </row>
    <row r="855" spans="1:9" x14ac:dyDescent="0.15">
      <c r="A855" s="10">
        <v>854</v>
      </c>
      <c r="B855" s="11" t="s">
        <v>9</v>
      </c>
      <c r="C855" s="11" t="s">
        <v>170</v>
      </c>
      <c r="D855" s="11" t="s">
        <v>171</v>
      </c>
      <c r="E855" s="9" t="str">
        <f>+HYPERLINK("http://trademark.i-assist.jp/data/china/image_1904th/79427285.pdf", "79427285")</f>
        <v>79427285</v>
      </c>
      <c r="F855" s="11" t="s">
        <v>2553</v>
      </c>
      <c r="G855" s="11" t="s">
        <v>2554</v>
      </c>
      <c r="H855" s="11" t="s">
        <v>2555</v>
      </c>
      <c r="I855" s="11" t="s">
        <v>2403</v>
      </c>
    </row>
    <row r="856" spans="1:9" x14ac:dyDescent="0.15">
      <c r="A856" s="10">
        <v>855</v>
      </c>
      <c r="B856" s="11" t="s">
        <v>9</v>
      </c>
      <c r="C856" s="11" t="s">
        <v>170</v>
      </c>
      <c r="D856" s="11" t="s">
        <v>171</v>
      </c>
      <c r="E856" s="9" t="str">
        <f>+HYPERLINK("http://trademark.i-assist.jp/data/china/image_1904th/79427288.pdf", "79427288")</f>
        <v>79427288</v>
      </c>
      <c r="F856" s="11" t="s">
        <v>2556</v>
      </c>
      <c r="G856" s="11" t="s">
        <v>2557</v>
      </c>
      <c r="H856" s="11" t="s">
        <v>2558</v>
      </c>
      <c r="I856" s="11" t="s">
        <v>2403</v>
      </c>
    </row>
    <row r="857" spans="1:9" x14ac:dyDescent="0.15">
      <c r="A857" s="10">
        <v>856</v>
      </c>
      <c r="B857" s="11" t="s">
        <v>9</v>
      </c>
      <c r="C857" s="11" t="s">
        <v>170</v>
      </c>
      <c r="D857" s="11" t="s">
        <v>171</v>
      </c>
      <c r="E857" s="9" t="str">
        <f>+HYPERLINK("http://trademark.i-assist.jp/data/china/image_1904th/79427335.pdf", "79427335")</f>
        <v>79427335</v>
      </c>
      <c r="F857" s="11" t="s">
        <v>2559</v>
      </c>
      <c r="G857" s="11" t="s">
        <v>2560</v>
      </c>
      <c r="H857" s="11" t="s">
        <v>2561</v>
      </c>
      <c r="I857" s="11" t="s">
        <v>2403</v>
      </c>
    </row>
    <row r="858" spans="1:9" x14ac:dyDescent="0.15">
      <c r="A858" s="10">
        <v>857</v>
      </c>
      <c r="B858" s="11" t="s">
        <v>9</v>
      </c>
      <c r="C858" s="11" t="s">
        <v>170</v>
      </c>
      <c r="D858" s="11" t="s">
        <v>171</v>
      </c>
      <c r="E858" s="9" t="str">
        <f>+HYPERLINK("http://trademark.i-assist.jp/data/china/image_1904th/79427383.pdf", "79427383")</f>
        <v>79427383</v>
      </c>
      <c r="F858" s="11" t="s">
        <v>2562</v>
      </c>
      <c r="G858" s="11" t="s">
        <v>2497</v>
      </c>
      <c r="H858" s="11" t="s">
        <v>2563</v>
      </c>
      <c r="I858" s="11" t="s">
        <v>2403</v>
      </c>
    </row>
    <row r="859" spans="1:9" x14ac:dyDescent="0.15">
      <c r="A859" s="10">
        <v>858</v>
      </c>
      <c r="B859" s="11" t="s">
        <v>9</v>
      </c>
      <c r="C859" s="11" t="s">
        <v>170</v>
      </c>
      <c r="D859" s="11" t="s">
        <v>171</v>
      </c>
      <c r="E859" s="9" t="str">
        <f>+HYPERLINK("http://trademark.i-assist.jp/data/china/image_1904th/79428582.pdf", "79428582")</f>
        <v>79428582</v>
      </c>
      <c r="F859" s="11" t="s">
        <v>2564</v>
      </c>
      <c r="G859" s="11" t="s">
        <v>2565</v>
      </c>
      <c r="H859" s="11" t="s">
        <v>2566</v>
      </c>
      <c r="I859" s="11" t="s">
        <v>2403</v>
      </c>
    </row>
    <row r="860" spans="1:9" x14ac:dyDescent="0.15">
      <c r="A860" s="10">
        <v>859</v>
      </c>
      <c r="B860" s="11" t="s">
        <v>9</v>
      </c>
      <c r="C860" s="11" t="s">
        <v>170</v>
      </c>
      <c r="D860" s="11" t="s">
        <v>171</v>
      </c>
      <c r="E860" s="9" t="str">
        <f>+HYPERLINK("http://trademark.i-assist.jp/data/china/image_1904th/79428609.pdf", "79428609")</f>
        <v>79428609</v>
      </c>
      <c r="F860" s="11" t="s">
        <v>2567</v>
      </c>
      <c r="G860" s="11" t="s">
        <v>2478</v>
      </c>
      <c r="H860" s="11" t="s">
        <v>2568</v>
      </c>
      <c r="I860" s="11" t="s">
        <v>2403</v>
      </c>
    </row>
    <row r="861" spans="1:9" x14ac:dyDescent="0.15">
      <c r="A861" s="10">
        <v>860</v>
      </c>
      <c r="B861" s="11" t="s">
        <v>9</v>
      </c>
      <c r="C861" s="11" t="s">
        <v>170</v>
      </c>
      <c r="D861" s="11" t="s">
        <v>171</v>
      </c>
      <c r="E861" s="9" t="str">
        <f>+HYPERLINK("http://trademark.i-assist.jp/data/china/image_1904th/79428732.pdf", "79428732")</f>
        <v>79428732</v>
      </c>
      <c r="F861" s="11" t="s">
        <v>2569</v>
      </c>
      <c r="G861" s="11" t="s">
        <v>2570</v>
      </c>
      <c r="H861" s="11" t="s">
        <v>2571</v>
      </c>
      <c r="I861" s="11" t="s">
        <v>2403</v>
      </c>
    </row>
    <row r="862" spans="1:9" x14ac:dyDescent="0.15">
      <c r="A862" s="10">
        <v>861</v>
      </c>
      <c r="B862" s="11" t="s">
        <v>9</v>
      </c>
      <c r="C862" s="11" t="s">
        <v>170</v>
      </c>
      <c r="D862" s="11" t="s">
        <v>171</v>
      </c>
      <c r="E862" s="9" t="str">
        <f>+HYPERLINK("http://trademark.i-assist.jp/data/china/image_1904th/79429251.pdf", "79429251")</f>
        <v>79429251</v>
      </c>
      <c r="F862" s="11" t="s">
        <v>2572</v>
      </c>
      <c r="G862" s="11" t="s">
        <v>2458</v>
      </c>
      <c r="H862" s="11" t="s">
        <v>2573</v>
      </c>
      <c r="I862" s="11" t="s">
        <v>2403</v>
      </c>
    </row>
    <row r="863" spans="1:9" x14ac:dyDescent="0.15">
      <c r="A863" s="10">
        <v>862</v>
      </c>
      <c r="B863" s="11" t="s">
        <v>9</v>
      </c>
      <c r="C863" s="11" t="s">
        <v>170</v>
      </c>
      <c r="D863" s="11" t="s">
        <v>171</v>
      </c>
      <c r="E863" s="9" t="str">
        <f>+HYPERLINK("http://trademark.i-assist.jp/data/china/image_1904th/79429622.pdf", "79429622")</f>
        <v>79429622</v>
      </c>
      <c r="F863" s="11" t="s">
        <v>2574</v>
      </c>
      <c r="G863" s="11" t="s">
        <v>2575</v>
      </c>
      <c r="H863" s="11" t="s">
        <v>2576</v>
      </c>
      <c r="I863" s="11" t="s">
        <v>2403</v>
      </c>
    </row>
    <row r="864" spans="1:9" x14ac:dyDescent="0.15">
      <c r="A864" s="10">
        <v>863</v>
      </c>
      <c r="B864" s="11" t="s">
        <v>9</v>
      </c>
      <c r="C864" s="11" t="s">
        <v>170</v>
      </c>
      <c r="D864" s="11" t="s">
        <v>171</v>
      </c>
      <c r="E864" s="9" t="str">
        <f>+HYPERLINK("http://trademark.i-assist.jp/data/china/image_1904th/79429852.pdf", "79429852")</f>
        <v>79429852</v>
      </c>
      <c r="F864" s="11" t="s">
        <v>2577</v>
      </c>
      <c r="G864" s="11" t="s">
        <v>2578</v>
      </c>
      <c r="H864" s="11" t="s">
        <v>2579</v>
      </c>
      <c r="I864" s="11" t="s">
        <v>2403</v>
      </c>
    </row>
    <row r="865" spans="1:9" x14ac:dyDescent="0.15">
      <c r="A865" s="10">
        <v>864</v>
      </c>
      <c r="B865" s="11" t="s">
        <v>9</v>
      </c>
      <c r="C865" s="11" t="s">
        <v>170</v>
      </c>
      <c r="D865" s="11" t="s">
        <v>171</v>
      </c>
      <c r="E865" s="9" t="str">
        <f>+HYPERLINK("http://trademark.i-assist.jp/data/china/image_1904th/79430644.pdf", "79430644")</f>
        <v>79430644</v>
      </c>
      <c r="F865" s="11" t="s">
        <v>2580</v>
      </c>
      <c r="G865" s="11" t="s">
        <v>2581</v>
      </c>
      <c r="H865" s="11" t="s">
        <v>2582</v>
      </c>
      <c r="I865" s="11" t="s">
        <v>2403</v>
      </c>
    </row>
    <row r="866" spans="1:9" x14ac:dyDescent="0.15">
      <c r="A866" s="10">
        <v>865</v>
      </c>
      <c r="B866" s="11" t="s">
        <v>9</v>
      </c>
      <c r="C866" s="11" t="s">
        <v>170</v>
      </c>
      <c r="D866" s="11" t="s">
        <v>171</v>
      </c>
      <c r="E866" s="9" t="str">
        <f>+HYPERLINK("http://trademark.i-assist.jp/data/china/image_1904th/79430840.pdf", "79430840")</f>
        <v>79430840</v>
      </c>
      <c r="F866" s="11" t="s">
        <v>2583</v>
      </c>
      <c r="G866" s="11" t="s">
        <v>2584</v>
      </c>
      <c r="H866" s="11" t="s">
        <v>2585</v>
      </c>
      <c r="I866" s="11" t="s">
        <v>2403</v>
      </c>
    </row>
    <row r="867" spans="1:9" x14ac:dyDescent="0.15">
      <c r="A867" s="10">
        <v>866</v>
      </c>
      <c r="B867" s="11" t="s">
        <v>9</v>
      </c>
      <c r="C867" s="11" t="s">
        <v>170</v>
      </c>
      <c r="D867" s="11" t="s">
        <v>171</v>
      </c>
      <c r="E867" s="9" t="str">
        <f>+HYPERLINK("http://trademark.i-assist.jp/data/china/image_1904th/79430846.pdf", "79430846")</f>
        <v>79430846</v>
      </c>
      <c r="F867" s="11" t="s">
        <v>2586</v>
      </c>
      <c r="G867" s="11" t="s">
        <v>2483</v>
      </c>
      <c r="H867" s="11" t="s">
        <v>2587</v>
      </c>
      <c r="I867" s="11" t="s">
        <v>2403</v>
      </c>
    </row>
    <row r="868" spans="1:9" x14ac:dyDescent="0.15">
      <c r="A868" s="10">
        <v>867</v>
      </c>
      <c r="B868" s="11" t="s">
        <v>9</v>
      </c>
      <c r="C868" s="11" t="s">
        <v>170</v>
      </c>
      <c r="D868" s="11" t="s">
        <v>171</v>
      </c>
      <c r="E868" s="9" t="str">
        <f>+HYPERLINK("http://trademark.i-assist.jp/data/china/image_1904th/79431067.pdf", "79431067")</f>
        <v>79431067</v>
      </c>
      <c r="F868" s="11" t="s">
        <v>2588</v>
      </c>
      <c r="G868" s="11" t="s">
        <v>2570</v>
      </c>
      <c r="H868" s="11" t="s">
        <v>2589</v>
      </c>
      <c r="I868" s="11" t="s">
        <v>2403</v>
      </c>
    </row>
    <row r="869" spans="1:9" x14ac:dyDescent="0.15">
      <c r="A869" s="10">
        <v>868</v>
      </c>
      <c r="B869" s="11" t="s">
        <v>9</v>
      </c>
      <c r="C869" s="11" t="s">
        <v>170</v>
      </c>
      <c r="D869" s="11" t="s">
        <v>171</v>
      </c>
      <c r="E869" s="9" t="str">
        <f>+HYPERLINK("http://trademark.i-assist.jp/data/china/image_1904th/79431107.pdf", "79431107")</f>
        <v>79431107</v>
      </c>
      <c r="F869" s="11" t="s">
        <v>2590</v>
      </c>
      <c r="G869" s="11" t="s">
        <v>2591</v>
      </c>
      <c r="H869" s="11" t="s">
        <v>2592</v>
      </c>
      <c r="I869" s="11" t="s">
        <v>2403</v>
      </c>
    </row>
    <row r="870" spans="1:9" x14ac:dyDescent="0.15">
      <c r="A870" s="10">
        <v>869</v>
      </c>
      <c r="B870" s="11" t="s">
        <v>9</v>
      </c>
      <c r="C870" s="11" t="s">
        <v>170</v>
      </c>
      <c r="D870" s="11" t="s">
        <v>171</v>
      </c>
      <c r="E870" s="9" t="str">
        <f>+HYPERLINK("http://trademark.i-assist.jp/data/china/image_1904th/79431236.pdf", "79431236")</f>
        <v>79431236</v>
      </c>
      <c r="F870" s="11" t="s">
        <v>2593</v>
      </c>
      <c r="G870" s="11" t="s">
        <v>128</v>
      </c>
      <c r="H870" s="11" t="s">
        <v>2594</v>
      </c>
      <c r="I870" s="11" t="s">
        <v>2403</v>
      </c>
    </row>
    <row r="871" spans="1:9" x14ac:dyDescent="0.15">
      <c r="A871" s="10">
        <v>870</v>
      </c>
      <c r="B871" s="11" t="s">
        <v>9</v>
      </c>
      <c r="C871" s="11" t="s">
        <v>170</v>
      </c>
      <c r="D871" s="11" t="s">
        <v>171</v>
      </c>
      <c r="E871" s="9" t="str">
        <f>+HYPERLINK("http://trademark.i-assist.jp/data/china/image_1904th/79431990.pdf", "79431990")</f>
        <v>79431990</v>
      </c>
      <c r="F871" s="11" t="s">
        <v>2595</v>
      </c>
      <c r="G871" s="11" t="s">
        <v>2596</v>
      </c>
      <c r="H871" s="11" t="s">
        <v>2597</v>
      </c>
      <c r="I871" s="11" t="s">
        <v>2403</v>
      </c>
    </row>
    <row r="872" spans="1:9" x14ac:dyDescent="0.15">
      <c r="A872" s="10">
        <v>871</v>
      </c>
      <c r="B872" s="11" t="s">
        <v>9</v>
      </c>
      <c r="C872" s="11" t="s">
        <v>170</v>
      </c>
      <c r="D872" s="11" t="s">
        <v>171</v>
      </c>
      <c r="E872" s="9" t="str">
        <f>+HYPERLINK("http://trademark.i-assist.jp/data/china/image_1904th/79432504.pdf", "79432504")</f>
        <v>79432504</v>
      </c>
      <c r="F872" s="11" t="s">
        <v>2598</v>
      </c>
      <c r="G872" s="11" t="s">
        <v>2450</v>
      </c>
      <c r="H872" s="11" t="s">
        <v>2599</v>
      </c>
      <c r="I872" s="11" t="s">
        <v>2403</v>
      </c>
    </row>
    <row r="873" spans="1:9" x14ac:dyDescent="0.15">
      <c r="A873" s="10">
        <v>872</v>
      </c>
      <c r="B873" s="11" t="s">
        <v>9</v>
      </c>
      <c r="C873" s="11" t="s">
        <v>170</v>
      </c>
      <c r="D873" s="11" t="s">
        <v>171</v>
      </c>
      <c r="E873" s="9" t="str">
        <f>+HYPERLINK("http://trademark.i-assist.jp/data/china/image_1904th/79432554.pdf", "79432554")</f>
        <v>79432554</v>
      </c>
      <c r="F873" s="11" t="s">
        <v>2600</v>
      </c>
      <c r="G873" s="11" t="s">
        <v>2450</v>
      </c>
      <c r="H873" s="11" t="s">
        <v>2601</v>
      </c>
      <c r="I873" s="11" t="s">
        <v>2403</v>
      </c>
    </row>
    <row r="874" spans="1:9" x14ac:dyDescent="0.15">
      <c r="A874" s="10">
        <v>873</v>
      </c>
      <c r="B874" s="11" t="s">
        <v>9</v>
      </c>
      <c r="C874" s="11" t="s">
        <v>170</v>
      </c>
      <c r="D874" s="11" t="s">
        <v>171</v>
      </c>
      <c r="E874" s="9" t="str">
        <f>+HYPERLINK("http://trademark.i-assist.jp/data/china/image_1904th/79433252.pdf", "79433252")</f>
        <v>79433252</v>
      </c>
      <c r="F874" s="11" t="s">
        <v>2602</v>
      </c>
      <c r="G874" s="11" t="s">
        <v>2458</v>
      </c>
      <c r="H874" s="11" t="s">
        <v>2603</v>
      </c>
      <c r="I874" s="11" t="s">
        <v>2403</v>
      </c>
    </row>
    <row r="875" spans="1:9" x14ac:dyDescent="0.15">
      <c r="A875" s="10">
        <v>874</v>
      </c>
      <c r="B875" s="11" t="s">
        <v>9</v>
      </c>
      <c r="C875" s="11" t="s">
        <v>170</v>
      </c>
      <c r="D875" s="11" t="s">
        <v>171</v>
      </c>
      <c r="E875" s="9" t="str">
        <f>+HYPERLINK("http://trademark.i-assist.jp/data/china/image_1904th/79433817.pdf", "79433817")</f>
        <v>79433817</v>
      </c>
      <c r="F875" s="11" t="s">
        <v>2604</v>
      </c>
      <c r="G875" s="11" t="s">
        <v>2605</v>
      </c>
      <c r="H875" s="11" t="s">
        <v>2606</v>
      </c>
      <c r="I875" s="11" t="s">
        <v>2403</v>
      </c>
    </row>
    <row r="876" spans="1:9" x14ac:dyDescent="0.15">
      <c r="A876" s="10">
        <v>875</v>
      </c>
      <c r="B876" s="11" t="s">
        <v>9</v>
      </c>
      <c r="C876" s="11" t="s">
        <v>170</v>
      </c>
      <c r="D876" s="11" t="s">
        <v>171</v>
      </c>
      <c r="E876" s="9" t="str">
        <f>+HYPERLINK("http://trademark.i-assist.jp/data/china/image_1904th/79433943.pdf", "79433943")</f>
        <v>79433943</v>
      </c>
      <c r="F876" s="11" t="s">
        <v>2607</v>
      </c>
      <c r="G876" s="11" t="s">
        <v>2608</v>
      </c>
      <c r="H876" s="11" t="s">
        <v>2609</v>
      </c>
      <c r="I876" s="11" t="s">
        <v>2403</v>
      </c>
    </row>
    <row r="877" spans="1:9" x14ac:dyDescent="0.15">
      <c r="A877" s="10">
        <v>876</v>
      </c>
      <c r="B877" s="11" t="s">
        <v>9</v>
      </c>
      <c r="C877" s="11" t="s">
        <v>170</v>
      </c>
      <c r="D877" s="11" t="s">
        <v>171</v>
      </c>
      <c r="E877" s="9" t="str">
        <f>+HYPERLINK("http://trademark.i-assist.jp/data/china/image_1904th/79434256.pdf", "79434256")</f>
        <v>79434256</v>
      </c>
      <c r="F877" s="11" t="s">
        <v>2610</v>
      </c>
      <c r="G877" s="11" t="s">
        <v>2611</v>
      </c>
      <c r="H877" s="11" t="s">
        <v>2612</v>
      </c>
      <c r="I877" s="11" t="s">
        <v>2403</v>
      </c>
    </row>
    <row r="878" spans="1:9" x14ac:dyDescent="0.15">
      <c r="A878" s="10">
        <v>877</v>
      </c>
      <c r="B878" s="11" t="s">
        <v>9</v>
      </c>
      <c r="C878" s="11" t="s">
        <v>170</v>
      </c>
      <c r="D878" s="11" t="s">
        <v>171</v>
      </c>
      <c r="E878" s="9" t="str">
        <f>+HYPERLINK("http://trademark.i-assist.jp/data/china/image_1904th/79434300.pdf", "79434300")</f>
        <v>79434300</v>
      </c>
      <c r="F878" s="11" t="s">
        <v>2613</v>
      </c>
      <c r="G878" s="11" t="s">
        <v>2614</v>
      </c>
      <c r="H878" s="11" t="s">
        <v>2615</v>
      </c>
      <c r="I878" s="11" t="s">
        <v>2403</v>
      </c>
    </row>
    <row r="879" spans="1:9" x14ac:dyDescent="0.15">
      <c r="A879" s="10">
        <v>878</v>
      </c>
      <c r="B879" s="11" t="s">
        <v>9</v>
      </c>
      <c r="C879" s="11" t="s">
        <v>170</v>
      </c>
      <c r="D879" s="11" t="s">
        <v>171</v>
      </c>
      <c r="E879" s="9" t="str">
        <f>+HYPERLINK("http://trademark.i-assist.jp/data/china/image_1904th/79434501.pdf", "79434501")</f>
        <v>79434501</v>
      </c>
      <c r="F879" s="11" t="s">
        <v>2616</v>
      </c>
      <c r="G879" s="11" t="s">
        <v>2617</v>
      </c>
      <c r="H879" s="11" t="s">
        <v>2618</v>
      </c>
      <c r="I879" s="11" t="s">
        <v>2403</v>
      </c>
    </row>
    <row r="880" spans="1:9" x14ac:dyDescent="0.15">
      <c r="A880" s="10">
        <v>879</v>
      </c>
      <c r="B880" s="11" t="s">
        <v>9</v>
      </c>
      <c r="C880" s="11" t="s">
        <v>170</v>
      </c>
      <c r="D880" s="11" t="s">
        <v>171</v>
      </c>
      <c r="E880" s="9" t="str">
        <f>+HYPERLINK("http://trademark.i-assist.jp/data/china/image_1904th/79434676.pdf", "79434676")</f>
        <v>79434676</v>
      </c>
      <c r="F880" s="11" t="s">
        <v>2619</v>
      </c>
      <c r="G880" s="11" t="s">
        <v>2620</v>
      </c>
      <c r="H880" s="11" t="s">
        <v>2621</v>
      </c>
      <c r="I880" s="11" t="s">
        <v>2403</v>
      </c>
    </row>
    <row r="881" spans="1:9" x14ac:dyDescent="0.15">
      <c r="A881" s="10">
        <v>880</v>
      </c>
      <c r="B881" s="11" t="s">
        <v>9</v>
      </c>
      <c r="C881" s="11" t="s">
        <v>170</v>
      </c>
      <c r="D881" s="11" t="s">
        <v>171</v>
      </c>
      <c r="E881" s="9" t="str">
        <f>+HYPERLINK("http://trademark.i-assist.jp/data/china/image_1904th/79434768.pdf", "79434768")</f>
        <v>79434768</v>
      </c>
      <c r="F881" s="11" t="s">
        <v>2622</v>
      </c>
      <c r="G881" s="11" t="s">
        <v>2623</v>
      </c>
      <c r="H881" s="11" t="s">
        <v>2624</v>
      </c>
      <c r="I881" s="11" t="s">
        <v>2403</v>
      </c>
    </row>
    <row r="882" spans="1:9" x14ac:dyDescent="0.15">
      <c r="A882" s="10">
        <v>881</v>
      </c>
      <c r="B882" s="11" t="s">
        <v>9</v>
      </c>
      <c r="C882" s="11" t="s">
        <v>170</v>
      </c>
      <c r="D882" s="11" t="s">
        <v>171</v>
      </c>
      <c r="E882" s="9" t="str">
        <f>+HYPERLINK("http://trademark.i-assist.jp/data/china/image_1904th/79435498.pdf", "79435498")</f>
        <v>79435498</v>
      </c>
      <c r="F882" s="11" t="s">
        <v>2625</v>
      </c>
      <c r="G882" s="11" t="s">
        <v>2434</v>
      </c>
      <c r="H882" s="11" t="s">
        <v>2626</v>
      </c>
      <c r="I882" s="11" t="s">
        <v>2403</v>
      </c>
    </row>
    <row r="883" spans="1:9" x14ac:dyDescent="0.15">
      <c r="A883" s="10">
        <v>882</v>
      </c>
      <c r="B883" s="11" t="s">
        <v>9</v>
      </c>
      <c r="C883" s="11" t="s">
        <v>170</v>
      </c>
      <c r="D883" s="11" t="s">
        <v>171</v>
      </c>
      <c r="E883" s="9" t="str">
        <f>+HYPERLINK("http://trademark.i-assist.jp/data/china/image_1904th/79435540.pdf", "79435540")</f>
        <v>79435540</v>
      </c>
      <c r="F883" s="11" t="s">
        <v>2627</v>
      </c>
      <c r="G883" s="11" t="s">
        <v>2611</v>
      </c>
      <c r="H883" s="11" t="s">
        <v>2628</v>
      </c>
      <c r="I883" s="11" t="s">
        <v>2403</v>
      </c>
    </row>
    <row r="884" spans="1:9" x14ac:dyDescent="0.15">
      <c r="A884" s="10">
        <v>883</v>
      </c>
      <c r="B884" s="11" t="s">
        <v>9</v>
      </c>
      <c r="C884" s="11" t="s">
        <v>170</v>
      </c>
      <c r="D884" s="11" t="s">
        <v>171</v>
      </c>
      <c r="E884" s="9" t="str">
        <f>+HYPERLINK("http://trademark.i-assist.jp/data/china/image_1904th/79435673.pdf", "79435673")</f>
        <v>79435673</v>
      </c>
      <c r="F884" s="11" t="s">
        <v>2629</v>
      </c>
      <c r="G884" s="11" t="s">
        <v>158</v>
      </c>
      <c r="H884" s="11" t="s">
        <v>2630</v>
      </c>
      <c r="I884" s="11" t="s">
        <v>2403</v>
      </c>
    </row>
    <row r="885" spans="1:9" x14ac:dyDescent="0.15">
      <c r="A885" s="10">
        <v>884</v>
      </c>
      <c r="B885" s="11" t="s">
        <v>9</v>
      </c>
      <c r="C885" s="11" t="s">
        <v>170</v>
      </c>
      <c r="D885" s="11" t="s">
        <v>171</v>
      </c>
      <c r="E885" s="9" t="str">
        <f>+HYPERLINK("http://trademark.i-assist.jp/data/china/image_1904th/79435874.pdf", "79435874")</f>
        <v>79435874</v>
      </c>
      <c r="F885" s="11" t="s">
        <v>2631</v>
      </c>
      <c r="G885" s="11" t="s">
        <v>2632</v>
      </c>
      <c r="H885" s="11" t="s">
        <v>2633</v>
      </c>
      <c r="I885" s="11" t="s">
        <v>2403</v>
      </c>
    </row>
    <row r="886" spans="1:9" x14ac:dyDescent="0.15">
      <c r="A886" s="10">
        <v>885</v>
      </c>
      <c r="B886" s="11" t="s">
        <v>9</v>
      </c>
      <c r="C886" s="11" t="s">
        <v>170</v>
      </c>
      <c r="D886" s="11" t="s">
        <v>171</v>
      </c>
      <c r="E886" s="9" t="str">
        <f>+HYPERLINK("http://trademark.i-assist.jp/data/china/image_1904th/79436341.pdf", "79436341")</f>
        <v>79436341</v>
      </c>
      <c r="F886" s="11" t="s">
        <v>2634</v>
      </c>
      <c r="G886" s="11" t="s">
        <v>2635</v>
      </c>
      <c r="H886" s="11" t="s">
        <v>2636</v>
      </c>
      <c r="I886" s="11" t="s">
        <v>2403</v>
      </c>
    </row>
    <row r="887" spans="1:9" x14ac:dyDescent="0.15">
      <c r="A887" s="10">
        <v>886</v>
      </c>
      <c r="B887" s="11" t="s">
        <v>9</v>
      </c>
      <c r="C887" s="11" t="s">
        <v>170</v>
      </c>
      <c r="D887" s="11" t="s">
        <v>171</v>
      </c>
      <c r="E887" s="9" t="str">
        <f>+HYPERLINK("http://trademark.i-assist.jp/data/china/image_1904th/79436375.pdf", "79436375")</f>
        <v>79436375</v>
      </c>
      <c r="F887" s="11" t="s">
        <v>2637</v>
      </c>
      <c r="G887" s="11" t="s">
        <v>2638</v>
      </c>
      <c r="H887" s="11" t="s">
        <v>2639</v>
      </c>
      <c r="I887" s="11" t="s">
        <v>2403</v>
      </c>
    </row>
    <row r="888" spans="1:9" x14ac:dyDescent="0.15">
      <c r="A888" s="10">
        <v>887</v>
      </c>
      <c r="B888" s="11" t="s">
        <v>9</v>
      </c>
      <c r="C888" s="11" t="s">
        <v>170</v>
      </c>
      <c r="D888" s="11" t="s">
        <v>171</v>
      </c>
      <c r="E888" s="9" t="str">
        <f>+HYPERLINK("http://trademark.i-assist.jp/data/china/image_1904th/79436408.pdf", "79436408")</f>
        <v>79436408</v>
      </c>
      <c r="F888" s="11" t="s">
        <v>2640</v>
      </c>
      <c r="G888" s="11" t="s">
        <v>2401</v>
      </c>
      <c r="H888" s="11" t="s">
        <v>2641</v>
      </c>
      <c r="I888" s="11" t="s">
        <v>2403</v>
      </c>
    </row>
    <row r="889" spans="1:9" x14ac:dyDescent="0.15">
      <c r="A889" s="10">
        <v>888</v>
      </c>
      <c r="B889" s="11" t="s">
        <v>9</v>
      </c>
      <c r="C889" s="11" t="s">
        <v>170</v>
      </c>
      <c r="D889" s="11" t="s">
        <v>171</v>
      </c>
      <c r="E889" s="9" t="str">
        <f>+HYPERLINK("http://trademark.i-assist.jp/data/china/image_1904th/79436575.pdf", "79436575")</f>
        <v>79436575</v>
      </c>
      <c r="F889" s="11" t="s">
        <v>2642</v>
      </c>
      <c r="G889" s="11" t="s">
        <v>2643</v>
      </c>
      <c r="H889" s="11" t="s">
        <v>2644</v>
      </c>
      <c r="I889" s="11" t="s">
        <v>2403</v>
      </c>
    </row>
    <row r="890" spans="1:9" x14ac:dyDescent="0.15">
      <c r="A890" s="10">
        <v>889</v>
      </c>
      <c r="B890" s="11" t="s">
        <v>9</v>
      </c>
      <c r="C890" s="11" t="s">
        <v>170</v>
      </c>
      <c r="D890" s="11" t="s">
        <v>171</v>
      </c>
      <c r="E890" s="9" t="str">
        <f>+HYPERLINK("http://trademark.i-assist.jp/data/china/image_1904th/79436657.pdf", "79436657")</f>
        <v>79436657</v>
      </c>
      <c r="F890" s="11" t="s">
        <v>2645</v>
      </c>
      <c r="G890" s="11" t="s">
        <v>2646</v>
      </c>
      <c r="H890" s="11" t="s">
        <v>2647</v>
      </c>
      <c r="I890" s="11" t="s">
        <v>2403</v>
      </c>
    </row>
    <row r="891" spans="1:9" x14ac:dyDescent="0.15">
      <c r="A891" s="10">
        <v>890</v>
      </c>
      <c r="B891" s="11" t="s">
        <v>9</v>
      </c>
      <c r="C891" s="11" t="s">
        <v>170</v>
      </c>
      <c r="D891" s="11" t="s">
        <v>171</v>
      </c>
      <c r="E891" s="9" t="str">
        <f>+HYPERLINK("http://trademark.i-assist.jp/data/china/image_1904th/79436908.pdf", "79436908")</f>
        <v>79436908</v>
      </c>
      <c r="F891" s="11" t="s">
        <v>2556</v>
      </c>
      <c r="G891" s="11" t="s">
        <v>2557</v>
      </c>
      <c r="H891" s="11" t="s">
        <v>2648</v>
      </c>
      <c r="I891" s="11" t="s">
        <v>2403</v>
      </c>
    </row>
    <row r="892" spans="1:9" x14ac:dyDescent="0.15">
      <c r="A892" s="10">
        <v>891</v>
      </c>
      <c r="B892" s="11" t="s">
        <v>9</v>
      </c>
      <c r="C892" s="11" t="s">
        <v>170</v>
      </c>
      <c r="D892" s="11" t="s">
        <v>171</v>
      </c>
      <c r="E892" s="9" t="str">
        <f>+HYPERLINK("http://trademark.i-assist.jp/data/china/image_1904th/79437233.pdf", "79437233")</f>
        <v>79437233</v>
      </c>
      <c r="F892" s="11" t="s">
        <v>2577</v>
      </c>
      <c r="G892" s="11" t="s">
        <v>2578</v>
      </c>
      <c r="H892" s="11" t="s">
        <v>2649</v>
      </c>
      <c r="I892" s="11" t="s">
        <v>2403</v>
      </c>
    </row>
    <row r="893" spans="1:9" x14ac:dyDescent="0.15">
      <c r="A893" s="10">
        <v>892</v>
      </c>
      <c r="B893" s="11" t="s">
        <v>9</v>
      </c>
      <c r="C893" s="11" t="s">
        <v>170</v>
      </c>
      <c r="D893" s="11" t="s">
        <v>171</v>
      </c>
      <c r="E893" s="9" t="str">
        <f>+HYPERLINK("http://trademark.i-assist.jp/data/china/image_1904th/79439930.pdf", "79439930")</f>
        <v>79439930</v>
      </c>
      <c r="F893" s="11" t="s">
        <v>2650</v>
      </c>
      <c r="G893" s="11" t="s">
        <v>2651</v>
      </c>
      <c r="H893" s="11" t="s">
        <v>2652</v>
      </c>
      <c r="I893" s="11" t="s">
        <v>2653</v>
      </c>
    </row>
    <row r="894" spans="1:9" x14ac:dyDescent="0.15">
      <c r="A894" s="10">
        <v>893</v>
      </c>
      <c r="B894" s="11" t="s">
        <v>9</v>
      </c>
      <c r="C894" s="11" t="s">
        <v>170</v>
      </c>
      <c r="D894" s="11" t="s">
        <v>171</v>
      </c>
      <c r="E894" s="9" t="str">
        <f>+HYPERLINK("http://trademark.i-assist.jp/data/china/image_1904th/79439974.pdf", "79439974")</f>
        <v>79439974</v>
      </c>
      <c r="F894" s="11" t="s">
        <v>2654</v>
      </c>
      <c r="G894" s="11" t="s">
        <v>2655</v>
      </c>
      <c r="H894" s="11" t="s">
        <v>2656</v>
      </c>
      <c r="I894" s="11" t="s">
        <v>2653</v>
      </c>
    </row>
    <row r="895" spans="1:9" x14ac:dyDescent="0.15">
      <c r="A895" s="10">
        <v>894</v>
      </c>
      <c r="B895" s="11" t="s">
        <v>9</v>
      </c>
      <c r="C895" s="11" t="s">
        <v>170</v>
      </c>
      <c r="D895" s="11" t="s">
        <v>171</v>
      </c>
      <c r="E895" s="9" t="str">
        <f>+HYPERLINK("http://trademark.i-assist.jp/data/china/image_1904th/79440875.pdf", "79440875")</f>
        <v>79440875</v>
      </c>
      <c r="F895" s="11" t="s">
        <v>2657</v>
      </c>
      <c r="G895" s="11" t="s">
        <v>2658</v>
      </c>
      <c r="H895" s="11" t="s">
        <v>2659</v>
      </c>
      <c r="I895" s="11" t="s">
        <v>2653</v>
      </c>
    </row>
    <row r="896" spans="1:9" x14ac:dyDescent="0.15">
      <c r="A896" s="10">
        <v>895</v>
      </c>
      <c r="B896" s="11" t="s">
        <v>9</v>
      </c>
      <c r="C896" s="11" t="s">
        <v>170</v>
      </c>
      <c r="D896" s="11" t="s">
        <v>171</v>
      </c>
      <c r="E896" s="9" t="str">
        <f>+HYPERLINK("http://trademark.i-assist.jp/data/china/image_1904th/79440923.pdf", "79440923")</f>
        <v>79440923</v>
      </c>
      <c r="F896" s="11" t="s">
        <v>2660</v>
      </c>
      <c r="G896" s="11" t="s">
        <v>2661</v>
      </c>
      <c r="H896" s="11" t="s">
        <v>2662</v>
      </c>
      <c r="I896" s="11" t="s">
        <v>2653</v>
      </c>
    </row>
    <row r="897" spans="1:9" x14ac:dyDescent="0.15">
      <c r="A897" s="10">
        <v>896</v>
      </c>
      <c r="B897" s="11" t="s">
        <v>9</v>
      </c>
      <c r="C897" s="11" t="s">
        <v>170</v>
      </c>
      <c r="D897" s="11" t="s">
        <v>171</v>
      </c>
      <c r="E897" s="9" t="str">
        <f>+HYPERLINK("http://trademark.i-assist.jp/data/china/image_1904th/79442204.pdf", "79442204")</f>
        <v>79442204</v>
      </c>
      <c r="F897" s="11" t="s">
        <v>2663</v>
      </c>
      <c r="G897" s="11" t="s">
        <v>2664</v>
      </c>
      <c r="H897" s="11" t="s">
        <v>2665</v>
      </c>
      <c r="I897" s="11" t="s">
        <v>2653</v>
      </c>
    </row>
    <row r="898" spans="1:9" x14ac:dyDescent="0.15">
      <c r="A898" s="10">
        <v>897</v>
      </c>
      <c r="B898" s="11" t="s">
        <v>9</v>
      </c>
      <c r="C898" s="11" t="s">
        <v>170</v>
      </c>
      <c r="D898" s="11" t="s">
        <v>171</v>
      </c>
      <c r="E898" s="9" t="str">
        <f>+HYPERLINK("http://trademark.i-assist.jp/data/china/image_1904th/79442267.pdf", "79442267")</f>
        <v>79442267</v>
      </c>
      <c r="F898" s="11" t="s">
        <v>2666</v>
      </c>
      <c r="G898" s="11" t="s">
        <v>2667</v>
      </c>
      <c r="H898" s="11" t="s">
        <v>2668</v>
      </c>
      <c r="I898" s="11" t="s">
        <v>2653</v>
      </c>
    </row>
    <row r="899" spans="1:9" x14ac:dyDescent="0.15">
      <c r="A899" s="10">
        <v>898</v>
      </c>
      <c r="B899" s="11" t="s">
        <v>9</v>
      </c>
      <c r="C899" s="11" t="s">
        <v>170</v>
      </c>
      <c r="D899" s="11" t="s">
        <v>171</v>
      </c>
      <c r="E899" s="9" t="str">
        <f>+HYPERLINK("http://trademark.i-assist.jp/data/china/image_1904th/79442384.pdf", "79442384")</f>
        <v>79442384</v>
      </c>
      <c r="F899" s="11" t="s">
        <v>2669</v>
      </c>
      <c r="G899" s="11" t="s">
        <v>2670</v>
      </c>
      <c r="H899" s="11" t="s">
        <v>2671</v>
      </c>
      <c r="I899" s="11" t="s">
        <v>2653</v>
      </c>
    </row>
    <row r="900" spans="1:9" x14ac:dyDescent="0.15">
      <c r="A900" s="10">
        <v>899</v>
      </c>
      <c r="B900" s="11" t="s">
        <v>9</v>
      </c>
      <c r="C900" s="11" t="s">
        <v>170</v>
      </c>
      <c r="D900" s="11" t="s">
        <v>171</v>
      </c>
      <c r="E900" s="9" t="str">
        <f>+HYPERLINK("http://trademark.i-assist.jp/data/china/image_1904th/79443825.pdf", "79443825")</f>
        <v>79443825</v>
      </c>
      <c r="F900" s="11" t="s">
        <v>2672</v>
      </c>
      <c r="G900" s="11" t="s">
        <v>2673</v>
      </c>
      <c r="H900" s="11" t="s">
        <v>2674</v>
      </c>
      <c r="I900" s="11" t="s">
        <v>2653</v>
      </c>
    </row>
    <row r="901" spans="1:9" x14ac:dyDescent="0.15">
      <c r="A901" s="10">
        <v>900</v>
      </c>
      <c r="B901" s="11" t="s">
        <v>9</v>
      </c>
      <c r="C901" s="11" t="s">
        <v>170</v>
      </c>
      <c r="D901" s="11" t="s">
        <v>171</v>
      </c>
      <c r="E901" s="9" t="str">
        <f>+HYPERLINK("http://trademark.i-assist.jp/data/china/image_1904th/79444429.pdf", "79444429")</f>
        <v>79444429</v>
      </c>
      <c r="F901" s="11" t="s">
        <v>2675</v>
      </c>
      <c r="G901" s="11" t="s">
        <v>2676</v>
      </c>
      <c r="H901" s="11" t="s">
        <v>2677</v>
      </c>
      <c r="I901" s="11" t="s">
        <v>2653</v>
      </c>
    </row>
    <row r="902" spans="1:9" x14ac:dyDescent="0.15">
      <c r="A902" s="10">
        <v>901</v>
      </c>
      <c r="B902" s="11" t="s">
        <v>9</v>
      </c>
      <c r="C902" s="11" t="s">
        <v>170</v>
      </c>
      <c r="D902" s="11" t="s">
        <v>171</v>
      </c>
      <c r="E902" s="9" t="str">
        <f>+HYPERLINK("http://trademark.i-assist.jp/data/china/image_1904th/79444578.pdf", "79444578")</f>
        <v>79444578</v>
      </c>
      <c r="F902" s="11" t="s">
        <v>2678</v>
      </c>
      <c r="G902" s="11" t="s">
        <v>2679</v>
      </c>
      <c r="H902" s="11" t="s">
        <v>2680</v>
      </c>
      <c r="I902" s="11" t="s">
        <v>2653</v>
      </c>
    </row>
    <row r="903" spans="1:9" x14ac:dyDescent="0.15">
      <c r="A903" s="10">
        <v>902</v>
      </c>
      <c r="B903" s="11" t="s">
        <v>9</v>
      </c>
      <c r="C903" s="11" t="s">
        <v>170</v>
      </c>
      <c r="D903" s="11" t="s">
        <v>171</v>
      </c>
      <c r="E903" s="9" t="str">
        <f>+HYPERLINK("http://trademark.i-assist.jp/data/china/image_1904th/79444875.pdf", "79444875")</f>
        <v>79444875</v>
      </c>
      <c r="F903" s="11" t="s">
        <v>2681</v>
      </c>
      <c r="G903" s="11" t="s">
        <v>2682</v>
      </c>
      <c r="H903" s="11" t="s">
        <v>2683</v>
      </c>
      <c r="I903" s="11" t="s">
        <v>2653</v>
      </c>
    </row>
    <row r="904" spans="1:9" x14ac:dyDescent="0.15">
      <c r="A904" s="10">
        <v>903</v>
      </c>
      <c r="B904" s="11" t="s">
        <v>9</v>
      </c>
      <c r="C904" s="11" t="s">
        <v>170</v>
      </c>
      <c r="D904" s="11" t="s">
        <v>171</v>
      </c>
      <c r="E904" s="9" t="str">
        <f>+HYPERLINK("http://trademark.i-assist.jp/data/china/image_1904th/79444993.pdf", "79444993")</f>
        <v>79444993</v>
      </c>
      <c r="F904" s="11" t="s">
        <v>2684</v>
      </c>
      <c r="G904" s="11" t="s">
        <v>2685</v>
      </c>
      <c r="H904" s="11" t="s">
        <v>2686</v>
      </c>
      <c r="I904" s="11" t="s">
        <v>2653</v>
      </c>
    </row>
    <row r="905" spans="1:9" x14ac:dyDescent="0.15">
      <c r="A905" s="10">
        <v>904</v>
      </c>
      <c r="B905" s="11" t="s">
        <v>9</v>
      </c>
      <c r="C905" s="11" t="s">
        <v>170</v>
      </c>
      <c r="D905" s="11" t="s">
        <v>171</v>
      </c>
      <c r="E905" s="9" t="str">
        <f>+HYPERLINK("http://trademark.i-assist.jp/data/china/image_1904th/79445039.pdf", "79445039")</f>
        <v>79445039</v>
      </c>
      <c r="F905" s="11" t="s">
        <v>2687</v>
      </c>
      <c r="G905" s="11" t="s">
        <v>2581</v>
      </c>
      <c r="H905" s="11" t="s">
        <v>2688</v>
      </c>
      <c r="I905" s="11" t="s">
        <v>2653</v>
      </c>
    </row>
    <row r="906" spans="1:9" x14ac:dyDescent="0.15">
      <c r="A906" s="10">
        <v>905</v>
      </c>
      <c r="B906" s="11" t="s">
        <v>9</v>
      </c>
      <c r="C906" s="11" t="s">
        <v>170</v>
      </c>
      <c r="D906" s="11" t="s">
        <v>171</v>
      </c>
      <c r="E906" s="9" t="str">
        <f>+HYPERLINK("http://trademark.i-assist.jp/data/china/image_1904th/79446450.pdf", "79446450")</f>
        <v>79446450</v>
      </c>
      <c r="F906" s="11" t="s">
        <v>2689</v>
      </c>
      <c r="G906" s="11" t="s">
        <v>2690</v>
      </c>
      <c r="H906" s="11" t="s">
        <v>2691</v>
      </c>
      <c r="I906" s="11" t="s">
        <v>2653</v>
      </c>
    </row>
    <row r="907" spans="1:9" x14ac:dyDescent="0.15">
      <c r="A907" s="10">
        <v>906</v>
      </c>
      <c r="B907" s="11" t="s">
        <v>9</v>
      </c>
      <c r="C907" s="11" t="s">
        <v>170</v>
      </c>
      <c r="D907" s="11" t="s">
        <v>171</v>
      </c>
      <c r="E907" s="9" t="str">
        <f>+HYPERLINK("http://trademark.i-assist.jp/data/china/image_1904th/79446889.pdf", "79446889")</f>
        <v>79446889</v>
      </c>
      <c r="F907" s="11" t="s">
        <v>2692</v>
      </c>
      <c r="G907" s="11" t="s">
        <v>2693</v>
      </c>
      <c r="H907" s="11" t="s">
        <v>2694</v>
      </c>
      <c r="I907" s="11" t="s">
        <v>2653</v>
      </c>
    </row>
    <row r="908" spans="1:9" x14ac:dyDescent="0.15">
      <c r="A908" s="10">
        <v>907</v>
      </c>
      <c r="B908" s="11" t="s">
        <v>9</v>
      </c>
      <c r="C908" s="11" t="s">
        <v>170</v>
      </c>
      <c r="D908" s="11" t="s">
        <v>171</v>
      </c>
      <c r="E908" s="9" t="str">
        <f>+HYPERLINK("http://trademark.i-assist.jp/data/china/image_1904th/79447061.pdf", "79447061")</f>
        <v>79447061</v>
      </c>
      <c r="F908" s="11" t="s">
        <v>2695</v>
      </c>
      <c r="G908" s="11" t="s">
        <v>2696</v>
      </c>
      <c r="H908" s="11" t="s">
        <v>2697</v>
      </c>
      <c r="I908" s="11" t="s">
        <v>2653</v>
      </c>
    </row>
    <row r="909" spans="1:9" x14ac:dyDescent="0.15">
      <c r="A909" s="10">
        <v>908</v>
      </c>
      <c r="B909" s="11" t="s">
        <v>9</v>
      </c>
      <c r="C909" s="11" t="s">
        <v>170</v>
      </c>
      <c r="D909" s="11" t="s">
        <v>171</v>
      </c>
      <c r="E909" s="9" t="str">
        <f>+HYPERLINK("http://trademark.i-assist.jp/data/china/image_1904th/79447085.pdf", "79447085")</f>
        <v>79447085</v>
      </c>
      <c r="F909" s="11" t="s">
        <v>2698</v>
      </c>
      <c r="G909" s="11" t="s">
        <v>2699</v>
      </c>
      <c r="H909" s="11" t="s">
        <v>2700</v>
      </c>
      <c r="I909" s="11" t="s">
        <v>2653</v>
      </c>
    </row>
    <row r="910" spans="1:9" x14ac:dyDescent="0.15">
      <c r="A910" s="10">
        <v>909</v>
      </c>
      <c r="B910" s="11" t="s">
        <v>9</v>
      </c>
      <c r="C910" s="11" t="s">
        <v>170</v>
      </c>
      <c r="D910" s="11" t="s">
        <v>171</v>
      </c>
      <c r="E910" s="9" t="str">
        <f>+HYPERLINK("http://trademark.i-assist.jp/data/china/image_1904th/79447528.pdf", "79447528")</f>
        <v>79447528</v>
      </c>
      <c r="F910" s="11" t="s">
        <v>2701</v>
      </c>
      <c r="G910" s="11" t="s">
        <v>2702</v>
      </c>
      <c r="H910" s="11" t="s">
        <v>2703</v>
      </c>
      <c r="I910" s="11" t="s">
        <v>2653</v>
      </c>
    </row>
    <row r="911" spans="1:9" x14ac:dyDescent="0.15">
      <c r="A911" s="10">
        <v>910</v>
      </c>
      <c r="B911" s="11" t="s">
        <v>9</v>
      </c>
      <c r="C911" s="11" t="s">
        <v>170</v>
      </c>
      <c r="D911" s="11" t="s">
        <v>171</v>
      </c>
      <c r="E911" s="9" t="str">
        <f>+HYPERLINK("http://trademark.i-assist.jp/data/china/image_1904th/79447561.pdf", "79447561")</f>
        <v>79447561</v>
      </c>
      <c r="F911" s="11" t="s">
        <v>2704</v>
      </c>
      <c r="G911" s="11" t="s">
        <v>2705</v>
      </c>
      <c r="H911" s="11" t="s">
        <v>2706</v>
      </c>
      <c r="I911" s="11" t="s">
        <v>2653</v>
      </c>
    </row>
    <row r="912" spans="1:9" x14ac:dyDescent="0.15">
      <c r="A912" s="10">
        <v>911</v>
      </c>
      <c r="B912" s="11" t="s">
        <v>9</v>
      </c>
      <c r="C912" s="11" t="s">
        <v>170</v>
      </c>
      <c r="D912" s="11" t="s">
        <v>171</v>
      </c>
      <c r="E912" s="9" t="str">
        <f>+HYPERLINK("http://trademark.i-assist.jp/data/china/image_1904th/79448321.pdf", "79448321")</f>
        <v>79448321</v>
      </c>
      <c r="F912" s="11" t="s">
        <v>2707</v>
      </c>
      <c r="G912" s="11" t="s">
        <v>2708</v>
      </c>
      <c r="H912" s="11" t="s">
        <v>2709</v>
      </c>
      <c r="I912" s="11" t="s">
        <v>2653</v>
      </c>
    </row>
    <row r="913" spans="1:9" x14ac:dyDescent="0.15">
      <c r="A913" s="10">
        <v>912</v>
      </c>
      <c r="B913" s="11" t="s">
        <v>9</v>
      </c>
      <c r="C913" s="11" t="s">
        <v>170</v>
      </c>
      <c r="D913" s="11" t="s">
        <v>171</v>
      </c>
      <c r="E913" s="9" t="str">
        <f>+HYPERLINK("http://trademark.i-assist.jp/data/china/image_1904th/79448867.pdf", "79448867")</f>
        <v>79448867</v>
      </c>
      <c r="F913" s="11" t="s">
        <v>2710</v>
      </c>
      <c r="G913" s="11" t="s">
        <v>2711</v>
      </c>
      <c r="H913" s="11" t="s">
        <v>2712</v>
      </c>
      <c r="I913" s="11" t="s">
        <v>2653</v>
      </c>
    </row>
    <row r="914" spans="1:9" x14ac:dyDescent="0.15">
      <c r="A914" s="10">
        <v>913</v>
      </c>
      <c r="B914" s="11" t="s">
        <v>9</v>
      </c>
      <c r="C914" s="11" t="s">
        <v>170</v>
      </c>
      <c r="D914" s="11" t="s">
        <v>171</v>
      </c>
      <c r="E914" s="9" t="str">
        <f>+HYPERLINK("http://trademark.i-assist.jp/data/china/image_1904th/79449326.pdf", "79449326")</f>
        <v>79449326</v>
      </c>
      <c r="F914" s="11" t="s">
        <v>2713</v>
      </c>
      <c r="G914" s="11" t="s">
        <v>2714</v>
      </c>
      <c r="H914" s="11" t="s">
        <v>2715</v>
      </c>
      <c r="I914" s="11" t="s">
        <v>2653</v>
      </c>
    </row>
    <row r="915" spans="1:9" x14ac:dyDescent="0.15">
      <c r="A915" s="10">
        <v>914</v>
      </c>
      <c r="B915" s="11" t="s">
        <v>9</v>
      </c>
      <c r="C915" s="11" t="s">
        <v>170</v>
      </c>
      <c r="D915" s="11" t="s">
        <v>171</v>
      </c>
      <c r="E915" s="9" t="str">
        <f>+HYPERLINK("http://trademark.i-assist.jp/data/china/image_1904th/79450958.pdf", "79450958")</f>
        <v>79450958</v>
      </c>
      <c r="F915" s="11" t="s">
        <v>2716</v>
      </c>
      <c r="G915" s="11" t="s">
        <v>2661</v>
      </c>
      <c r="H915" s="11" t="s">
        <v>2717</v>
      </c>
      <c r="I915" s="11" t="s">
        <v>2653</v>
      </c>
    </row>
    <row r="916" spans="1:9" x14ac:dyDescent="0.15">
      <c r="A916" s="10">
        <v>915</v>
      </c>
      <c r="B916" s="11" t="s">
        <v>9</v>
      </c>
      <c r="C916" s="11" t="s">
        <v>170</v>
      </c>
      <c r="D916" s="11" t="s">
        <v>171</v>
      </c>
      <c r="E916" s="9" t="str">
        <f>+HYPERLINK("http://trademark.i-assist.jp/data/china/image_1904th/79451117.pdf", "79451117")</f>
        <v>79451117</v>
      </c>
      <c r="F916" s="11" t="s">
        <v>2718</v>
      </c>
      <c r="G916" s="11" t="s">
        <v>2670</v>
      </c>
      <c r="H916" s="11" t="s">
        <v>2719</v>
      </c>
      <c r="I916" s="11" t="s">
        <v>2653</v>
      </c>
    </row>
    <row r="917" spans="1:9" x14ac:dyDescent="0.15">
      <c r="A917" s="10">
        <v>916</v>
      </c>
      <c r="B917" s="11" t="s">
        <v>9</v>
      </c>
      <c r="C917" s="11" t="s">
        <v>170</v>
      </c>
      <c r="D917" s="11" t="s">
        <v>171</v>
      </c>
      <c r="E917" s="9" t="str">
        <f>+HYPERLINK("http://trademark.i-assist.jp/data/china/image_1904th/79451732.pdf", "79451732")</f>
        <v>79451732</v>
      </c>
      <c r="F917" s="11" t="s">
        <v>2720</v>
      </c>
      <c r="G917" s="11" t="s">
        <v>119</v>
      </c>
      <c r="H917" s="11" t="s">
        <v>2721</v>
      </c>
      <c r="I917" s="11" t="s">
        <v>2653</v>
      </c>
    </row>
    <row r="918" spans="1:9" x14ac:dyDescent="0.15">
      <c r="A918" s="10">
        <v>917</v>
      </c>
      <c r="B918" s="11" t="s">
        <v>9</v>
      </c>
      <c r="C918" s="11" t="s">
        <v>170</v>
      </c>
      <c r="D918" s="11" t="s">
        <v>171</v>
      </c>
      <c r="E918" s="9" t="str">
        <f>+HYPERLINK("http://trademark.i-assist.jp/data/china/image_1904th/79451865.pdf", "79451865")</f>
        <v>79451865</v>
      </c>
      <c r="F918" s="11" t="s">
        <v>2722</v>
      </c>
      <c r="G918" s="11" t="s">
        <v>2723</v>
      </c>
      <c r="H918" s="11" t="s">
        <v>2724</v>
      </c>
      <c r="I918" s="11" t="s">
        <v>2653</v>
      </c>
    </row>
    <row r="919" spans="1:9" x14ac:dyDescent="0.15">
      <c r="A919" s="10">
        <v>918</v>
      </c>
      <c r="B919" s="11" t="s">
        <v>9</v>
      </c>
      <c r="C919" s="11" t="s">
        <v>170</v>
      </c>
      <c r="D919" s="11" t="s">
        <v>171</v>
      </c>
      <c r="E919" s="9" t="str">
        <f>+HYPERLINK("http://trademark.i-assist.jp/data/china/image_1904th/79452138.pdf", "79452138")</f>
        <v>79452138</v>
      </c>
      <c r="F919" s="11" t="s">
        <v>2725</v>
      </c>
      <c r="G919" s="11" t="s">
        <v>2726</v>
      </c>
      <c r="H919" s="11" t="s">
        <v>2727</v>
      </c>
      <c r="I919" s="11" t="s">
        <v>2653</v>
      </c>
    </row>
    <row r="920" spans="1:9" x14ac:dyDescent="0.15">
      <c r="A920" s="10">
        <v>919</v>
      </c>
      <c r="B920" s="11" t="s">
        <v>9</v>
      </c>
      <c r="C920" s="11" t="s">
        <v>170</v>
      </c>
      <c r="D920" s="11" t="s">
        <v>171</v>
      </c>
      <c r="E920" s="9" t="str">
        <f>+HYPERLINK("http://trademark.i-assist.jp/data/china/image_1904th/79452733.pdf", "79452733")</f>
        <v>79452733</v>
      </c>
      <c r="F920" s="11" t="s">
        <v>2728</v>
      </c>
      <c r="G920" s="11" t="s">
        <v>2714</v>
      </c>
      <c r="H920" s="11" t="s">
        <v>2729</v>
      </c>
      <c r="I920" s="11" t="s">
        <v>2653</v>
      </c>
    </row>
    <row r="921" spans="1:9" x14ac:dyDescent="0.15">
      <c r="A921" s="10">
        <v>920</v>
      </c>
      <c r="B921" s="11" t="s">
        <v>9</v>
      </c>
      <c r="C921" s="11" t="s">
        <v>170</v>
      </c>
      <c r="D921" s="11" t="s">
        <v>171</v>
      </c>
      <c r="E921" s="9" t="str">
        <f>+HYPERLINK("http://trademark.i-assist.jp/data/china/image_1904th/79452877.pdf", "79452877")</f>
        <v>79452877</v>
      </c>
      <c r="F921" s="11" t="s">
        <v>2730</v>
      </c>
      <c r="G921" s="11" t="s">
        <v>2731</v>
      </c>
      <c r="H921" s="11" t="s">
        <v>2732</v>
      </c>
      <c r="I921" s="11" t="s">
        <v>2653</v>
      </c>
    </row>
    <row r="922" spans="1:9" x14ac:dyDescent="0.15">
      <c r="A922" s="10">
        <v>921</v>
      </c>
      <c r="B922" s="11" t="s">
        <v>9</v>
      </c>
      <c r="C922" s="11" t="s">
        <v>170</v>
      </c>
      <c r="D922" s="11" t="s">
        <v>171</v>
      </c>
      <c r="E922" s="9" t="str">
        <f>+HYPERLINK("http://trademark.i-assist.jp/data/china/image_1904th/79452948.pdf", "79452948")</f>
        <v>79452948</v>
      </c>
      <c r="F922" s="11" t="s">
        <v>2733</v>
      </c>
      <c r="G922" s="11" t="s">
        <v>2734</v>
      </c>
      <c r="H922" s="11" t="s">
        <v>2735</v>
      </c>
      <c r="I922" s="11" t="s">
        <v>2653</v>
      </c>
    </row>
    <row r="923" spans="1:9" x14ac:dyDescent="0.15">
      <c r="A923" s="10">
        <v>922</v>
      </c>
      <c r="B923" s="11" t="s">
        <v>9</v>
      </c>
      <c r="C923" s="11" t="s">
        <v>170</v>
      </c>
      <c r="D923" s="11" t="s">
        <v>171</v>
      </c>
      <c r="E923" s="9" t="str">
        <f>+HYPERLINK("http://trademark.i-assist.jp/data/china/image_1904th/79453291.pdf", "79453291")</f>
        <v>79453291</v>
      </c>
      <c r="F923" s="11" t="s">
        <v>2736</v>
      </c>
      <c r="G923" s="11" t="s">
        <v>2737</v>
      </c>
      <c r="H923" s="11" t="s">
        <v>2738</v>
      </c>
      <c r="I923" s="11" t="s">
        <v>2653</v>
      </c>
    </row>
    <row r="924" spans="1:9" x14ac:dyDescent="0.15">
      <c r="A924" s="10">
        <v>923</v>
      </c>
      <c r="B924" s="11" t="s">
        <v>9</v>
      </c>
      <c r="C924" s="11" t="s">
        <v>170</v>
      </c>
      <c r="D924" s="11" t="s">
        <v>171</v>
      </c>
      <c r="E924" s="9" t="str">
        <f>+HYPERLINK("http://trademark.i-assist.jp/data/china/image_1904th/79453883.pdf", "79453883")</f>
        <v>79453883</v>
      </c>
      <c r="F924" s="11" t="s">
        <v>2739</v>
      </c>
      <c r="G924" s="11" t="s">
        <v>2740</v>
      </c>
      <c r="H924" s="11" t="s">
        <v>2741</v>
      </c>
      <c r="I924" s="11" t="s">
        <v>2653</v>
      </c>
    </row>
    <row r="925" spans="1:9" x14ac:dyDescent="0.15">
      <c r="A925" s="10">
        <v>924</v>
      </c>
      <c r="B925" s="11" t="s">
        <v>9</v>
      </c>
      <c r="C925" s="11" t="s">
        <v>170</v>
      </c>
      <c r="D925" s="11" t="s">
        <v>171</v>
      </c>
      <c r="E925" s="9" t="str">
        <f>+HYPERLINK("http://trademark.i-assist.jp/data/china/image_1904th/79454465.pdf", "79454465")</f>
        <v>79454465</v>
      </c>
      <c r="F925" s="11" t="s">
        <v>2742</v>
      </c>
      <c r="G925" s="11" t="s">
        <v>2743</v>
      </c>
      <c r="H925" s="11" t="s">
        <v>2744</v>
      </c>
      <c r="I925" s="11" t="s">
        <v>2653</v>
      </c>
    </row>
    <row r="926" spans="1:9" x14ac:dyDescent="0.15">
      <c r="A926" s="10">
        <v>925</v>
      </c>
      <c r="B926" s="11" t="s">
        <v>9</v>
      </c>
      <c r="C926" s="11" t="s">
        <v>170</v>
      </c>
      <c r="D926" s="11" t="s">
        <v>171</v>
      </c>
      <c r="E926" s="9" t="str">
        <f>+HYPERLINK("http://trademark.i-assist.jp/data/china/image_1904th/79454480.pdf", "79454480")</f>
        <v>79454480</v>
      </c>
      <c r="F926" s="11" t="s">
        <v>2745</v>
      </c>
      <c r="G926" s="11" t="s">
        <v>2734</v>
      </c>
      <c r="H926" s="11" t="s">
        <v>2746</v>
      </c>
      <c r="I926" s="11" t="s">
        <v>2653</v>
      </c>
    </row>
    <row r="927" spans="1:9" x14ac:dyDescent="0.15">
      <c r="A927" s="10">
        <v>926</v>
      </c>
      <c r="B927" s="11" t="s">
        <v>9</v>
      </c>
      <c r="C927" s="11" t="s">
        <v>170</v>
      </c>
      <c r="D927" s="11" t="s">
        <v>171</v>
      </c>
      <c r="E927" s="9" t="str">
        <f>+HYPERLINK("http://trademark.i-assist.jp/data/china/image_1904th/79454623.pdf", "79454623")</f>
        <v>79454623</v>
      </c>
      <c r="F927" s="11" t="s">
        <v>2747</v>
      </c>
      <c r="G927" s="11" t="s">
        <v>2670</v>
      </c>
      <c r="H927" s="11" t="s">
        <v>2748</v>
      </c>
      <c r="I927" s="11" t="s">
        <v>2653</v>
      </c>
    </row>
    <row r="928" spans="1:9" x14ac:dyDescent="0.15">
      <c r="A928" s="10">
        <v>927</v>
      </c>
      <c r="B928" s="11" t="s">
        <v>9</v>
      </c>
      <c r="C928" s="11" t="s">
        <v>170</v>
      </c>
      <c r="D928" s="11" t="s">
        <v>171</v>
      </c>
      <c r="E928" s="9" t="str">
        <f>+HYPERLINK("http://trademark.i-assist.jp/data/china/image_1904th/79455015.pdf", "79455015")</f>
        <v>79455015</v>
      </c>
      <c r="F928" s="11" t="s">
        <v>2749</v>
      </c>
      <c r="G928" s="11" t="s">
        <v>2750</v>
      </c>
      <c r="H928" s="11" t="s">
        <v>2751</v>
      </c>
      <c r="I928" s="11" t="s">
        <v>2653</v>
      </c>
    </row>
    <row r="929" spans="1:9" x14ac:dyDescent="0.15">
      <c r="A929" s="10">
        <v>928</v>
      </c>
      <c r="B929" s="11" t="s">
        <v>9</v>
      </c>
      <c r="C929" s="11" t="s">
        <v>170</v>
      </c>
      <c r="D929" s="11" t="s">
        <v>171</v>
      </c>
      <c r="E929" s="9" t="str">
        <f>+HYPERLINK("http://trademark.i-assist.jp/data/china/image_1904th/79455796.pdf", "79455796")</f>
        <v>79455796</v>
      </c>
      <c r="F929" s="11" t="s">
        <v>2752</v>
      </c>
      <c r="G929" s="11" t="s">
        <v>2753</v>
      </c>
      <c r="H929" s="11" t="s">
        <v>2754</v>
      </c>
      <c r="I929" s="11" t="s">
        <v>2653</v>
      </c>
    </row>
    <row r="930" spans="1:9" x14ac:dyDescent="0.15">
      <c r="A930" s="10">
        <v>929</v>
      </c>
      <c r="B930" s="11" t="s">
        <v>9</v>
      </c>
      <c r="C930" s="11" t="s">
        <v>170</v>
      </c>
      <c r="D930" s="11" t="s">
        <v>171</v>
      </c>
      <c r="E930" s="9" t="str">
        <f>+HYPERLINK("http://trademark.i-assist.jp/data/china/image_1904th/79456356.pdf", "79456356")</f>
        <v>79456356</v>
      </c>
      <c r="F930" s="11" t="s">
        <v>2755</v>
      </c>
      <c r="G930" s="11" t="s">
        <v>2756</v>
      </c>
      <c r="H930" s="11" t="s">
        <v>2757</v>
      </c>
      <c r="I930" s="11" t="s">
        <v>2653</v>
      </c>
    </row>
    <row r="931" spans="1:9" x14ac:dyDescent="0.15">
      <c r="A931" s="10">
        <v>930</v>
      </c>
      <c r="B931" s="11" t="s">
        <v>9</v>
      </c>
      <c r="C931" s="11" t="s">
        <v>170</v>
      </c>
      <c r="D931" s="11" t="s">
        <v>171</v>
      </c>
      <c r="E931" s="9" t="str">
        <f>+HYPERLINK("http://trademark.i-assist.jp/data/china/image_1904th/79456694.pdf", "79456694")</f>
        <v>79456694</v>
      </c>
      <c r="F931" s="11" t="s">
        <v>2758</v>
      </c>
      <c r="G931" s="11" t="s">
        <v>2759</v>
      </c>
      <c r="H931" s="11" t="s">
        <v>2760</v>
      </c>
      <c r="I931" s="11" t="s">
        <v>2653</v>
      </c>
    </row>
    <row r="932" spans="1:9" x14ac:dyDescent="0.15">
      <c r="A932" s="10">
        <v>931</v>
      </c>
      <c r="B932" s="11" t="s">
        <v>9</v>
      </c>
      <c r="C932" s="11" t="s">
        <v>170</v>
      </c>
      <c r="D932" s="11" t="s">
        <v>171</v>
      </c>
      <c r="E932" s="9" t="str">
        <f>+HYPERLINK("http://trademark.i-assist.jp/data/china/image_1904th/79456922.pdf", "79456922")</f>
        <v>79456922</v>
      </c>
      <c r="F932" s="11" t="s">
        <v>2761</v>
      </c>
      <c r="G932" s="11" t="s">
        <v>2762</v>
      </c>
      <c r="H932" s="11" t="s">
        <v>2763</v>
      </c>
      <c r="I932" s="11" t="s">
        <v>2653</v>
      </c>
    </row>
    <row r="933" spans="1:9" x14ac:dyDescent="0.15">
      <c r="A933" s="10">
        <v>932</v>
      </c>
      <c r="B933" s="11" t="s">
        <v>9</v>
      </c>
      <c r="C933" s="11" t="s">
        <v>170</v>
      </c>
      <c r="D933" s="11" t="s">
        <v>171</v>
      </c>
      <c r="E933" s="9" t="str">
        <f>+HYPERLINK("http://trademark.i-assist.jp/data/china/image_1904th/79456978.pdf", "79456978")</f>
        <v>79456978</v>
      </c>
      <c r="F933" s="11" t="s">
        <v>2764</v>
      </c>
      <c r="G933" s="11" t="s">
        <v>2765</v>
      </c>
      <c r="H933" s="11" t="s">
        <v>2766</v>
      </c>
      <c r="I933" s="11" t="s">
        <v>2653</v>
      </c>
    </row>
    <row r="934" spans="1:9" x14ac:dyDescent="0.15">
      <c r="A934" s="10">
        <v>933</v>
      </c>
      <c r="B934" s="11" t="s">
        <v>9</v>
      </c>
      <c r="C934" s="11" t="s">
        <v>170</v>
      </c>
      <c r="D934" s="11" t="s">
        <v>171</v>
      </c>
      <c r="E934" s="9" t="str">
        <f>+HYPERLINK("http://trademark.i-assist.jp/data/china/image_1904th/79457183.pdf", "79457183")</f>
        <v>79457183</v>
      </c>
      <c r="F934" s="11" t="s">
        <v>2767</v>
      </c>
      <c r="G934" s="11" t="s">
        <v>2768</v>
      </c>
      <c r="H934" s="11" t="s">
        <v>2769</v>
      </c>
      <c r="I934" s="11" t="s">
        <v>2653</v>
      </c>
    </row>
    <row r="935" spans="1:9" x14ac:dyDescent="0.15">
      <c r="A935" s="10">
        <v>934</v>
      </c>
      <c r="B935" s="11" t="s">
        <v>9</v>
      </c>
      <c r="C935" s="11" t="s">
        <v>170</v>
      </c>
      <c r="D935" s="11" t="s">
        <v>171</v>
      </c>
      <c r="E935" s="9" t="str">
        <f>+HYPERLINK("http://trademark.i-assist.jp/data/china/image_1904th/79457218.pdf", "79457218")</f>
        <v>79457218</v>
      </c>
      <c r="F935" s="11" t="s">
        <v>2770</v>
      </c>
      <c r="G935" s="11" t="s">
        <v>2771</v>
      </c>
      <c r="H935" s="11" t="s">
        <v>2772</v>
      </c>
      <c r="I935" s="11" t="s">
        <v>2653</v>
      </c>
    </row>
    <row r="936" spans="1:9" x14ac:dyDescent="0.15">
      <c r="A936" s="10">
        <v>935</v>
      </c>
      <c r="B936" s="11" t="s">
        <v>9</v>
      </c>
      <c r="C936" s="11" t="s">
        <v>170</v>
      </c>
      <c r="D936" s="11" t="s">
        <v>171</v>
      </c>
      <c r="E936" s="9" t="str">
        <f>+HYPERLINK("http://trademark.i-assist.jp/data/china/image_1904th/79457296.pdf", "79457296")</f>
        <v>79457296</v>
      </c>
      <c r="F936" s="11" t="s">
        <v>2773</v>
      </c>
      <c r="G936" s="11" t="s">
        <v>2774</v>
      </c>
      <c r="H936" s="11" t="s">
        <v>2775</v>
      </c>
      <c r="I936" s="11" t="s">
        <v>2653</v>
      </c>
    </row>
    <row r="937" spans="1:9" x14ac:dyDescent="0.15">
      <c r="A937" s="10">
        <v>936</v>
      </c>
      <c r="B937" s="11" t="s">
        <v>9</v>
      </c>
      <c r="C937" s="11" t="s">
        <v>170</v>
      </c>
      <c r="D937" s="11" t="s">
        <v>171</v>
      </c>
      <c r="E937" s="9" t="str">
        <f>+HYPERLINK("http://trademark.i-assist.jp/data/china/image_1904th/79458709.pdf", "79458709")</f>
        <v>79458709</v>
      </c>
      <c r="F937" s="11" t="s">
        <v>2776</v>
      </c>
      <c r="G937" s="11" t="s">
        <v>2777</v>
      </c>
      <c r="H937" s="11" t="s">
        <v>2778</v>
      </c>
      <c r="I937" s="11" t="s">
        <v>2653</v>
      </c>
    </row>
    <row r="938" spans="1:9" x14ac:dyDescent="0.15">
      <c r="A938" s="10">
        <v>937</v>
      </c>
      <c r="B938" s="11" t="s">
        <v>9</v>
      </c>
      <c r="C938" s="11" t="s">
        <v>170</v>
      </c>
      <c r="D938" s="11" t="s">
        <v>171</v>
      </c>
      <c r="E938" s="9" t="str">
        <f>+HYPERLINK("http://trademark.i-assist.jp/data/china/image_1904th/79458763.pdf", "79458763")</f>
        <v>79458763</v>
      </c>
      <c r="F938" s="11" t="s">
        <v>2779</v>
      </c>
      <c r="G938" s="11" t="s">
        <v>2780</v>
      </c>
      <c r="H938" s="11" t="s">
        <v>2781</v>
      </c>
      <c r="I938" s="11" t="s">
        <v>2653</v>
      </c>
    </row>
    <row r="939" spans="1:9" x14ac:dyDescent="0.15">
      <c r="A939" s="10">
        <v>938</v>
      </c>
      <c r="B939" s="11" t="s">
        <v>9</v>
      </c>
      <c r="C939" s="11" t="s">
        <v>170</v>
      </c>
      <c r="D939" s="11" t="s">
        <v>171</v>
      </c>
      <c r="E939" s="9" t="str">
        <f>+HYPERLINK("http://trademark.i-assist.jp/data/china/image_1904th/79458853.pdf", "79458853")</f>
        <v>79458853</v>
      </c>
      <c r="F939" s="11" t="s">
        <v>2782</v>
      </c>
      <c r="G939" s="11" t="s">
        <v>2783</v>
      </c>
      <c r="H939" s="11" t="s">
        <v>2784</v>
      </c>
      <c r="I939" s="11" t="s">
        <v>2653</v>
      </c>
    </row>
    <row r="940" spans="1:9" x14ac:dyDescent="0.15">
      <c r="A940" s="10">
        <v>939</v>
      </c>
      <c r="B940" s="11" t="s">
        <v>9</v>
      </c>
      <c r="C940" s="11" t="s">
        <v>170</v>
      </c>
      <c r="D940" s="11" t="s">
        <v>171</v>
      </c>
      <c r="E940" s="9" t="str">
        <f>+HYPERLINK("http://trademark.i-assist.jp/data/china/image_1904th/79459416.pdf", "79459416")</f>
        <v>79459416</v>
      </c>
      <c r="F940" s="11" t="s">
        <v>2785</v>
      </c>
      <c r="G940" s="11" t="s">
        <v>2786</v>
      </c>
      <c r="H940" s="11" t="s">
        <v>2787</v>
      </c>
      <c r="I940" s="11" t="s">
        <v>2653</v>
      </c>
    </row>
    <row r="941" spans="1:9" x14ac:dyDescent="0.15">
      <c r="A941" s="10">
        <v>940</v>
      </c>
      <c r="B941" s="11" t="s">
        <v>9</v>
      </c>
      <c r="C941" s="11" t="s">
        <v>170</v>
      </c>
      <c r="D941" s="11" t="s">
        <v>171</v>
      </c>
      <c r="E941" s="9" t="str">
        <f>+HYPERLINK("http://trademark.i-assist.jp/data/china/image_1904th/79459700.pdf", "79459700")</f>
        <v>79459700</v>
      </c>
      <c r="F941" s="11" t="s">
        <v>2788</v>
      </c>
      <c r="G941" s="11" t="s">
        <v>2789</v>
      </c>
      <c r="H941" s="11" t="s">
        <v>15</v>
      </c>
      <c r="I941" s="11" t="s">
        <v>2653</v>
      </c>
    </row>
    <row r="942" spans="1:9" x14ac:dyDescent="0.15">
      <c r="A942" s="10">
        <v>941</v>
      </c>
      <c r="B942" s="11" t="s">
        <v>9</v>
      </c>
      <c r="C942" s="11" t="s">
        <v>170</v>
      </c>
      <c r="D942" s="11" t="s">
        <v>171</v>
      </c>
      <c r="E942" s="9" t="str">
        <f>+HYPERLINK("http://trademark.i-assist.jp/data/china/image_1904th/79461432.pdf", "79461432")</f>
        <v>79461432</v>
      </c>
      <c r="F942" s="11" t="s">
        <v>2790</v>
      </c>
      <c r="G942" s="11" t="s">
        <v>2791</v>
      </c>
      <c r="H942" s="11" t="s">
        <v>2792</v>
      </c>
      <c r="I942" s="11" t="s">
        <v>2653</v>
      </c>
    </row>
    <row r="943" spans="1:9" x14ac:dyDescent="0.15">
      <c r="A943" s="10">
        <v>942</v>
      </c>
      <c r="B943" s="11" t="s">
        <v>9</v>
      </c>
      <c r="C943" s="11" t="s">
        <v>170</v>
      </c>
      <c r="D943" s="11" t="s">
        <v>171</v>
      </c>
      <c r="E943" s="9" t="str">
        <f>+HYPERLINK("http://trademark.i-assist.jp/data/china/image_1904th/79462108.pdf", "79462108")</f>
        <v>79462108</v>
      </c>
      <c r="F943" s="11" t="s">
        <v>2793</v>
      </c>
      <c r="G943" s="11" t="s">
        <v>2581</v>
      </c>
      <c r="H943" s="11" t="s">
        <v>2794</v>
      </c>
      <c r="I943" s="11" t="s">
        <v>2653</v>
      </c>
    </row>
    <row r="944" spans="1:9" x14ac:dyDescent="0.15">
      <c r="A944" s="10">
        <v>943</v>
      </c>
      <c r="B944" s="11" t="s">
        <v>9</v>
      </c>
      <c r="C944" s="11" t="s">
        <v>170</v>
      </c>
      <c r="D944" s="11" t="s">
        <v>171</v>
      </c>
      <c r="E944" s="9" t="str">
        <f>+HYPERLINK("http://trademark.i-assist.jp/data/china/image_1904th/79462651.pdf", "79462651")</f>
        <v>79462651</v>
      </c>
      <c r="F944" s="11" t="s">
        <v>2795</v>
      </c>
      <c r="G944" s="11" t="s">
        <v>2796</v>
      </c>
      <c r="H944" s="11" t="s">
        <v>2797</v>
      </c>
      <c r="I944" s="11" t="s">
        <v>2653</v>
      </c>
    </row>
    <row r="945" spans="1:9" x14ac:dyDescent="0.15">
      <c r="A945" s="10">
        <v>944</v>
      </c>
      <c r="B945" s="11" t="s">
        <v>9</v>
      </c>
      <c r="C945" s="11" t="s">
        <v>170</v>
      </c>
      <c r="D945" s="11" t="s">
        <v>171</v>
      </c>
      <c r="E945" s="9" t="str">
        <f>+HYPERLINK("http://trademark.i-assist.jp/data/china/image_1904th/79463449.pdf", "79463449")</f>
        <v>79463449</v>
      </c>
      <c r="F945" s="11" t="s">
        <v>2798</v>
      </c>
      <c r="G945" s="11" t="s">
        <v>2799</v>
      </c>
      <c r="H945" s="11" t="s">
        <v>2800</v>
      </c>
      <c r="I945" s="11" t="s">
        <v>2801</v>
      </c>
    </row>
    <row r="946" spans="1:9" x14ac:dyDescent="0.15">
      <c r="A946" s="10">
        <v>945</v>
      </c>
      <c r="B946" s="11" t="s">
        <v>9</v>
      </c>
      <c r="C946" s="11" t="s">
        <v>170</v>
      </c>
      <c r="D946" s="11" t="s">
        <v>171</v>
      </c>
      <c r="E946" s="9" t="str">
        <f>+HYPERLINK("http://trademark.i-assist.jp/data/china/image_1904th/79464704.pdf", "79464704")</f>
        <v>79464704</v>
      </c>
      <c r="F946" s="11" t="s">
        <v>2802</v>
      </c>
      <c r="G946" s="11" t="s">
        <v>2803</v>
      </c>
      <c r="H946" s="11" t="s">
        <v>2804</v>
      </c>
      <c r="I946" s="11" t="s">
        <v>2801</v>
      </c>
    </row>
    <row r="947" spans="1:9" x14ac:dyDescent="0.15">
      <c r="A947" s="10">
        <v>946</v>
      </c>
      <c r="B947" s="11" t="s">
        <v>9</v>
      </c>
      <c r="C947" s="11" t="s">
        <v>170</v>
      </c>
      <c r="D947" s="11" t="s">
        <v>171</v>
      </c>
      <c r="E947" s="9" t="str">
        <f>+HYPERLINK("http://trademark.i-assist.jp/data/china/image_1904th/79465035.pdf", "79465035")</f>
        <v>79465035</v>
      </c>
      <c r="F947" s="11" t="s">
        <v>2805</v>
      </c>
      <c r="G947" s="11" t="s">
        <v>2806</v>
      </c>
      <c r="H947" s="11" t="s">
        <v>2807</v>
      </c>
      <c r="I947" s="11" t="s">
        <v>2801</v>
      </c>
    </row>
    <row r="948" spans="1:9" x14ac:dyDescent="0.15">
      <c r="A948" s="10">
        <v>947</v>
      </c>
      <c r="B948" s="11" t="s">
        <v>9</v>
      </c>
      <c r="C948" s="11" t="s">
        <v>170</v>
      </c>
      <c r="D948" s="11" t="s">
        <v>171</v>
      </c>
      <c r="E948" s="9" t="str">
        <f>+HYPERLINK("http://trademark.i-assist.jp/data/china/image_1904th/79465606.pdf", "79465606")</f>
        <v>79465606</v>
      </c>
      <c r="F948" s="11" t="s">
        <v>2808</v>
      </c>
      <c r="G948" s="11" t="s">
        <v>2809</v>
      </c>
      <c r="H948" s="11" t="s">
        <v>2810</v>
      </c>
      <c r="I948" s="11" t="s">
        <v>2801</v>
      </c>
    </row>
    <row r="949" spans="1:9" x14ac:dyDescent="0.15">
      <c r="A949" s="10">
        <v>948</v>
      </c>
      <c r="B949" s="11" t="s">
        <v>9</v>
      </c>
      <c r="C949" s="11" t="s">
        <v>170</v>
      </c>
      <c r="D949" s="11" t="s">
        <v>171</v>
      </c>
      <c r="E949" s="9" t="str">
        <f>+HYPERLINK("http://trademark.i-assist.jp/data/china/image_1904th/79465872.pdf", "79465872")</f>
        <v>79465872</v>
      </c>
      <c r="F949" s="11" t="s">
        <v>2811</v>
      </c>
      <c r="G949" s="11" t="s">
        <v>2812</v>
      </c>
      <c r="H949" s="11" t="s">
        <v>2813</v>
      </c>
      <c r="I949" s="11" t="s">
        <v>2801</v>
      </c>
    </row>
    <row r="950" spans="1:9" x14ac:dyDescent="0.15">
      <c r="A950" s="10">
        <v>949</v>
      </c>
      <c r="B950" s="11" t="s">
        <v>9</v>
      </c>
      <c r="C950" s="11" t="s">
        <v>170</v>
      </c>
      <c r="D950" s="11" t="s">
        <v>171</v>
      </c>
      <c r="E950" s="9" t="str">
        <f>+HYPERLINK("http://trademark.i-assist.jp/data/china/image_1904th/79466296.pdf", "79466296")</f>
        <v>79466296</v>
      </c>
      <c r="F950" s="11" t="s">
        <v>2814</v>
      </c>
      <c r="G950" s="11" t="s">
        <v>2815</v>
      </c>
      <c r="H950" s="11" t="s">
        <v>2816</v>
      </c>
      <c r="I950" s="11" t="s">
        <v>2801</v>
      </c>
    </row>
    <row r="951" spans="1:9" x14ac:dyDescent="0.15">
      <c r="A951" s="10">
        <v>950</v>
      </c>
      <c r="B951" s="11" t="s">
        <v>9</v>
      </c>
      <c r="C951" s="11" t="s">
        <v>170</v>
      </c>
      <c r="D951" s="11" t="s">
        <v>171</v>
      </c>
      <c r="E951" s="9" t="str">
        <f>+HYPERLINK("http://trademark.i-assist.jp/data/china/image_1904th/79466347.pdf", "79466347")</f>
        <v>79466347</v>
      </c>
      <c r="F951" s="11" t="s">
        <v>2817</v>
      </c>
      <c r="G951" s="11" t="s">
        <v>2818</v>
      </c>
      <c r="H951" s="11" t="s">
        <v>2819</v>
      </c>
      <c r="I951" s="11" t="s">
        <v>2801</v>
      </c>
    </row>
    <row r="952" spans="1:9" x14ac:dyDescent="0.15">
      <c r="A952" s="10">
        <v>951</v>
      </c>
      <c r="B952" s="11" t="s">
        <v>9</v>
      </c>
      <c r="C952" s="11" t="s">
        <v>170</v>
      </c>
      <c r="D952" s="11" t="s">
        <v>171</v>
      </c>
      <c r="E952" s="9" t="str">
        <f>+HYPERLINK("http://trademark.i-assist.jp/data/china/image_1904th/79466551.pdf", "79466551")</f>
        <v>79466551</v>
      </c>
      <c r="F952" s="11" t="s">
        <v>2820</v>
      </c>
      <c r="G952" s="11" t="s">
        <v>45</v>
      </c>
      <c r="H952" s="11" t="s">
        <v>2821</v>
      </c>
      <c r="I952" s="11" t="s">
        <v>2801</v>
      </c>
    </row>
    <row r="953" spans="1:9" x14ac:dyDescent="0.15">
      <c r="A953" s="10">
        <v>952</v>
      </c>
      <c r="B953" s="11" t="s">
        <v>9</v>
      </c>
      <c r="C953" s="11" t="s">
        <v>170</v>
      </c>
      <c r="D953" s="11" t="s">
        <v>171</v>
      </c>
      <c r="E953" s="9" t="str">
        <f>+HYPERLINK("http://trademark.i-assist.jp/data/china/image_1904th/79466620.pdf", "79466620")</f>
        <v>79466620</v>
      </c>
      <c r="F953" s="11" t="s">
        <v>2822</v>
      </c>
      <c r="G953" s="11" t="s">
        <v>2823</v>
      </c>
      <c r="H953" s="11" t="s">
        <v>2824</v>
      </c>
      <c r="I953" s="11" t="s">
        <v>2801</v>
      </c>
    </row>
    <row r="954" spans="1:9" x14ac:dyDescent="0.15">
      <c r="A954" s="10">
        <v>953</v>
      </c>
      <c r="B954" s="11" t="s">
        <v>9</v>
      </c>
      <c r="C954" s="11" t="s">
        <v>170</v>
      </c>
      <c r="D954" s="11" t="s">
        <v>171</v>
      </c>
      <c r="E954" s="9" t="str">
        <f>+HYPERLINK("http://trademark.i-assist.jp/data/china/image_1904th/79468966.pdf", "79468966")</f>
        <v>79468966</v>
      </c>
      <c r="F954" s="11" t="s">
        <v>2825</v>
      </c>
      <c r="G954" s="11" t="s">
        <v>2826</v>
      </c>
      <c r="H954" s="11" t="s">
        <v>2827</v>
      </c>
      <c r="I954" s="11" t="s">
        <v>2801</v>
      </c>
    </row>
    <row r="955" spans="1:9" x14ac:dyDescent="0.15">
      <c r="A955" s="10">
        <v>954</v>
      </c>
      <c r="B955" s="11" t="s">
        <v>9</v>
      </c>
      <c r="C955" s="11" t="s">
        <v>170</v>
      </c>
      <c r="D955" s="11" t="s">
        <v>171</v>
      </c>
      <c r="E955" s="9" t="str">
        <f>+HYPERLINK("http://trademark.i-assist.jp/data/china/image_1904th/79468987.pdf", "79468987")</f>
        <v>79468987</v>
      </c>
      <c r="F955" s="11" t="s">
        <v>12</v>
      </c>
      <c r="G955" s="11" t="s">
        <v>2828</v>
      </c>
      <c r="H955" s="11" t="s">
        <v>2829</v>
      </c>
      <c r="I955" s="11" t="s">
        <v>2801</v>
      </c>
    </row>
    <row r="956" spans="1:9" x14ac:dyDescent="0.15">
      <c r="A956" s="10">
        <v>955</v>
      </c>
      <c r="B956" s="11" t="s">
        <v>9</v>
      </c>
      <c r="C956" s="11" t="s">
        <v>170</v>
      </c>
      <c r="D956" s="11" t="s">
        <v>171</v>
      </c>
      <c r="E956" s="9" t="str">
        <f>+HYPERLINK("http://trademark.i-assist.jp/data/china/image_1904th/79469231.pdf", "79469231")</f>
        <v>79469231</v>
      </c>
      <c r="F956" s="11" t="s">
        <v>12</v>
      </c>
      <c r="G956" s="11" t="s">
        <v>2830</v>
      </c>
      <c r="H956" s="11" t="s">
        <v>2831</v>
      </c>
      <c r="I956" s="11" t="s">
        <v>2801</v>
      </c>
    </row>
    <row r="957" spans="1:9" x14ac:dyDescent="0.15">
      <c r="A957" s="10">
        <v>956</v>
      </c>
      <c r="B957" s="11" t="s">
        <v>9</v>
      </c>
      <c r="C957" s="11" t="s">
        <v>170</v>
      </c>
      <c r="D957" s="11" t="s">
        <v>171</v>
      </c>
      <c r="E957" s="9" t="str">
        <f>+HYPERLINK("http://trademark.i-assist.jp/data/china/image_1904th/79469774.pdf", "79469774")</f>
        <v>79469774</v>
      </c>
      <c r="F957" s="11" t="s">
        <v>2832</v>
      </c>
      <c r="G957" s="11" t="s">
        <v>2833</v>
      </c>
      <c r="H957" s="11" t="s">
        <v>2834</v>
      </c>
      <c r="I957" s="11" t="s">
        <v>2801</v>
      </c>
    </row>
    <row r="958" spans="1:9" x14ac:dyDescent="0.15">
      <c r="A958" s="10">
        <v>957</v>
      </c>
      <c r="B958" s="11" t="s">
        <v>9</v>
      </c>
      <c r="C958" s="11" t="s">
        <v>170</v>
      </c>
      <c r="D958" s="11" t="s">
        <v>171</v>
      </c>
      <c r="E958" s="9" t="str">
        <f>+HYPERLINK("http://trademark.i-assist.jp/data/china/image_1904th/79470065.pdf", "79470065")</f>
        <v>79470065</v>
      </c>
      <c r="F958" s="11" t="s">
        <v>2835</v>
      </c>
      <c r="G958" s="11" t="s">
        <v>2836</v>
      </c>
      <c r="H958" s="11" t="s">
        <v>2837</v>
      </c>
      <c r="I958" s="11" t="s">
        <v>2801</v>
      </c>
    </row>
    <row r="959" spans="1:9" x14ac:dyDescent="0.15">
      <c r="A959" s="10">
        <v>958</v>
      </c>
      <c r="B959" s="11" t="s">
        <v>9</v>
      </c>
      <c r="C959" s="11" t="s">
        <v>170</v>
      </c>
      <c r="D959" s="11" t="s">
        <v>171</v>
      </c>
      <c r="E959" s="9" t="str">
        <f>+HYPERLINK("http://trademark.i-assist.jp/data/china/image_1904th/79470386.pdf", "79470386")</f>
        <v>79470386</v>
      </c>
      <c r="F959" s="11" t="s">
        <v>2838</v>
      </c>
      <c r="G959" s="11" t="s">
        <v>2839</v>
      </c>
      <c r="H959" s="11" t="s">
        <v>2840</v>
      </c>
      <c r="I959" s="11" t="s">
        <v>2801</v>
      </c>
    </row>
    <row r="960" spans="1:9" x14ac:dyDescent="0.15">
      <c r="A960" s="10">
        <v>959</v>
      </c>
      <c r="B960" s="11" t="s">
        <v>9</v>
      </c>
      <c r="C960" s="11" t="s">
        <v>170</v>
      </c>
      <c r="D960" s="11" t="s">
        <v>171</v>
      </c>
      <c r="E960" s="9" t="str">
        <f>+HYPERLINK("http://trademark.i-assist.jp/data/china/image_1904th/79470648.pdf", "79470648")</f>
        <v>79470648</v>
      </c>
      <c r="F960" s="11" t="s">
        <v>2841</v>
      </c>
      <c r="G960" s="11" t="s">
        <v>2842</v>
      </c>
      <c r="H960" s="11" t="s">
        <v>2843</v>
      </c>
      <c r="I960" s="11" t="s">
        <v>2801</v>
      </c>
    </row>
    <row r="961" spans="1:9" x14ac:dyDescent="0.15">
      <c r="A961" s="10">
        <v>960</v>
      </c>
      <c r="B961" s="11" t="s">
        <v>9</v>
      </c>
      <c r="C961" s="11" t="s">
        <v>170</v>
      </c>
      <c r="D961" s="11" t="s">
        <v>171</v>
      </c>
      <c r="E961" s="9" t="str">
        <f>+HYPERLINK("http://trademark.i-assist.jp/data/china/image_1904th/79470902.pdf", "79470902")</f>
        <v>79470902</v>
      </c>
      <c r="F961" s="11" t="s">
        <v>2844</v>
      </c>
      <c r="G961" s="11" t="s">
        <v>2845</v>
      </c>
      <c r="H961" s="11" t="s">
        <v>2846</v>
      </c>
      <c r="I961" s="11" t="s">
        <v>2801</v>
      </c>
    </row>
    <row r="962" spans="1:9" x14ac:dyDescent="0.15">
      <c r="A962" s="10">
        <v>961</v>
      </c>
      <c r="B962" s="11" t="s">
        <v>9</v>
      </c>
      <c r="C962" s="11" t="s">
        <v>170</v>
      </c>
      <c r="D962" s="11" t="s">
        <v>171</v>
      </c>
      <c r="E962" s="9" t="str">
        <f>+HYPERLINK("http://trademark.i-assist.jp/data/china/image_1904th/79471152.pdf", "79471152")</f>
        <v>79471152</v>
      </c>
      <c r="F962" s="11" t="s">
        <v>2847</v>
      </c>
      <c r="G962" s="11" t="s">
        <v>2848</v>
      </c>
      <c r="H962" s="11" t="s">
        <v>2849</v>
      </c>
      <c r="I962" s="11" t="s">
        <v>2801</v>
      </c>
    </row>
    <row r="963" spans="1:9" x14ac:dyDescent="0.15">
      <c r="A963" s="10">
        <v>962</v>
      </c>
      <c r="B963" s="11" t="s">
        <v>9</v>
      </c>
      <c r="C963" s="11" t="s">
        <v>170</v>
      </c>
      <c r="D963" s="11" t="s">
        <v>171</v>
      </c>
      <c r="E963" s="9" t="str">
        <f>+HYPERLINK("http://trademark.i-assist.jp/data/china/image_1904th/79471168.pdf", "79471168")</f>
        <v>79471168</v>
      </c>
      <c r="F963" s="11" t="s">
        <v>2850</v>
      </c>
      <c r="G963" s="11" t="s">
        <v>2851</v>
      </c>
      <c r="H963" s="11" t="s">
        <v>2852</v>
      </c>
      <c r="I963" s="11" t="s">
        <v>2801</v>
      </c>
    </row>
    <row r="964" spans="1:9" x14ac:dyDescent="0.15">
      <c r="A964" s="10">
        <v>963</v>
      </c>
      <c r="B964" s="11" t="s">
        <v>9</v>
      </c>
      <c r="C964" s="11" t="s">
        <v>170</v>
      </c>
      <c r="D964" s="11" t="s">
        <v>171</v>
      </c>
      <c r="E964" s="9" t="str">
        <f>+HYPERLINK("http://trademark.i-assist.jp/data/china/image_1904th/79471452.pdf", "79471452")</f>
        <v>79471452</v>
      </c>
      <c r="F964" s="11" t="s">
        <v>12</v>
      </c>
      <c r="G964" s="11" t="s">
        <v>2853</v>
      </c>
      <c r="H964" s="11" t="s">
        <v>2854</v>
      </c>
      <c r="I964" s="11" t="s">
        <v>2801</v>
      </c>
    </row>
    <row r="965" spans="1:9" x14ac:dyDescent="0.15">
      <c r="A965" s="10">
        <v>964</v>
      </c>
      <c r="B965" s="11" t="s">
        <v>9</v>
      </c>
      <c r="C965" s="11" t="s">
        <v>170</v>
      </c>
      <c r="D965" s="11" t="s">
        <v>171</v>
      </c>
      <c r="E965" s="9" t="str">
        <f>+HYPERLINK("http://trademark.i-assist.jp/data/china/image_1904th/79471797.pdf", "79471797")</f>
        <v>79471797</v>
      </c>
      <c r="F965" s="11" t="s">
        <v>2855</v>
      </c>
      <c r="G965" s="11" t="s">
        <v>2856</v>
      </c>
      <c r="H965" s="11" t="s">
        <v>2857</v>
      </c>
      <c r="I965" s="11" t="s">
        <v>2801</v>
      </c>
    </row>
    <row r="966" spans="1:9" x14ac:dyDescent="0.15">
      <c r="A966" s="10">
        <v>965</v>
      </c>
      <c r="B966" s="11" t="s">
        <v>9</v>
      </c>
      <c r="C966" s="11" t="s">
        <v>170</v>
      </c>
      <c r="D966" s="11" t="s">
        <v>171</v>
      </c>
      <c r="E966" s="9" t="str">
        <f>+HYPERLINK("http://trademark.i-assist.jp/data/china/image_1904th/79471823.pdf", "79471823")</f>
        <v>79471823</v>
      </c>
      <c r="F966" s="11" t="s">
        <v>2858</v>
      </c>
      <c r="G966" s="11" t="s">
        <v>39</v>
      </c>
      <c r="H966" s="11" t="s">
        <v>2859</v>
      </c>
      <c r="I966" s="11" t="s">
        <v>2801</v>
      </c>
    </row>
    <row r="967" spans="1:9" x14ac:dyDescent="0.15">
      <c r="A967" s="10">
        <v>966</v>
      </c>
      <c r="B967" s="11" t="s">
        <v>9</v>
      </c>
      <c r="C967" s="11" t="s">
        <v>170</v>
      </c>
      <c r="D967" s="11" t="s">
        <v>171</v>
      </c>
      <c r="E967" s="9" t="str">
        <f>+HYPERLINK("http://trademark.i-assist.jp/data/china/image_1904th/79472156.pdf", "79472156")</f>
        <v>79472156</v>
      </c>
      <c r="F967" s="11" t="s">
        <v>2860</v>
      </c>
      <c r="G967" s="11" t="s">
        <v>2861</v>
      </c>
      <c r="H967" s="11" t="s">
        <v>2862</v>
      </c>
      <c r="I967" s="11" t="s">
        <v>2801</v>
      </c>
    </row>
    <row r="968" spans="1:9" x14ac:dyDescent="0.15">
      <c r="A968" s="10">
        <v>967</v>
      </c>
      <c r="B968" s="11" t="s">
        <v>9</v>
      </c>
      <c r="C968" s="11" t="s">
        <v>170</v>
      </c>
      <c r="D968" s="11" t="s">
        <v>171</v>
      </c>
      <c r="E968" s="9" t="str">
        <f>+HYPERLINK("http://trademark.i-assist.jp/data/china/image_1904th/79473122.pdf", "79473122")</f>
        <v>79473122</v>
      </c>
      <c r="F968" s="11" t="s">
        <v>2863</v>
      </c>
      <c r="G968" s="11" t="s">
        <v>2864</v>
      </c>
      <c r="H968" s="11" t="s">
        <v>2865</v>
      </c>
      <c r="I968" s="11" t="s">
        <v>2801</v>
      </c>
    </row>
    <row r="969" spans="1:9" x14ac:dyDescent="0.15">
      <c r="A969" s="10">
        <v>968</v>
      </c>
      <c r="B969" s="11" t="s">
        <v>9</v>
      </c>
      <c r="C969" s="11" t="s">
        <v>170</v>
      </c>
      <c r="D969" s="11" t="s">
        <v>171</v>
      </c>
      <c r="E969" s="9" t="str">
        <f>+HYPERLINK("http://trademark.i-assist.jp/data/china/image_1904th/79473194.pdf", "79473194")</f>
        <v>79473194</v>
      </c>
      <c r="F969" s="11" t="s">
        <v>2866</v>
      </c>
      <c r="G969" s="11" t="s">
        <v>2867</v>
      </c>
      <c r="H969" s="11" t="s">
        <v>2868</v>
      </c>
      <c r="I969" s="11" t="s">
        <v>2801</v>
      </c>
    </row>
    <row r="970" spans="1:9" x14ac:dyDescent="0.15">
      <c r="A970" s="10">
        <v>969</v>
      </c>
      <c r="B970" s="11" t="s">
        <v>9</v>
      </c>
      <c r="C970" s="11" t="s">
        <v>170</v>
      </c>
      <c r="D970" s="11" t="s">
        <v>171</v>
      </c>
      <c r="E970" s="9" t="str">
        <f>+HYPERLINK("http://trademark.i-assist.jp/data/china/image_1904th/79474129.pdf", "79474129")</f>
        <v>79474129</v>
      </c>
      <c r="F970" s="11" t="s">
        <v>2869</v>
      </c>
      <c r="G970" s="11" t="s">
        <v>2870</v>
      </c>
      <c r="H970" s="11" t="s">
        <v>2871</v>
      </c>
      <c r="I970" s="11" t="s">
        <v>2801</v>
      </c>
    </row>
    <row r="971" spans="1:9" x14ac:dyDescent="0.15">
      <c r="A971" s="10">
        <v>970</v>
      </c>
      <c r="B971" s="11" t="s">
        <v>9</v>
      </c>
      <c r="C971" s="11" t="s">
        <v>170</v>
      </c>
      <c r="D971" s="11" t="s">
        <v>171</v>
      </c>
      <c r="E971" s="9" t="str">
        <f>+HYPERLINK("http://trademark.i-assist.jp/data/china/image_1904th/79474133.pdf", "79474133")</f>
        <v>79474133</v>
      </c>
      <c r="F971" s="11" t="s">
        <v>12</v>
      </c>
      <c r="G971" s="11" t="s">
        <v>2803</v>
      </c>
      <c r="H971" s="11" t="s">
        <v>2872</v>
      </c>
      <c r="I971" s="11" t="s">
        <v>2801</v>
      </c>
    </row>
    <row r="972" spans="1:9" x14ac:dyDescent="0.15">
      <c r="A972" s="10">
        <v>971</v>
      </c>
      <c r="B972" s="11" t="s">
        <v>9</v>
      </c>
      <c r="C972" s="11" t="s">
        <v>170</v>
      </c>
      <c r="D972" s="11" t="s">
        <v>171</v>
      </c>
      <c r="E972" s="9" t="str">
        <f>+HYPERLINK("http://trademark.i-assist.jp/data/china/image_1904th/79474143.pdf", "79474143")</f>
        <v>79474143</v>
      </c>
      <c r="F972" s="11" t="s">
        <v>12</v>
      </c>
      <c r="G972" s="11" t="s">
        <v>2803</v>
      </c>
      <c r="H972" s="11" t="s">
        <v>2873</v>
      </c>
      <c r="I972" s="11" t="s">
        <v>2801</v>
      </c>
    </row>
    <row r="973" spans="1:9" x14ac:dyDescent="0.15">
      <c r="A973" s="10">
        <v>972</v>
      </c>
      <c r="B973" s="11" t="s">
        <v>9</v>
      </c>
      <c r="C973" s="11" t="s">
        <v>170</v>
      </c>
      <c r="D973" s="11" t="s">
        <v>171</v>
      </c>
      <c r="E973" s="9" t="str">
        <f>+HYPERLINK("http://trademark.i-assist.jp/data/china/image_1904th/79474224.pdf", "79474224")</f>
        <v>79474224</v>
      </c>
      <c r="F973" s="11" t="s">
        <v>2874</v>
      </c>
      <c r="G973" s="11" t="s">
        <v>2875</v>
      </c>
      <c r="H973" s="11" t="s">
        <v>2876</v>
      </c>
      <c r="I973" s="11" t="s">
        <v>2801</v>
      </c>
    </row>
    <row r="974" spans="1:9" x14ac:dyDescent="0.15">
      <c r="A974" s="10">
        <v>973</v>
      </c>
      <c r="B974" s="11" t="s">
        <v>9</v>
      </c>
      <c r="C974" s="11" t="s">
        <v>170</v>
      </c>
      <c r="D974" s="11" t="s">
        <v>171</v>
      </c>
      <c r="E974" s="9" t="str">
        <f>+HYPERLINK("http://trademark.i-assist.jp/data/china/image_1904th/79474986.pdf", "79474986")</f>
        <v>79474986</v>
      </c>
      <c r="F974" s="11" t="s">
        <v>2877</v>
      </c>
      <c r="G974" s="11" t="s">
        <v>2878</v>
      </c>
      <c r="H974" s="11" t="s">
        <v>2879</v>
      </c>
      <c r="I974" s="11" t="s">
        <v>2801</v>
      </c>
    </row>
    <row r="975" spans="1:9" x14ac:dyDescent="0.15">
      <c r="A975" s="10">
        <v>974</v>
      </c>
      <c r="B975" s="11" t="s">
        <v>9</v>
      </c>
      <c r="C975" s="11" t="s">
        <v>170</v>
      </c>
      <c r="D975" s="11" t="s">
        <v>171</v>
      </c>
      <c r="E975" s="9" t="str">
        <f>+HYPERLINK("http://trademark.i-assist.jp/data/china/image_1904th/79475676.pdf", "79475676")</f>
        <v>79475676</v>
      </c>
      <c r="F975" s="11" t="s">
        <v>2880</v>
      </c>
      <c r="G975" s="11" t="s">
        <v>2881</v>
      </c>
      <c r="H975" s="11" t="s">
        <v>2882</v>
      </c>
      <c r="I975" s="11" t="s">
        <v>2801</v>
      </c>
    </row>
    <row r="976" spans="1:9" x14ac:dyDescent="0.15">
      <c r="A976" s="10">
        <v>975</v>
      </c>
      <c r="B976" s="11" t="s">
        <v>9</v>
      </c>
      <c r="C976" s="11" t="s">
        <v>170</v>
      </c>
      <c r="D976" s="11" t="s">
        <v>171</v>
      </c>
      <c r="E976" s="9" t="str">
        <f>+HYPERLINK("http://trademark.i-assist.jp/data/china/image_1904th/79476095.pdf", "79476095")</f>
        <v>79476095</v>
      </c>
      <c r="F976" s="11" t="s">
        <v>2883</v>
      </c>
      <c r="G976" s="11" t="s">
        <v>2884</v>
      </c>
      <c r="H976" s="11" t="s">
        <v>2885</v>
      </c>
      <c r="I976" s="11" t="s">
        <v>2801</v>
      </c>
    </row>
    <row r="977" spans="1:9" x14ac:dyDescent="0.15">
      <c r="A977" s="10">
        <v>976</v>
      </c>
      <c r="B977" s="11" t="s">
        <v>9</v>
      </c>
      <c r="C977" s="11" t="s">
        <v>170</v>
      </c>
      <c r="D977" s="11" t="s">
        <v>171</v>
      </c>
      <c r="E977" s="9" t="str">
        <f>+HYPERLINK("http://trademark.i-assist.jp/data/china/image_1904th/79476259.pdf", "79476259")</f>
        <v>79476259</v>
      </c>
      <c r="F977" s="11" t="s">
        <v>12</v>
      </c>
      <c r="G977" s="11" t="s">
        <v>2886</v>
      </c>
      <c r="H977" s="11" t="s">
        <v>2887</v>
      </c>
      <c r="I977" s="11" t="s">
        <v>2801</v>
      </c>
    </row>
    <row r="978" spans="1:9" x14ac:dyDescent="0.15">
      <c r="A978" s="10">
        <v>977</v>
      </c>
      <c r="B978" s="11" t="s">
        <v>9</v>
      </c>
      <c r="C978" s="11" t="s">
        <v>170</v>
      </c>
      <c r="D978" s="11" t="s">
        <v>171</v>
      </c>
      <c r="E978" s="9" t="str">
        <f>+HYPERLINK("http://trademark.i-assist.jp/data/china/image_1904th/79476909.pdf", "79476909")</f>
        <v>79476909</v>
      </c>
      <c r="F978" s="11" t="s">
        <v>2888</v>
      </c>
      <c r="G978" s="11" t="s">
        <v>2889</v>
      </c>
      <c r="H978" s="11" t="s">
        <v>2890</v>
      </c>
      <c r="I978" s="11" t="s">
        <v>2801</v>
      </c>
    </row>
    <row r="979" spans="1:9" x14ac:dyDescent="0.15">
      <c r="A979" s="10">
        <v>978</v>
      </c>
      <c r="B979" s="11" t="s">
        <v>9</v>
      </c>
      <c r="C979" s="11" t="s">
        <v>170</v>
      </c>
      <c r="D979" s="11" t="s">
        <v>171</v>
      </c>
      <c r="E979" s="9" t="str">
        <f>+HYPERLINK("http://trademark.i-assist.jp/data/china/image_1904th/79477087.pdf", "79477087")</f>
        <v>79477087</v>
      </c>
      <c r="F979" s="11" t="s">
        <v>2891</v>
      </c>
      <c r="G979" s="11" t="s">
        <v>2892</v>
      </c>
      <c r="H979" s="11" t="s">
        <v>2893</v>
      </c>
      <c r="I979" s="11" t="s">
        <v>2801</v>
      </c>
    </row>
    <row r="980" spans="1:9" x14ac:dyDescent="0.15">
      <c r="A980" s="10">
        <v>979</v>
      </c>
      <c r="B980" s="11" t="s">
        <v>9</v>
      </c>
      <c r="C980" s="11" t="s">
        <v>170</v>
      </c>
      <c r="D980" s="11" t="s">
        <v>171</v>
      </c>
      <c r="E980" s="9" t="str">
        <f>+HYPERLINK("http://trademark.i-assist.jp/data/china/image_1904th/79477090.pdf", "79477090")</f>
        <v>79477090</v>
      </c>
      <c r="F980" s="11" t="s">
        <v>2894</v>
      </c>
      <c r="G980" s="11" t="s">
        <v>2895</v>
      </c>
      <c r="H980" s="11" t="s">
        <v>2896</v>
      </c>
      <c r="I980" s="11" t="s">
        <v>2801</v>
      </c>
    </row>
    <row r="981" spans="1:9" x14ac:dyDescent="0.15">
      <c r="A981" s="10">
        <v>980</v>
      </c>
      <c r="B981" s="11" t="s">
        <v>9</v>
      </c>
      <c r="C981" s="11" t="s">
        <v>170</v>
      </c>
      <c r="D981" s="11" t="s">
        <v>171</v>
      </c>
      <c r="E981" s="9" t="str">
        <f>+HYPERLINK("http://trademark.i-assist.jp/data/china/image_1904th/79477277.pdf", "79477277")</f>
        <v>79477277</v>
      </c>
      <c r="F981" s="11" t="s">
        <v>2897</v>
      </c>
      <c r="G981" s="11" t="s">
        <v>2898</v>
      </c>
      <c r="H981" s="11" t="s">
        <v>2899</v>
      </c>
      <c r="I981" s="11" t="s">
        <v>2801</v>
      </c>
    </row>
    <row r="982" spans="1:9" x14ac:dyDescent="0.15">
      <c r="A982" s="10">
        <v>981</v>
      </c>
      <c r="B982" s="11" t="s">
        <v>9</v>
      </c>
      <c r="C982" s="11" t="s">
        <v>170</v>
      </c>
      <c r="D982" s="11" t="s">
        <v>171</v>
      </c>
      <c r="E982" s="9" t="str">
        <f>+HYPERLINK("http://trademark.i-assist.jp/data/china/image_1904th/79477483.pdf", "79477483")</f>
        <v>79477483</v>
      </c>
      <c r="F982" s="11" t="s">
        <v>2900</v>
      </c>
      <c r="G982" s="11" t="s">
        <v>2901</v>
      </c>
      <c r="H982" s="11" t="s">
        <v>2902</v>
      </c>
      <c r="I982" s="11" t="s">
        <v>2801</v>
      </c>
    </row>
    <row r="983" spans="1:9" x14ac:dyDescent="0.15">
      <c r="A983" s="10">
        <v>982</v>
      </c>
      <c r="B983" s="11" t="s">
        <v>9</v>
      </c>
      <c r="C983" s="11" t="s">
        <v>170</v>
      </c>
      <c r="D983" s="11" t="s">
        <v>171</v>
      </c>
      <c r="E983" s="9" t="str">
        <f>+HYPERLINK("http://trademark.i-assist.jp/data/china/image_1904th/79478110.pdf", "79478110")</f>
        <v>79478110</v>
      </c>
      <c r="F983" s="11" t="s">
        <v>2903</v>
      </c>
      <c r="G983" s="11" t="s">
        <v>2904</v>
      </c>
      <c r="H983" s="11" t="s">
        <v>2905</v>
      </c>
      <c r="I983" s="11" t="s">
        <v>2801</v>
      </c>
    </row>
    <row r="984" spans="1:9" x14ac:dyDescent="0.15">
      <c r="A984" s="10">
        <v>983</v>
      </c>
      <c r="B984" s="11" t="s">
        <v>9</v>
      </c>
      <c r="C984" s="11" t="s">
        <v>170</v>
      </c>
      <c r="D984" s="11" t="s">
        <v>171</v>
      </c>
      <c r="E984" s="9" t="str">
        <f>+HYPERLINK("http://trademark.i-assist.jp/data/china/image_1904th/79478850.pdf", "79478850")</f>
        <v>79478850</v>
      </c>
      <c r="F984" s="11" t="s">
        <v>2906</v>
      </c>
      <c r="G984" s="11" t="s">
        <v>2907</v>
      </c>
      <c r="H984" s="11" t="s">
        <v>2908</v>
      </c>
      <c r="I984" s="11" t="s">
        <v>2801</v>
      </c>
    </row>
    <row r="985" spans="1:9" x14ac:dyDescent="0.15">
      <c r="A985" s="10">
        <v>984</v>
      </c>
      <c r="B985" s="11" t="s">
        <v>9</v>
      </c>
      <c r="C985" s="11" t="s">
        <v>170</v>
      </c>
      <c r="D985" s="11" t="s">
        <v>171</v>
      </c>
      <c r="E985" s="9" t="str">
        <f>+HYPERLINK("http://trademark.i-assist.jp/data/china/image_1904th/79478954.pdf", "79478954")</f>
        <v>79478954</v>
      </c>
      <c r="F985" s="11" t="s">
        <v>2909</v>
      </c>
      <c r="G985" s="11" t="s">
        <v>2910</v>
      </c>
      <c r="H985" s="11" t="s">
        <v>2911</v>
      </c>
      <c r="I985" s="11" t="s">
        <v>2801</v>
      </c>
    </row>
    <row r="986" spans="1:9" x14ac:dyDescent="0.15">
      <c r="A986" s="10">
        <v>985</v>
      </c>
      <c r="B986" s="11" t="s">
        <v>9</v>
      </c>
      <c r="C986" s="11" t="s">
        <v>170</v>
      </c>
      <c r="D986" s="11" t="s">
        <v>171</v>
      </c>
      <c r="E986" s="9" t="str">
        <f>+HYPERLINK("http://trademark.i-assist.jp/data/china/image_1904th/79478979.pdf", "79478979")</f>
        <v>79478979</v>
      </c>
      <c r="F986" s="11" t="s">
        <v>2912</v>
      </c>
      <c r="G986" s="11" t="s">
        <v>2913</v>
      </c>
      <c r="H986" s="11" t="s">
        <v>2914</v>
      </c>
      <c r="I986" s="11" t="s">
        <v>2801</v>
      </c>
    </row>
    <row r="987" spans="1:9" x14ac:dyDescent="0.15">
      <c r="A987" s="10">
        <v>986</v>
      </c>
      <c r="B987" s="11" t="s">
        <v>9</v>
      </c>
      <c r="C987" s="11" t="s">
        <v>170</v>
      </c>
      <c r="D987" s="11" t="s">
        <v>171</v>
      </c>
      <c r="E987" s="9" t="str">
        <f>+HYPERLINK("http://trademark.i-assist.jp/data/china/image_1904th/79479176.pdf", "79479176")</f>
        <v>79479176</v>
      </c>
      <c r="F987" s="11" t="s">
        <v>12</v>
      </c>
      <c r="G987" s="11" t="s">
        <v>2803</v>
      </c>
      <c r="H987" s="11" t="s">
        <v>2915</v>
      </c>
      <c r="I987" s="11" t="s">
        <v>2801</v>
      </c>
    </row>
    <row r="988" spans="1:9" x14ac:dyDescent="0.15">
      <c r="A988" s="10">
        <v>987</v>
      </c>
      <c r="B988" s="11" t="s">
        <v>9</v>
      </c>
      <c r="C988" s="11" t="s">
        <v>170</v>
      </c>
      <c r="D988" s="11" t="s">
        <v>171</v>
      </c>
      <c r="E988" s="9" t="str">
        <f>+HYPERLINK("http://trademark.i-assist.jp/data/china/image_1904th/79479930.pdf", "79479930")</f>
        <v>79479930</v>
      </c>
      <c r="F988" s="11" t="s">
        <v>2916</v>
      </c>
      <c r="G988" s="11" t="s">
        <v>2917</v>
      </c>
      <c r="H988" s="11" t="s">
        <v>2918</v>
      </c>
      <c r="I988" s="11" t="s">
        <v>2801</v>
      </c>
    </row>
    <row r="989" spans="1:9" x14ac:dyDescent="0.15">
      <c r="A989" s="10">
        <v>988</v>
      </c>
      <c r="B989" s="11" t="s">
        <v>9</v>
      </c>
      <c r="C989" s="11" t="s">
        <v>170</v>
      </c>
      <c r="D989" s="11" t="s">
        <v>171</v>
      </c>
      <c r="E989" s="9" t="str">
        <f>+HYPERLINK("http://trademark.i-assist.jp/data/china/image_1904th/79480044.pdf", "79480044")</f>
        <v>79480044</v>
      </c>
      <c r="F989" s="11" t="s">
        <v>2919</v>
      </c>
      <c r="G989" s="11" t="s">
        <v>2920</v>
      </c>
      <c r="H989" s="11" t="s">
        <v>2921</v>
      </c>
      <c r="I989" s="11" t="s">
        <v>2801</v>
      </c>
    </row>
    <row r="990" spans="1:9" x14ac:dyDescent="0.15">
      <c r="A990" s="10">
        <v>989</v>
      </c>
      <c r="B990" s="11" t="s">
        <v>9</v>
      </c>
      <c r="C990" s="11" t="s">
        <v>170</v>
      </c>
      <c r="D990" s="11" t="s">
        <v>171</v>
      </c>
      <c r="E990" s="9" t="str">
        <f>+HYPERLINK("http://trademark.i-assist.jp/data/china/image_1904th/79480329.pdf", "79480329")</f>
        <v>79480329</v>
      </c>
      <c r="F990" s="11" t="s">
        <v>2922</v>
      </c>
      <c r="G990" s="11" t="s">
        <v>2923</v>
      </c>
      <c r="H990" s="11" t="s">
        <v>2924</v>
      </c>
      <c r="I990" s="11" t="s">
        <v>2801</v>
      </c>
    </row>
    <row r="991" spans="1:9" x14ac:dyDescent="0.15">
      <c r="A991" s="10">
        <v>990</v>
      </c>
      <c r="B991" s="11" t="s">
        <v>9</v>
      </c>
      <c r="C991" s="11" t="s">
        <v>170</v>
      </c>
      <c r="D991" s="11" t="s">
        <v>171</v>
      </c>
      <c r="E991" s="9" t="str">
        <f>+HYPERLINK("http://trademark.i-assist.jp/data/china/image_1904th/79480506.pdf", "79480506")</f>
        <v>79480506</v>
      </c>
      <c r="F991" s="11" t="s">
        <v>2925</v>
      </c>
      <c r="G991" s="11" t="s">
        <v>2848</v>
      </c>
      <c r="H991" s="11" t="s">
        <v>2926</v>
      </c>
      <c r="I991" s="11" t="s">
        <v>2801</v>
      </c>
    </row>
    <row r="992" spans="1:9" x14ac:dyDescent="0.15">
      <c r="A992" s="10">
        <v>991</v>
      </c>
      <c r="B992" s="11" t="s">
        <v>9</v>
      </c>
      <c r="C992" s="11" t="s">
        <v>170</v>
      </c>
      <c r="D992" s="11" t="s">
        <v>171</v>
      </c>
      <c r="E992" s="9" t="str">
        <f>+HYPERLINK("http://trademark.i-assist.jp/data/china/image_1904th/79480970.pdf", "79480970")</f>
        <v>79480970</v>
      </c>
      <c r="F992" s="11" t="s">
        <v>2927</v>
      </c>
      <c r="G992" s="11" t="s">
        <v>2928</v>
      </c>
      <c r="H992" s="11" t="s">
        <v>2929</v>
      </c>
      <c r="I992" s="11" t="s">
        <v>2801</v>
      </c>
    </row>
    <row r="993" spans="1:9" x14ac:dyDescent="0.15">
      <c r="A993" s="10">
        <v>992</v>
      </c>
      <c r="B993" s="11" t="s">
        <v>9</v>
      </c>
      <c r="C993" s="11" t="s">
        <v>170</v>
      </c>
      <c r="D993" s="11" t="s">
        <v>171</v>
      </c>
      <c r="E993" s="9" t="str">
        <f>+HYPERLINK("http://trademark.i-assist.jp/data/china/image_1904th/79481113.pdf", "79481113")</f>
        <v>79481113</v>
      </c>
      <c r="F993" s="11" t="s">
        <v>2930</v>
      </c>
      <c r="G993" s="11" t="s">
        <v>2806</v>
      </c>
      <c r="H993" s="11" t="s">
        <v>2931</v>
      </c>
      <c r="I993" s="11" t="s">
        <v>2801</v>
      </c>
    </row>
    <row r="994" spans="1:9" x14ac:dyDescent="0.15">
      <c r="A994" s="10">
        <v>993</v>
      </c>
      <c r="B994" s="11" t="s">
        <v>9</v>
      </c>
      <c r="C994" s="11" t="s">
        <v>170</v>
      </c>
      <c r="D994" s="11" t="s">
        <v>171</v>
      </c>
      <c r="E994" s="9" t="str">
        <f>+HYPERLINK("http://trademark.i-assist.jp/data/china/image_1904th/79481535.pdf", "79481535")</f>
        <v>79481535</v>
      </c>
      <c r="F994" s="11" t="s">
        <v>2932</v>
      </c>
      <c r="G994" s="11" t="s">
        <v>29</v>
      </c>
      <c r="H994" s="11" t="s">
        <v>2933</v>
      </c>
      <c r="I994" s="11" t="s">
        <v>2801</v>
      </c>
    </row>
    <row r="995" spans="1:9" x14ac:dyDescent="0.15">
      <c r="A995" s="10">
        <v>994</v>
      </c>
      <c r="B995" s="11" t="s">
        <v>9</v>
      </c>
      <c r="C995" s="11" t="s">
        <v>170</v>
      </c>
      <c r="D995" s="11" t="s">
        <v>171</v>
      </c>
      <c r="E995" s="9" t="str">
        <f>+HYPERLINK("http://trademark.i-assist.jp/data/china/image_1904th/79482565.pdf", "79482565")</f>
        <v>79482565</v>
      </c>
      <c r="F995" s="11" t="s">
        <v>2934</v>
      </c>
      <c r="G995" s="11" t="s">
        <v>2913</v>
      </c>
      <c r="H995" s="11" t="s">
        <v>2935</v>
      </c>
      <c r="I995" s="11" t="s">
        <v>2801</v>
      </c>
    </row>
    <row r="996" spans="1:9" x14ac:dyDescent="0.15">
      <c r="A996" s="10">
        <v>995</v>
      </c>
      <c r="B996" s="11" t="s">
        <v>9</v>
      </c>
      <c r="C996" s="11" t="s">
        <v>170</v>
      </c>
      <c r="D996" s="11" t="s">
        <v>171</v>
      </c>
      <c r="E996" s="9" t="str">
        <f>+HYPERLINK("http://trademark.i-assist.jp/data/china/image_1904th/79482891.pdf", "79482891")</f>
        <v>79482891</v>
      </c>
      <c r="F996" s="11" t="s">
        <v>2936</v>
      </c>
      <c r="G996" s="11" t="s">
        <v>2937</v>
      </c>
      <c r="H996" s="11" t="s">
        <v>2938</v>
      </c>
      <c r="I996" s="11" t="s">
        <v>2801</v>
      </c>
    </row>
    <row r="997" spans="1:9" x14ac:dyDescent="0.15">
      <c r="A997" s="10">
        <v>996</v>
      </c>
      <c r="B997" s="11" t="s">
        <v>9</v>
      </c>
      <c r="C997" s="11" t="s">
        <v>170</v>
      </c>
      <c r="D997" s="11" t="s">
        <v>171</v>
      </c>
      <c r="E997" s="9" t="str">
        <f>+HYPERLINK("http://trademark.i-assist.jp/data/china/image_1904th/79483432.pdf", "79483432")</f>
        <v>79483432</v>
      </c>
      <c r="F997" s="11" t="s">
        <v>2939</v>
      </c>
      <c r="G997" s="11" t="s">
        <v>1596</v>
      </c>
      <c r="H997" s="11" t="s">
        <v>18</v>
      </c>
      <c r="I997" s="11" t="s">
        <v>2801</v>
      </c>
    </row>
    <row r="998" spans="1:9" x14ac:dyDescent="0.15">
      <c r="A998" s="10">
        <v>997</v>
      </c>
      <c r="B998" s="11" t="s">
        <v>9</v>
      </c>
      <c r="C998" s="11" t="s">
        <v>170</v>
      </c>
      <c r="D998" s="11" t="s">
        <v>171</v>
      </c>
      <c r="E998" s="9" t="str">
        <f>+HYPERLINK("http://trademark.i-assist.jp/data/china/image_1904th/79483551.pdf", "79483551")</f>
        <v>79483551</v>
      </c>
      <c r="F998" s="11" t="s">
        <v>2940</v>
      </c>
      <c r="G998" s="11" t="s">
        <v>2941</v>
      </c>
      <c r="H998" s="11" t="s">
        <v>2942</v>
      </c>
      <c r="I998" s="11" t="s">
        <v>2801</v>
      </c>
    </row>
    <row r="999" spans="1:9" x14ac:dyDescent="0.15">
      <c r="A999" s="10">
        <v>998</v>
      </c>
      <c r="B999" s="11" t="s">
        <v>9</v>
      </c>
      <c r="C999" s="11" t="s">
        <v>170</v>
      </c>
      <c r="D999" s="11" t="s">
        <v>171</v>
      </c>
      <c r="E999" s="9" t="str">
        <f>+HYPERLINK("http://trademark.i-assist.jp/data/china/image_1904th/79484123.pdf", "79484123")</f>
        <v>79484123</v>
      </c>
      <c r="F999" s="11" t="s">
        <v>2943</v>
      </c>
      <c r="G999" s="11" t="s">
        <v>2944</v>
      </c>
      <c r="H999" s="11" t="s">
        <v>2945</v>
      </c>
      <c r="I999" s="11" t="s">
        <v>2801</v>
      </c>
    </row>
    <row r="1000" spans="1:9" x14ac:dyDescent="0.15">
      <c r="A1000" s="10">
        <v>999</v>
      </c>
      <c r="B1000" s="11" t="s">
        <v>9</v>
      </c>
      <c r="C1000" s="11" t="s">
        <v>170</v>
      </c>
      <c r="D1000" s="11" t="s">
        <v>171</v>
      </c>
      <c r="E1000" s="9" t="str">
        <f>+HYPERLINK("http://trademark.i-assist.jp/data/china/image_1904th/79484286.pdf", "79484286")</f>
        <v>79484286</v>
      </c>
      <c r="F1000" s="11" t="s">
        <v>2946</v>
      </c>
      <c r="G1000" s="11" t="s">
        <v>2947</v>
      </c>
      <c r="H1000" s="11" t="s">
        <v>2948</v>
      </c>
      <c r="I1000" s="11" t="s">
        <v>2801</v>
      </c>
    </row>
    <row r="1001" spans="1:9" x14ac:dyDescent="0.15">
      <c r="A1001" s="10">
        <v>1000</v>
      </c>
      <c r="B1001" s="11" t="s">
        <v>9</v>
      </c>
      <c r="C1001" s="11" t="s">
        <v>170</v>
      </c>
      <c r="D1001" s="11" t="s">
        <v>171</v>
      </c>
      <c r="E1001" s="9" t="str">
        <f>+HYPERLINK("http://trademark.i-assist.jp/data/china/image_1904th/79484303.pdf", "79484303")</f>
        <v>79484303</v>
      </c>
      <c r="F1001" s="11" t="s">
        <v>2949</v>
      </c>
      <c r="G1001" s="11" t="s">
        <v>2950</v>
      </c>
      <c r="H1001" s="11" t="s">
        <v>2951</v>
      </c>
      <c r="I1001" s="11" t="s">
        <v>2801</v>
      </c>
    </row>
    <row r="1002" spans="1:9" x14ac:dyDescent="0.15">
      <c r="A1002" s="10">
        <v>1001</v>
      </c>
      <c r="B1002" s="11" t="s">
        <v>9</v>
      </c>
      <c r="C1002" s="11" t="s">
        <v>170</v>
      </c>
      <c r="D1002" s="11" t="s">
        <v>171</v>
      </c>
      <c r="E1002" s="9" t="str">
        <f>+HYPERLINK("http://trademark.i-assist.jp/data/china/image_1904th/79484377.pdf", "79484377")</f>
        <v>79484377</v>
      </c>
      <c r="F1002" s="11" t="s">
        <v>2952</v>
      </c>
      <c r="G1002" s="11" t="s">
        <v>2842</v>
      </c>
      <c r="H1002" s="11" t="s">
        <v>2953</v>
      </c>
      <c r="I1002" s="11" t="s">
        <v>2801</v>
      </c>
    </row>
    <row r="1003" spans="1:9" x14ac:dyDescent="0.15">
      <c r="A1003" s="10">
        <v>1002</v>
      </c>
      <c r="B1003" s="11" t="s">
        <v>9</v>
      </c>
      <c r="C1003" s="11" t="s">
        <v>170</v>
      </c>
      <c r="D1003" s="11" t="s">
        <v>171</v>
      </c>
      <c r="E1003" s="9" t="str">
        <f>+HYPERLINK("http://trademark.i-assist.jp/data/china/image_1904th/79484386.pdf", "79484386")</f>
        <v>79484386</v>
      </c>
      <c r="F1003" s="11" t="s">
        <v>2954</v>
      </c>
      <c r="G1003" s="11" t="s">
        <v>2734</v>
      </c>
      <c r="H1003" s="11" t="s">
        <v>2955</v>
      </c>
      <c r="I1003" s="11" t="s">
        <v>2801</v>
      </c>
    </row>
    <row r="1004" spans="1:9" x14ac:dyDescent="0.15">
      <c r="A1004" s="10">
        <v>1003</v>
      </c>
      <c r="B1004" s="11" t="s">
        <v>9</v>
      </c>
      <c r="C1004" s="11" t="s">
        <v>170</v>
      </c>
      <c r="D1004" s="11" t="s">
        <v>171</v>
      </c>
      <c r="E1004" s="9" t="str">
        <f>+HYPERLINK("http://trademark.i-assist.jp/data/china/image_1904th/79484464.pdf", "79484464")</f>
        <v>79484464</v>
      </c>
      <c r="F1004" s="11" t="s">
        <v>2956</v>
      </c>
      <c r="G1004" s="11" t="s">
        <v>2957</v>
      </c>
      <c r="H1004" s="11" t="s">
        <v>2958</v>
      </c>
      <c r="I1004" s="11" t="s">
        <v>2801</v>
      </c>
    </row>
    <row r="1005" spans="1:9" x14ac:dyDescent="0.15">
      <c r="A1005" s="10">
        <v>1004</v>
      </c>
      <c r="B1005" s="11" t="s">
        <v>9</v>
      </c>
      <c r="C1005" s="11" t="s">
        <v>170</v>
      </c>
      <c r="D1005" s="11" t="s">
        <v>171</v>
      </c>
      <c r="E1005" s="9" t="str">
        <f>+HYPERLINK("http://trademark.i-assist.jp/data/china/image_1904th/79485096.pdf", "79485096")</f>
        <v>79485096</v>
      </c>
      <c r="F1005" s="11" t="s">
        <v>2959</v>
      </c>
      <c r="G1005" s="11" t="s">
        <v>2960</v>
      </c>
      <c r="H1005" s="11" t="s">
        <v>2961</v>
      </c>
      <c r="I1005" s="11" t="s">
        <v>2801</v>
      </c>
    </row>
    <row r="1006" spans="1:9" x14ac:dyDescent="0.15">
      <c r="A1006" s="10">
        <v>1005</v>
      </c>
      <c r="B1006" s="11" t="s">
        <v>9</v>
      </c>
      <c r="C1006" s="11" t="s">
        <v>170</v>
      </c>
      <c r="D1006" s="11" t="s">
        <v>171</v>
      </c>
      <c r="E1006" s="9" t="str">
        <f>+HYPERLINK("http://trademark.i-assist.jp/data/china/image_1904th/79485305.pdf", "79485305")</f>
        <v>79485305</v>
      </c>
      <c r="F1006" s="11" t="s">
        <v>12</v>
      </c>
      <c r="G1006" s="11" t="s">
        <v>2962</v>
      </c>
      <c r="H1006" s="11" t="s">
        <v>2963</v>
      </c>
      <c r="I1006" s="11" t="s">
        <v>2801</v>
      </c>
    </row>
    <row r="1007" spans="1:9" x14ac:dyDescent="0.15">
      <c r="A1007" s="10">
        <v>1006</v>
      </c>
      <c r="B1007" s="11" t="s">
        <v>9</v>
      </c>
      <c r="C1007" s="11" t="s">
        <v>170</v>
      </c>
      <c r="D1007" s="11" t="s">
        <v>171</v>
      </c>
      <c r="E1007" s="9" t="str">
        <f>+HYPERLINK("http://trademark.i-assist.jp/data/china/image_1904th/79486205.pdf", "79486205")</f>
        <v>79486205</v>
      </c>
      <c r="F1007" s="11" t="s">
        <v>2964</v>
      </c>
      <c r="G1007" s="11" t="s">
        <v>2965</v>
      </c>
      <c r="H1007" s="11" t="s">
        <v>2966</v>
      </c>
      <c r="I1007" s="11" t="s">
        <v>2801</v>
      </c>
    </row>
    <row r="1008" spans="1:9" x14ac:dyDescent="0.15">
      <c r="A1008" s="10">
        <v>1007</v>
      </c>
      <c r="B1008" s="11" t="s">
        <v>9</v>
      </c>
      <c r="C1008" s="11" t="s">
        <v>170</v>
      </c>
      <c r="D1008" s="11" t="s">
        <v>171</v>
      </c>
      <c r="E1008" s="9" t="str">
        <f>+HYPERLINK("http://trademark.i-assist.jp/data/china/image_1904th/79486565.pdf", "79486565")</f>
        <v>79486565</v>
      </c>
      <c r="F1008" s="11" t="s">
        <v>2967</v>
      </c>
      <c r="G1008" s="11" t="s">
        <v>2913</v>
      </c>
      <c r="H1008" s="11" t="s">
        <v>2968</v>
      </c>
      <c r="I1008" s="11" t="s">
        <v>2801</v>
      </c>
    </row>
    <row r="1009" spans="1:9" x14ac:dyDescent="0.15">
      <c r="A1009" s="10">
        <v>1008</v>
      </c>
      <c r="B1009" s="11" t="s">
        <v>9</v>
      </c>
      <c r="C1009" s="11" t="s">
        <v>170</v>
      </c>
      <c r="D1009" s="11" t="s">
        <v>171</v>
      </c>
      <c r="E1009" s="9" t="str">
        <f>+HYPERLINK("http://trademark.i-assist.jp/data/china/image_1904th/79486683.pdf", "79486683")</f>
        <v>79486683</v>
      </c>
      <c r="F1009" s="11" t="s">
        <v>2969</v>
      </c>
      <c r="G1009" s="11" t="s">
        <v>2970</v>
      </c>
      <c r="H1009" s="11" t="s">
        <v>2971</v>
      </c>
      <c r="I1009" s="11" t="s">
        <v>2801</v>
      </c>
    </row>
    <row r="1010" spans="1:9" x14ac:dyDescent="0.15">
      <c r="A1010" s="10">
        <v>1009</v>
      </c>
      <c r="B1010" s="11" t="s">
        <v>9</v>
      </c>
      <c r="C1010" s="11" t="s">
        <v>170</v>
      </c>
      <c r="D1010" s="11" t="s">
        <v>171</v>
      </c>
      <c r="E1010" s="9" t="str">
        <f>+HYPERLINK("http://trademark.i-assist.jp/data/china/image_1904th/79486946.pdf", "79486946")</f>
        <v>79486946</v>
      </c>
      <c r="F1010" s="11" t="s">
        <v>2972</v>
      </c>
      <c r="G1010" s="11" t="s">
        <v>2973</v>
      </c>
      <c r="H1010" s="11" t="s">
        <v>2974</v>
      </c>
      <c r="I1010" s="11" t="s">
        <v>2801</v>
      </c>
    </row>
    <row r="1011" spans="1:9" x14ac:dyDescent="0.15">
      <c r="A1011" s="10">
        <v>1010</v>
      </c>
      <c r="B1011" s="11" t="s">
        <v>9</v>
      </c>
      <c r="C1011" s="11" t="s">
        <v>170</v>
      </c>
      <c r="D1011" s="11" t="s">
        <v>171</v>
      </c>
      <c r="E1011" s="9" t="str">
        <f>+HYPERLINK("http://trademark.i-assist.jp/data/china/image_1904th/79487401.pdf", "79487401")</f>
        <v>79487401</v>
      </c>
      <c r="F1011" s="11" t="s">
        <v>2975</v>
      </c>
      <c r="G1011" s="11" t="s">
        <v>2976</v>
      </c>
      <c r="H1011" s="11" t="s">
        <v>2977</v>
      </c>
      <c r="I1011" s="11" t="s">
        <v>2801</v>
      </c>
    </row>
    <row r="1012" spans="1:9" x14ac:dyDescent="0.15">
      <c r="A1012" s="10">
        <v>1011</v>
      </c>
      <c r="B1012" s="11" t="s">
        <v>9</v>
      </c>
      <c r="C1012" s="11" t="s">
        <v>170</v>
      </c>
      <c r="D1012" s="11" t="s">
        <v>171</v>
      </c>
      <c r="E1012" s="9" t="str">
        <f>+HYPERLINK("http://trademark.i-assist.jp/data/china/image_1904th/79488336.pdf", "79488336")</f>
        <v>79488336</v>
      </c>
      <c r="F1012" s="11" t="s">
        <v>2978</v>
      </c>
      <c r="G1012" s="11" t="s">
        <v>2979</v>
      </c>
      <c r="H1012" s="11" t="s">
        <v>2980</v>
      </c>
      <c r="I1012" s="11" t="s">
        <v>2981</v>
      </c>
    </row>
    <row r="1013" spans="1:9" x14ac:dyDescent="0.15">
      <c r="A1013" s="10">
        <v>1012</v>
      </c>
      <c r="B1013" s="11" t="s">
        <v>9</v>
      </c>
      <c r="C1013" s="11" t="s">
        <v>170</v>
      </c>
      <c r="D1013" s="11" t="s">
        <v>171</v>
      </c>
      <c r="E1013" s="9" t="str">
        <f>+HYPERLINK("http://trademark.i-assist.jp/data/china/image_1904th/79488342.pdf", "79488342")</f>
        <v>79488342</v>
      </c>
      <c r="F1013" s="11" t="s">
        <v>2982</v>
      </c>
      <c r="G1013" s="11" t="s">
        <v>2983</v>
      </c>
      <c r="H1013" s="11" t="s">
        <v>2984</v>
      </c>
      <c r="I1013" s="11" t="s">
        <v>2981</v>
      </c>
    </row>
    <row r="1014" spans="1:9" x14ac:dyDescent="0.15">
      <c r="A1014" s="10">
        <v>1013</v>
      </c>
      <c r="B1014" s="11" t="s">
        <v>9</v>
      </c>
      <c r="C1014" s="11" t="s">
        <v>170</v>
      </c>
      <c r="D1014" s="11" t="s">
        <v>171</v>
      </c>
      <c r="E1014" s="9" t="str">
        <f>+HYPERLINK("http://trademark.i-assist.jp/data/china/image_1904th/79488601.pdf", "79488601")</f>
        <v>79488601</v>
      </c>
      <c r="F1014" s="11" t="s">
        <v>2985</v>
      </c>
      <c r="G1014" s="11" t="s">
        <v>2986</v>
      </c>
      <c r="H1014" s="11" t="s">
        <v>2987</v>
      </c>
      <c r="I1014" s="11" t="s">
        <v>2981</v>
      </c>
    </row>
    <row r="1015" spans="1:9" x14ac:dyDescent="0.15">
      <c r="A1015" s="10">
        <v>1014</v>
      </c>
      <c r="B1015" s="11" t="s">
        <v>9</v>
      </c>
      <c r="C1015" s="11" t="s">
        <v>170</v>
      </c>
      <c r="D1015" s="11" t="s">
        <v>171</v>
      </c>
      <c r="E1015" s="9" t="str">
        <f>+HYPERLINK("http://trademark.i-assist.jp/data/china/image_1904th/79489148.pdf", "79489148")</f>
        <v>79489148</v>
      </c>
      <c r="F1015" s="11" t="s">
        <v>2988</v>
      </c>
      <c r="G1015" s="11" t="s">
        <v>2989</v>
      </c>
      <c r="H1015" s="11" t="s">
        <v>2990</v>
      </c>
      <c r="I1015" s="11" t="s">
        <v>2981</v>
      </c>
    </row>
    <row r="1016" spans="1:9" x14ac:dyDescent="0.15">
      <c r="A1016" s="10">
        <v>1015</v>
      </c>
      <c r="B1016" s="11" t="s">
        <v>9</v>
      </c>
      <c r="C1016" s="11" t="s">
        <v>170</v>
      </c>
      <c r="D1016" s="11" t="s">
        <v>171</v>
      </c>
      <c r="E1016" s="9" t="str">
        <f>+HYPERLINK("http://trademark.i-assist.jp/data/china/image_1904th/79489193.pdf", "79489193")</f>
        <v>79489193</v>
      </c>
      <c r="F1016" s="11" t="s">
        <v>2991</v>
      </c>
      <c r="G1016" s="11" t="s">
        <v>2992</v>
      </c>
      <c r="H1016" s="11" t="s">
        <v>2993</v>
      </c>
      <c r="I1016" s="11" t="s">
        <v>2981</v>
      </c>
    </row>
    <row r="1017" spans="1:9" x14ac:dyDescent="0.15">
      <c r="A1017" s="10">
        <v>1016</v>
      </c>
      <c r="B1017" s="11" t="s">
        <v>9</v>
      </c>
      <c r="C1017" s="11" t="s">
        <v>170</v>
      </c>
      <c r="D1017" s="11" t="s">
        <v>171</v>
      </c>
      <c r="E1017" s="9" t="str">
        <f>+HYPERLINK("http://trademark.i-assist.jp/data/china/image_1904th/79489315.pdf", "79489315")</f>
        <v>79489315</v>
      </c>
      <c r="F1017" s="11" t="s">
        <v>2994</v>
      </c>
      <c r="G1017" s="11" t="s">
        <v>2995</v>
      </c>
      <c r="H1017" s="11" t="s">
        <v>2996</v>
      </c>
      <c r="I1017" s="11" t="s">
        <v>2981</v>
      </c>
    </row>
    <row r="1018" spans="1:9" x14ac:dyDescent="0.15">
      <c r="A1018" s="10">
        <v>1017</v>
      </c>
      <c r="B1018" s="11" t="s">
        <v>9</v>
      </c>
      <c r="C1018" s="11" t="s">
        <v>170</v>
      </c>
      <c r="D1018" s="11" t="s">
        <v>171</v>
      </c>
      <c r="E1018" s="9" t="str">
        <f>+HYPERLINK("http://trademark.i-assist.jp/data/china/image_1904th/79489374.pdf", "79489374")</f>
        <v>79489374</v>
      </c>
      <c r="F1018" s="11" t="s">
        <v>2997</v>
      </c>
      <c r="G1018" s="11" t="s">
        <v>2998</v>
      </c>
      <c r="H1018" s="11" t="s">
        <v>2999</v>
      </c>
      <c r="I1018" s="11" t="s">
        <v>2981</v>
      </c>
    </row>
    <row r="1019" spans="1:9" x14ac:dyDescent="0.15">
      <c r="A1019" s="10">
        <v>1018</v>
      </c>
      <c r="B1019" s="11" t="s">
        <v>9</v>
      </c>
      <c r="C1019" s="11" t="s">
        <v>170</v>
      </c>
      <c r="D1019" s="11" t="s">
        <v>171</v>
      </c>
      <c r="E1019" s="9" t="str">
        <f>+HYPERLINK("http://trademark.i-assist.jp/data/china/image_1904th/79489392.pdf", "79489392")</f>
        <v>79489392</v>
      </c>
      <c r="F1019" s="11" t="s">
        <v>3000</v>
      </c>
      <c r="G1019" s="11" t="s">
        <v>2998</v>
      </c>
      <c r="H1019" s="11" t="s">
        <v>3001</v>
      </c>
      <c r="I1019" s="11" t="s">
        <v>2981</v>
      </c>
    </row>
    <row r="1020" spans="1:9" x14ac:dyDescent="0.15">
      <c r="A1020" s="10">
        <v>1019</v>
      </c>
      <c r="B1020" s="11" t="s">
        <v>9</v>
      </c>
      <c r="C1020" s="11" t="s">
        <v>170</v>
      </c>
      <c r="D1020" s="11" t="s">
        <v>171</v>
      </c>
      <c r="E1020" s="9" t="str">
        <f>+HYPERLINK("http://trademark.i-assist.jp/data/china/image_1904th/79489822.pdf", "79489822")</f>
        <v>79489822</v>
      </c>
      <c r="F1020" s="11" t="s">
        <v>3002</v>
      </c>
      <c r="G1020" s="11" t="s">
        <v>3003</v>
      </c>
      <c r="H1020" s="11" t="s">
        <v>3004</v>
      </c>
      <c r="I1020" s="11" t="s">
        <v>2981</v>
      </c>
    </row>
    <row r="1021" spans="1:9" x14ac:dyDescent="0.15">
      <c r="A1021" s="10">
        <v>1020</v>
      </c>
      <c r="B1021" s="11" t="s">
        <v>9</v>
      </c>
      <c r="C1021" s="11" t="s">
        <v>170</v>
      </c>
      <c r="D1021" s="11" t="s">
        <v>171</v>
      </c>
      <c r="E1021" s="9" t="str">
        <f>+HYPERLINK("http://trademark.i-assist.jp/data/china/image_1904th/79489893.pdf", "79489893")</f>
        <v>79489893</v>
      </c>
      <c r="F1021" s="11" t="s">
        <v>3005</v>
      </c>
      <c r="G1021" s="11" t="s">
        <v>3006</v>
      </c>
      <c r="H1021" s="11" t="s">
        <v>3007</v>
      </c>
      <c r="I1021" s="11" t="s">
        <v>2981</v>
      </c>
    </row>
    <row r="1022" spans="1:9" x14ac:dyDescent="0.15">
      <c r="A1022" s="10">
        <v>1021</v>
      </c>
      <c r="B1022" s="11" t="s">
        <v>9</v>
      </c>
      <c r="C1022" s="11" t="s">
        <v>170</v>
      </c>
      <c r="D1022" s="11" t="s">
        <v>171</v>
      </c>
      <c r="E1022" s="9" t="str">
        <f>+HYPERLINK("http://trademark.i-assist.jp/data/china/image_1904th/79490197.pdf", "79490197")</f>
        <v>79490197</v>
      </c>
      <c r="F1022" s="11" t="s">
        <v>3008</v>
      </c>
      <c r="G1022" s="11" t="s">
        <v>3009</v>
      </c>
      <c r="H1022" s="11" t="s">
        <v>3010</v>
      </c>
      <c r="I1022" s="11" t="s">
        <v>2981</v>
      </c>
    </row>
    <row r="1023" spans="1:9" x14ac:dyDescent="0.15">
      <c r="A1023" s="10">
        <v>1022</v>
      </c>
      <c r="B1023" s="11" t="s">
        <v>9</v>
      </c>
      <c r="C1023" s="11" t="s">
        <v>170</v>
      </c>
      <c r="D1023" s="11" t="s">
        <v>171</v>
      </c>
      <c r="E1023" s="9" t="str">
        <f>+HYPERLINK("http://trademark.i-assist.jp/data/china/image_1904th/79490545.pdf", "79490545")</f>
        <v>79490545</v>
      </c>
      <c r="F1023" s="11" t="s">
        <v>3011</v>
      </c>
      <c r="G1023" s="11" t="s">
        <v>3012</v>
      </c>
      <c r="H1023" s="11" t="s">
        <v>3013</v>
      </c>
      <c r="I1023" s="11" t="s">
        <v>2981</v>
      </c>
    </row>
    <row r="1024" spans="1:9" x14ac:dyDescent="0.15">
      <c r="A1024" s="10">
        <v>1023</v>
      </c>
      <c r="B1024" s="11" t="s">
        <v>9</v>
      </c>
      <c r="C1024" s="11" t="s">
        <v>170</v>
      </c>
      <c r="D1024" s="11" t="s">
        <v>171</v>
      </c>
      <c r="E1024" s="9" t="str">
        <f>+HYPERLINK("http://trademark.i-assist.jp/data/china/image_1904th/79490898.pdf", "79490898")</f>
        <v>79490898</v>
      </c>
      <c r="F1024" s="11" t="s">
        <v>3014</v>
      </c>
      <c r="G1024" s="11" t="s">
        <v>3015</v>
      </c>
      <c r="H1024" s="11" t="s">
        <v>3016</v>
      </c>
      <c r="I1024" s="11" t="s">
        <v>2981</v>
      </c>
    </row>
    <row r="1025" spans="1:9" x14ac:dyDescent="0.15">
      <c r="A1025" s="10">
        <v>1024</v>
      </c>
      <c r="B1025" s="11" t="s">
        <v>9</v>
      </c>
      <c r="C1025" s="11" t="s">
        <v>170</v>
      </c>
      <c r="D1025" s="11" t="s">
        <v>171</v>
      </c>
      <c r="E1025" s="9" t="str">
        <f>+HYPERLINK("http://trademark.i-assist.jp/data/china/image_1904th/79491749.pdf", "79491749")</f>
        <v>79491749</v>
      </c>
      <c r="F1025" s="11" t="s">
        <v>3017</v>
      </c>
      <c r="G1025" s="11" t="s">
        <v>3018</v>
      </c>
      <c r="H1025" s="11" t="s">
        <v>3019</v>
      </c>
      <c r="I1025" s="11" t="s">
        <v>2981</v>
      </c>
    </row>
    <row r="1026" spans="1:9" x14ac:dyDescent="0.15">
      <c r="A1026" s="10">
        <v>1025</v>
      </c>
      <c r="B1026" s="11" t="s">
        <v>9</v>
      </c>
      <c r="C1026" s="11" t="s">
        <v>170</v>
      </c>
      <c r="D1026" s="11" t="s">
        <v>171</v>
      </c>
      <c r="E1026" s="9" t="str">
        <f>+HYPERLINK("http://trademark.i-assist.jp/data/china/image_1904th/79491985.pdf", "79491985")</f>
        <v>79491985</v>
      </c>
      <c r="F1026" s="11" t="s">
        <v>3020</v>
      </c>
      <c r="G1026" s="11" t="s">
        <v>3009</v>
      </c>
      <c r="H1026" s="11" t="s">
        <v>3021</v>
      </c>
      <c r="I1026" s="11" t="s">
        <v>2981</v>
      </c>
    </row>
    <row r="1027" spans="1:9" x14ac:dyDescent="0.15">
      <c r="A1027" s="10">
        <v>1026</v>
      </c>
      <c r="B1027" s="11" t="s">
        <v>9</v>
      </c>
      <c r="C1027" s="11" t="s">
        <v>170</v>
      </c>
      <c r="D1027" s="11" t="s">
        <v>171</v>
      </c>
      <c r="E1027" s="9" t="str">
        <f>+HYPERLINK("http://trademark.i-assist.jp/data/china/image_1904th/79492207.pdf", "79492207")</f>
        <v>79492207</v>
      </c>
      <c r="F1027" s="11" t="s">
        <v>3022</v>
      </c>
      <c r="G1027" s="11" t="s">
        <v>3023</v>
      </c>
      <c r="H1027" s="11" t="s">
        <v>3024</v>
      </c>
      <c r="I1027" s="11" t="s">
        <v>2981</v>
      </c>
    </row>
    <row r="1028" spans="1:9" x14ac:dyDescent="0.15">
      <c r="A1028" s="10">
        <v>1027</v>
      </c>
      <c r="B1028" s="11" t="s">
        <v>9</v>
      </c>
      <c r="C1028" s="11" t="s">
        <v>170</v>
      </c>
      <c r="D1028" s="11" t="s">
        <v>171</v>
      </c>
      <c r="E1028" s="9" t="str">
        <f>+HYPERLINK("http://trademark.i-assist.jp/data/china/image_1904th/79492430.pdf", "79492430")</f>
        <v>79492430</v>
      </c>
      <c r="F1028" s="11" t="s">
        <v>12</v>
      </c>
      <c r="G1028" s="11" t="s">
        <v>3025</v>
      </c>
      <c r="H1028" s="11" t="s">
        <v>17</v>
      </c>
      <c r="I1028" s="11" t="s">
        <v>2981</v>
      </c>
    </row>
    <row r="1029" spans="1:9" x14ac:dyDescent="0.15">
      <c r="A1029" s="10">
        <v>1028</v>
      </c>
      <c r="B1029" s="11" t="s">
        <v>9</v>
      </c>
      <c r="C1029" s="11" t="s">
        <v>170</v>
      </c>
      <c r="D1029" s="11" t="s">
        <v>171</v>
      </c>
      <c r="E1029" s="9" t="str">
        <f>+HYPERLINK("http://trademark.i-assist.jp/data/china/image_1904th/79492580.pdf", "79492580")</f>
        <v>79492580</v>
      </c>
      <c r="F1029" s="11" t="s">
        <v>3026</v>
      </c>
      <c r="G1029" s="11" t="s">
        <v>3027</v>
      </c>
      <c r="H1029" s="11" t="s">
        <v>3028</v>
      </c>
      <c r="I1029" s="11" t="s">
        <v>2981</v>
      </c>
    </row>
    <row r="1030" spans="1:9" x14ac:dyDescent="0.15">
      <c r="A1030" s="10">
        <v>1029</v>
      </c>
      <c r="B1030" s="11" t="s">
        <v>9</v>
      </c>
      <c r="C1030" s="11" t="s">
        <v>170</v>
      </c>
      <c r="D1030" s="11" t="s">
        <v>171</v>
      </c>
      <c r="E1030" s="9" t="str">
        <f>+HYPERLINK("http://trademark.i-assist.jp/data/china/image_1904th/79492666.pdf", "79492666")</f>
        <v>79492666</v>
      </c>
      <c r="F1030" s="11" t="s">
        <v>3029</v>
      </c>
      <c r="G1030" s="11" t="s">
        <v>2998</v>
      </c>
      <c r="H1030" s="11" t="s">
        <v>3030</v>
      </c>
      <c r="I1030" s="11" t="s">
        <v>2981</v>
      </c>
    </row>
    <row r="1031" spans="1:9" x14ac:dyDescent="0.15">
      <c r="A1031" s="10">
        <v>1030</v>
      </c>
      <c r="B1031" s="11" t="s">
        <v>9</v>
      </c>
      <c r="C1031" s="11" t="s">
        <v>170</v>
      </c>
      <c r="D1031" s="11" t="s">
        <v>171</v>
      </c>
      <c r="E1031" s="9" t="str">
        <f>+HYPERLINK("http://trademark.i-assist.jp/data/china/image_1904th/79492771.pdf", "79492771")</f>
        <v>79492771</v>
      </c>
      <c r="F1031" s="11" t="s">
        <v>3031</v>
      </c>
      <c r="G1031" s="11" t="s">
        <v>3032</v>
      </c>
      <c r="H1031" s="11" t="s">
        <v>3033</v>
      </c>
      <c r="I1031" s="11" t="s">
        <v>2981</v>
      </c>
    </row>
    <row r="1032" spans="1:9" x14ac:dyDescent="0.15">
      <c r="A1032" s="10">
        <v>1031</v>
      </c>
      <c r="B1032" s="11" t="s">
        <v>9</v>
      </c>
      <c r="C1032" s="11" t="s">
        <v>170</v>
      </c>
      <c r="D1032" s="11" t="s">
        <v>171</v>
      </c>
      <c r="E1032" s="9" t="str">
        <f>+HYPERLINK("http://trademark.i-assist.jp/data/china/image_1904th/79492981.pdf", "79492981")</f>
        <v>79492981</v>
      </c>
      <c r="F1032" s="11" t="s">
        <v>3034</v>
      </c>
      <c r="G1032" s="11" t="s">
        <v>3035</v>
      </c>
      <c r="H1032" s="11" t="s">
        <v>3036</v>
      </c>
      <c r="I1032" s="11" t="s">
        <v>2981</v>
      </c>
    </row>
    <row r="1033" spans="1:9" x14ac:dyDescent="0.15">
      <c r="A1033" s="10">
        <v>1032</v>
      </c>
      <c r="B1033" s="11" t="s">
        <v>9</v>
      </c>
      <c r="C1033" s="11" t="s">
        <v>170</v>
      </c>
      <c r="D1033" s="11" t="s">
        <v>171</v>
      </c>
      <c r="E1033" s="9" t="str">
        <f>+HYPERLINK("http://trademark.i-assist.jp/data/china/image_1904th/79493173.pdf", "79493173")</f>
        <v>79493173</v>
      </c>
      <c r="F1033" s="11" t="s">
        <v>3037</v>
      </c>
      <c r="G1033" s="11" t="s">
        <v>3009</v>
      </c>
      <c r="H1033" s="11" t="s">
        <v>3038</v>
      </c>
      <c r="I1033" s="11" t="s">
        <v>2981</v>
      </c>
    </row>
    <row r="1034" spans="1:9" x14ac:dyDescent="0.15">
      <c r="A1034" s="10">
        <v>1033</v>
      </c>
      <c r="B1034" s="11" t="s">
        <v>9</v>
      </c>
      <c r="C1034" s="11" t="s">
        <v>170</v>
      </c>
      <c r="D1034" s="11" t="s">
        <v>171</v>
      </c>
      <c r="E1034" s="9" t="str">
        <f>+HYPERLINK("http://trademark.i-assist.jp/data/china/image_1904th/79493390.pdf", "79493390")</f>
        <v>79493390</v>
      </c>
      <c r="F1034" s="11" t="s">
        <v>3039</v>
      </c>
      <c r="G1034" s="11" t="s">
        <v>3040</v>
      </c>
      <c r="H1034" s="11" t="s">
        <v>3041</v>
      </c>
      <c r="I1034" s="11" t="s">
        <v>2981</v>
      </c>
    </row>
    <row r="1035" spans="1:9" x14ac:dyDescent="0.15">
      <c r="A1035" s="10">
        <v>1034</v>
      </c>
      <c r="B1035" s="11" t="s">
        <v>9</v>
      </c>
      <c r="C1035" s="11" t="s">
        <v>170</v>
      </c>
      <c r="D1035" s="11" t="s">
        <v>171</v>
      </c>
      <c r="E1035" s="9" t="str">
        <f>+HYPERLINK("http://trademark.i-assist.jp/data/china/image_1904th/79493475.pdf", "79493475")</f>
        <v>79493475</v>
      </c>
      <c r="F1035" s="11" t="s">
        <v>3042</v>
      </c>
      <c r="G1035" s="11" t="s">
        <v>3043</v>
      </c>
      <c r="H1035" s="11" t="s">
        <v>3044</v>
      </c>
      <c r="I1035" s="11" t="s">
        <v>2981</v>
      </c>
    </row>
    <row r="1036" spans="1:9" x14ac:dyDescent="0.15">
      <c r="A1036" s="10">
        <v>1035</v>
      </c>
      <c r="B1036" s="11" t="s">
        <v>9</v>
      </c>
      <c r="C1036" s="11" t="s">
        <v>170</v>
      </c>
      <c r="D1036" s="11" t="s">
        <v>171</v>
      </c>
      <c r="E1036" s="9" t="str">
        <f>+HYPERLINK("http://trademark.i-assist.jp/data/china/image_1904th/79493893.pdf", "79493893")</f>
        <v>79493893</v>
      </c>
      <c r="F1036" s="11" t="s">
        <v>3045</v>
      </c>
      <c r="G1036" s="11" t="s">
        <v>3046</v>
      </c>
      <c r="H1036" s="11" t="s">
        <v>3047</v>
      </c>
      <c r="I1036" s="11" t="s">
        <v>2981</v>
      </c>
    </row>
    <row r="1037" spans="1:9" x14ac:dyDescent="0.15">
      <c r="A1037" s="10">
        <v>1036</v>
      </c>
      <c r="B1037" s="11" t="s">
        <v>9</v>
      </c>
      <c r="C1037" s="11" t="s">
        <v>170</v>
      </c>
      <c r="D1037" s="11" t="s">
        <v>171</v>
      </c>
      <c r="E1037" s="9" t="str">
        <f>+HYPERLINK("http://trademark.i-assist.jp/data/china/image_1904th/79494186.pdf", "79494186")</f>
        <v>79494186</v>
      </c>
      <c r="F1037" s="11" t="s">
        <v>3048</v>
      </c>
      <c r="G1037" s="11" t="s">
        <v>3049</v>
      </c>
      <c r="H1037" s="11" t="s">
        <v>3050</v>
      </c>
      <c r="I1037" s="11" t="s">
        <v>2981</v>
      </c>
    </row>
    <row r="1038" spans="1:9" x14ac:dyDescent="0.15">
      <c r="A1038" s="10">
        <v>1037</v>
      </c>
      <c r="B1038" s="11" t="s">
        <v>9</v>
      </c>
      <c r="C1038" s="11" t="s">
        <v>170</v>
      </c>
      <c r="D1038" s="11" t="s">
        <v>171</v>
      </c>
      <c r="E1038" s="9" t="str">
        <f>+HYPERLINK("http://trademark.i-assist.jp/data/china/image_1904th/79494548.pdf", "79494548")</f>
        <v>79494548</v>
      </c>
      <c r="F1038" s="11" t="s">
        <v>3051</v>
      </c>
      <c r="G1038" s="11" t="s">
        <v>3052</v>
      </c>
      <c r="H1038" s="11" t="s">
        <v>3053</v>
      </c>
      <c r="I1038" s="11" t="s">
        <v>2981</v>
      </c>
    </row>
    <row r="1039" spans="1:9" x14ac:dyDescent="0.15">
      <c r="A1039" s="10">
        <v>1038</v>
      </c>
      <c r="B1039" s="11" t="s">
        <v>9</v>
      </c>
      <c r="C1039" s="11" t="s">
        <v>170</v>
      </c>
      <c r="D1039" s="11" t="s">
        <v>171</v>
      </c>
      <c r="E1039" s="9" t="str">
        <f>+HYPERLINK("http://trademark.i-assist.jp/data/china/image_1904th/79494977.pdf", "79494977")</f>
        <v>79494977</v>
      </c>
      <c r="F1039" s="11" t="s">
        <v>3054</v>
      </c>
      <c r="G1039" s="11" t="s">
        <v>3055</v>
      </c>
      <c r="H1039" s="11" t="s">
        <v>3056</v>
      </c>
      <c r="I1039" s="11" t="s">
        <v>2981</v>
      </c>
    </row>
    <row r="1040" spans="1:9" x14ac:dyDescent="0.15">
      <c r="A1040" s="10">
        <v>1039</v>
      </c>
      <c r="B1040" s="11" t="s">
        <v>9</v>
      </c>
      <c r="C1040" s="11" t="s">
        <v>170</v>
      </c>
      <c r="D1040" s="11" t="s">
        <v>171</v>
      </c>
      <c r="E1040" s="9" t="str">
        <f>+HYPERLINK("http://trademark.i-assist.jp/data/china/image_1904th/79495207.pdf", "79495207")</f>
        <v>79495207</v>
      </c>
      <c r="F1040" s="11" t="s">
        <v>3057</v>
      </c>
      <c r="G1040" s="11" t="s">
        <v>3058</v>
      </c>
      <c r="H1040" s="11" t="s">
        <v>3059</v>
      </c>
      <c r="I1040" s="11" t="s">
        <v>2981</v>
      </c>
    </row>
    <row r="1041" spans="1:9" x14ac:dyDescent="0.15">
      <c r="A1041" s="10">
        <v>1040</v>
      </c>
      <c r="B1041" s="11" t="s">
        <v>9</v>
      </c>
      <c r="C1041" s="11" t="s">
        <v>170</v>
      </c>
      <c r="D1041" s="11" t="s">
        <v>171</v>
      </c>
      <c r="E1041" s="9" t="str">
        <f>+HYPERLINK("http://trademark.i-assist.jp/data/china/image_1904th/79495436.pdf", "79495436")</f>
        <v>79495436</v>
      </c>
      <c r="F1041" s="11" t="s">
        <v>3060</v>
      </c>
      <c r="G1041" s="11" t="s">
        <v>3061</v>
      </c>
      <c r="H1041" s="11" t="s">
        <v>3062</v>
      </c>
      <c r="I1041" s="11" t="s">
        <v>2981</v>
      </c>
    </row>
    <row r="1042" spans="1:9" x14ac:dyDescent="0.15">
      <c r="A1042" s="10">
        <v>1041</v>
      </c>
      <c r="B1042" s="11" t="s">
        <v>9</v>
      </c>
      <c r="C1042" s="11" t="s">
        <v>170</v>
      </c>
      <c r="D1042" s="11" t="s">
        <v>171</v>
      </c>
      <c r="E1042" s="9" t="str">
        <f>+HYPERLINK("http://trademark.i-assist.jp/data/china/image_1904th/79495550.pdf", "79495550")</f>
        <v>79495550</v>
      </c>
      <c r="F1042" s="11" t="s">
        <v>3063</v>
      </c>
      <c r="G1042" s="11" t="s">
        <v>3064</v>
      </c>
      <c r="H1042" s="11" t="s">
        <v>3065</v>
      </c>
      <c r="I1042" s="11" t="s">
        <v>2981</v>
      </c>
    </row>
    <row r="1043" spans="1:9" x14ac:dyDescent="0.15">
      <c r="A1043" s="10">
        <v>1042</v>
      </c>
      <c r="B1043" s="11" t="s">
        <v>9</v>
      </c>
      <c r="C1043" s="11" t="s">
        <v>170</v>
      </c>
      <c r="D1043" s="11" t="s">
        <v>171</v>
      </c>
      <c r="E1043" s="9" t="str">
        <f>+HYPERLINK("http://trademark.i-assist.jp/data/china/image_1904th/79495906.pdf", "79495906")</f>
        <v>79495906</v>
      </c>
      <c r="F1043" s="11" t="s">
        <v>3066</v>
      </c>
      <c r="G1043" s="11" t="s">
        <v>1646</v>
      </c>
      <c r="H1043" s="11" t="s">
        <v>3067</v>
      </c>
      <c r="I1043" s="11" t="s">
        <v>2981</v>
      </c>
    </row>
    <row r="1044" spans="1:9" x14ac:dyDescent="0.15">
      <c r="A1044" s="10">
        <v>1043</v>
      </c>
      <c r="B1044" s="11" t="s">
        <v>9</v>
      </c>
      <c r="C1044" s="11" t="s">
        <v>170</v>
      </c>
      <c r="D1044" s="11" t="s">
        <v>171</v>
      </c>
      <c r="E1044" s="9" t="str">
        <f>+HYPERLINK("http://trademark.i-assist.jp/data/china/image_1904th/79496031.pdf", "79496031")</f>
        <v>79496031</v>
      </c>
      <c r="F1044" s="11" t="s">
        <v>3068</v>
      </c>
      <c r="G1044" s="11" t="s">
        <v>3069</v>
      </c>
      <c r="H1044" s="11" t="s">
        <v>3070</v>
      </c>
      <c r="I1044" s="11" t="s">
        <v>2981</v>
      </c>
    </row>
    <row r="1045" spans="1:9" x14ac:dyDescent="0.15">
      <c r="A1045" s="10">
        <v>1044</v>
      </c>
      <c r="B1045" s="11" t="s">
        <v>9</v>
      </c>
      <c r="C1045" s="11" t="s">
        <v>170</v>
      </c>
      <c r="D1045" s="11" t="s">
        <v>171</v>
      </c>
      <c r="E1045" s="9" t="str">
        <f>+HYPERLINK("http://trademark.i-assist.jp/data/china/image_1904th/79496223.pdf", "79496223")</f>
        <v>79496223</v>
      </c>
      <c r="F1045" s="11" t="s">
        <v>3071</v>
      </c>
      <c r="G1045" s="11" t="s">
        <v>3072</v>
      </c>
      <c r="H1045" s="11" t="s">
        <v>3070</v>
      </c>
      <c r="I1045" s="11" t="s">
        <v>2981</v>
      </c>
    </row>
    <row r="1046" spans="1:9" x14ac:dyDescent="0.15">
      <c r="A1046" s="10">
        <v>1045</v>
      </c>
      <c r="B1046" s="11" t="s">
        <v>9</v>
      </c>
      <c r="C1046" s="11" t="s">
        <v>170</v>
      </c>
      <c r="D1046" s="11" t="s">
        <v>171</v>
      </c>
      <c r="E1046" s="9" t="str">
        <f>+HYPERLINK("http://trademark.i-assist.jp/data/china/image_1904th/79496543.pdf", "79496543")</f>
        <v>79496543</v>
      </c>
      <c r="F1046" s="11" t="s">
        <v>3073</v>
      </c>
      <c r="G1046" s="11" t="s">
        <v>2998</v>
      </c>
      <c r="H1046" s="11" t="s">
        <v>3074</v>
      </c>
      <c r="I1046" s="11" t="s">
        <v>2981</v>
      </c>
    </row>
    <row r="1047" spans="1:9" x14ac:dyDescent="0.15">
      <c r="A1047" s="10">
        <v>1046</v>
      </c>
      <c r="B1047" s="11" t="s">
        <v>9</v>
      </c>
      <c r="C1047" s="11" t="s">
        <v>170</v>
      </c>
      <c r="D1047" s="11" t="s">
        <v>171</v>
      </c>
      <c r="E1047" s="9" t="str">
        <f>+HYPERLINK("http://trademark.i-assist.jp/data/china/image_1904th/79496581.pdf", "79496581")</f>
        <v>79496581</v>
      </c>
      <c r="F1047" s="11" t="s">
        <v>3075</v>
      </c>
      <c r="G1047" s="11" t="s">
        <v>3076</v>
      </c>
      <c r="H1047" s="11" t="s">
        <v>3077</v>
      </c>
      <c r="I1047" s="11" t="s">
        <v>2981</v>
      </c>
    </row>
    <row r="1048" spans="1:9" x14ac:dyDescent="0.15">
      <c r="A1048" s="10">
        <v>1047</v>
      </c>
      <c r="B1048" s="11" t="s">
        <v>9</v>
      </c>
      <c r="C1048" s="11" t="s">
        <v>170</v>
      </c>
      <c r="D1048" s="11" t="s">
        <v>171</v>
      </c>
      <c r="E1048" s="9" t="str">
        <f>+HYPERLINK("http://trademark.i-assist.jp/data/china/image_1904th/79496652.pdf", "79496652")</f>
        <v>79496652</v>
      </c>
      <c r="F1048" s="11" t="s">
        <v>3078</v>
      </c>
      <c r="G1048" s="11" t="s">
        <v>2992</v>
      </c>
      <c r="H1048" s="11" t="s">
        <v>3079</v>
      </c>
      <c r="I1048" s="11" t="s">
        <v>2981</v>
      </c>
    </row>
    <row r="1049" spans="1:9" x14ac:dyDescent="0.15">
      <c r="A1049" s="10">
        <v>1048</v>
      </c>
      <c r="B1049" s="11" t="s">
        <v>9</v>
      </c>
      <c r="C1049" s="11" t="s">
        <v>170</v>
      </c>
      <c r="D1049" s="11" t="s">
        <v>171</v>
      </c>
      <c r="E1049" s="9" t="str">
        <f>+HYPERLINK("http://trademark.i-assist.jp/data/china/image_1904th/79496843.pdf", "79496843")</f>
        <v>79496843</v>
      </c>
      <c r="F1049" s="11" t="s">
        <v>3080</v>
      </c>
      <c r="G1049" s="11" t="s">
        <v>3081</v>
      </c>
      <c r="H1049" s="11" t="s">
        <v>3082</v>
      </c>
      <c r="I1049" s="11" t="s">
        <v>2981</v>
      </c>
    </row>
    <row r="1050" spans="1:9" x14ac:dyDescent="0.15">
      <c r="A1050" s="10">
        <v>1049</v>
      </c>
      <c r="B1050" s="11" t="s">
        <v>9</v>
      </c>
      <c r="C1050" s="11" t="s">
        <v>170</v>
      </c>
      <c r="D1050" s="11" t="s">
        <v>171</v>
      </c>
      <c r="E1050" s="9" t="str">
        <f>+HYPERLINK("http://trademark.i-assist.jp/data/china/image_1904th/79496870.pdf", "79496870")</f>
        <v>79496870</v>
      </c>
      <c r="F1050" s="11" t="s">
        <v>3083</v>
      </c>
      <c r="G1050" s="11" t="s">
        <v>3084</v>
      </c>
      <c r="H1050" s="11" t="s">
        <v>3085</v>
      </c>
      <c r="I1050" s="11" t="s">
        <v>2981</v>
      </c>
    </row>
    <row r="1051" spans="1:9" x14ac:dyDescent="0.15">
      <c r="A1051" s="10">
        <v>1050</v>
      </c>
      <c r="B1051" s="11" t="s">
        <v>9</v>
      </c>
      <c r="C1051" s="11" t="s">
        <v>170</v>
      </c>
      <c r="D1051" s="11" t="s">
        <v>171</v>
      </c>
      <c r="E1051" s="9" t="str">
        <f>+HYPERLINK("http://trademark.i-assist.jp/data/china/image_1904th/79497217.pdf", "79497217")</f>
        <v>79497217</v>
      </c>
      <c r="F1051" s="11" t="s">
        <v>3086</v>
      </c>
      <c r="G1051" s="11" t="s">
        <v>3087</v>
      </c>
      <c r="H1051" s="11" t="s">
        <v>3088</v>
      </c>
      <c r="I1051" s="11" t="s">
        <v>2981</v>
      </c>
    </row>
    <row r="1052" spans="1:9" x14ac:dyDescent="0.15">
      <c r="A1052" s="10">
        <v>1051</v>
      </c>
      <c r="B1052" s="11" t="s">
        <v>9</v>
      </c>
      <c r="C1052" s="11" t="s">
        <v>170</v>
      </c>
      <c r="D1052" s="11" t="s">
        <v>171</v>
      </c>
      <c r="E1052" s="9" t="str">
        <f>+HYPERLINK("http://trademark.i-assist.jp/data/china/image_1904th/79497304.pdf", "79497304")</f>
        <v>79497304</v>
      </c>
      <c r="F1052" s="11" t="s">
        <v>3089</v>
      </c>
      <c r="G1052" s="11" t="s">
        <v>3090</v>
      </c>
      <c r="H1052" s="11" t="s">
        <v>3091</v>
      </c>
      <c r="I1052" s="11" t="s">
        <v>2981</v>
      </c>
    </row>
    <row r="1053" spans="1:9" x14ac:dyDescent="0.15">
      <c r="A1053" s="10">
        <v>1052</v>
      </c>
      <c r="B1053" s="11" t="s">
        <v>9</v>
      </c>
      <c r="C1053" s="11" t="s">
        <v>170</v>
      </c>
      <c r="D1053" s="11" t="s">
        <v>171</v>
      </c>
      <c r="E1053" s="9" t="str">
        <f>+HYPERLINK("http://trademark.i-assist.jp/data/china/image_1904th/79497474.pdf", "79497474")</f>
        <v>79497474</v>
      </c>
      <c r="F1053" s="11" t="s">
        <v>3092</v>
      </c>
      <c r="G1053" s="11" t="s">
        <v>3093</v>
      </c>
      <c r="H1053" s="11" t="s">
        <v>3094</v>
      </c>
      <c r="I1053" s="11" t="s">
        <v>2981</v>
      </c>
    </row>
    <row r="1054" spans="1:9" x14ac:dyDescent="0.15">
      <c r="A1054" s="10">
        <v>1053</v>
      </c>
      <c r="B1054" s="11" t="s">
        <v>9</v>
      </c>
      <c r="C1054" s="11" t="s">
        <v>170</v>
      </c>
      <c r="D1054" s="11" t="s">
        <v>171</v>
      </c>
      <c r="E1054" s="9" t="str">
        <f>+HYPERLINK("http://trademark.i-assist.jp/data/china/image_1904th/79497806.pdf", "79497806")</f>
        <v>79497806</v>
      </c>
      <c r="F1054" s="11" t="s">
        <v>3095</v>
      </c>
      <c r="G1054" s="11" t="s">
        <v>3096</v>
      </c>
      <c r="H1054" s="11" t="s">
        <v>3097</v>
      </c>
      <c r="I1054" s="11" t="s">
        <v>2981</v>
      </c>
    </row>
    <row r="1055" spans="1:9" x14ac:dyDescent="0.15">
      <c r="A1055" s="10">
        <v>1054</v>
      </c>
      <c r="B1055" s="11" t="s">
        <v>9</v>
      </c>
      <c r="C1055" s="11" t="s">
        <v>170</v>
      </c>
      <c r="D1055" s="11" t="s">
        <v>171</v>
      </c>
      <c r="E1055" s="9" t="str">
        <f>+HYPERLINK("http://trademark.i-assist.jp/data/china/image_1904th/79497849.pdf", "79497849")</f>
        <v>79497849</v>
      </c>
      <c r="F1055" s="11" t="s">
        <v>3098</v>
      </c>
      <c r="G1055" s="11" t="s">
        <v>3099</v>
      </c>
      <c r="H1055" s="11" t="s">
        <v>3100</v>
      </c>
      <c r="I1055" s="11" t="s">
        <v>2981</v>
      </c>
    </row>
    <row r="1056" spans="1:9" x14ac:dyDescent="0.15">
      <c r="A1056" s="10">
        <v>1055</v>
      </c>
      <c r="B1056" s="11" t="s">
        <v>9</v>
      </c>
      <c r="C1056" s="11" t="s">
        <v>170</v>
      </c>
      <c r="D1056" s="11" t="s">
        <v>171</v>
      </c>
      <c r="E1056" s="9" t="str">
        <f>+HYPERLINK("http://trademark.i-assist.jp/data/china/image_1904th/79498083.pdf", "79498083")</f>
        <v>79498083</v>
      </c>
      <c r="F1056" s="11" t="s">
        <v>12</v>
      </c>
      <c r="G1056" s="11" t="s">
        <v>3101</v>
      </c>
      <c r="H1056" s="11" t="s">
        <v>3102</v>
      </c>
      <c r="I1056" s="11" t="s">
        <v>2981</v>
      </c>
    </row>
    <row r="1057" spans="1:9" x14ac:dyDescent="0.15">
      <c r="A1057" s="10">
        <v>1056</v>
      </c>
      <c r="B1057" s="11" t="s">
        <v>9</v>
      </c>
      <c r="C1057" s="11" t="s">
        <v>170</v>
      </c>
      <c r="D1057" s="11" t="s">
        <v>171</v>
      </c>
      <c r="E1057" s="9" t="str">
        <f>+HYPERLINK("http://trademark.i-assist.jp/data/china/image_1904th/79498104.pdf", "79498104")</f>
        <v>79498104</v>
      </c>
      <c r="F1057" s="11" t="s">
        <v>3103</v>
      </c>
      <c r="G1057" s="11" t="s">
        <v>3104</v>
      </c>
      <c r="H1057" s="11" t="s">
        <v>3105</v>
      </c>
      <c r="I1057" s="11" t="s">
        <v>2981</v>
      </c>
    </row>
    <row r="1058" spans="1:9" x14ac:dyDescent="0.15">
      <c r="A1058" s="10">
        <v>1057</v>
      </c>
      <c r="B1058" s="11" t="s">
        <v>9</v>
      </c>
      <c r="C1058" s="11" t="s">
        <v>170</v>
      </c>
      <c r="D1058" s="11" t="s">
        <v>171</v>
      </c>
      <c r="E1058" s="9" t="str">
        <f>+HYPERLINK("http://trademark.i-assist.jp/data/china/image_1904th/79498421.pdf", "79498421")</f>
        <v>79498421</v>
      </c>
      <c r="F1058" s="11" t="s">
        <v>3106</v>
      </c>
      <c r="G1058" s="11" t="s">
        <v>3107</v>
      </c>
      <c r="H1058" s="11" t="s">
        <v>3108</v>
      </c>
      <c r="I1058" s="11" t="s">
        <v>2981</v>
      </c>
    </row>
    <row r="1059" spans="1:9" x14ac:dyDescent="0.15">
      <c r="A1059" s="10">
        <v>1058</v>
      </c>
      <c r="B1059" s="11" t="s">
        <v>9</v>
      </c>
      <c r="C1059" s="11" t="s">
        <v>170</v>
      </c>
      <c r="D1059" s="11" t="s">
        <v>171</v>
      </c>
      <c r="E1059" s="9" t="str">
        <f>+HYPERLINK("http://trademark.i-assist.jp/data/china/image_1904th/79498919.pdf", "79498919")</f>
        <v>79498919</v>
      </c>
      <c r="F1059" s="11" t="s">
        <v>3109</v>
      </c>
      <c r="G1059" s="11" t="s">
        <v>3110</v>
      </c>
      <c r="H1059" s="11" t="s">
        <v>3111</v>
      </c>
      <c r="I1059" s="11" t="s">
        <v>2981</v>
      </c>
    </row>
    <row r="1060" spans="1:9" x14ac:dyDescent="0.15">
      <c r="A1060" s="10">
        <v>1059</v>
      </c>
      <c r="B1060" s="11" t="s">
        <v>9</v>
      </c>
      <c r="C1060" s="11" t="s">
        <v>170</v>
      </c>
      <c r="D1060" s="11" t="s">
        <v>171</v>
      </c>
      <c r="E1060" s="9" t="str">
        <f>+HYPERLINK("http://trademark.i-assist.jp/data/china/image_1904th/79499074.pdf", "79499074")</f>
        <v>79499074</v>
      </c>
      <c r="F1060" s="11" t="s">
        <v>3112</v>
      </c>
      <c r="G1060" s="11" t="s">
        <v>3113</v>
      </c>
      <c r="H1060" s="11" t="s">
        <v>3114</v>
      </c>
      <c r="I1060" s="11" t="s">
        <v>2981</v>
      </c>
    </row>
    <row r="1061" spans="1:9" x14ac:dyDescent="0.15">
      <c r="A1061" s="10">
        <v>1060</v>
      </c>
      <c r="B1061" s="11" t="s">
        <v>9</v>
      </c>
      <c r="C1061" s="11" t="s">
        <v>170</v>
      </c>
      <c r="D1061" s="11" t="s">
        <v>171</v>
      </c>
      <c r="E1061" s="9" t="str">
        <f>+HYPERLINK("http://trademark.i-assist.jp/data/china/image_1904th/79499571.pdf", "79499571")</f>
        <v>79499571</v>
      </c>
      <c r="F1061" s="11" t="s">
        <v>3115</v>
      </c>
      <c r="G1061" s="11" t="s">
        <v>3116</v>
      </c>
      <c r="H1061" s="11" t="s">
        <v>3117</v>
      </c>
      <c r="I1061" s="11" t="s">
        <v>2981</v>
      </c>
    </row>
    <row r="1062" spans="1:9" x14ac:dyDescent="0.15">
      <c r="A1062" s="10">
        <v>1061</v>
      </c>
      <c r="B1062" s="11" t="s">
        <v>9</v>
      </c>
      <c r="C1062" s="11" t="s">
        <v>170</v>
      </c>
      <c r="D1062" s="11" t="s">
        <v>171</v>
      </c>
      <c r="E1062" s="9" t="str">
        <f>+HYPERLINK("http://trademark.i-assist.jp/data/china/image_1904th/79499634.pdf", "79499634")</f>
        <v>79499634</v>
      </c>
      <c r="F1062" s="11" t="s">
        <v>3118</v>
      </c>
      <c r="G1062" s="11" t="s">
        <v>3119</v>
      </c>
      <c r="H1062" s="11" t="s">
        <v>3120</v>
      </c>
      <c r="I1062" s="11" t="s">
        <v>2981</v>
      </c>
    </row>
    <row r="1063" spans="1:9" x14ac:dyDescent="0.15">
      <c r="A1063" s="10">
        <v>1062</v>
      </c>
      <c r="B1063" s="11" t="s">
        <v>9</v>
      </c>
      <c r="C1063" s="11" t="s">
        <v>170</v>
      </c>
      <c r="D1063" s="11" t="s">
        <v>171</v>
      </c>
      <c r="E1063" s="9" t="str">
        <f>+HYPERLINK("http://trademark.i-assist.jp/data/china/image_1904th/79499773.pdf", "79499773")</f>
        <v>79499773</v>
      </c>
      <c r="F1063" s="11" t="s">
        <v>3121</v>
      </c>
      <c r="G1063" s="11" t="s">
        <v>3122</v>
      </c>
      <c r="H1063" s="11" t="s">
        <v>3123</v>
      </c>
      <c r="I1063" s="11" t="s">
        <v>2981</v>
      </c>
    </row>
    <row r="1064" spans="1:9" x14ac:dyDescent="0.15">
      <c r="A1064" s="10">
        <v>1063</v>
      </c>
      <c r="B1064" s="11" t="s">
        <v>9</v>
      </c>
      <c r="C1064" s="11" t="s">
        <v>170</v>
      </c>
      <c r="D1064" s="11" t="s">
        <v>171</v>
      </c>
      <c r="E1064" s="9" t="str">
        <f>+HYPERLINK("http://trademark.i-assist.jp/data/china/image_1904th/79499812.pdf", "79499812")</f>
        <v>79499812</v>
      </c>
      <c r="F1064" s="11" t="s">
        <v>3124</v>
      </c>
      <c r="G1064" s="11" t="s">
        <v>3125</v>
      </c>
      <c r="H1064" s="11" t="s">
        <v>3126</v>
      </c>
      <c r="I1064" s="11" t="s">
        <v>2981</v>
      </c>
    </row>
    <row r="1065" spans="1:9" x14ac:dyDescent="0.15">
      <c r="A1065" s="10">
        <v>1064</v>
      </c>
      <c r="B1065" s="11" t="s">
        <v>9</v>
      </c>
      <c r="C1065" s="11" t="s">
        <v>170</v>
      </c>
      <c r="D1065" s="11" t="s">
        <v>171</v>
      </c>
      <c r="E1065" s="9" t="str">
        <f>+HYPERLINK("http://trademark.i-assist.jp/data/china/image_1904th/79500074.pdf", "79500074")</f>
        <v>79500074</v>
      </c>
      <c r="F1065" s="11" t="s">
        <v>3127</v>
      </c>
      <c r="G1065" s="11" t="s">
        <v>3128</v>
      </c>
      <c r="H1065" s="11" t="s">
        <v>3129</v>
      </c>
      <c r="I1065" s="11" t="s">
        <v>2981</v>
      </c>
    </row>
    <row r="1066" spans="1:9" x14ac:dyDescent="0.15">
      <c r="A1066" s="10">
        <v>1065</v>
      </c>
      <c r="B1066" s="11" t="s">
        <v>9</v>
      </c>
      <c r="C1066" s="11" t="s">
        <v>170</v>
      </c>
      <c r="D1066" s="11" t="s">
        <v>171</v>
      </c>
      <c r="E1066" s="9" t="str">
        <f>+HYPERLINK("http://trademark.i-assist.jp/data/china/image_1904th/79500578.pdf", "79500578")</f>
        <v>79500578</v>
      </c>
      <c r="F1066" s="11" t="s">
        <v>3130</v>
      </c>
      <c r="G1066" s="11" t="s">
        <v>3131</v>
      </c>
      <c r="H1066" s="11" t="s">
        <v>3132</v>
      </c>
      <c r="I1066" s="11" t="s">
        <v>2981</v>
      </c>
    </row>
    <row r="1067" spans="1:9" x14ac:dyDescent="0.15">
      <c r="A1067" s="10">
        <v>1066</v>
      </c>
      <c r="B1067" s="11" t="s">
        <v>9</v>
      </c>
      <c r="C1067" s="11" t="s">
        <v>170</v>
      </c>
      <c r="D1067" s="11" t="s">
        <v>171</v>
      </c>
      <c r="E1067" s="9" t="str">
        <f>+HYPERLINK("http://trademark.i-assist.jp/data/china/image_1904th/79500948.pdf", "79500948")</f>
        <v>79500948</v>
      </c>
      <c r="F1067" s="11" t="s">
        <v>3133</v>
      </c>
      <c r="G1067" s="11" t="s">
        <v>3134</v>
      </c>
      <c r="H1067" s="11" t="s">
        <v>3135</v>
      </c>
      <c r="I1067" s="11" t="s">
        <v>2981</v>
      </c>
    </row>
    <row r="1068" spans="1:9" x14ac:dyDescent="0.15">
      <c r="A1068" s="10">
        <v>1067</v>
      </c>
      <c r="B1068" s="11" t="s">
        <v>9</v>
      </c>
      <c r="C1068" s="11" t="s">
        <v>170</v>
      </c>
      <c r="D1068" s="11" t="s">
        <v>171</v>
      </c>
      <c r="E1068" s="9" t="str">
        <f>+HYPERLINK("http://trademark.i-assist.jp/data/china/image_1904th/79500985.pdf", "79500985")</f>
        <v>79500985</v>
      </c>
      <c r="F1068" s="11" t="s">
        <v>3136</v>
      </c>
      <c r="G1068" s="11" t="s">
        <v>3134</v>
      </c>
      <c r="H1068" s="11" t="s">
        <v>3137</v>
      </c>
      <c r="I1068" s="11" t="s">
        <v>2981</v>
      </c>
    </row>
    <row r="1069" spans="1:9" x14ac:dyDescent="0.15">
      <c r="A1069" s="10">
        <v>1068</v>
      </c>
      <c r="B1069" s="11" t="s">
        <v>9</v>
      </c>
      <c r="C1069" s="11" t="s">
        <v>170</v>
      </c>
      <c r="D1069" s="11" t="s">
        <v>171</v>
      </c>
      <c r="E1069" s="9" t="str">
        <f>+HYPERLINK("http://trademark.i-assist.jp/data/china/image_1904th/79501698.pdf", "79501698")</f>
        <v>79501698</v>
      </c>
      <c r="F1069" s="11" t="s">
        <v>3138</v>
      </c>
      <c r="G1069" s="11" t="s">
        <v>3139</v>
      </c>
      <c r="H1069" s="11" t="s">
        <v>3140</v>
      </c>
      <c r="I1069" s="11" t="s">
        <v>2981</v>
      </c>
    </row>
    <row r="1070" spans="1:9" x14ac:dyDescent="0.15">
      <c r="A1070" s="10">
        <v>1069</v>
      </c>
      <c r="B1070" s="11" t="s">
        <v>9</v>
      </c>
      <c r="C1070" s="11" t="s">
        <v>170</v>
      </c>
      <c r="D1070" s="11" t="s">
        <v>171</v>
      </c>
      <c r="E1070" s="9" t="str">
        <f>+HYPERLINK("http://trademark.i-assist.jp/data/china/image_1904th/79501703.pdf", "79501703")</f>
        <v>79501703</v>
      </c>
      <c r="F1070" s="11" t="s">
        <v>3141</v>
      </c>
      <c r="G1070" s="11" t="s">
        <v>3139</v>
      </c>
      <c r="H1070" s="11" t="s">
        <v>3142</v>
      </c>
      <c r="I1070" s="11" t="s">
        <v>2981</v>
      </c>
    </row>
    <row r="1071" spans="1:9" x14ac:dyDescent="0.15">
      <c r="A1071" s="10">
        <v>1070</v>
      </c>
      <c r="B1071" s="11" t="s">
        <v>9</v>
      </c>
      <c r="C1071" s="11" t="s">
        <v>170</v>
      </c>
      <c r="D1071" s="11" t="s">
        <v>171</v>
      </c>
      <c r="E1071" s="9" t="str">
        <f>+HYPERLINK("http://trademark.i-assist.jp/data/china/image_1904th/79501752.pdf", "79501752")</f>
        <v>79501752</v>
      </c>
      <c r="F1071" s="11" t="s">
        <v>3143</v>
      </c>
      <c r="G1071" s="11" t="s">
        <v>2998</v>
      </c>
      <c r="H1071" s="11" t="s">
        <v>3144</v>
      </c>
      <c r="I1071" s="11" t="s">
        <v>2981</v>
      </c>
    </row>
    <row r="1072" spans="1:9" x14ac:dyDescent="0.15">
      <c r="A1072" s="10">
        <v>1071</v>
      </c>
      <c r="B1072" s="11" t="s">
        <v>9</v>
      </c>
      <c r="C1072" s="11" t="s">
        <v>170</v>
      </c>
      <c r="D1072" s="11" t="s">
        <v>171</v>
      </c>
      <c r="E1072" s="9" t="str">
        <f>+HYPERLINK("http://trademark.i-assist.jp/data/china/image_1904th/79501896.pdf", "79501896")</f>
        <v>79501896</v>
      </c>
      <c r="F1072" s="11" t="s">
        <v>12</v>
      </c>
      <c r="G1072" s="11" t="s">
        <v>3145</v>
      </c>
      <c r="H1072" s="11" t="s">
        <v>3146</v>
      </c>
      <c r="I1072" s="11" t="s">
        <v>2981</v>
      </c>
    </row>
    <row r="1073" spans="1:9" x14ac:dyDescent="0.15">
      <c r="A1073" s="10">
        <v>1072</v>
      </c>
      <c r="B1073" s="11" t="s">
        <v>9</v>
      </c>
      <c r="C1073" s="11" t="s">
        <v>170</v>
      </c>
      <c r="D1073" s="11" t="s">
        <v>171</v>
      </c>
      <c r="E1073" s="9" t="str">
        <f>+HYPERLINK("http://trademark.i-assist.jp/data/china/image_1904th/79502249.pdf", "79502249")</f>
        <v>79502249</v>
      </c>
      <c r="F1073" s="11" t="s">
        <v>3147</v>
      </c>
      <c r="G1073" s="11" t="s">
        <v>3128</v>
      </c>
      <c r="H1073" s="11" t="s">
        <v>3148</v>
      </c>
      <c r="I1073" s="11" t="s">
        <v>2981</v>
      </c>
    </row>
    <row r="1074" spans="1:9" x14ac:dyDescent="0.15">
      <c r="A1074" s="10">
        <v>1073</v>
      </c>
      <c r="B1074" s="11" t="s">
        <v>9</v>
      </c>
      <c r="C1074" s="11" t="s">
        <v>170</v>
      </c>
      <c r="D1074" s="11" t="s">
        <v>171</v>
      </c>
      <c r="E1074" s="9" t="str">
        <f>+HYPERLINK("http://trademark.i-assist.jp/data/china/image_1904th/79502355.pdf", "79502355")</f>
        <v>79502355</v>
      </c>
      <c r="F1074" s="11" t="s">
        <v>3149</v>
      </c>
      <c r="G1074" s="11" t="s">
        <v>3134</v>
      </c>
      <c r="H1074" s="11" t="s">
        <v>3150</v>
      </c>
      <c r="I1074" s="11" t="s">
        <v>2981</v>
      </c>
    </row>
    <row r="1075" spans="1:9" x14ac:dyDescent="0.15">
      <c r="A1075" s="10">
        <v>1074</v>
      </c>
      <c r="B1075" s="11" t="s">
        <v>9</v>
      </c>
      <c r="C1075" s="11" t="s">
        <v>170</v>
      </c>
      <c r="D1075" s="11" t="s">
        <v>171</v>
      </c>
      <c r="E1075" s="9" t="str">
        <f>+HYPERLINK("http://trademark.i-assist.jp/data/china/image_1904th/79502784.pdf", "79502784")</f>
        <v>79502784</v>
      </c>
      <c r="F1075" s="11" t="s">
        <v>3151</v>
      </c>
      <c r="G1075" s="11" t="s">
        <v>3087</v>
      </c>
      <c r="H1075" s="11" t="s">
        <v>3152</v>
      </c>
      <c r="I1075" s="11" t="s">
        <v>2981</v>
      </c>
    </row>
    <row r="1076" spans="1:9" x14ac:dyDescent="0.15">
      <c r="A1076" s="10">
        <v>1075</v>
      </c>
      <c r="B1076" s="11" t="s">
        <v>9</v>
      </c>
      <c r="C1076" s="11" t="s">
        <v>170</v>
      </c>
      <c r="D1076" s="11" t="s">
        <v>171</v>
      </c>
      <c r="E1076" s="9" t="str">
        <f>+HYPERLINK("http://trademark.i-assist.jp/data/china/image_1904th/79502842.pdf", "79502842")</f>
        <v>79502842</v>
      </c>
      <c r="F1076" s="11" t="s">
        <v>3153</v>
      </c>
      <c r="G1076" s="11" t="s">
        <v>3154</v>
      </c>
      <c r="H1076" s="11" t="s">
        <v>3155</v>
      </c>
      <c r="I1076" s="11" t="s">
        <v>2981</v>
      </c>
    </row>
    <row r="1077" spans="1:9" x14ac:dyDescent="0.15">
      <c r="A1077" s="10">
        <v>1076</v>
      </c>
      <c r="B1077" s="11" t="s">
        <v>9</v>
      </c>
      <c r="C1077" s="11" t="s">
        <v>170</v>
      </c>
      <c r="D1077" s="11" t="s">
        <v>171</v>
      </c>
      <c r="E1077" s="9" t="str">
        <f>+HYPERLINK("http://trademark.i-assist.jp/data/china/image_1904th/79503400.pdf", "79503400")</f>
        <v>79503400</v>
      </c>
      <c r="F1077" s="11" t="s">
        <v>3156</v>
      </c>
      <c r="G1077" s="11" t="s">
        <v>3157</v>
      </c>
      <c r="H1077" s="11" t="s">
        <v>3158</v>
      </c>
      <c r="I1077" s="11" t="s">
        <v>2981</v>
      </c>
    </row>
    <row r="1078" spans="1:9" x14ac:dyDescent="0.15">
      <c r="A1078" s="10">
        <v>1077</v>
      </c>
      <c r="B1078" s="11" t="s">
        <v>9</v>
      </c>
      <c r="C1078" s="11" t="s">
        <v>170</v>
      </c>
      <c r="D1078" s="11" t="s">
        <v>171</v>
      </c>
      <c r="E1078" s="9" t="str">
        <f>+HYPERLINK("http://trademark.i-assist.jp/data/china/image_1904th/79503543.pdf", "79503543")</f>
        <v>79503543</v>
      </c>
      <c r="F1078" s="11" t="s">
        <v>3159</v>
      </c>
      <c r="G1078" s="11" t="s">
        <v>3160</v>
      </c>
      <c r="H1078" s="11" t="s">
        <v>3161</v>
      </c>
      <c r="I1078" s="11" t="s">
        <v>2981</v>
      </c>
    </row>
    <row r="1079" spans="1:9" x14ac:dyDescent="0.15">
      <c r="A1079" s="10">
        <v>1078</v>
      </c>
      <c r="B1079" s="11" t="s">
        <v>9</v>
      </c>
      <c r="C1079" s="11" t="s">
        <v>170</v>
      </c>
      <c r="D1079" s="11" t="s">
        <v>171</v>
      </c>
      <c r="E1079" s="9" t="str">
        <f>+HYPERLINK("http://trademark.i-assist.jp/data/china/image_1904th/79504346.pdf", "79504346")</f>
        <v>79504346</v>
      </c>
      <c r="F1079" s="11" t="s">
        <v>3162</v>
      </c>
      <c r="G1079" s="11" t="s">
        <v>84</v>
      </c>
      <c r="H1079" s="11" t="s">
        <v>3163</v>
      </c>
      <c r="I1079" s="11" t="s">
        <v>2981</v>
      </c>
    </row>
    <row r="1080" spans="1:9" x14ac:dyDescent="0.15">
      <c r="A1080" s="10">
        <v>1079</v>
      </c>
      <c r="B1080" s="11" t="s">
        <v>9</v>
      </c>
      <c r="C1080" s="11" t="s">
        <v>170</v>
      </c>
      <c r="D1080" s="11" t="s">
        <v>171</v>
      </c>
      <c r="E1080" s="9" t="str">
        <f>+HYPERLINK("http://trademark.i-assist.jp/data/china/image_1904th/79504462.pdf", "79504462")</f>
        <v>79504462</v>
      </c>
      <c r="F1080" s="11" t="s">
        <v>3164</v>
      </c>
      <c r="G1080" s="11" t="s">
        <v>3165</v>
      </c>
      <c r="H1080" s="11" t="s">
        <v>3166</v>
      </c>
      <c r="I1080" s="11" t="s">
        <v>2981</v>
      </c>
    </row>
    <row r="1081" spans="1:9" x14ac:dyDescent="0.15">
      <c r="A1081" s="10">
        <v>1080</v>
      </c>
      <c r="B1081" s="11" t="s">
        <v>9</v>
      </c>
      <c r="C1081" s="11" t="s">
        <v>170</v>
      </c>
      <c r="D1081" s="11" t="s">
        <v>171</v>
      </c>
      <c r="E1081" s="9" t="str">
        <f>+HYPERLINK("http://trademark.i-assist.jp/data/china/image_1904th/79504783.pdf", "79504783")</f>
        <v>79504783</v>
      </c>
      <c r="F1081" s="11" t="s">
        <v>3167</v>
      </c>
      <c r="G1081" s="11" t="s">
        <v>3128</v>
      </c>
      <c r="H1081" s="11" t="s">
        <v>3168</v>
      </c>
      <c r="I1081" s="11" t="s">
        <v>2981</v>
      </c>
    </row>
    <row r="1082" spans="1:9" x14ac:dyDescent="0.15">
      <c r="A1082" s="10">
        <v>1081</v>
      </c>
      <c r="B1082" s="11" t="s">
        <v>9</v>
      </c>
      <c r="C1082" s="11" t="s">
        <v>170</v>
      </c>
      <c r="D1082" s="11" t="s">
        <v>171</v>
      </c>
      <c r="E1082" s="9" t="str">
        <f>+HYPERLINK("http://trademark.i-assist.jp/data/china/image_1904th/79504872.pdf", "79504872")</f>
        <v>79504872</v>
      </c>
      <c r="F1082" s="11" t="s">
        <v>3169</v>
      </c>
      <c r="G1082" s="11" t="s">
        <v>3170</v>
      </c>
      <c r="H1082" s="11" t="s">
        <v>3171</v>
      </c>
      <c r="I1082" s="11" t="s">
        <v>2981</v>
      </c>
    </row>
    <row r="1083" spans="1:9" x14ac:dyDescent="0.15">
      <c r="A1083" s="10">
        <v>1082</v>
      </c>
      <c r="B1083" s="11" t="s">
        <v>9</v>
      </c>
      <c r="C1083" s="11" t="s">
        <v>170</v>
      </c>
      <c r="D1083" s="11" t="s">
        <v>171</v>
      </c>
      <c r="E1083" s="9" t="str">
        <f>+HYPERLINK("http://trademark.i-assist.jp/data/china/image_1904th/79505052.pdf", "79505052")</f>
        <v>79505052</v>
      </c>
      <c r="F1083" s="11" t="s">
        <v>3172</v>
      </c>
      <c r="G1083" s="11" t="s">
        <v>3087</v>
      </c>
      <c r="H1083" s="11" t="s">
        <v>3173</v>
      </c>
      <c r="I1083" s="11" t="s">
        <v>2981</v>
      </c>
    </row>
    <row r="1084" spans="1:9" x14ac:dyDescent="0.15">
      <c r="A1084" s="10">
        <v>1083</v>
      </c>
      <c r="B1084" s="11" t="s">
        <v>9</v>
      </c>
      <c r="C1084" s="11" t="s">
        <v>170</v>
      </c>
      <c r="D1084" s="11" t="s">
        <v>171</v>
      </c>
      <c r="E1084" s="9" t="str">
        <f>+HYPERLINK("http://trademark.i-assist.jp/data/china/image_1904th/79505180.pdf", "79505180")</f>
        <v>79505180</v>
      </c>
      <c r="F1084" s="11" t="s">
        <v>3174</v>
      </c>
      <c r="G1084" s="11" t="s">
        <v>3175</v>
      </c>
      <c r="H1084" s="11" t="s">
        <v>3176</v>
      </c>
      <c r="I1084" s="11" t="s">
        <v>2981</v>
      </c>
    </row>
    <row r="1085" spans="1:9" x14ac:dyDescent="0.15">
      <c r="A1085" s="10">
        <v>1084</v>
      </c>
      <c r="B1085" s="11" t="s">
        <v>9</v>
      </c>
      <c r="C1085" s="11" t="s">
        <v>170</v>
      </c>
      <c r="D1085" s="11" t="s">
        <v>171</v>
      </c>
      <c r="E1085" s="9" t="str">
        <f>+HYPERLINK("http://trademark.i-assist.jp/data/china/image_1904th/79505506.pdf", "79505506")</f>
        <v>79505506</v>
      </c>
      <c r="F1085" s="11" t="s">
        <v>3177</v>
      </c>
      <c r="G1085" s="11" t="s">
        <v>3178</v>
      </c>
      <c r="H1085" s="11" t="s">
        <v>3179</v>
      </c>
      <c r="I1085" s="11" t="s">
        <v>2981</v>
      </c>
    </row>
    <row r="1086" spans="1:9" x14ac:dyDescent="0.15">
      <c r="A1086" s="10">
        <v>1085</v>
      </c>
      <c r="B1086" s="11" t="s">
        <v>9</v>
      </c>
      <c r="C1086" s="11" t="s">
        <v>170</v>
      </c>
      <c r="D1086" s="11" t="s">
        <v>171</v>
      </c>
      <c r="E1086" s="9" t="str">
        <f>+HYPERLINK("http://trademark.i-assist.jp/data/china/image_1904th/79505776.pdf", "79505776")</f>
        <v>79505776</v>
      </c>
      <c r="F1086" s="11" t="s">
        <v>3180</v>
      </c>
      <c r="G1086" s="11" t="s">
        <v>3181</v>
      </c>
      <c r="H1086" s="11" t="s">
        <v>3182</v>
      </c>
      <c r="I1086" s="11" t="s">
        <v>2981</v>
      </c>
    </row>
    <row r="1087" spans="1:9" x14ac:dyDescent="0.15">
      <c r="A1087" s="10">
        <v>1086</v>
      </c>
      <c r="B1087" s="11" t="s">
        <v>9</v>
      </c>
      <c r="C1087" s="11" t="s">
        <v>170</v>
      </c>
      <c r="D1087" s="11" t="s">
        <v>171</v>
      </c>
      <c r="E1087" s="9" t="str">
        <f>+HYPERLINK("http://trademark.i-assist.jp/data/china/image_1904th/79505965.pdf", "79505965")</f>
        <v>79505965</v>
      </c>
      <c r="F1087" s="11" t="s">
        <v>3183</v>
      </c>
      <c r="G1087" s="11" t="s">
        <v>3184</v>
      </c>
      <c r="H1087" s="11" t="s">
        <v>3185</v>
      </c>
      <c r="I1087" s="11" t="s">
        <v>2981</v>
      </c>
    </row>
    <row r="1088" spans="1:9" x14ac:dyDescent="0.15">
      <c r="A1088" s="10">
        <v>1087</v>
      </c>
      <c r="B1088" s="11" t="s">
        <v>9</v>
      </c>
      <c r="C1088" s="11" t="s">
        <v>170</v>
      </c>
      <c r="D1088" s="11" t="s">
        <v>171</v>
      </c>
      <c r="E1088" s="9" t="str">
        <f>+HYPERLINK("http://trademark.i-assist.jp/data/china/image_1904th/79506015.pdf", "79506015")</f>
        <v>79506015</v>
      </c>
      <c r="F1088" s="11" t="s">
        <v>3186</v>
      </c>
      <c r="G1088" s="11" t="s">
        <v>3187</v>
      </c>
      <c r="H1088" s="11" t="s">
        <v>3188</v>
      </c>
      <c r="I1088" s="11" t="s">
        <v>2981</v>
      </c>
    </row>
    <row r="1089" spans="1:9" x14ac:dyDescent="0.15">
      <c r="A1089" s="10">
        <v>1088</v>
      </c>
      <c r="B1089" s="11" t="s">
        <v>9</v>
      </c>
      <c r="C1089" s="11" t="s">
        <v>170</v>
      </c>
      <c r="D1089" s="11" t="s">
        <v>171</v>
      </c>
      <c r="E1089" s="9" t="str">
        <f>+HYPERLINK("http://trademark.i-assist.jp/data/china/image_1904th/79506039.pdf", "79506039")</f>
        <v>79506039</v>
      </c>
      <c r="F1089" s="11" t="s">
        <v>3189</v>
      </c>
      <c r="G1089" s="11" t="s">
        <v>3190</v>
      </c>
      <c r="H1089" s="11" t="s">
        <v>3191</v>
      </c>
      <c r="I1089" s="11" t="s">
        <v>2981</v>
      </c>
    </row>
    <row r="1090" spans="1:9" x14ac:dyDescent="0.15">
      <c r="A1090" s="10">
        <v>1089</v>
      </c>
      <c r="B1090" s="11" t="s">
        <v>9</v>
      </c>
      <c r="C1090" s="11" t="s">
        <v>170</v>
      </c>
      <c r="D1090" s="11" t="s">
        <v>171</v>
      </c>
      <c r="E1090" s="9" t="str">
        <f>+HYPERLINK("http://trademark.i-assist.jp/data/china/image_1904th/79506053.pdf", "79506053")</f>
        <v>79506053</v>
      </c>
      <c r="F1090" s="11" t="s">
        <v>3192</v>
      </c>
      <c r="G1090" s="11" t="s">
        <v>3193</v>
      </c>
      <c r="H1090" s="11" t="s">
        <v>3194</v>
      </c>
      <c r="I1090" s="11" t="s">
        <v>2981</v>
      </c>
    </row>
    <row r="1091" spans="1:9" x14ac:dyDescent="0.15">
      <c r="A1091" s="10">
        <v>1090</v>
      </c>
      <c r="B1091" s="11" t="s">
        <v>9</v>
      </c>
      <c r="C1091" s="11" t="s">
        <v>170</v>
      </c>
      <c r="D1091" s="11" t="s">
        <v>171</v>
      </c>
      <c r="E1091" s="9" t="str">
        <f>+HYPERLINK("http://trademark.i-assist.jp/data/china/image_1904th/79506774.pdf", "79506774")</f>
        <v>79506774</v>
      </c>
      <c r="F1091" s="11" t="s">
        <v>3195</v>
      </c>
      <c r="G1091" s="11" t="s">
        <v>3196</v>
      </c>
      <c r="H1091" s="11" t="s">
        <v>3197</v>
      </c>
      <c r="I1091" s="11" t="s">
        <v>2981</v>
      </c>
    </row>
    <row r="1092" spans="1:9" x14ac:dyDescent="0.15">
      <c r="A1092" s="10">
        <v>1091</v>
      </c>
      <c r="B1092" s="11" t="s">
        <v>9</v>
      </c>
      <c r="C1092" s="11" t="s">
        <v>170</v>
      </c>
      <c r="D1092" s="11" t="s">
        <v>171</v>
      </c>
      <c r="E1092" s="9" t="str">
        <f>+HYPERLINK("http://trademark.i-assist.jp/data/china/image_1904th/79506827.pdf", "79506827")</f>
        <v>79506827</v>
      </c>
      <c r="F1092" s="11" t="s">
        <v>3198</v>
      </c>
      <c r="G1092" s="11" t="s">
        <v>92</v>
      </c>
      <c r="H1092" s="11" t="s">
        <v>3199</v>
      </c>
      <c r="I1092" s="11" t="s">
        <v>2981</v>
      </c>
    </row>
    <row r="1093" spans="1:9" x14ac:dyDescent="0.15">
      <c r="A1093" s="10">
        <v>1092</v>
      </c>
      <c r="B1093" s="11" t="s">
        <v>9</v>
      </c>
      <c r="C1093" s="11" t="s">
        <v>170</v>
      </c>
      <c r="D1093" s="11" t="s">
        <v>171</v>
      </c>
      <c r="E1093" s="9" t="str">
        <f>+HYPERLINK("http://trademark.i-assist.jp/data/china/image_1904th/79506860.pdf", "79506860")</f>
        <v>79506860</v>
      </c>
      <c r="F1093" s="11" t="s">
        <v>3200</v>
      </c>
      <c r="G1093" s="11" t="s">
        <v>3201</v>
      </c>
      <c r="H1093" s="11" t="s">
        <v>37</v>
      </c>
      <c r="I1093" s="11" t="s">
        <v>2981</v>
      </c>
    </row>
    <row r="1094" spans="1:9" x14ac:dyDescent="0.15">
      <c r="A1094" s="10">
        <v>1093</v>
      </c>
      <c r="B1094" s="11" t="s">
        <v>9</v>
      </c>
      <c r="C1094" s="11" t="s">
        <v>170</v>
      </c>
      <c r="D1094" s="11" t="s">
        <v>171</v>
      </c>
      <c r="E1094" s="9" t="str">
        <f>+HYPERLINK("http://trademark.i-assist.jp/data/china/image_1904th/79507068.pdf", "79507068")</f>
        <v>79507068</v>
      </c>
      <c r="F1094" s="11" t="s">
        <v>3202</v>
      </c>
      <c r="G1094" s="11" t="s">
        <v>3203</v>
      </c>
      <c r="H1094" s="11" t="s">
        <v>3204</v>
      </c>
      <c r="I1094" s="11" t="s">
        <v>2981</v>
      </c>
    </row>
    <row r="1095" spans="1:9" x14ac:dyDescent="0.15">
      <c r="A1095" s="10">
        <v>1094</v>
      </c>
      <c r="B1095" s="11" t="s">
        <v>9</v>
      </c>
      <c r="C1095" s="11" t="s">
        <v>170</v>
      </c>
      <c r="D1095" s="11" t="s">
        <v>171</v>
      </c>
      <c r="E1095" s="9" t="str">
        <f>+HYPERLINK("http://trademark.i-assist.jp/data/china/image_1904th/79507346.pdf", "79507346")</f>
        <v>79507346</v>
      </c>
      <c r="F1095" s="11" t="s">
        <v>3205</v>
      </c>
      <c r="G1095" s="11" t="s">
        <v>3206</v>
      </c>
      <c r="H1095" s="11" t="s">
        <v>3207</v>
      </c>
      <c r="I1095" s="11" t="s">
        <v>2981</v>
      </c>
    </row>
    <row r="1096" spans="1:9" x14ac:dyDescent="0.15">
      <c r="A1096" s="10">
        <v>1095</v>
      </c>
      <c r="B1096" s="11" t="s">
        <v>9</v>
      </c>
      <c r="C1096" s="11" t="s">
        <v>170</v>
      </c>
      <c r="D1096" s="11" t="s">
        <v>171</v>
      </c>
      <c r="E1096" s="9" t="str">
        <f>+HYPERLINK("http://trademark.i-assist.jp/data/china/image_1904th/79507404.pdf", "79507404")</f>
        <v>79507404</v>
      </c>
      <c r="F1096" s="11" t="s">
        <v>3208</v>
      </c>
      <c r="G1096" s="11" t="s">
        <v>3209</v>
      </c>
      <c r="H1096" s="11" t="s">
        <v>3210</v>
      </c>
      <c r="I1096" s="11" t="s">
        <v>2981</v>
      </c>
    </row>
    <row r="1097" spans="1:9" x14ac:dyDescent="0.15">
      <c r="A1097" s="10">
        <v>1096</v>
      </c>
      <c r="B1097" s="11" t="s">
        <v>9</v>
      </c>
      <c r="C1097" s="11" t="s">
        <v>170</v>
      </c>
      <c r="D1097" s="11" t="s">
        <v>171</v>
      </c>
      <c r="E1097" s="9" t="str">
        <f>+HYPERLINK("http://trademark.i-assist.jp/data/china/image_1904th/79507568.pdf", "79507568")</f>
        <v>79507568</v>
      </c>
      <c r="F1097" s="11" t="s">
        <v>3211</v>
      </c>
      <c r="G1097" s="11" t="s">
        <v>3119</v>
      </c>
      <c r="H1097" s="11" t="s">
        <v>3212</v>
      </c>
      <c r="I1097" s="11" t="s">
        <v>2981</v>
      </c>
    </row>
    <row r="1098" spans="1:9" x14ac:dyDescent="0.15">
      <c r="A1098" s="10">
        <v>1097</v>
      </c>
      <c r="B1098" s="11" t="s">
        <v>9</v>
      </c>
      <c r="C1098" s="11" t="s">
        <v>170</v>
      </c>
      <c r="D1098" s="11" t="s">
        <v>171</v>
      </c>
      <c r="E1098" s="9" t="str">
        <f>+HYPERLINK("http://trademark.i-assist.jp/data/china/image_1904th/79507705.pdf", "79507705")</f>
        <v>79507705</v>
      </c>
      <c r="F1098" s="11" t="s">
        <v>3213</v>
      </c>
      <c r="G1098" s="11" t="s">
        <v>3214</v>
      </c>
      <c r="H1098" s="11" t="s">
        <v>3215</v>
      </c>
      <c r="I1098" s="11" t="s">
        <v>2981</v>
      </c>
    </row>
    <row r="1099" spans="1:9" x14ac:dyDescent="0.15">
      <c r="A1099" s="10">
        <v>1098</v>
      </c>
      <c r="B1099" s="11" t="s">
        <v>9</v>
      </c>
      <c r="C1099" s="11" t="s">
        <v>170</v>
      </c>
      <c r="D1099" s="11" t="s">
        <v>171</v>
      </c>
      <c r="E1099" s="9" t="str">
        <f>+HYPERLINK("http://trademark.i-assist.jp/data/china/image_1904th/79507872.pdf", "79507872")</f>
        <v>79507872</v>
      </c>
      <c r="F1099" s="11" t="s">
        <v>3216</v>
      </c>
      <c r="G1099" s="11" t="s">
        <v>3217</v>
      </c>
      <c r="H1099" s="11" t="s">
        <v>3218</v>
      </c>
      <c r="I1099" s="11" t="s">
        <v>2981</v>
      </c>
    </row>
    <row r="1100" spans="1:9" x14ac:dyDescent="0.15">
      <c r="A1100" s="10">
        <v>1099</v>
      </c>
      <c r="B1100" s="11" t="s">
        <v>9</v>
      </c>
      <c r="C1100" s="11" t="s">
        <v>170</v>
      </c>
      <c r="D1100" s="11" t="s">
        <v>171</v>
      </c>
      <c r="E1100" s="9" t="str">
        <f>+HYPERLINK("http://trademark.i-assist.jp/data/china/image_1904th/79507883.pdf", "79507883")</f>
        <v>79507883</v>
      </c>
      <c r="F1100" s="11" t="s">
        <v>3219</v>
      </c>
      <c r="G1100" s="11" t="s">
        <v>3134</v>
      </c>
      <c r="H1100" s="11" t="s">
        <v>3220</v>
      </c>
      <c r="I1100" s="11" t="s">
        <v>2981</v>
      </c>
    </row>
    <row r="1101" spans="1:9" x14ac:dyDescent="0.15">
      <c r="A1101" s="10">
        <v>1100</v>
      </c>
      <c r="B1101" s="11" t="s">
        <v>9</v>
      </c>
      <c r="C1101" s="11" t="s">
        <v>170</v>
      </c>
      <c r="D1101" s="11" t="s">
        <v>171</v>
      </c>
      <c r="E1101" s="9" t="str">
        <f>+HYPERLINK("http://trademark.i-assist.jp/data/china/image_1904th/79508176.pdf", "79508176")</f>
        <v>79508176</v>
      </c>
      <c r="F1101" s="11" t="s">
        <v>3221</v>
      </c>
      <c r="G1101" s="11" t="s">
        <v>3222</v>
      </c>
      <c r="H1101" s="11" t="s">
        <v>3223</v>
      </c>
      <c r="I1101" s="11" t="s">
        <v>2981</v>
      </c>
    </row>
    <row r="1102" spans="1:9" x14ac:dyDescent="0.15">
      <c r="A1102" s="10">
        <v>1101</v>
      </c>
      <c r="B1102" s="11" t="s">
        <v>9</v>
      </c>
      <c r="C1102" s="11" t="s">
        <v>170</v>
      </c>
      <c r="D1102" s="11" t="s">
        <v>171</v>
      </c>
      <c r="E1102" s="9" t="str">
        <f>+HYPERLINK("http://trademark.i-assist.jp/data/china/image_1904th/79508250.pdf", "79508250")</f>
        <v>79508250</v>
      </c>
      <c r="F1102" s="11" t="s">
        <v>3224</v>
      </c>
      <c r="G1102" s="11" t="s">
        <v>3225</v>
      </c>
      <c r="H1102" s="11" t="s">
        <v>3226</v>
      </c>
      <c r="I1102" s="11" t="s">
        <v>2981</v>
      </c>
    </row>
    <row r="1103" spans="1:9" x14ac:dyDescent="0.15">
      <c r="A1103" s="10">
        <v>1102</v>
      </c>
      <c r="B1103" s="11" t="s">
        <v>9</v>
      </c>
      <c r="C1103" s="11" t="s">
        <v>170</v>
      </c>
      <c r="D1103" s="11" t="s">
        <v>171</v>
      </c>
      <c r="E1103" s="9" t="str">
        <f>+HYPERLINK("http://trademark.i-assist.jp/data/china/image_1904th/79508291.pdf", "79508291")</f>
        <v>79508291</v>
      </c>
      <c r="F1103" s="11" t="s">
        <v>3227</v>
      </c>
      <c r="G1103" s="11" t="s">
        <v>3228</v>
      </c>
      <c r="H1103" s="11" t="s">
        <v>3229</v>
      </c>
      <c r="I1103" s="11" t="s">
        <v>2981</v>
      </c>
    </row>
    <row r="1104" spans="1:9" x14ac:dyDescent="0.15">
      <c r="A1104" s="10">
        <v>1103</v>
      </c>
      <c r="B1104" s="11" t="s">
        <v>9</v>
      </c>
      <c r="C1104" s="11" t="s">
        <v>170</v>
      </c>
      <c r="D1104" s="11" t="s">
        <v>171</v>
      </c>
      <c r="E1104" s="9" t="str">
        <f>+HYPERLINK("http://trademark.i-assist.jp/data/china/image_1904th/79508683.pdf", "79508683")</f>
        <v>79508683</v>
      </c>
      <c r="F1104" s="11" t="s">
        <v>3230</v>
      </c>
      <c r="G1104" s="11" t="s">
        <v>3119</v>
      </c>
      <c r="H1104" s="11" t="s">
        <v>3231</v>
      </c>
      <c r="I1104" s="11" t="s">
        <v>2981</v>
      </c>
    </row>
    <row r="1105" spans="1:9" x14ac:dyDescent="0.15">
      <c r="A1105" s="10">
        <v>1104</v>
      </c>
      <c r="B1105" s="11" t="s">
        <v>9</v>
      </c>
      <c r="C1105" s="11" t="s">
        <v>170</v>
      </c>
      <c r="D1105" s="11" t="s">
        <v>171</v>
      </c>
      <c r="E1105" s="9" t="str">
        <f>+HYPERLINK("http://trademark.i-assist.jp/data/china/image_1904th/79509020.pdf", "79509020")</f>
        <v>79509020</v>
      </c>
      <c r="F1105" s="11" t="s">
        <v>3232</v>
      </c>
      <c r="G1105" s="11" t="s">
        <v>2983</v>
      </c>
      <c r="H1105" s="11" t="s">
        <v>3233</v>
      </c>
      <c r="I1105" s="11" t="s">
        <v>2981</v>
      </c>
    </row>
    <row r="1106" spans="1:9" x14ac:dyDescent="0.15">
      <c r="A1106" s="10">
        <v>1105</v>
      </c>
      <c r="B1106" s="11" t="s">
        <v>9</v>
      </c>
      <c r="C1106" s="11" t="s">
        <v>170</v>
      </c>
      <c r="D1106" s="11" t="s">
        <v>171</v>
      </c>
      <c r="E1106" s="9" t="str">
        <f>+HYPERLINK("http://trademark.i-assist.jp/data/china/image_1904th/79509066.pdf", "79509066")</f>
        <v>79509066</v>
      </c>
      <c r="F1106" s="11" t="s">
        <v>3234</v>
      </c>
      <c r="G1106" s="11" t="s">
        <v>3235</v>
      </c>
      <c r="H1106" s="11" t="s">
        <v>3236</v>
      </c>
      <c r="I1106" s="11" t="s">
        <v>2981</v>
      </c>
    </row>
    <row r="1107" spans="1:9" x14ac:dyDescent="0.15">
      <c r="A1107" s="10">
        <v>1106</v>
      </c>
      <c r="B1107" s="11" t="s">
        <v>9</v>
      </c>
      <c r="C1107" s="11" t="s">
        <v>170</v>
      </c>
      <c r="D1107" s="11" t="s">
        <v>171</v>
      </c>
      <c r="E1107" s="9" t="str">
        <f>+HYPERLINK("http://trademark.i-assist.jp/data/china/image_1904th/79509071.pdf", "79509071")</f>
        <v>79509071</v>
      </c>
      <c r="F1107" s="11" t="s">
        <v>3237</v>
      </c>
      <c r="G1107" s="11" t="s">
        <v>3238</v>
      </c>
      <c r="H1107" s="11" t="s">
        <v>3239</v>
      </c>
      <c r="I1107" s="11" t="s">
        <v>2981</v>
      </c>
    </row>
    <row r="1108" spans="1:9" x14ac:dyDescent="0.15">
      <c r="A1108" s="10">
        <v>1107</v>
      </c>
      <c r="B1108" s="11" t="s">
        <v>9</v>
      </c>
      <c r="C1108" s="11" t="s">
        <v>170</v>
      </c>
      <c r="D1108" s="11" t="s">
        <v>171</v>
      </c>
      <c r="E1108" s="9" t="str">
        <f>+HYPERLINK("http://trademark.i-assist.jp/data/china/image_1904th/79509531.pdf", "79509531")</f>
        <v>79509531</v>
      </c>
      <c r="F1108" s="11" t="s">
        <v>3240</v>
      </c>
      <c r="G1108" s="11" t="s">
        <v>1646</v>
      </c>
      <c r="H1108" s="11" t="s">
        <v>3241</v>
      </c>
      <c r="I1108" s="11" t="s">
        <v>2981</v>
      </c>
    </row>
    <row r="1109" spans="1:9" x14ac:dyDescent="0.15">
      <c r="A1109" s="10">
        <v>1108</v>
      </c>
      <c r="B1109" s="11" t="s">
        <v>9</v>
      </c>
      <c r="C1109" s="11" t="s">
        <v>170</v>
      </c>
      <c r="D1109" s="11" t="s">
        <v>171</v>
      </c>
      <c r="E1109" s="9" t="str">
        <f>+HYPERLINK("http://trademark.i-assist.jp/data/china/image_1904th/79509594.pdf", "79509594")</f>
        <v>79509594</v>
      </c>
      <c r="F1109" s="11" t="s">
        <v>3242</v>
      </c>
      <c r="G1109" s="11" t="s">
        <v>3087</v>
      </c>
      <c r="H1109" s="11" t="s">
        <v>3243</v>
      </c>
      <c r="I1109" s="11" t="s">
        <v>2981</v>
      </c>
    </row>
    <row r="1110" spans="1:9" x14ac:dyDescent="0.15">
      <c r="A1110" s="10">
        <v>1109</v>
      </c>
      <c r="B1110" s="11" t="s">
        <v>9</v>
      </c>
      <c r="C1110" s="11" t="s">
        <v>170</v>
      </c>
      <c r="D1110" s="11" t="s">
        <v>171</v>
      </c>
      <c r="E1110" s="9" t="str">
        <f>+HYPERLINK("http://trademark.i-assist.jp/data/china/image_1904th/79509931.pdf", "79509931")</f>
        <v>79509931</v>
      </c>
      <c r="F1110" s="11" t="s">
        <v>3244</v>
      </c>
      <c r="G1110" s="11" t="s">
        <v>3087</v>
      </c>
      <c r="H1110" s="11" t="s">
        <v>3245</v>
      </c>
      <c r="I1110" s="11" t="s">
        <v>2981</v>
      </c>
    </row>
    <row r="1111" spans="1:9" x14ac:dyDescent="0.15">
      <c r="A1111" s="10">
        <v>1110</v>
      </c>
      <c r="B1111" s="11" t="s">
        <v>9</v>
      </c>
      <c r="C1111" s="11" t="s">
        <v>170</v>
      </c>
      <c r="D1111" s="11" t="s">
        <v>171</v>
      </c>
      <c r="E1111" s="9" t="str">
        <f>+HYPERLINK("http://trademark.i-assist.jp/data/china/image_1904th/79509984.pdf", "79509984")</f>
        <v>79509984</v>
      </c>
      <c r="F1111" s="11" t="s">
        <v>3246</v>
      </c>
      <c r="G1111" s="11" t="s">
        <v>3087</v>
      </c>
      <c r="H1111" s="11" t="s">
        <v>3247</v>
      </c>
      <c r="I1111" s="11" t="s">
        <v>2981</v>
      </c>
    </row>
    <row r="1112" spans="1:9" x14ac:dyDescent="0.15">
      <c r="A1112" s="10">
        <v>1111</v>
      </c>
      <c r="B1112" s="11" t="s">
        <v>9</v>
      </c>
      <c r="C1112" s="11" t="s">
        <v>170</v>
      </c>
      <c r="D1112" s="11" t="s">
        <v>171</v>
      </c>
      <c r="E1112" s="9" t="str">
        <f>+HYPERLINK("http://trademark.i-assist.jp/data/china/image_1904th/79510611.pdf", "79510611")</f>
        <v>79510611</v>
      </c>
      <c r="F1112" s="11" t="s">
        <v>3248</v>
      </c>
      <c r="G1112" s="11" t="s">
        <v>3119</v>
      </c>
      <c r="H1112" s="11" t="s">
        <v>3249</v>
      </c>
      <c r="I1112" s="11" t="s">
        <v>2981</v>
      </c>
    </row>
    <row r="1113" spans="1:9" x14ac:dyDescent="0.15">
      <c r="A1113" s="10">
        <v>1112</v>
      </c>
      <c r="B1113" s="11" t="s">
        <v>9</v>
      </c>
      <c r="C1113" s="11" t="s">
        <v>170</v>
      </c>
      <c r="D1113" s="11" t="s">
        <v>171</v>
      </c>
      <c r="E1113" s="9" t="str">
        <f>+HYPERLINK("http://trademark.i-assist.jp/data/china/image_1904th/79511296.pdf", "79511296")</f>
        <v>79511296</v>
      </c>
      <c r="F1113" s="11" t="s">
        <v>3250</v>
      </c>
      <c r="G1113" s="11" t="s">
        <v>3251</v>
      </c>
      <c r="H1113" s="11" t="s">
        <v>3252</v>
      </c>
      <c r="I1113" s="11" t="s">
        <v>2981</v>
      </c>
    </row>
    <row r="1114" spans="1:9" x14ac:dyDescent="0.15">
      <c r="A1114" s="10">
        <v>1113</v>
      </c>
      <c r="B1114" s="11" t="s">
        <v>9</v>
      </c>
      <c r="C1114" s="11" t="s">
        <v>170</v>
      </c>
      <c r="D1114" s="11" t="s">
        <v>171</v>
      </c>
      <c r="E1114" s="9" t="str">
        <f>+HYPERLINK("http://trademark.i-assist.jp/data/china/image_1904th/79511301.pdf", "79511301")</f>
        <v>79511301</v>
      </c>
      <c r="F1114" s="11" t="s">
        <v>3253</v>
      </c>
      <c r="G1114" s="11" t="s">
        <v>3254</v>
      </c>
      <c r="H1114" s="11" t="s">
        <v>3255</v>
      </c>
      <c r="I1114" s="11" t="s">
        <v>2981</v>
      </c>
    </row>
    <row r="1115" spans="1:9" x14ac:dyDescent="0.15">
      <c r="A1115" s="10">
        <v>1114</v>
      </c>
      <c r="B1115" s="11" t="s">
        <v>9</v>
      </c>
      <c r="C1115" s="11" t="s">
        <v>170</v>
      </c>
      <c r="D1115" s="11" t="s">
        <v>171</v>
      </c>
      <c r="E1115" s="9" t="str">
        <f>+HYPERLINK("http://trademark.i-assist.jp/data/china/image_1904th/79511507.pdf", "79511507")</f>
        <v>79511507</v>
      </c>
      <c r="F1115" s="11" t="s">
        <v>12</v>
      </c>
      <c r="G1115" s="11" t="s">
        <v>3012</v>
      </c>
      <c r="H1115" s="11" t="s">
        <v>3256</v>
      </c>
      <c r="I1115" s="11" t="s">
        <v>2981</v>
      </c>
    </row>
    <row r="1116" spans="1:9" x14ac:dyDescent="0.15">
      <c r="A1116" s="10">
        <v>1115</v>
      </c>
      <c r="B1116" s="11" t="s">
        <v>9</v>
      </c>
      <c r="C1116" s="11" t="s">
        <v>170</v>
      </c>
      <c r="D1116" s="11" t="s">
        <v>171</v>
      </c>
      <c r="E1116" s="9" t="str">
        <f>+HYPERLINK("http://trademark.i-assist.jp/data/china/image_1904th/79511774.pdf", "79511774")</f>
        <v>79511774</v>
      </c>
      <c r="F1116" s="11" t="s">
        <v>3257</v>
      </c>
      <c r="G1116" s="11" t="s">
        <v>3258</v>
      </c>
      <c r="H1116" s="11" t="s">
        <v>3259</v>
      </c>
      <c r="I1116" s="11" t="s">
        <v>2981</v>
      </c>
    </row>
    <row r="1117" spans="1:9" x14ac:dyDescent="0.15">
      <c r="A1117" s="10">
        <v>1116</v>
      </c>
      <c r="B1117" s="11" t="s">
        <v>9</v>
      </c>
      <c r="C1117" s="11" t="s">
        <v>170</v>
      </c>
      <c r="D1117" s="11" t="s">
        <v>171</v>
      </c>
      <c r="E1117" s="9" t="str">
        <f>+HYPERLINK("http://trademark.i-assist.jp/data/china/image_1904th/79511842.pdf", "79511842")</f>
        <v>79511842</v>
      </c>
      <c r="F1117" s="11" t="s">
        <v>3260</v>
      </c>
      <c r="G1117" s="11" t="s">
        <v>3261</v>
      </c>
      <c r="H1117" s="11" t="s">
        <v>3262</v>
      </c>
      <c r="I1117" s="11" t="s">
        <v>2981</v>
      </c>
    </row>
    <row r="1118" spans="1:9" x14ac:dyDescent="0.15">
      <c r="A1118" s="10">
        <v>1117</v>
      </c>
      <c r="B1118" s="11" t="s">
        <v>9</v>
      </c>
      <c r="C1118" s="11" t="s">
        <v>170</v>
      </c>
      <c r="D1118" s="11" t="s">
        <v>171</v>
      </c>
      <c r="E1118" s="9" t="str">
        <f>+HYPERLINK("http://trademark.i-assist.jp/data/china/image_1904th/79511966.pdf", "79511966")</f>
        <v>79511966</v>
      </c>
      <c r="F1118" s="11" t="s">
        <v>3263</v>
      </c>
      <c r="G1118" s="11" t="s">
        <v>3264</v>
      </c>
      <c r="H1118" s="11" t="s">
        <v>3265</v>
      </c>
      <c r="I1118" s="11" t="s">
        <v>2981</v>
      </c>
    </row>
    <row r="1119" spans="1:9" x14ac:dyDescent="0.15">
      <c r="A1119" s="10">
        <v>1118</v>
      </c>
      <c r="B1119" s="11" t="s">
        <v>9</v>
      </c>
      <c r="C1119" s="11" t="s">
        <v>170</v>
      </c>
      <c r="D1119" s="11" t="s">
        <v>171</v>
      </c>
      <c r="E1119" s="9" t="str">
        <f>+HYPERLINK("http://trademark.i-assist.jp/data/china/image_1904th/79512552.pdf", "79512552")</f>
        <v>79512552</v>
      </c>
      <c r="F1119" s="11" t="s">
        <v>3266</v>
      </c>
      <c r="G1119" s="11" t="s">
        <v>3267</v>
      </c>
      <c r="H1119" s="11" t="s">
        <v>3268</v>
      </c>
      <c r="I1119" s="11" t="s">
        <v>2981</v>
      </c>
    </row>
    <row r="1120" spans="1:9" x14ac:dyDescent="0.15">
      <c r="A1120" s="10">
        <v>1119</v>
      </c>
      <c r="B1120" s="11" t="s">
        <v>9</v>
      </c>
      <c r="C1120" s="11" t="s">
        <v>170</v>
      </c>
      <c r="D1120" s="11" t="s">
        <v>171</v>
      </c>
      <c r="E1120" s="9" t="str">
        <f>+HYPERLINK("http://trademark.i-assist.jp/data/china/image_1904th/79512559.pdf", "79512559")</f>
        <v>79512559</v>
      </c>
      <c r="F1120" s="11" t="s">
        <v>3269</v>
      </c>
      <c r="G1120" s="11" t="s">
        <v>3119</v>
      </c>
      <c r="H1120" s="11" t="s">
        <v>3270</v>
      </c>
      <c r="I1120" s="11" t="s">
        <v>2981</v>
      </c>
    </row>
    <row r="1121" spans="1:9" x14ac:dyDescent="0.15">
      <c r="A1121" s="10">
        <v>1120</v>
      </c>
      <c r="B1121" s="11" t="s">
        <v>9</v>
      </c>
      <c r="C1121" s="11" t="s">
        <v>170</v>
      </c>
      <c r="D1121" s="11" t="s">
        <v>171</v>
      </c>
      <c r="E1121" s="9" t="str">
        <f>+HYPERLINK("http://trademark.i-assist.jp/data/china/image_1904th/79512627.pdf", "79512627")</f>
        <v>79512627</v>
      </c>
      <c r="F1121" s="11" t="s">
        <v>3271</v>
      </c>
      <c r="G1121" s="11" t="s">
        <v>3272</v>
      </c>
      <c r="H1121" s="11" t="s">
        <v>3273</v>
      </c>
      <c r="I1121" s="11" t="s">
        <v>2981</v>
      </c>
    </row>
    <row r="1122" spans="1:9" x14ac:dyDescent="0.15">
      <c r="A1122" s="10">
        <v>1121</v>
      </c>
      <c r="B1122" s="11" t="s">
        <v>9</v>
      </c>
      <c r="C1122" s="11" t="s">
        <v>170</v>
      </c>
      <c r="D1122" s="11" t="s">
        <v>171</v>
      </c>
      <c r="E1122" s="9" t="str">
        <f>+HYPERLINK("http://trademark.i-assist.jp/data/china/image_1904th/79512870.pdf", "79512870")</f>
        <v>79512870</v>
      </c>
      <c r="F1122" s="11" t="s">
        <v>3274</v>
      </c>
      <c r="G1122" s="11" t="s">
        <v>3275</v>
      </c>
      <c r="H1122" s="11" t="s">
        <v>3276</v>
      </c>
      <c r="I1122" s="11" t="s">
        <v>2981</v>
      </c>
    </row>
    <row r="1123" spans="1:9" x14ac:dyDescent="0.15">
      <c r="A1123" s="10">
        <v>1122</v>
      </c>
      <c r="B1123" s="11" t="s">
        <v>9</v>
      </c>
      <c r="C1123" s="11" t="s">
        <v>170</v>
      </c>
      <c r="D1123" s="11" t="s">
        <v>171</v>
      </c>
      <c r="E1123" s="9" t="str">
        <f>+HYPERLINK("http://trademark.i-assist.jp/data/china/image_1904th/79512983.pdf", "79512983")</f>
        <v>79512983</v>
      </c>
      <c r="F1123" s="11" t="s">
        <v>3277</v>
      </c>
      <c r="G1123" s="11" t="s">
        <v>3069</v>
      </c>
      <c r="H1123" s="11" t="s">
        <v>3278</v>
      </c>
      <c r="I1123" s="11" t="s">
        <v>2981</v>
      </c>
    </row>
    <row r="1124" spans="1:9" x14ac:dyDescent="0.15">
      <c r="A1124" s="10">
        <v>1123</v>
      </c>
      <c r="B1124" s="11" t="s">
        <v>9</v>
      </c>
      <c r="C1124" s="11" t="s">
        <v>170</v>
      </c>
      <c r="D1124" s="11" t="s">
        <v>171</v>
      </c>
      <c r="E1124" s="9" t="str">
        <f>+HYPERLINK("http://trademark.i-assist.jp/data/china/image_1904th/79513089.pdf", "79513089")</f>
        <v>79513089</v>
      </c>
      <c r="F1124" s="11" t="s">
        <v>3279</v>
      </c>
      <c r="G1124" s="11" t="s">
        <v>3280</v>
      </c>
      <c r="H1124" s="11" t="s">
        <v>3281</v>
      </c>
      <c r="I1124" s="11" t="s">
        <v>2981</v>
      </c>
    </row>
    <row r="1125" spans="1:9" x14ac:dyDescent="0.15">
      <c r="A1125" s="10">
        <v>1124</v>
      </c>
      <c r="B1125" s="11" t="s">
        <v>9</v>
      </c>
      <c r="C1125" s="11" t="s">
        <v>170</v>
      </c>
      <c r="D1125" s="11" t="s">
        <v>171</v>
      </c>
      <c r="E1125" s="9" t="str">
        <f>+HYPERLINK("http://trademark.i-assist.jp/data/china/image_1904th/79513238.pdf", "79513238")</f>
        <v>79513238</v>
      </c>
      <c r="F1125" s="11" t="s">
        <v>3282</v>
      </c>
      <c r="G1125" s="11" t="s">
        <v>1304</v>
      </c>
      <c r="H1125" s="11" t="s">
        <v>3283</v>
      </c>
      <c r="I1125" s="11" t="s">
        <v>2981</v>
      </c>
    </row>
    <row r="1126" spans="1:9" x14ac:dyDescent="0.15">
      <c r="A1126" s="10">
        <v>1125</v>
      </c>
      <c r="B1126" s="11" t="s">
        <v>9</v>
      </c>
      <c r="C1126" s="11" t="s">
        <v>170</v>
      </c>
      <c r="D1126" s="11" t="s">
        <v>171</v>
      </c>
      <c r="E1126" s="9" t="str">
        <f>+HYPERLINK("http://trademark.i-assist.jp/data/china/image_1904th/79513514.pdf", "79513514")</f>
        <v>79513514</v>
      </c>
      <c r="F1126" s="11" t="s">
        <v>3284</v>
      </c>
      <c r="G1126" s="11" t="s">
        <v>3087</v>
      </c>
      <c r="H1126" s="11" t="s">
        <v>3285</v>
      </c>
      <c r="I1126" s="11" t="s">
        <v>2981</v>
      </c>
    </row>
    <row r="1127" spans="1:9" x14ac:dyDescent="0.15">
      <c r="A1127" s="10">
        <v>1126</v>
      </c>
      <c r="B1127" s="11" t="s">
        <v>9</v>
      </c>
      <c r="C1127" s="11" t="s">
        <v>170</v>
      </c>
      <c r="D1127" s="11" t="s">
        <v>171</v>
      </c>
      <c r="E1127" s="9" t="str">
        <f>+HYPERLINK("http://trademark.i-assist.jp/data/china/image_1904th/79513698.pdf", "79513698")</f>
        <v>79513698</v>
      </c>
      <c r="F1127" s="11" t="s">
        <v>3286</v>
      </c>
      <c r="G1127" s="11" t="s">
        <v>3287</v>
      </c>
      <c r="H1127" s="11" t="s">
        <v>3288</v>
      </c>
      <c r="I1127" s="11" t="s">
        <v>2981</v>
      </c>
    </row>
    <row r="1128" spans="1:9" x14ac:dyDescent="0.15">
      <c r="A1128" s="10">
        <v>1127</v>
      </c>
      <c r="B1128" s="11" t="s">
        <v>9</v>
      </c>
      <c r="C1128" s="11" t="s">
        <v>170</v>
      </c>
      <c r="D1128" s="11" t="s">
        <v>171</v>
      </c>
      <c r="E1128" s="9" t="str">
        <f>+HYPERLINK("http://trademark.i-assist.jp/data/china/image_1904th/79513878.pdf", "79513878")</f>
        <v>79513878</v>
      </c>
      <c r="F1128" s="11" t="s">
        <v>3289</v>
      </c>
      <c r="G1128" s="11" t="s">
        <v>3290</v>
      </c>
      <c r="H1128" s="11" t="s">
        <v>3291</v>
      </c>
      <c r="I1128" s="11" t="s">
        <v>2981</v>
      </c>
    </row>
    <row r="1129" spans="1:9" x14ac:dyDescent="0.15">
      <c r="A1129" s="10">
        <v>1128</v>
      </c>
      <c r="B1129" s="11" t="s">
        <v>9</v>
      </c>
      <c r="C1129" s="11" t="s">
        <v>170</v>
      </c>
      <c r="D1129" s="11" t="s">
        <v>171</v>
      </c>
      <c r="E1129" s="9" t="str">
        <f>+HYPERLINK("http://trademark.i-assist.jp/data/china/image_1904th/79513916.pdf", "79513916")</f>
        <v>79513916</v>
      </c>
      <c r="F1129" s="11" t="s">
        <v>3292</v>
      </c>
      <c r="G1129" s="11" t="s">
        <v>3293</v>
      </c>
      <c r="H1129" s="11" t="s">
        <v>3294</v>
      </c>
      <c r="I1129" s="11" t="s">
        <v>2981</v>
      </c>
    </row>
    <row r="1130" spans="1:9" x14ac:dyDescent="0.15">
      <c r="A1130" s="10">
        <v>1129</v>
      </c>
      <c r="B1130" s="11" t="s">
        <v>9</v>
      </c>
      <c r="C1130" s="11" t="s">
        <v>170</v>
      </c>
      <c r="D1130" s="11" t="s">
        <v>171</v>
      </c>
      <c r="E1130" s="9" t="str">
        <f>+HYPERLINK("http://trademark.i-assist.jp/data/china/image_1904th/79513957.pdf", "79513957")</f>
        <v>79513957</v>
      </c>
      <c r="F1130" s="11" t="s">
        <v>3295</v>
      </c>
      <c r="G1130" s="11" t="s">
        <v>3296</v>
      </c>
      <c r="H1130" s="11" t="s">
        <v>3297</v>
      </c>
      <c r="I1130" s="11" t="s">
        <v>2981</v>
      </c>
    </row>
    <row r="1131" spans="1:9" x14ac:dyDescent="0.15">
      <c r="A1131" s="10">
        <v>1130</v>
      </c>
      <c r="B1131" s="11" t="s">
        <v>9</v>
      </c>
      <c r="C1131" s="11" t="s">
        <v>170</v>
      </c>
      <c r="D1131" s="11" t="s">
        <v>171</v>
      </c>
      <c r="E1131" s="9" t="str">
        <f>+HYPERLINK("http://trademark.i-assist.jp/data/china/image_1904th/79514321.pdf", "79514321")</f>
        <v>79514321</v>
      </c>
      <c r="F1131" s="11" t="s">
        <v>3298</v>
      </c>
      <c r="G1131" s="11" t="s">
        <v>3299</v>
      </c>
      <c r="H1131" s="11" t="s">
        <v>3300</v>
      </c>
      <c r="I1131" s="11" t="s">
        <v>2981</v>
      </c>
    </row>
    <row r="1132" spans="1:9" x14ac:dyDescent="0.15">
      <c r="A1132" s="10">
        <v>1131</v>
      </c>
      <c r="B1132" s="11" t="s">
        <v>9</v>
      </c>
      <c r="C1132" s="11" t="s">
        <v>170</v>
      </c>
      <c r="D1132" s="11" t="s">
        <v>171</v>
      </c>
      <c r="E1132" s="9" t="str">
        <f>+HYPERLINK("http://trademark.i-assist.jp/data/china/image_1904th/79514669.pdf", "79514669")</f>
        <v>79514669</v>
      </c>
      <c r="F1132" s="11" t="s">
        <v>3301</v>
      </c>
      <c r="G1132" s="11" t="s">
        <v>3302</v>
      </c>
      <c r="H1132" s="11" t="s">
        <v>3303</v>
      </c>
      <c r="I1132" s="11" t="s">
        <v>2981</v>
      </c>
    </row>
    <row r="1133" spans="1:9" x14ac:dyDescent="0.15">
      <c r="A1133" s="10">
        <v>1132</v>
      </c>
      <c r="B1133" s="11" t="s">
        <v>9</v>
      </c>
      <c r="C1133" s="11" t="s">
        <v>170</v>
      </c>
      <c r="D1133" s="11" t="s">
        <v>171</v>
      </c>
      <c r="E1133" s="9" t="str">
        <f>+HYPERLINK("http://trademark.i-assist.jp/data/china/image_1904th/79515337.pdf", "79515337")</f>
        <v>79515337</v>
      </c>
      <c r="F1133" s="11" t="s">
        <v>3304</v>
      </c>
      <c r="G1133" s="11" t="s">
        <v>3305</v>
      </c>
      <c r="H1133" s="11" t="s">
        <v>3306</v>
      </c>
      <c r="I1133" s="11" t="s">
        <v>3307</v>
      </c>
    </row>
    <row r="1134" spans="1:9" x14ac:dyDescent="0.15">
      <c r="A1134" s="10">
        <v>1133</v>
      </c>
      <c r="B1134" s="11" t="s">
        <v>9</v>
      </c>
      <c r="C1134" s="11" t="s">
        <v>170</v>
      </c>
      <c r="D1134" s="11" t="s">
        <v>171</v>
      </c>
      <c r="E1134" s="9" t="str">
        <f>+HYPERLINK("http://trademark.i-assist.jp/data/china/image_1904th/79516058.pdf", "79516058")</f>
        <v>79516058</v>
      </c>
      <c r="F1134" s="11" t="s">
        <v>3308</v>
      </c>
      <c r="G1134" s="11" t="s">
        <v>3309</v>
      </c>
      <c r="H1134" s="11" t="s">
        <v>3310</v>
      </c>
      <c r="I1134" s="11" t="s">
        <v>3307</v>
      </c>
    </row>
    <row r="1135" spans="1:9" x14ac:dyDescent="0.15">
      <c r="A1135" s="10">
        <v>1134</v>
      </c>
      <c r="B1135" s="11" t="s">
        <v>9</v>
      </c>
      <c r="C1135" s="11" t="s">
        <v>170</v>
      </c>
      <c r="D1135" s="11" t="s">
        <v>171</v>
      </c>
      <c r="E1135" s="9" t="str">
        <f>+HYPERLINK("http://trademark.i-assist.jp/data/china/image_1904th/79516133.pdf", "79516133")</f>
        <v>79516133</v>
      </c>
      <c r="F1135" s="11" t="s">
        <v>3311</v>
      </c>
      <c r="G1135" s="11" t="s">
        <v>3312</v>
      </c>
      <c r="H1135" s="11" t="s">
        <v>3313</v>
      </c>
      <c r="I1135" s="11" t="s">
        <v>3307</v>
      </c>
    </row>
    <row r="1136" spans="1:9" x14ac:dyDescent="0.15">
      <c r="A1136" s="10">
        <v>1135</v>
      </c>
      <c r="B1136" s="11" t="s">
        <v>9</v>
      </c>
      <c r="C1136" s="11" t="s">
        <v>170</v>
      </c>
      <c r="D1136" s="11" t="s">
        <v>171</v>
      </c>
      <c r="E1136" s="9" t="str">
        <f>+HYPERLINK("http://trademark.i-assist.jp/data/china/image_1904th/79516335.pdf", "79516335")</f>
        <v>79516335</v>
      </c>
      <c r="F1136" s="11" t="s">
        <v>3314</v>
      </c>
      <c r="G1136" s="11" t="s">
        <v>3315</v>
      </c>
      <c r="H1136" s="11" t="s">
        <v>3316</v>
      </c>
      <c r="I1136" s="11" t="s">
        <v>3307</v>
      </c>
    </row>
    <row r="1137" spans="1:9" x14ac:dyDescent="0.15">
      <c r="A1137" s="10">
        <v>1136</v>
      </c>
      <c r="B1137" s="11" t="s">
        <v>9</v>
      </c>
      <c r="C1137" s="11" t="s">
        <v>170</v>
      </c>
      <c r="D1137" s="11" t="s">
        <v>171</v>
      </c>
      <c r="E1137" s="9" t="str">
        <f>+HYPERLINK("http://trademark.i-assist.jp/data/china/image_1904th/79516435.pdf", "79516435")</f>
        <v>79516435</v>
      </c>
      <c r="F1137" s="11" t="s">
        <v>3317</v>
      </c>
      <c r="G1137" s="11" t="s">
        <v>3318</v>
      </c>
      <c r="H1137" s="11" t="s">
        <v>3319</v>
      </c>
      <c r="I1137" s="11" t="s">
        <v>3307</v>
      </c>
    </row>
    <row r="1138" spans="1:9" x14ac:dyDescent="0.15">
      <c r="A1138" s="10">
        <v>1137</v>
      </c>
      <c r="B1138" s="11" t="s">
        <v>9</v>
      </c>
      <c r="C1138" s="11" t="s">
        <v>170</v>
      </c>
      <c r="D1138" s="11" t="s">
        <v>171</v>
      </c>
      <c r="E1138" s="9" t="str">
        <f>+HYPERLINK("http://trademark.i-assist.jp/data/china/image_1904th/79516498.pdf", "79516498")</f>
        <v>79516498</v>
      </c>
      <c r="F1138" s="11" t="s">
        <v>3320</v>
      </c>
      <c r="G1138" s="11" t="s">
        <v>3321</v>
      </c>
      <c r="H1138" s="11" t="s">
        <v>3322</v>
      </c>
      <c r="I1138" s="11" t="s">
        <v>3307</v>
      </c>
    </row>
    <row r="1139" spans="1:9" x14ac:dyDescent="0.15">
      <c r="A1139" s="10">
        <v>1138</v>
      </c>
      <c r="B1139" s="11" t="s">
        <v>9</v>
      </c>
      <c r="C1139" s="11" t="s">
        <v>170</v>
      </c>
      <c r="D1139" s="11" t="s">
        <v>171</v>
      </c>
      <c r="E1139" s="9" t="str">
        <f>+HYPERLINK("http://trademark.i-assist.jp/data/china/image_1904th/79516575.pdf", "79516575")</f>
        <v>79516575</v>
      </c>
      <c r="F1139" s="11" t="s">
        <v>3323</v>
      </c>
      <c r="G1139" s="11" t="s">
        <v>3324</v>
      </c>
      <c r="H1139" s="11" t="s">
        <v>3325</v>
      </c>
      <c r="I1139" s="11" t="s">
        <v>3307</v>
      </c>
    </row>
    <row r="1140" spans="1:9" x14ac:dyDescent="0.15">
      <c r="A1140" s="10">
        <v>1139</v>
      </c>
      <c r="B1140" s="11" t="s">
        <v>9</v>
      </c>
      <c r="C1140" s="11" t="s">
        <v>170</v>
      </c>
      <c r="D1140" s="11" t="s">
        <v>171</v>
      </c>
      <c r="E1140" s="9" t="str">
        <f>+HYPERLINK("http://trademark.i-assist.jp/data/china/image_1904th/79516815.pdf", "79516815")</f>
        <v>79516815</v>
      </c>
      <c r="F1140" s="11" t="s">
        <v>3326</v>
      </c>
      <c r="G1140" s="11" t="s">
        <v>3327</v>
      </c>
      <c r="H1140" s="11" t="s">
        <v>3328</v>
      </c>
      <c r="I1140" s="11" t="s">
        <v>3307</v>
      </c>
    </row>
    <row r="1141" spans="1:9" x14ac:dyDescent="0.15">
      <c r="A1141" s="10">
        <v>1140</v>
      </c>
      <c r="B1141" s="11" t="s">
        <v>9</v>
      </c>
      <c r="C1141" s="11" t="s">
        <v>170</v>
      </c>
      <c r="D1141" s="11" t="s">
        <v>171</v>
      </c>
      <c r="E1141" s="9" t="str">
        <f>+HYPERLINK("http://trademark.i-assist.jp/data/china/image_1904th/79517225.pdf", "79517225")</f>
        <v>79517225</v>
      </c>
      <c r="F1141" s="11" t="s">
        <v>3329</v>
      </c>
      <c r="G1141" s="11" t="s">
        <v>3312</v>
      </c>
      <c r="H1141" s="11" t="s">
        <v>3330</v>
      </c>
      <c r="I1141" s="11" t="s">
        <v>3307</v>
      </c>
    </row>
    <row r="1142" spans="1:9" x14ac:dyDescent="0.15">
      <c r="A1142" s="10">
        <v>1141</v>
      </c>
      <c r="B1142" s="11" t="s">
        <v>9</v>
      </c>
      <c r="C1142" s="11" t="s">
        <v>170</v>
      </c>
      <c r="D1142" s="11" t="s">
        <v>171</v>
      </c>
      <c r="E1142" s="9" t="str">
        <f>+HYPERLINK("http://trademark.i-assist.jp/data/china/image_1904th/79518157.pdf", "79518157")</f>
        <v>79518157</v>
      </c>
      <c r="F1142" s="11" t="s">
        <v>3331</v>
      </c>
      <c r="G1142" s="11" t="s">
        <v>3332</v>
      </c>
      <c r="H1142" s="11" t="s">
        <v>3333</v>
      </c>
      <c r="I1142" s="11" t="s">
        <v>3307</v>
      </c>
    </row>
    <row r="1143" spans="1:9" x14ac:dyDescent="0.15">
      <c r="A1143" s="10">
        <v>1142</v>
      </c>
      <c r="B1143" s="11" t="s">
        <v>9</v>
      </c>
      <c r="C1143" s="11" t="s">
        <v>170</v>
      </c>
      <c r="D1143" s="11" t="s">
        <v>171</v>
      </c>
      <c r="E1143" s="9" t="str">
        <f>+HYPERLINK("http://trademark.i-assist.jp/data/china/image_1904th/79518330.pdf", "79518330")</f>
        <v>79518330</v>
      </c>
      <c r="F1143" s="11" t="s">
        <v>3304</v>
      </c>
      <c r="G1143" s="11" t="s">
        <v>3305</v>
      </c>
      <c r="H1143" s="11" t="s">
        <v>3334</v>
      </c>
      <c r="I1143" s="11" t="s">
        <v>3307</v>
      </c>
    </row>
    <row r="1144" spans="1:9" x14ac:dyDescent="0.15">
      <c r="A1144" s="10">
        <v>1143</v>
      </c>
      <c r="B1144" s="11" t="s">
        <v>9</v>
      </c>
      <c r="C1144" s="11" t="s">
        <v>170</v>
      </c>
      <c r="D1144" s="11" t="s">
        <v>171</v>
      </c>
      <c r="E1144" s="9" t="str">
        <f>+HYPERLINK("http://trademark.i-assist.jp/data/china/image_1904th/79518652.pdf", "79518652")</f>
        <v>79518652</v>
      </c>
      <c r="F1144" s="11" t="s">
        <v>3335</v>
      </c>
      <c r="G1144" s="11" t="s">
        <v>3336</v>
      </c>
      <c r="H1144" s="11" t="s">
        <v>3337</v>
      </c>
      <c r="I1144" s="11" t="s">
        <v>3307</v>
      </c>
    </row>
    <row r="1145" spans="1:9" x14ac:dyDescent="0.15">
      <c r="A1145" s="10">
        <v>1144</v>
      </c>
      <c r="B1145" s="11" t="s">
        <v>9</v>
      </c>
      <c r="C1145" s="11" t="s">
        <v>170</v>
      </c>
      <c r="D1145" s="11" t="s">
        <v>171</v>
      </c>
      <c r="E1145" s="9" t="str">
        <f>+HYPERLINK("http://trademark.i-assist.jp/data/china/image_1904th/79519066.pdf", "79519066")</f>
        <v>79519066</v>
      </c>
      <c r="F1145" s="11" t="s">
        <v>3338</v>
      </c>
      <c r="G1145" s="11" t="s">
        <v>3339</v>
      </c>
      <c r="H1145" s="11" t="s">
        <v>3340</v>
      </c>
      <c r="I1145" s="11" t="s">
        <v>3307</v>
      </c>
    </row>
    <row r="1146" spans="1:9" x14ac:dyDescent="0.15">
      <c r="A1146" s="10">
        <v>1145</v>
      </c>
      <c r="B1146" s="11" t="s">
        <v>9</v>
      </c>
      <c r="C1146" s="11" t="s">
        <v>170</v>
      </c>
      <c r="D1146" s="11" t="s">
        <v>171</v>
      </c>
      <c r="E1146" s="9" t="str">
        <f>+HYPERLINK("http://trademark.i-assist.jp/data/china/image_1904th/79519380.pdf", "79519380")</f>
        <v>79519380</v>
      </c>
      <c r="F1146" s="11" t="s">
        <v>12</v>
      </c>
      <c r="G1146" s="11" t="s">
        <v>3341</v>
      </c>
      <c r="H1146" s="11" t="s">
        <v>3342</v>
      </c>
      <c r="I1146" s="11" t="s">
        <v>3307</v>
      </c>
    </row>
    <row r="1147" spans="1:9" x14ac:dyDescent="0.15">
      <c r="A1147" s="10">
        <v>1146</v>
      </c>
      <c r="B1147" s="11" t="s">
        <v>9</v>
      </c>
      <c r="C1147" s="11" t="s">
        <v>170</v>
      </c>
      <c r="D1147" s="11" t="s">
        <v>171</v>
      </c>
      <c r="E1147" s="9" t="str">
        <f>+HYPERLINK("http://trademark.i-assist.jp/data/china/image_1904th/79519773.pdf", "79519773")</f>
        <v>79519773</v>
      </c>
      <c r="F1147" s="11" t="s">
        <v>3343</v>
      </c>
      <c r="G1147" s="11" t="s">
        <v>3344</v>
      </c>
      <c r="H1147" s="11" t="s">
        <v>3345</v>
      </c>
      <c r="I1147" s="11" t="s">
        <v>3307</v>
      </c>
    </row>
    <row r="1148" spans="1:9" x14ac:dyDescent="0.15">
      <c r="A1148" s="10">
        <v>1147</v>
      </c>
      <c r="B1148" s="11" t="s">
        <v>9</v>
      </c>
      <c r="C1148" s="11" t="s">
        <v>170</v>
      </c>
      <c r="D1148" s="11" t="s">
        <v>171</v>
      </c>
      <c r="E1148" s="9" t="str">
        <f>+HYPERLINK("http://trademark.i-assist.jp/data/china/image_1904th/79520834.pdf", "79520834")</f>
        <v>79520834</v>
      </c>
      <c r="F1148" s="11" t="s">
        <v>3346</v>
      </c>
      <c r="G1148" s="11" t="s">
        <v>3347</v>
      </c>
      <c r="H1148" s="11" t="s">
        <v>3348</v>
      </c>
      <c r="I1148" s="11" t="s">
        <v>3307</v>
      </c>
    </row>
    <row r="1149" spans="1:9" x14ac:dyDescent="0.15">
      <c r="A1149" s="10">
        <v>1148</v>
      </c>
      <c r="B1149" s="11" t="s">
        <v>9</v>
      </c>
      <c r="C1149" s="11" t="s">
        <v>170</v>
      </c>
      <c r="D1149" s="11" t="s">
        <v>171</v>
      </c>
      <c r="E1149" s="9" t="str">
        <f>+HYPERLINK("http://trademark.i-assist.jp/data/china/image_1904th/79520979.pdf", "79520979")</f>
        <v>79520979</v>
      </c>
      <c r="F1149" s="11" t="s">
        <v>3304</v>
      </c>
      <c r="G1149" s="11" t="s">
        <v>3305</v>
      </c>
      <c r="H1149" s="11" t="s">
        <v>3349</v>
      </c>
      <c r="I1149" s="11" t="s">
        <v>3307</v>
      </c>
    </row>
    <row r="1150" spans="1:9" x14ac:dyDescent="0.15">
      <c r="A1150" s="10">
        <v>1149</v>
      </c>
      <c r="B1150" s="11" t="s">
        <v>9</v>
      </c>
      <c r="C1150" s="11" t="s">
        <v>170</v>
      </c>
      <c r="D1150" s="11" t="s">
        <v>171</v>
      </c>
      <c r="E1150" s="9" t="str">
        <f>+HYPERLINK("http://trademark.i-assist.jp/data/china/image_1904th/79521899.pdf", "79521899")</f>
        <v>79521899</v>
      </c>
      <c r="F1150" s="11" t="s">
        <v>3350</v>
      </c>
      <c r="G1150" s="11" t="s">
        <v>2623</v>
      </c>
      <c r="H1150" s="11" t="s">
        <v>3351</v>
      </c>
      <c r="I1150" s="11" t="s">
        <v>3307</v>
      </c>
    </row>
    <row r="1151" spans="1:9" x14ac:dyDescent="0.15">
      <c r="A1151" s="10">
        <v>1150</v>
      </c>
      <c r="B1151" s="11" t="s">
        <v>9</v>
      </c>
      <c r="C1151" s="11" t="s">
        <v>170</v>
      </c>
      <c r="D1151" s="11" t="s">
        <v>171</v>
      </c>
      <c r="E1151" s="9" t="str">
        <f>+HYPERLINK("http://trademark.i-assist.jp/data/china/image_1904th/79521925.pdf", "79521925")</f>
        <v>79521925</v>
      </c>
      <c r="F1151" s="11" t="s">
        <v>3352</v>
      </c>
      <c r="G1151" s="11" t="s">
        <v>3353</v>
      </c>
      <c r="H1151" s="11" t="s">
        <v>3354</v>
      </c>
      <c r="I1151" s="11" t="s">
        <v>3307</v>
      </c>
    </row>
    <row r="1152" spans="1:9" x14ac:dyDescent="0.15">
      <c r="A1152" s="10">
        <v>1151</v>
      </c>
      <c r="B1152" s="11" t="s">
        <v>9</v>
      </c>
      <c r="C1152" s="11" t="s">
        <v>170</v>
      </c>
      <c r="D1152" s="11" t="s">
        <v>171</v>
      </c>
      <c r="E1152" s="9" t="str">
        <f>+HYPERLINK("http://trademark.i-assist.jp/data/china/image_1904th/79522179.pdf", "79522179")</f>
        <v>79522179</v>
      </c>
      <c r="F1152" s="11" t="s">
        <v>3355</v>
      </c>
      <c r="G1152" s="11" t="s">
        <v>3356</v>
      </c>
      <c r="H1152" s="11" t="s">
        <v>3357</v>
      </c>
      <c r="I1152" s="11" t="s">
        <v>3307</v>
      </c>
    </row>
    <row r="1153" spans="1:9" x14ac:dyDescent="0.15">
      <c r="A1153" s="10">
        <v>1152</v>
      </c>
      <c r="B1153" s="11" t="s">
        <v>9</v>
      </c>
      <c r="C1153" s="11" t="s">
        <v>170</v>
      </c>
      <c r="D1153" s="11" t="s">
        <v>171</v>
      </c>
      <c r="E1153" s="9" t="str">
        <f>+HYPERLINK("http://trademark.i-assist.jp/data/china/image_1904th/79522293.pdf", "79522293")</f>
        <v>79522293</v>
      </c>
      <c r="F1153" s="11" t="s">
        <v>3358</v>
      </c>
      <c r="G1153" s="11" t="s">
        <v>3359</v>
      </c>
      <c r="H1153" s="11" t="s">
        <v>3360</v>
      </c>
      <c r="I1153" s="11" t="s">
        <v>3361</v>
      </c>
    </row>
    <row r="1154" spans="1:9" x14ac:dyDescent="0.15">
      <c r="A1154" s="10">
        <v>1153</v>
      </c>
      <c r="B1154" s="11" t="s">
        <v>9</v>
      </c>
      <c r="C1154" s="11" t="s">
        <v>170</v>
      </c>
      <c r="D1154" s="11" t="s">
        <v>171</v>
      </c>
      <c r="E1154" s="9" t="str">
        <f>+HYPERLINK("http://trademark.i-assist.jp/data/china/image_1904th/79522297.pdf", "79522297")</f>
        <v>79522297</v>
      </c>
      <c r="F1154" s="11" t="s">
        <v>3362</v>
      </c>
      <c r="G1154" s="11" t="s">
        <v>145</v>
      </c>
      <c r="H1154" s="11" t="s">
        <v>3363</v>
      </c>
      <c r="I1154" s="11" t="s">
        <v>3361</v>
      </c>
    </row>
    <row r="1155" spans="1:9" x14ac:dyDescent="0.15">
      <c r="A1155" s="10">
        <v>1154</v>
      </c>
      <c r="B1155" s="11" t="s">
        <v>9</v>
      </c>
      <c r="C1155" s="11" t="s">
        <v>170</v>
      </c>
      <c r="D1155" s="11" t="s">
        <v>171</v>
      </c>
      <c r="E1155" s="9" t="str">
        <f>+HYPERLINK("http://trademark.i-assist.jp/data/china/image_1904th/79522465.pdf", "79522465")</f>
        <v>79522465</v>
      </c>
      <c r="F1155" s="11" t="s">
        <v>3364</v>
      </c>
      <c r="G1155" s="11" t="s">
        <v>3365</v>
      </c>
      <c r="H1155" s="11" t="s">
        <v>3366</v>
      </c>
      <c r="I1155" s="11" t="s">
        <v>3361</v>
      </c>
    </row>
    <row r="1156" spans="1:9" x14ac:dyDescent="0.15">
      <c r="A1156" s="10">
        <v>1155</v>
      </c>
      <c r="B1156" s="11" t="s">
        <v>9</v>
      </c>
      <c r="C1156" s="11" t="s">
        <v>170</v>
      </c>
      <c r="D1156" s="11" t="s">
        <v>171</v>
      </c>
      <c r="E1156" s="9" t="str">
        <f>+HYPERLINK("http://trademark.i-assist.jp/data/china/image_1904th/79522537.pdf", "79522537")</f>
        <v>79522537</v>
      </c>
      <c r="F1156" s="11" t="s">
        <v>3367</v>
      </c>
      <c r="G1156" s="11" t="s">
        <v>3368</v>
      </c>
      <c r="H1156" s="11" t="s">
        <v>3369</v>
      </c>
      <c r="I1156" s="11" t="s">
        <v>3361</v>
      </c>
    </row>
    <row r="1157" spans="1:9" x14ac:dyDescent="0.15">
      <c r="A1157" s="10">
        <v>1156</v>
      </c>
      <c r="B1157" s="11" t="s">
        <v>9</v>
      </c>
      <c r="C1157" s="11" t="s">
        <v>170</v>
      </c>
      <c r="D1157" s="11" t="s">
        <v>171</v>
      </c>
      <c r="E1157" s="9" t="str">
        <f>+HYPERLINK("http://trademark.i-assist.jp/data/china/image_1904th/79522598.pdf", "79522598")</f>
        <v>79522598</v>
      </c>
      <c r="F1157" s="11" t="s">
        <v>3370</v>
      </c>
      <c r="G1157" s="11" t="s">
        <v>3371</v>
      </c>
      <c r="H1157" s="11" t="s">
        <v>3372</v>
      </c>
      <c r="I1157" s="11" t="s">
        <v>3361</v>
      </c>
    </row>
    <row r="1158" spans="1:9" x14ac:dyDescent="0.15">
      <c r="A1158" s="10">
        <v>1157</v>
      </c>
      <c r="B1158" s="11" t="s">
        <v>9</v>
      </c>
      <c r="C1158" s="11" t="s">
        <v>170</v>
      </c>
      <c r="D1158" s="11" t="s">
        <v>171</v>
      </c>
      <c r="E1158" s="9" t="str">
        <f>+HYPERLINK("http://trademark.i-assist.jp/data/china/image_1904th/79522836.pdf", "79522836")</f>
        <v>79522836</v>
      </c>
      <c r="F1158" s="11" t="s">
        <v>3373</v>
      </c>
      <c r="G1158" s="11" t="s">
        <v>3374</v>
      </c>
      <c r="H1158" s="11" t="s">
        <v>3375</v>
      </c>
      <c r="I1158" s="11" t="s">
        <v>3361</v>
      </c>
    </row>
    <row r="1159" spans="1:9" x14ac:dyDescent="0.15">
      <c r="A1159" s="10">
        <v>1158</v>
      </c>
      <c r="B1159" s="11" t="s">
        <v>9</v>
      </c>
      <c r="C1159" s="11" t="s">
        <v>170</v>
      </c>
      <c r="D1159" s="11" t="s">
        <v>171</v>
      </c>
      <c r="E1159" s="9" t="str">
        <f>+HYPERLINK("http://trademark.i-assist.jp/data/china/image_1904th/79522961.pdf", "79522961")</f>
        <v>79522961</v>
      </c>
      <c r="F1159" s="11" t="s">
        <v>3376</v>
      </c>
      <c r="G1159" s="11" t="s">
        <v>3377</v>
      </c>
      <c r="H1159" s="11" t="s">
        <v>3378</v>
      </c>
      <c r="I1159" s="11" t="s">
        <v>3361</v>
      </c>
    </row>
    <row r="1160" spans="1:9" x14ac:dyDescent="0.15">
      <c r="A1160" s="10">
        <v>1159</v>
      </c>
      <c r="B1160" s="11" t="s">
        <v>9</v>
      </c>
      <c r="C1160" s="11" t="s">
        <v>170</v>
      </c>
      <c r="D1160" s="11" t="s">
        <v>171</v>
      </c>
      <c r="E1160" s="9" t="str">
        <f>+HYPERLINK("http://trademark.i-assist.jp/data/china/image_1904th/79522963.pdf", "79522963")</f>
        <v>79522963</v>
      </c>
      <c r="F1160" s="11" t="s">
        <v>3379</v>
      </c>
      <c r="G1160" s="11" t="s">
        <v>3380</v>
      </c>
      <c r="H1160" s="11" t="s">
        <v>3381</v>
      </c>
      <c r="I1160" s="11" t="s">
        <v>3361</v>
      </c>
    </row>
    <row r="1161" spans="1:9" x14ac:dyDescent="0.15">
      <c r="A1161" s="10">
        <v>1160</v>
      </c>
      <c r="B1161" s="11" t="s">
        <v>9</v>
      </c>
      <c r="C1161" s="11" t="s">
        <v>170</v>
      </c>
      <c r="D1161" s="11" t="s">
        <v>171</v>
      </c>
      <c r="E1161" s="9" t="str">
        <f>+HYPERLINK("http://trademark.i-assist.jp/data/china/image_1904th/79523135.pdf", "79523135")</f>
        <v>79523135</v>
      </c>
      <c r="F1161" s="11" t="s">
        <v>3382</v>
      </c>
      <c r="G1161" s="11" t="s">
        <v>3383</v>
      </c>
      <c r="H1161" s="11" t="s">
        <v>3384</v>
      </c>
      <c r="I1161" s="11" t="s">
        <v>3361</v>
      </c>
    </row>
    <row r="1162" spans="1:9" x14ac:dyDescent="0.15">
      <c r="A1162" s="10">
        <v>1161</v>
      </c>
      <c r="B1162" s="11" t="s">
        <v>9</v>
      </c>
      <c r="C1162" s="11" t="s">
        <v>170</v>
      </c>
      <c r="D1162" s="11" t="s">
        <v>171</v>
      </c>
      <c r="E1162" s="9" t="str">
        <f>+HYPERLINK("http://trademark.i-assist.jp/data/china/image_1904th/79523336.pdf", "79523336")</f>
        <v>79523336</v>
      </c>
      <c r="F1162" s="11" t="s">
        <v>3385</v>
      </c>
      <c r="G1162" s="11" t="s">
        <v>3383</v>
      </c>
      <c r="H1162" s="11" t="s">
        <v>3386</v>
      </c>
      <c r="I1162" s="11" t="s">
        <v>3361</v>
      </c>
    </row>
    <row r="1163" spans="1:9" x14ac:dyDescent="0.15">
      <c r="A1163" s="10">
        <v>1162</v>
      </c>
      <c r="B1163" s="11" t="s">
        <v>9</v>
      </c>
      <c r="C1163" s="11" t="s">
        <v>170</v>
      </c>
      <c r="D1163" s="11" t="s">
        <v>171</v>
      </c>
      <c r="E1163" s="9" t="str">
        <f>+HYPERLINK("http://trademark.i-assist.jp/data/china/image_1904th/79523339.pdf", "79523339")</f>
        <v>79523339</v>
      </c>
      <c r="F1163" s="11" t="s">
        <v>3387</v>
      </c>
      <c r="G1163" s="11" t="s">
        <v>3383</v>
      </c>
      <c r="H1163" s="11" t="s">
        <v>3388</v>
      </c>
      <c r="I1163" s="11" t="s">
        <v>3361</v>
      </c>
    </row>
    <row r="1164" spans="1:9" x14ac:dyDescent="0.15">
      <c r="A1164" s="10">
        <v>1163</v>
      </c>
      <c r="B1164" s="11" t="s">
        <v>9</v>
      </c>
      <c r="C1164" s="11" t="s">
        <v>170</v>
      </c>
      <c r="D1164" s="11" t="s">
        <v>171</v>
      </c>
      <c r="E1164" s="9" t="str">
        <f>+HYPERLINK("http://trademark.i-assist.jp/data/china/image_1904th/79523340.pdf", "79523340")</f>
        <v>79523340</v>
      </c>
      <c r="F1164" s="11" t="s">
        <v>3389</v>
      </c>
      <c r="G1164" s="11" t="s">
        <v>3383</v>
      </c>
      <c r="H1164" s="11" t="s">
        <v>3390</v>
      </c>
      <c r="I1164" s="11" t="s">
        <v>3361</v>
      </c>
    </row>
    <row r="1165" spans="1:9" x14ac:dyDescent="0.15">
      <c r="A1165" s="10">
        <v>1164</v>
      </c>
      <c r="B1165" s="11" t="s">
        <v>9</v>
      </c>
      <c r="C1165" s="11" t="s">
        <v>170</v>
      </c>
      <c r="D1165" s="11" t="s">
        <v>171</v>
      </c>
      <c r="E1165" s="9" t="str">
        <f>+HYPERLINK("http://trademark.i-assist.jp/data/china/image_1904th/79523544.pdf", "79523544")</f>
        <v>79523544</v>
      </c>
      <c r="F1165" s="11" t="s">
        <v>3391</v>
      </c>
      <c r="G1165" s="11" t="s">
        <v>130</v>
      </c>
      <c r="H1165" s="11" t="s">
        <v>3392</v>
      </c>
      <c r="I1165" s="11" t="s">
        <v>3361</v>
      </c>
    </row>
    <row r="1166" spans="1:9" x14ac:dyDescent="0.15">
      <c r="A1166" s="10">
        <v>1165</v>
      </c>
      <c r="B1166" s="11" t="s">
        <v>9</v>
      </c>
      <c r="C1166" s="11" t="s">
        <v>170</v>
      </c>
      <c r="D1166" s="11" t="s">
        <v>171</v>
      </c>
      <c r="E1166" s="9" t="str">
        <f>+HYPERLINK("http://trademark.i-assist.jp/data/china/image_1904th/79523577.pdf", "79523577")</f>
        <v>79523577</v>
      </c>
      <c r="F1166" s="11" t="s">
        <v>3393</v>
      </c>
      <c r="G1166" s="11" t="s">
        <v>3394</v>
      </c>
      <c r="H1166" s="11" t="s">
        <v>3395</v>
      </c>
      <c r="I1166" s="11" t="s">
        <v>3361</v>
      </c>
    </row>
    <row r="1167" spans="1:9" x14ac:dyDescent="0.15">
      <c r="A1167" s="10">
        <v>1166</v>
      </c>
      <c r="B1167" s="11" t="s">
        <v>9</v>
      </c>
      <c r="C1167" s="11" t="s">
        <v>170</v>
      </c>
      <c r="D1167" s="11" t="s">
        <v>171</v>
      </c>
      <c r="E1167" s="9" t="str">
        <f>+HYPERLINK("http://trademark.i-assist.jp/data/china/image_1904th/79523883.pdf", "79523883")</f>
        <v>79523883</v>
      </c>
      <c r="F1167" s="11" t="s">
        <v>3396</v>
      </c>
      <c r="G1167" s="11" t="s">
        <v>3397</v>
      </c>
      <c r="H1167" s="11" t="s">
        <v>3398</v>
      </c>
      <c r="I1167" s="11" t="s">
        <v>3361</v>
      </c>
    </row>
    <row r="1168" spans="1:9" x14ac:dyDescent="0.15">
      <c r="A1168" s="10">
        <v>1167</v>
      </c>
      <c r="B1168" s="11" t="s">
        <v>9</v>
      </c>
      <c r="C1168" s="11" t="s">
        <v>170</v>
      </c>
      <c r="D1168" s="11" t="s">
        <v>171</v>
      </c>
      <c r="E1168" s="9" t="str">
        <f>+HYPERLINK("http://trademark.i-assist.jp/data/china/image_1904th/79523910.pdf", "79523910")</f>
        <v>79523910</v>
      </c>
      <c r="F1168" s="11" t="s">
        <v>3399</v>
      </c>
      <c r="G1168" s="11" t="s">
        <v>3400</v>
      </c>
      <c r="H1168" s="11" t="s">
        <v>3401</v>
      </c>
      <c r="I1168" s="11" t="s">
        <v>3361</v>
      </c>
    </row>
    <row r="1169" spans="1:9" x14ac:dyDescent="0.15">
      <c r="A1169" s="10">
        <v>1168</v>
      </c>
      <c r="B1169" s="11" t="s">
        <v>9</v>
      </c>
      <c r="C1169" s="11" t="s">
        <v>170</v>
      </c>
      <c r="D1169" s="11" t="s">
        <v>171</v>
      </c>
      <c r="E1169" s="9" t="str">
        <f>+HYPERLINK("http://trademark.i-assist.jp/data/china/image_1904th/79523958.pdf", "79523958")</f>
        <v>79523958</v>
      </c>
      <c r="F1169" s="11" t="s">
        <v>3402</v>
      </c>
      <c r="G1169" s="11" t="s">
        <v>3374</v>
      </c>
      <c r="H1169" s="11" t="s">
        <v>3403</v>
      </c>
      <c r="I1169" s="11" t="s">
        <v>3361</v>
      </c>
    </row>
    <row r="1170" spans="1:9" x14ac:dyDescent="0.15">
      <c r="A1170" s="10">
        <v>1169</v>
      </c>
      <c r="B1170" s="11" t="s">
        <v>9</v>
      </c>
      <c r="C1170" s="11" t="s">
        <v>170</v>
      </c>
      <c r="D1170" s="11" t="s">
        <v>171</v>
      </c>
      <c r="E1170" s="9" t="str">
        <f>+HYPERLINK("http://trademark.i-assist.jp/data/china/image_1904th/79524066.pdf", "79524066")</f>
        <v>79524066</v>
      </c>
      <c r="F1170" s="11" t="s">
        <v>3404</v>
      </c>
      <c r="G1170" s="11" t="s">
        <v>3405</v>
      </c>
      <c r="H1170" s="11" t="s">
        <v>3406</v>
      </c>
      <c r="I1170" s="11" t="s">
        <v>3361</v>
      </c>
    </row>
    <row r="1171" spans="1:9" x14ac:dyDescent="0.15">
      <c r="A1171" s="10">
        <v>1170</v>
      </c>
      <c r="B1171" s="11" t="s">
        <v>9</v>
      </c>
      <c r="C1171" s="11" t="s">
        <v>170</v>
      </c>
      <c r="D1171" s="11" t="s">
        <v>171</v>
      </c>
      <c r="E1171" s="9" t="str">
        <f>+HYPERLINK("http://trademark.i-assist.jp/data/china/image_1904th/79524195.pdf", "79524195")</f>
        <v>79524195</v>
      </c>
      <c r="F1171" s="11" t="s">
        <v>3407</v>
      </c>
      <c r="G1171" s="11" t="s">
        <v>3408</v>
      </c>
      <c r="H1171" s="11" t="s">
        <v>3409</v>
      </c>
      <c r="I1171" s="11" t="s">
        <v>3361</v>
      </c>
    </row>
    <row r="1172" spans="1:9" x14ac:dyDescent="0.15">
      <c r="A1172" s="10">
        <v>1171</v>
      </c>
      <c r="B1172" s="11" t="s">
        <v>9</v>
      </c>
      <c r="C1172" s="11" t="s">
        <v>170</v>
      </c>
      <c r="D1172" s="11" t="s">
        <v>171</v>
      </c>
      <c r="E1172" s="9" t="str">
        <f>+HYPERLINK("http://trademark.i-assist.jp/data/china/image_1904th/79524301.pdf", "79524301")</f>
        <v>79524301</v>
      </c>
      <c r="F1172" s="11" t="s">
        <v>3410</v>
      </c>
      <c r="G1172" s="11" t="s">
        <v>3411</v>
      </c>
      <c r="H1172" s="11" t="s">
        <v>3412</v>
      </c>
      <c r="I1172" s="11" t="s">
        <v>3361</v>
      </c>
    </row>
    <row r="1173" spans="1:9" x14ac:dyDescent="0.15">
      <c r="A1173" s="10">
        <v>1172</v>
      </c>
      <c r="B1173" s="11" t="s">
        <v>9</v>
      </c>
      <c r="C1173" s="11" t="s">
        <v>170</v>
      </c>
      <c r="D1173" s="11" t="s">
        <v>171</v>
      </c>
      <c r="E1173" s="9" t="str">
        <f>+HYPERLINK("http://trademark.i-assist.jp/data/china/image_1904th/79524512.pdf", "79524512")</f>
        <v>79524512</v>
      </c>
      <c r="F1173" s="11" t="s">
        <v>3413</v>
      </c>
      <c r="G1173" s="11" t="s">
        <v>3414</v>
      </c>
      <c r="H1173" s="11" t="s">
        <v>3415</v>
      </c>
      <c r="I1173" s="11" t="s">
        <v>3361</v>
      </c>
    </row>
    <row r="1174" spans="1:9" x14ac:dyDescent="0.15">
      <c r="A1174" s="10">
        <v>1173</v>
      </c>
      <c r="B1174" s="11" t="s">
        <v>9</v>
      </c>
      <c r="C1174" s="11" t="s">
        <v>170</v>
      </c>
      <c r="D1174" s="11" t="s">
        <v>171</v>
      </c>
      <c r="E1174" s="9" t="str">
        <f>+HYPERLINK("http://trademark.i-assist.jp/data/china/image_1904th/79524828.pdf", "79524828")</f>
        <v>79524828</v>
      </c>
      <c r="F1174" s="11" t="s">
        <v>3416</v>
      </c>
      <c r="G1174" s="11" t="s">
        <v>3383</v>
      </c>
      <c r="H1174" s="11" t="s">
        <v>3417</v>
      </c>
      <c r="I1174" s="11" t="s">
        <v>3361</v>
      </c>
    </row>
    <row r="1175" spans="1:9" x14ac:dyDescent="0.15">
      <c r="A1175" s="10">
        <v>1174</v>
      </c>
      <c r="B1175" s="11" t="s">
        <v>9</v>
      </c>
      <c r="C1175" s="11" t="s">
        <v>170</v>
      </c>
      <c r="D1175" s="11" t="s">
        <v>171</v>
      </c>
      <c r="E1175" s="9" t="str">
        <f>+HYPERLINK("http://trademark.i-assist.jp/data/china/image_1904th/79525008.pdf", "79525008")</f>
        <v>79525008</v>
      </c>
      <c r="F1175" s="11" t="s">
        <v>3418</v>
      </c>
      <c r="G1175" s="11" t="s">
        <v>3419</v>
      </c>
      <c r="H1175" s="11" t="s">
        <v>3420</v>
      </c>
      <c r="I1175" s="11" t="s">
        <v>3361</v>
      </c>
    </row>
    <row r="1176" spans="1:9" x14ac:dyDescent="0.15">
      <c r="A1176" s="10">
        <v>1175</v>
      </c>
      <c r="B1176" s="11" t="s">
        <v>9</v>
      </c>
      <c r="C1176" s="11" t="s">
        <v>170</v>
      </c>
      <c r="D1176" s="11" t="s">
        <v>171</v>
      </c>
      <c r="E1176" s="9" t="str">
        <f>+HYPERLINK("http://trademark.i-assist.jp/data/china/image_1904th/79525105.pdf", "79525105")</f>
        <v>79525105</v>
      </c>
      <c r="F1176" s="11" t="s">
        <v>3421</v>
      </c>
      <c r="G1176" s="11" t="s">
        <v>3422</v>
      </c>
      <c r="H1176" s="11" t="s">
        <v>3423</v>
      </c>
      <c r="I1176" s="11" t="s">
        <v>3361</v>
      </c>
    </row>
    <row r="1177" spans="1:9" x14ac:dyDescent="0.15">
      <c r="A1177" s="10">
        <v>1176</v>
      </c>
      <c r="B1177" s="11" t="s">
        <v>9</v>
      </c>
      <c r="C1177" s="11" t="s">
        <v>170</v>
      </c>
      <c r="D1177" s="11" t="s">
        <v>171</v>
      </c>
      <c r="E1177" s="9" t="str">
        <f>+HYPERLINK("http://trademark.i-assist.jp/data/china/image_1904th/79525165.pdf", "79525165")</f>
        <v>79525165</v>
      </c>
      <c r="F1177" s="11" t="s">
        <v>3424</v>
      </c>
      <c r="G1177" s="11" t="s">
        <v>3425</v>
      </c>
      <c r="H1177" s="11" t="s">
        <v>3426</v>
      </c>
      <c r="I1177" s="11" t="s">
        <v>3361</v>
      </c>
    </row>
    <row r="1178" spans="1:9" x14ac:dyDescent="0.15">
      <c r="A1178" s="10">
        <v>1177</v>
      </c>
      <c r="B1178" s="11" t="s">
        <v>9</v>
      </c>
      <c r="C1178" s="11" t="s">
        <v>170</v>
      </c>
      <c r="D1178" s="11" t="s">
        <v>171</v>
      </c>
      <c r="E1178" s="9" t="str">
        <f>+HYPERLINK("http://trademark.i-assist.jp/data/china/image_1904th/79525413.pdf", "79525413")</f>
        <v>79525413</v>
      </c>
      <c r="F1178" s="11" t="s">
        <v>3427</v>
      </c>
      <c r="G1178" s="11" t="s">
        <v>3428</v>
      </c>
      <c r="H1178" s="11" t="s">
        <v>3429</v>
      </c>
      <c r="I1178" s="11" t="s">
        <v>3361</v>
      </c>
    </row>
    <row r="1179" spans="1:9" x14ac:dyDescent="0.15">
      <c r="A1179" s="10">
        <v>1178</v>
      </c>
      <c r="B1179" s="11" t="s">
        <v>9</v>
      </c>
      <c r="C1179" s="11" t="s">
        <v>170</v>
      </c>
      <c r="D1179" s="11" t="s">
        <v>171</v>
      </c>
      <c r="E1179" s="9" t="str">
        <f>+HYPERLINK("http://trademark.i-assist.jp/data/china/image_1904th/79525513.pdf", "79525513")</f>
        <v>79525513</v>
      </c>
      <c r="F1179" s="11" t="s">
        <v>3430</v>
      </c>
      <c r="G1179" s="11" t="s">
        <v>3431</v>
      </c>
      <c r="H1179" s="11" t="s">
        <v>3432</v>
      </c>
      <c r="I1179" s="11" t="s">
        <v>3361</v>
      </c>
    </row>
    <row r="1180" spans="1:9" x14ac:dyDescent="0.15">
      <c r="A1180" s="10">
        <v>1179</v>
      </c>
      <c r="B1180" s="11" t="s">
        <v>9</v>
      </c>
      <c r="C1180" s="11" t="s">
        <v>170</v>
      </c>
      <c r="D1180" s="11" t="s">
        <v>171</v>
      </c>
      <c r="E1180" s="9" t="str">
        <f>+HYPERLINK("http://trademark.i-assist.jp/data/china/image_1904th/79526663.pdf", "79526663")</f>
        <v>79526663</v>
      </c>
      <c r="F1180" s="11" t="s">
        <v>3433</v>
      </c>
      <c r="G1180" s="11" t="s">
        <v>3434</v>
      </c>
      <c r="H1180" s="11" t="s">
        <v>3435</v>
      </c>
      <c r="I1180" s="11" t="s">
        <v>3436</v>
      </c>
    </row>
    <row r="1181" spans="1:9" x14ac:dyDescent="0.15">
      <c r="A1181" s="10">
        <v>1180</v>
      </c>
      <c r="B1181" s="11" t="s">
        <v>9</v>
      </c>
      <c r="C1181" s="11" t="s">
        <v>170</v>
      </c>
      <c r="D1181" s="11" t="s">
        <v>171</v>
      </c>
      <c r="E1181" s="9" t="str">
        <f>+HYPERLINK("http://trademark.i-assist.jp/data/china/image_1904th/79526696.pdf", "79526696")</f>
        <v>79526696</v>
      </c>
      <c r="F1181" s="11" t="s">
        <v>3437</v>
      </c>
      <c r="G1181" s="11" t="s">
        <v>3434</v>
      </c>
      <c r="H1181" s="11" t="s">
        <v>3438</v>
      </c>
      <c r="I1181" s="11" t="s">
        <v>3436</v>
      </c>
    </row>
    <row r="1182" spans="1:9" x14ac:dyDescent="0.15">
      <c r="A1182" s="10">
        <v>1181</v>
      </c>
      <c r="B1182" s="11" t="s">
        <v>9</v>
      </c>
      <c r="C1182" s="11" t="s">
        <v>170</v>
      </c>
      <c r="D1182" s="11" t="s">
        <v>171</v>
      </c>
      <c r="E1182" s="9" t="str">
        <f>+HYPERLINK("http://trademark.i-assist.jp/data/china/image_1904th/79526959.pdf", "79526959")</f>
        <v>79526959</v>
      </c>
      <c r="F1182" s="11" t="s">
        <v>3439</v>
      </c>
      <c r="G1182" s="11" t="s">
        <v>3440</v>
      </c>
      <c r="H1182" s="11" t="s">
        <v>3441</v>
      </c>
      <c r="I1182" s="11" t="s">
        <v>3436</v>
      </c>
    </row>
    <row r="1183" spans="1:9" x14ac:dyDescent="0.15">
      <c r="A1183" s="10">
        <v>1182</v>
      </c>
      <c r="B1183" s="11" t="s">
        <v>9</v>
      </c>
      <c r="C1183" s="11" t="s">
        <v>170</v>
      </c>
      <c r="D1183" s="11" t="s">
        <v>171</v>
      </c>
      <c r="E1183" s="9" t="str">
        <f>+HYPERLINK("http://trademark.i-assist.jp/data/china/image_1904th/79528235.pdf", "79528235")</f>
        <v>79528235</v>
      </c>
      <c r="F1183" s="11" t="s">
        <v>3442</v>
      </c>
      <c r="G1183" s="11" t="s">
        <v>3443</v>
      </c>
      <c r="H1183" s="11" t="s">
        <v>3444</v>
      </c>
      <c r="I1183" s="11" t="s">
        <v>3436</v>
      </c>
    </row>
    <row r="1184" spans="1:9" x14ac:dyDescent="0.15">
      <c r="A1184" s="10">
        <v>1183</v>
      </c>
      <c r="B1184" s="11" t="s">
        <v>9</v>
      </c>
      <c r="C1184" s="11" t="s">
        <v>170</v>
      </c>
      <c r="D1184" s="11" t="s">
        <v>171</v>
      </c>
      <c r="E1184" s="9" t="str">
        <f>+HYPERLINK("http://trademark.i-assist.jp/data/china/image_1904th/79528317.pdf", "79528317")</f>
        <v>79528317</v>
      </c>
      <c r="F1184" s="11" t="s">
        <v>3445</v>
      </c>
      <c r="G1184" s="11" t="s">
        <v>3446</v>
      </c>
      <c r="H1184" s="11" t="s">
        <v>3447</v>
      </c>
      <c r="I1184" s="11" t="s">
        <v>3436</v>
      </c>
    </row>
    <row r="1185" spans="1:9" x14ac:dyDescent="0.15">
      <c r="A1185" s="10">
        <v>1184</v>
      </c>
      <c r="B1185" s="11" t="s">
        <v>9</v>
      </c>
      <c r="C1185" s="11" t="s">
        <v>170</v>
      </c>
      <c r="D1185" s="11" t="s">
        <v>171</v>
      </c>
      <c r="E1185" s="9" t="str">
        <f>+HYPERLINK("http://trademark.i-assist.jp/data/china/image_1904th/79528457.pdf", "79528457")</f>
        <v>79528457</v>
      </c>
      <c r="F1185" s="11" t="s">
        <v>3448</v>
      </c>
      <c r="G1185" s="11" t="s">
        <v>3449</v>
      </c>
      <c r="H1185" s="11" t="s">
        <v>3450</v>
      </c>
      <c r="I1185" s="11" t="s">
        <v>3436</v>
      </c>
    </row>
    <row r="1186" spans="1:9" x14ac:dyDescent="0.15">
      <c r="A1186" s="10">
        <v>1185</v>
      </c>
      <c r="B1186" s="11" t="s">
        <v>9</v>
      </c>
      <c r="C1186" s="11" t="s">
        <v>170</v>
      </c>
      <c r="D1186" s="11" t="s">
        <v>171</v>
      </c>
      <c r="E1186" s="9" t="str">
        <f>+HYPERLINK("http://trademark.i-assist.jp/data/china/image_1904th/79528504.pdf", "79528504")</f>
        <v>79528504</v>
      </c>
      <c r="F1186" s="11" t="s">
        <v>3451</v>
      </c>
      <c r="G1186" s="11" t="s">
        <v>3452</v>
      </c>
      <c r="H1186" s="11" t="s">
        <v>3453</v>
      </c>
      <c r="I1186" s="11" t="s">
        <v>3436</v>
      </c>
    </row>
    <row r="1187" spans="1:9" x14ac:dyDescent="0.15">
      <c r="A1187" s="10">
        <v>1186</v>
      </c>
      <c r="B1187" s="11" t="s">
        <v>9</v>
      </c>
      <c r="C1187" s="11" t="s">
        <v>170</v>
      </c>
      <c r="D1187" s="11" t="s">
        <v>171</v>
      </c>
      <c r="E1187" s="9" t="str">
        <f>+HYPERLINK("http://trademark.i-assist.jp/data/china/image_1904th/79529039.pdf", "79529039")</f>
        <v>79529039</v>
      </c>
      <c r="F1187" s="11" t="s">
        <v>3454</v>
      </c>
      <c r="G1187" s="11" t="s">
        <v>3434</v>
      </c>
      <c r="H1187" s="11" t="s">
        <v>3455</v>
      </c>
      <c r="I1187" s="11" t="s">
        <v>3436</v>
      </c>
    </row>
    <row r="1188" spans="1:9" x14ac:dyDescent="0.15">
      <c r="A1188" s="10">
        <v>1187</v>
      </c>
      <c r="B1188" s="11" t="s">
        <v>9</v>
      </c>
      <c r="C1188" s="11" t="s">
        <v>170</v>
      </c>
      <c r="D1188" s="11" t="s">
        <v>171</v>
      </c>
      <c r="E1188" s="9" t="str">
        <f>+HYPERLINK("http://trademark.i-assist.jp/data/china/image_1904th/79529095.pdf", "79529095")</f>
        <v>79529095</v>
      </c>
      <c r="F1188" s="11" t="s">
        <v>3456</v>
      </c>
      <c r="G1188" s="11" t="s">
        <v>3434</v>
      </c>
      <c r="H1188" s="11" t="s">
        <v>3457</v>
      </c>
      <c r="I1188" s="11" t="s">
        <v>3436</v>
      </c>
    </row>
    <row r="1189" spans="1:9" x14ac:dyDescent="0.15">
      <c r="A1189" s="10">
        <v>1188</v>
      </c>
      <c r="B1189" s="11" t="s">
        <v>9</v>
      </c>
      <c r="C1189" s="11" t="s">
        <v>170</v>
      </c>
      <c r="D1189" s="11" t="s">
        <v>171</v>
      </c>
      <c r="E1189" s="9" t="str">
        <f>+HYPERLINK("http://trademark.i-assist.jp/data/china/image_1904th/79530121.pdf", "79530121")</f>
        <v>79530121</v>
      </c>
      <c r="F1189" s="11" t="s">
        <v>3458</v>
      </c>
      <c r="G1189" s="11" t="s">
        <v>3459</v>
      </c>
      <c r="H1189" s="11" t="s">
        <v>3460</v>
      </c>
      <c r="I1189" s="11" t="s">
        <v>3436</v>
      </c>
    </row>
    <row r="1190" spans="1:9" x14ac:dyDescent="0.15">
      <c r="A1190" s="10">
        <v>1189</v>
      </c>
      <c r="B1190" s="11" t="s">
        <v>9</v>
      </c>
      <c r="C1190" s="11" t="s">
        <v>170</v>
      </c>
      <c r="D1190" s="11" t="s">
        <v>171</v>
      </c>
      <c r="E1190" s="9" t="str">
        <f>+HYPERLINK("http://trademark.i-assist.jp/data/china/image_1904th/79530441.pdf", "79530441")</f>
        <v>79530441</v>
      </c>
      <c r="F1190" s="11" t="s">
        <v>3461</v>
      </c>
      <c r="G1190" s="11" t="s">
        <v>3462</v>
      </c>
      <c r="H1190" s="11" t="s">
        <v>3463</v>
      </c>
      <c r="I1190" s="11" t="s">
        <v>3436</v>
      </c>
    </row>
    <row r="1191" spans="1:9" x14ac:dyDescent="0.15">
      <c r="A1191" s="10">
        <v>1190</v>
      </c>
      <c r="B1191" s="11" t="s">
        <v>9</v>
      </c>
      <c r="C1191" s="11" t="s">
        <v>170</v>
      </c>
      <c r="D1191" s="11" t="s">
        <v>171</v>
      </c>
      <c r="E1191" s="9" t="str">
        <f>+HYPERLINK("http://trademark.i-assist.jp/data/china/image_1904th/79530781.pdf", "79530781")</f>
        <v>79530781</v>
      </c>
      <c r="F1191" s="11" t="s">
        <v>3464</v>
      </c>
      <c r="G1191" s="11" t="s">
        <v>152</v>
      </c>
      <c r="H1191" s="11" t="s">
        <v>3465</v>
      </c>
      <c r="I1191" s="11" t="s">
        <v>3436</v>
      </c>
    </row>
    <row r="1192" spans="1:9" x14ac:dyDescent="0.15">
      <c r="A1192" s="10">
        <v>1191</v>
      </c>
      <c r="B1192" s="11" t="s">
        <v>9</v>
      </c>
      <c r="C1192" s="11" t="s">
        <v>170</v>
      </c>
      <c r="D1192" s="11" t="s">
        <v>171</v>
      </c>
      <c r="E1192" s="9" t="str">
        <f>+HYPERLINK("http://trademark.i-assist.jp/data/china/image_1904th/79530906.pdf", "79530906")</f>
        <v>79530906</v>
      </c>
      <c r="F1192" s="11" t="s">
        <v>3466</v>
      </c>
      <c r="G1192" s="11" t="s">
        <v>3467</v>
      </c>
      <c r="H1192" s="11" t="s">
        <v>3468</v>
      </c>
      <c r="I1192" s="11" t="s">
        <v>3436</v>
      </c>
    </row>
    <row r="1193" spans="1:9" x14ac:dyDescent="0.15">
      <c r="A1193" s="10">
        <v>1192</v>
      </c>
      <c r="B1193" s="11" t="s">
        <v>9</v>
      </c>
      <c r="C1193" s="11" t="s">
        <v>170</v>
      </c>
      <c r="D1193" s="11" t="s">
        <v>171</v>
      </c>
      <c r="E1193" s="9" t="str">
        <f>+HYPERLINK("http://trademark.i-assist.jp/data/china/image_1904th/79531386.pdf", "79531386")</f>
        <v>79531386</v>
      </c>
      <c r="F1193" s="11" t="s">
        <v>3469</v>
      </c>
      <c r="G1193" s="11" t="s">
        <v>3470</v>
      </c>
      <c r="H1193" s="11" t="s">
        <v>3471</v>
      </c>
      <c r="I1193" s="11" t="s">
        <v>3436</v>
      </c>
    </row>
    <row r="1194" spans="1:9" x14ac:dyDescent="0.15">
      <c r="A1194" s="10">
        <v>1193</v>
      </c>
      <c r="B1194" s="11" t="s">
        <v>9</v>
      </c>
      <c r="C1194" s="11" t="s">
        <v>170</v>
      </c>
      <c r="D1194" s="11" t="s">
        <v>171</v>
      </c>
      <c r="E1194" s="9" t="str">
        <f>+HYPERLINK("http://trademark.i-assist.jp/data/china/image_1904th/79531516.pdf", "79531516")</f>
        <v>79531516</v>
      </c>
      <c r="F1194" s="11" t="s">
        <v>3472</v>
      </c>
      <c r="G1194" s="11" t="s">
        <v>3473</v>
      </c>
      <c r="H1194" s="11" t="s">
        <v>3474</v>
      </c>
      <c r="I1194" s="11" t="s">
        <v>3436</v>
      </c>
    </row>
    <row r="1195" spans="1:9" x14ac:dyDescent="0.15">
      <c r="A1195" s="10">
        <v>1194</v>
      </c>
      <c r="B1195" s="11" t="s">
        <v>9</v>
      </c>
      <c r="C1195" s="11" t="s">
        <v>170</v>
      </c>
      <c r="D1195" s="11" t="s">
        <v>171</v>
      </c>
      <c r="E1195" s="9" t="str">
        <f>+HYPERLINK("http://trademark.i-assist.jp/data/china/image_1904th/79531584.pdf", "79531584")</f>
        <v>79531584</v>
      </c>
      <c r="F1195" s="11" t="s">
        <v>3475</v>
      </c>
      <c r="G1195" s="11" t="s">
        <v>3476</v>
      </c>
      <c r="H1195" s="11" t="s">
        <v>3477</v>
      </c>
      <c r="I1195" s="11" t="s">
        <v>3436</v>
      </c>
    </row>
    <row r="1196" spans="1:9" x14ac:dyDescent="0.15">
      <c r="A1196" s="10">
        <v>1195</v>
      </c>
      <c r="B1196" s="11" t="s">
        <v>9</v>
      </c>
      <c r="C1196" s="11" t="s">
        <v>170</v>
      </c>
      <c r="D1196" s="11" t="s">
        <v>171</v>
      </c>
      <c r="E1196" s="9" t="str">
        <f>+HYPERLINK("http://trademark.i-assist.jp/data/china/image_1904th/79531636.pdf", "79531636")</f>
        <v>79531636</v>
      </c>
      <c r="F1196" s="11" t="s">
        <v>3478</v>
      </c>
      <c r="G1196" s="11" t="s">
        <v>3479</v>
      </c>
      <c r="H1196" s="11" t="s">
        <v>3480</v>
      </c>
      <c r="I1196" s="11" t="s">
        <v>3436</v>
      </c>
    </row>
    <row r="1197" spans="1:9" x14ac:dyDescent="0.15">
      <c r="A1197" s="10">
        <v>1196</v>
      </c>
      <c r="B1197" s="11" t="s">
        <v>9</v>
      </c>
      <c r="C1197" s="11" t="s">
        <v>170</v>
      </c>
      <c r="D1197" s="11" t="s">
        <v>171</v>
      </c>
      <c r="E1197" s="9" t="str">
        <f>+HYPERLINK("http://trademark.i-assist.jp/data/china/image_1904th/79531997.pdf", "79531997")</f>
        <v>79531997</v>
      </c>
      <c r="F1197" s="11" t="s">
        <v>3481</v>
      </c>
      <c r="G1197" s="11" t="s">
        <v>3482</v>
      </c>
      <c r="H1197" s="11" t="s">
        <v>3483</v>
      </c>
      <c r="I1197" s="11" t="s">
        <v>3436</v>
      </c>
    </row>
    <row r="1198" spans="1:9" x14ac:dyDescent="0.15">
      <c r="A1198" s="10">
        <v>1197</v>
      </c>
      <c r="B1198" s="11" t="s">
        <v>9</v>
      </c>
      <c r="C1198" s="11" t="s">
        <v>170</v>
      </c>
      <c r="D1198" s="11" t="s">
        <v>171</v>
      </c>
      <c r="E1198" s="9" t="str">
        <f>+HYPERLINK("http://trademark.i-assist.jp/data/china/image_1904th/79532032.pdf", "79532032")</f>
        <v>79532032</v>
      </c>
      <c r="F1198" s="11" t="s">
        <v>3484</v>
      </c>
      <c r="G1198" s="11" t="s">
        <v>3485</v>
      </c>
      <c r="H1198" s="11" t="s">
        <v>3486</v>
      </c>
      <c r="I1198" s="11" t="s">
        <v>3436</v>
      </c>
    </row>
    <row r="1199" spans="1:9" x14ac:dyDescent="0.15">
      <c r="A1199" s="10">
        <v>1198</v>
      </c>
      <c r="B1199" s="11" t="s">
        <v>9</v>
      </c>
      <c r="C1199" s="11" t="s">
        <v>170</v>
      </c>
      <c r="D1199" s="11" t="s">
        <v>171</v>
      </c>
      <c r="E1199" s="9" t="str">
        <f>+HYPERLINK("http://trademark.i-assist.jp/data/china/image_1904th/79532569.pdf", "79532569")</f>
        <v>79532569</v>
      </c>
      <c r="F1199" s="11" t="s">
        <v>3487</v>
      </c>
      <c r="G1199" s="11" t="s">
        <v>3488</v>
      </c>
      <c r="H1199" s="11" t="s">
        <v>3489</v>
      </c>
      <c r="I1199" s="11" t="s">
        <v>3436</v>
      </c>
    </row>
    <row r="1200" spans="1:9" x14ac:dyDescent="0.15">
      <c r="A1200" s="10">
        <v>1199</v>
      </c>
      <c r="B1200" s="11" t="s">
        <v>9</v>
      </c>
      <c r="C1200" s="11" t="s">
        <v>170</v>
      </c>
      <c r="D1200" s="11" t="s">
        <v>171</v>
      </c>
      <c r="E1200" s="9" t="str">
        <f>+HYPERLINK("http://trademark.i-assist.jp/data/china/image_1904th/79533162.pdf", "79533162")</f>
        <v>79533162</v>
      </c>
      <c r="F1200" s="11" t="s">
        <v>3490</v>
      </c>
      <c r="G1200" s="11" t="s">
        <v>3491</v>
      </c>
      <c r="H1200" s="11" t="s">
        <v>3492</v>
      </c>
      <c r="I1200" s="11" t="s">
        <v>3436</v>
      </c>
    </row>
    <row r="1201" spans="1:9" x14ac:dyDescent="0.15">
      <c r="A1201" s="10">
        <v>1200</v>
      </c>
      <c r="B1201" s="11" t="s">
        <v>9</v>
      </c>
      <c r="C1201" s="11" t="s">
        <v>170</v>
      </c>
      <c r="D1201" s="11" t="s">
        <v>171</v>
      </c>
      <c r="E1201" s="9" t="str">
        <f>+HYPERLINK("http://trademark.i-assist.jp/data/china/image_1904th/79533218.pdf", "79533218")</f>
        <v>79533218</v>
      </c>
      <c r="F1201" s="11" t="s">
        <v>3493</v>
      </c>
      <c r="G1201" s="11" t="s">
        <v>3494</v>
      </c>
      <c r="H1201" s="11" t="s">
        <v>3495</v>
      </c>
      <c r="I1201" s="11" t="s">
        <v>3436</v>
      </c>
    </row>
    <row r="1202" spans="1:9" x14ac:dyDescent="0.15">
      <c r="A1202" s="10">
        <v>1201</v>
      </c>
      <c r="B1202" s="11" t="s">
        <v>9</v>
      </c>
      <c r="C1202" s="11" t="s">
        <v>170</v>
      </c>
      <c r="D1202" s="11" t="s">
        <v>171</v>
      </c>
      <c r="E1202" s="9" t="str">
        <f>+HYPERLINK("http://trademark.i-assist.jp/data/china/image_1904th/79533254.pdf", "79533254")</f>
        <v>79533254</v>
      </c>
      <c r="F1202" s="11" t="s">
        <v>3496</v>
      </c>
      <c r="G1202" s="11" t="s">
        <v>3497</v>
      </c>
      <c r="H1202" s="11" t="s">
        <v>3498</v>
      </c>
      <c r="I1202" s="11" t="s">
        <v>3436</v>
      </c>
    </row>
    <row r="1203" spans="1:9" x14ac:dyDescent="0.15">
      <c r="A1203" s="10">
        <v>1202</v>
      </c>
      <c r="B1203" s="11" t="s">
        <v>9</v>
      </c>
      <c r="C1203" s="11" t="s">
        <v>170</v>
      </c>
      <c r="D1203" s="11" t="s">
        <v>171</v>
      </c>
      <c r="E1203" s="9" t="str">
        <f>+HYPERLINK("http://trademark.i-assist.jp/data/china/image_1904th/79533419.pdf", "79533419")</f>
        <v>79533419</v>
      </c>
      <c r="F1203" s="11" t="s">
        <v>3499</v>
      </c>
      <c r="G1203" s="11" t="s">
        <v>3500</v>
      </c>
      <c r="H1203" s="11" t="s">
        <v>3501</v>
      </c>
      <c r="I1203" s="11" t="s">
        <v>3436</v>
      </c>
    </row>
    <row r="1204" spans="1:9" x14ac:dyDescent="0.15">
      <c r="A1204" s="10">
        <v>1203</v>
      </c>
      <c r="B1204" s="11" t="s">
        <v>9</v>
      </c>
      <c r="C1204" s="11" t="s">
        <v>170</v>
      </c>
      <c r="D1204" s="11" t="s">
        <v>171</v>
      </c>
      <c r="E1204" s="9" t="str">
        <f>+HYPERLINK("http://trademark.i-assist.jp/data/china/image_1904th/79533452.pdf", "79533452")</f>
        <v>79533452</v>
      </c>
      <c r="F1204" s="11" t="s">
        <v>3502</v>
      </c>
      <c r="G1204" s="11" t="s">
        <v>3503</v>
      </c>
      <c r="H1204" s="11" t="s">
        <v>3504</v>
      </c>
      <c r="I1204" s="11" t="s">
        <v>3436</v>
      </c>
    </row>
    <row r="1205" spans="1:9" x14ac:dyDescent="0.15">
      <c r="A1205" s="10">
        <v>1204</v>
      </c>
      <c r="B1205" s="11" t="s">
        <v>9</v>
      </c>
      <c r="C1205" s="11" t="s">
        <v>170</v>
      </c>
      <c r="D1205" s="11" t="s">
        <v>171</v>
      </c>
      <c r="E1205" s="9" t="str">
        <f>+HYPERLINK("http://trademark.i-assist.jp/data/china/image_1904th/79533472.pdf", "79533472")</f>
        <v>79533472</v>
      </c>
      <c r="F1205" s="11" t="s">
        <v>3505</v>
      </c>
      <c r="G1205" s="11" t="s">
        <v>3506</v>
      </c>
      <c r="H1205" s="11" t="s">
        <v>3507</v>
      </c>
      <c r="I1205" s="11" t="s">
        <v>3436</v>
      </c>
    </row>
    <row r="1206" spans="1:9" x14ac:dyDescent="0.15">
      <c r="A1206" s="10">
        <v>1205</v>
      </c>
      <c r="B1206" s="11" t="s">
        <v>9</v>
      </c>
      <c r="C1206" s="11" t="s">
        <v>170</v>
      </c>
      <c r="D1206" s="11" t="s">
        <v>171</v>
      </c>
      <c r="E1206" s="9" t="str">
        <f>+HYPERLINK("http://trademark.i-assist.jp/data/china/image_1904th/79533913.pdf", "79533913")</f>
        <v>79533913</v>
      </c>
      <c r="F1206" s="11" t="s">
        <v>3508</v>
      </c>
      <c r="G1206" s="11" t="s">
        <v>3509</v>
      </c>
      <c r="H1206" s="11" t="s">
        <v>3510</v>
      </c>
      <c r="I1206" s="11" t="s">
        <v>3436</v>
      </c>
    </row>
    <row r="1207" spans="1:9" x14ac:dyDescent="0.15">
      <c r="A1207" s="10">
        <v>1206</v>
      </c>
      <c r="B1207" s="11" t="s">
        <v>9</v>
      </c>
      <c r="C1207" s="11" t="s">
        <v>170</v>
      </c>
      <c r="D1207" s="11" t="s">
        <v>171</v>
      </c>
      <c r="E1207" s="9" t="str">
        <f>+HYPERLINK("http://trademark.i-assist.jp/data/china/image_1904th/79534740.pdf", "79534740")</f>
        <v>79534740</v>
      </c>
      <c r="F1207" s="11" t="s">
        <v>3511</v>
      </c>
      <c r="G1207" s="11" t="s">
        <v>3512</v>
      </c>
      <c r="H1207" s="11" t="s">
        <v>3513</v>
      </c>
      <c r="I1207" s="11" t="s">
        <v>3436</v>
      </c>
    </row>
    <row r="1208" spans="1:9" x14ac:dyDescent="0.15">
      <c r="A1208" s="10">
        <v>1207</v>
      </c>
      <c r="B1208" s="11" t="s">
        <v>9</v>
      </c>
      <c r="C1208" s="11" t="s">
        <v>170</v>
      </c>
      <c r="D1208" s="11" t="s">
        <v>171</v>
      </c>
      <c r="E1208" s="9" t="str">
        <f>+HYPERLINK("http://trademark.i-assist.jp/data/china/image_1904th/79535256.pdf", "79535256")</f>
        <v>79535256</v>
      </c>
      <c r="F1208" s="11" t="s">
        <v>3514</v>
      </c>
      <c r="G1208" s="11" t="s">
        <v>3479</v>
      </c>
      <c r="H1208" s="11" t="s">
        <v>3515</v>
      </c>
      <c r="I1208" s="11" t="s">
        <v>3436</v>
      </c>
    </row>
    <row r="1209" spans="1:9" x14ac:dyDescent="0.15">
      <c r="A1209" s="10">
        <v>1208</v>
      </c>
      <c r="B1209" s="11" t="s">
        <v>9</v>
      </c>
      <c r="C1209" s="11" t="s">
        <v>170</v>
      </c>
      <c r="D1209" s="11" t="s">
        <v>171</v>
      </c>
      <c r="E1209" s="9" t="str">
        <f>+HYPERLINK("http://trademark.i-assist.jp/data/china/image_1904th/79535449.pdf", "79535449")</f>
        <v>79535449</v>
      </c>
      <c r="F1209" s="11" t="s">
        <v>3516</v>
      </c>
      <c r="G1209" s="11" t="s">
        <v>3517</v>
      </c>
      <c r="H1209" s="11" t="s">
        <v>3518</v>
      </c>
      <c r="I1209" s="11" t="s">
        <v>3436</v>
      </c>
    </row>
    <row r="1210" spans="1:9" x14ac:dyDescent="0.15">
      <c r="A1210" s="10">
        <v>1209</v>
      </c>
      <c r="B1210" s="11" t="s">
        <v>9</v>
      </c>
      <c r="C1210" s="11" t="s">
        <v>170</v>
      </c>
      <c r="D1210" s="11" t="s">
        <v>171</v>
      </c>
      <c r="E1210" s="9" t="str">
        <f>+HYPERLINK("http://trademark.i-assist.jp/data/china/image_1904th/79536079.pdf", "79536079")</f>
        <v>79536079</v>
      </c>
      <c r="F1210" s="11" t="s">
        <v>3519</v>
      </c>
      <c r="G1210" s="11" t="s">
        <v>3520</v>
      </c>
      <c r="H1210" s="11" t="s">
        <v>3521</v>
      </c>
      <c r="I1210" s="11" t="s">
        <v>3436</v>
      </c>
    </row>
    <row r="1211" spans="1:9" x14ac:dyDescent="0.15">
      <c r="A1211" s="10">
        <v>1210</v>
      </c>
      <c r="B1211" s="11" t="s">
        <v>9</v>
      </c>
      <c r="C1211" s="11" t="s">
        <v>170</v>
      </c>
      <c r="D1211" s="11" t="s">
        <v>171</v>
      </c>
      <c r="E1211" s="9" t="str">
        <f>+HYPERLINK("http://trademark.i-assist.jp/data/china/image_1904th/79536292.pdf", "79536292")</f>
        <v>79536292</v>
      </c>
      <c r="F1211" s="11" t="s">
        <v>3522</v>
      </c>
      <c r="G1211" s="11" t="s">
        <v>3479</v>
      </c>
      <c r="H1211" s="11" t="s">
        <v>3523</v>
      </c>
      <c r="I1211" s="11" t="s">
        <v>3436</v>
      </c>
    </row>
    <row r="1212" spans="1:9" x14ac:dyDescent="0.15">
      <c r="A1212" s="10">
        <v>1211</v>
      </c>
      <c r="B1212" s="11" t="s">
        <v>9</v>
      </c>
      <c r="C1212" s="11" t="s">
        <v>170</v>
      </c>
      <c r="D1212" s="11" t="s">
        <v>171</v>
      </c>
      <c r="E1212" s="9" t="str">
        <f>+HYPERLINK("http://trademark.i-assist.jp/data/china/image_1904th/79536593.pdf", "79536593")</f>
        <v>79536593</v>
      </c>
      <c r="F1212" s="11" t="s">
        <v>3524</v>
      </c>
      <c r="G1212" s="11" t="s">
        <v>3434</v>
      </c>
      <c r="H1212" s="11" t="s">
        <v>3525</v>
      </c>
      <c r="I1212" s="11" t="s">
        <v>3436</v>
      </c>
    </row>
    <row r="1213" spans="1:9" x14ac:dyDescent="0.15">
      <c r="A1213" s="10">
        <v>1212</v>
      </c>
      <c r="B1213" s="11" t="s">
        <v>9</v>
      </c>
      <c r="C1213" s="11" t="s">
        <v>170</v>
      </c>
      <c r="D1213" s="11" t="s">
        <v>171</v>
      </c>
      <c r="E1213" s="9" t="str">
        <f>+HYPERLINK("http://trademark.i-assist.jp/data/china/image_1904th/79536745.pdf", "79536745")</f>
        <v>79536745</v>
      </c>
      <c r="F1213" s="11" t="s">
        <v>3526</v>
      </c>
      <c r="G1213" s="11" t="s">
        <v>3527</v>
      </c>
      <c r="H1213" s="11" t="s">
        <v>3528</v>
      </c>
      <c r="I1213" s="11" t="s">
        <v>3436</v>
      </c>
    </row>
    <row r="1214" spans="1:9" x14ac:dyDescent="0.15">
      <c r="A1214" s="10">
        <v>1213</v>
      </c>
      <c r="B1214" s="11" t="s">
        <v>9</v>
      </c>
      <c r="C1214" s="11" t="s">
        <v>170</v>
      </c>
      <c r="D1214" s="11" t="s">
        <v>171</v>
      </c>
      <c r="E1214" s="9" t="str">
        <f>+HYPERLINK("http://trademark.i-assist.jp/data/china/image_1904th/79536872.pdf", "79536872")</f>
        <v>79536872</v>
      </c>
      <c r="F1214" s="11" t="s">
        <v>3529</v>
      </c>
      <c r="G1214" s="11" t="s">
        <v>3530</v>
      </c>
      <c r="H1214" s="11" t="s">
        <v>3531</v>
      </c>
      <c r="I1214" s="11" t="s">
        <v>3436</v>
      </c>
    </row>
    <row r="1215" spans="1:9" x14ac:dyDescent="0.15">
      <c r="A1215" s="10">
        <v>1214</v>
      </c>
      <c r="B1215" s="11" t="s">
        <v>9</v>
      </c>
      <c r="C1215" s="11" t="s">
        <v>170</v>
      </c>
      <c r="D1215" s="11" t="s">
        <v>171</v>
      </c>
      <c r="E1215" s="9" t="str">
        <f>+HYPERLINK("http://trademark.i-assist.jp/data/china/image_1904th/79536900.pdf", "79536900")</f>
        <v>79536900</v>
      </c>
      <c r="F1215" s="11" t="s">
        <v>3532</v>
      </c>
      <c r="G1215" s="11" t="s">
        <v>3533</v>
      </c>
      <c r="H1215" s="11" t="s">
        <v>3534</v>
      </c>
      <c r="I1215" s="11" t="s">
        <v>3436</v>
      </c>
    </row>
    <row r="1216" spans="1:9" x14ac:dyDescent="0.15">
      <c r="A1216" s="10">
        <v>1215</v>
      </c>
      <c r="B1216" s="11" t="s">
        <v>9</v>
      </c>
      <c r="C1216" s="11" t="s">
        <v>170</v>
      </c>
      <c r="D1216" s="11" t="s">
        <v>171</v>
      </c>
      <c r="E1216" s="9" t="str">
        <f>+HYPERLINK("http://trademark.i-assist.jp/data/china/image_1904th/79536982.pdf", "79536982")</f>
        <v>79536982</v>
      </c>
      <c r="F1216" s="11" t="s">
        <v>3535</v>
      </c>
      <c r="G1216" s="11" t="s">
        <v>3536</v>
      </c>
      <c r="H1216" s="11" t="s">
        <v>3537</v>
      </c>
      <c r="I1216" s="11" t="s">
        <v>3436</v>
      </c>
    </row>
    <row r="1217" spans="1:9" x14ac:dyDescent="0.15">
      <c r="A1217" s="10">
        <v>1216</v>
      </c>
      <c r="B1217" s="11" t="s">
        <v>9</v>
      </c>
      <c r="C1217" s="11" t="s">
        <v>170</v>
      </c>
      <c r="D1217" s="11" t="s">
        <v>171</v>
      </c>
      <c r="E1217" s="9" t="str">
        <f>+HYPERLINK("http://trademark.i-assist.jp/data/china/image_1904th/79537117.pdf", "79537117")</f>
        <v>79537117</v>
      </c>
      <c r="F1217" s="11" t="s">
        <v>3538</v>
      </c>
      <c r="G1217" s="11" t="s">
        <v>3539</v>
      </c>
      <c r="H1217" s="11" t="s">
        <v>3540</v>
      </c>
      <c r="I1217" s="11" t="s">
        <v>3436</v>
      </c>
    </row>
    <row r="1218" spans="1:9" x14ac:dyDescent="0.15">
      <c r="A1218" s="10">
        <v>1217</v>
      </c>
      <c r="B1218" s="11" t="s">
        <v>9</v>
      </c>
      <c r="C1218" s="11" t="s">
        <v>170</v>
      </c>
      <c r="D1218" s="11" t="s">
        <v>171</v>
      </c>
      <c r="E1218" s="9" t="str">
        <f>+HYPERLINK("http://trademark.i-assist.jp/data/china/image_1904th/79537302.pdf", "79537302")</f>
        <v>79537302</v>
      </c>
      <c r="F1218" s="11" t="s">
        <v>3541</v>
      </c>
      <c r="G1218" s="11" t="s">
        <v>3542</v>
      </c>
      <c r="H1218" s="11" t="s">
        <v>3543</v>
      </c>
      <c r="I1218" s="11" t="s">
        <v>3436</v>
      </c>
    </row>
    <row r="1219" spans="1:9" x14ac:dyDescent="0.15">
      <c r="A1219" s="10">
        <v>1218</v>
      </c>
      <c r="B1219" s="11" t="s">
        <v>9</v>
      </c>
      <c r="C1219" s="11" t="s">
        <v>170</v>
      </c>
      <c r="D1219" s="11" t="s">
        <v>171</v>
      </c>
      <c r="E1219" s="9" t="str">
        <f>+HYPERLINK("http://trademark.i-assist.jp/data/china/image_1904th/79537762.pdf", "79537762")</f>
        <v>79537762</v>
      </c>
      <c r="F1219" s="11" t="s">
        <v>12</v>
      </c>
      <c r="G1219" s="11" t="s">
        <v>3544</v>
      </c>
      <c r="H1219" s="11" t="s">
        <v>3545</v>
      </c>
      <c r="I1219" s="11" t="s">
        <v>3436</v>
      </c>
    </row>
    <row r="1220" spans="1:9" x14ac:dyDescent="0.15">
      <c r="A1220" s="10">
        <v>1219</v>
      </c>
      <c r="B1220" s="11" t="s">
        <v>9</v>
      </c>
      <c r="C1220" s="11" t="s">
        <v>170</v>
      </c>
      <c r="D1220" s="11" t="s">
        <v>171</v>
      </c>
      <c r="E1220" s="9" t="str">
        <f>+HYPERLINK("http://trademark.i-assist.jp/data/china/image_1904th/79537852.pdf", "79537852")</f>
        <v>79537852</v>
      </c>
      <c r="F1220" s="11" t="s">
        <v>3546</v>
      </c>
      <c r="G1220" s="11" t="s">
        <v>3547</v>
      </c>
      <c r="H1220" s="11" t="s">
        <v>3548</v>
      </c>
      <c r="I1220" s="11" t="s">
        <v>3436</v>
      </c>
    </row>
    <row r="1221" spans="1:9" x14ac:dyDescent="0.15">
      <c r="A1221" s="10">
        <v>1220</v>
      </c>
      <c r="B1221" s="11" t="s">
        <v>9</v>
      </c>
      <c r="C1221" s="11" t="s">
        <v>170</v>
      </c>
      <c r="D1221" s="11" t="s">
        <v>171</v>
      </c>
      <c r="E1221" s="9" t="str">
        <f>+HYPERLINK("http://trademark.i-assist.jp/data/china/image_1904th/79537927.pdf", "79537927")</f>
        <v>79537927</v>
      </c>
      <c r="F1221" s="11" t="s">
        <v>12</v>
      </c>
      <c r="G1221" s="11" t="s">
        <v>3549</v>
      </c>
      <c r="H1221" s="11" t="s">
        <v>3550</v>
      </c>
      <c r="I1221" s="11" t="s">
        <v>3436</v>
      </c>
    </row>
    <row r="1222" spans="1:9" x14ac:dyDescent="0.15">
      <c r="A1222" s="10">
        <v>1221</v>
      </c>
      <c r="B1222" s="11" t="s">
        <v>9</v>
      </c>
      <c r="C1222" s="11" t="s">
        <v>170</v>
      </c>
      <c r="D1222" s="11" t="s">
        <v>171</v>
      </c>
      <c r="E1222" s="9" t="str">
        <f>+HYPERLINK("http://trademark.i-assist.jp/data/china/image_1904th/79538000.pdf", "79538000")</f>
        <v>79538000</v>
      </c>
      <c r="F1222" s="11" t="s">
        <v>3551</v>
      </c>
      <c r="G1222" s="11" t="s">
        <v>3552</v>
      </c>
      <c r="H1222" s="11" t="s">
        <v>3553</v>
      </c>
      <c r="I1222" s="11" t="s">
        <v>3436</v>
      </c>
    </row>
    <row r="1223" spans="1:9" x14ac:dyDescent="0.15">
      <c r="A1223" s="10">
        <v>1222</v>
      </c>
      <c r="B1223" s="11" t="s">
        <v>9</v>
      </c>
      <c r="C1223" s="11" t="s">
        <v>170</v>
      </c>
      <c r="D1223" s="11" t="s">
        <v>171</v>
      </c>
      <c r="E1223" s="9" t="str">
        <f>+HYPERLINK("http://trademark.i-assist.jp/data/china/image_1904th/79538265.pdf", "79538265")</f>
        <v>79538265</v>
      </c>
      <c r="F1223" s="11" t="s">
        <v>3554</v>
      </c>
      <c r="G1223" s="11" t="s">
        <v>3555</v>
      </c>
      <c r="H1223" s="11" t="s">
        <v>3556</v>
      </c>
      <c r="I1223" s="11" t="s">
        <v>3436</v>
      </c>
    </row>
    <row r="1224" spans="1:9" x14ac:dyDescent="0.15">
      <c r="A1224" s="10">
        <v>1223</v>
      </c>
      <c r="B1224" s="11" t="s">
        <v>9</v>
      </c>
      <c r="C1224" s="11" t="s">
        <v>170</v>
      </c>
      <c r="D1224" s="11" t="s">
        <v>171</v>
      </c>
      <c r="E1224" s="9" t="str">
        <f>+HYPERLINK("http://trademark.i-assist.jp/data/china/image_1904th/79538504.pdf", "79538504")</f>
        <v>79538504</v>
      </c>
      <c r="F1224" s="11" t="s">
        <v>3557</v>
      </c>
      <c r="G1224" s="11" t="s">
        <v>3558</v>
      </c>
      <c r="H1224" s="11" t="s">
        <v>3559</v>
      </c>
      <c r="I1224" s="11" t="s">
        <v>3436</v>
      </c>
    </row>
    <row r="1225" spans="1:9" x14ac:dyDescent="0.15">
      <c r="A1225" s="10">
        <v>1224</v>
      </c>
      <c r="B1225" s="11" t="s">
        <v>9</v>
      </c>
      <c r="C1225" s="11" t="s">
        <v>170</v>
      </c>
      <c r="D1225" s="11" t="s">
        <v>171</v>
      </c>
      <c r="E1225" s="9" t="str">
        <f>+HYPERLINK("http://trademark.i-assist.jp/data/china/image_1904th/79538505.pdf", "79538505")</f>
        <v>79538505</v>
      </c>
      <c r="F1225" s="11" t="s">
        <v>12</v>
      </c>
      <c r="G1225" s="11" t="s">
        <v>3560</v>
      </c>
      <c r="H1225" s="11" t="s">
        <v>3561</v>
      </c>
      <c r="I1225" s="11" t="s">
        <v>3436</v>
      </c>
    </row>
    <row r="1226" spans="1:9" x14ac:dyDescent="0.15">
      <c r="A1226" s="10">
        <v>1225</v>
      </c>
      <c r="B1226" s="11" t="s">
        <v>9</v>
      </c>
      <c r="C1226" s="11" t="s">
        <v>170</v>
      </c>
      <c r="D1226" s="11" t="s">
        <v>171</v>
      </c>
      <c r="E1226" s="9" t="str">
        <f>+HYPERLINK("http://trademark.i-assist.jp/data/china/image_1904th/79538514.pdf", "79538514")</f>
        <v>79538514</v>
      </c>
      <c r="F1226" s="11" t="s">
        <v>3562</v>
      </c>
      <c r="G1226" s="11" t="s">
        <v>3434</v>
      </c>
      <c r="H1226" s="11" t="s">
        <v>3563</v>
      </c>
      <c r="I1226" s="11" t="s">
        <v>3436</v>
      </c>
    </row>
    <row r="1227" spans="1:9" x14ac:dyDescent="0.15">
      <c r="A1227" s="10">
        <v>1226</v>
      </c>
      <c r="B1227" s="11" t="s">
        <v>9</v>
      </c>
      <c r="C1227" s="11" t="s">
        <v>170</v>
      </c>
      <c r="D1227" s="11" t="s">
        <v>171</v>
      </c>
      <c r="E1227" s="9" t="str">
        <f>+HYPERLINK("http://trademark.i-assist.jp/data/china/image_1904th/79538521.pdf", "79538521")</f>
        <v>79538521</v>
      </c>
      <c r="F1227" s="11" t="s">
        <v>3564</v>
      </c>
      <c r="G1227" s="11" t="s">
        <v>3434</v>
      </c>
      <c r="H1227" s="11" t="s">
        <v>3565</v>
      </c>
      <c r="I1227" s="11" t="s">
        <v>3436</v>
      </c>
    </row>
    <row r="1228" spans="1:9" x14ac:dyDescent="0.15">
      <c r="A1228" s="10">
        <v>1227</v>
      </c>
      <c r="B1228" s="11" t="s">
        <v>9</v>
      </c>
      <c r="C1228" s="11" t="s">
        <v>170</v>
      </c>
      <c r="D1228" s="11" t="s">
        <v>171</v>
      </c>
      <c r="E1228" s="9" t="str">
        <f>+HYPERLINK("http://trademark.i-assist.jp/data/china/image_1904th/79538775.pdf", "79538775")</f>
        <v>79538775</v>
      </c>
      <c r="F1228" s="11" t="s">
        <v>12</v>
      </c>
      <c r="G1228" s="11" t="s">
        <v>3566</v>
      </c>
      <c r="H1228" s="11" t="s">
        <v>3567</v>
      </c>
      <c r="I1228" s="11" t="s">
        <v>3436</v>
      </c>
    </row>
    <row r="1229" spans="1:9" x14ac:dyDescent="0.15">
      <c r="A1229" s="10">
        <v>1228</v>
      </c>
      <c r="B1229" s="11" t="s">
        <v>9</v>
      </c>
      <c r="C1229" s="11" t="s">
        <v>170</v>
      </c>
      <c r="D1229" s="11" t="s">
        <v>171</v>
      </c>
      <c r="E1229" s="9" t="str">
        <f>+HYPERLINK("http://trademark.i-assist.jp/data/china/image_1904th/79538984.pdf", "79538984")</f>
        <v>79538984</v>
      </c>
      <c r="F1229" s="11" t="s">
        <v>3568</v>
      </c>
      <c r="G1229" s="11" t="s">
        <v>3530</v>
      </c>
      <c r="H1229" s="11" t="s">
        <v>3569</v>
      </c>
      <c r="I1229" s="11" t="s">
        <v>3436</v>
      </c>
    </row>
    <row r="1230" spans="1:9" x14ac:dyDescent="0.15">
      <c r="A1230" s="10">
        <v>1229</v>
      </c>
      <c r="B1230" s="11" t="s">
        <v>9</v>
      </c>
      <c r="C1230" s="11" t="s">
        <v>170</v>
      </c>
      <c r="D1230" s="11" t="s">
        <v>171</v>
      </c>
      <c r="E1230" s="9" t="str">
        <f>+HYPERLINK("http://trademark.i-assist.jp/data/china/image_1904th/79539020.pdf", "79539020")</f>
        <v>79539020</v>
      </c>
      <c r="F1230" s="11" t="s">
        <v>3570</v>
      </c>
      <c r="G1230" s="11" t="s">
        <v>3571</v>
      </c>
      <c r="H1230" s="11" t="s">
        <v>3572</v>
      </c>
      <c r="I1230" s="11" t="s">
        <v>3436</v>
      </c>
    </row>
    <row r="1231" spans="1:9" x14ac:dyDescent="0.15">
      <c r="A1231" s="10">
        <v>1230</v>
      </c>
      <c r="B1231" s="11" t="s">
        <v>9</v>
      </c>
      <c r="C1231" s="11" t="s">
        <v>170</v>
      </c>
      <c r="D1231" s="11" t="s">
        <v>171</v>
      </c>
      <c r="E1231" s="9" t="str">
        <f>+HYPERLINK("http://trademark.i-assist.jp/data/china/image_1904th/79539104.pdf", "79539104")</f>
        <v>79539104</v>
      </c>
      <c r="F1231" s="11" t="s">
        <v>3573</v>
      </c>
      <c r="G1231" s="11" t="s">
        <v>3574</v>
      </c>
      <c r="H1231" s="11" t="s">
        <v>3575</v>
      </c>
      <c r="I1231" s="11" t="s">
        <v>3436</v>
      </c>
    </row>
    <row r="1232" spans="1:9" x14ac:dyDescent="0.15">
      <c r="A1232" s="10">
        <v>1231</v>
      </c>
      <c r="B1232" s="11" t="s">
        <v>9</v>
      </c>
      <c r="C1232" s="11" t="s">
        <v>170</v>
      </c>
      <c r="D1232" s="11" t="s">
        <v>171</v>
      </c>
      <c r="E1232" s="9" t="str">
        <f>+HYPERLINK("http://trademark.i-assist.jp/data/china/image_1904th/79539156.pdf", "79539156")</f>
        <v>79539156</v>
      </c>
      <c r="F1232" s="11" t="s">
        <v>3576</v>
      </c>
      <c r="G1232" s="11" t="s">
        <v>3577</v>
      </c>
      <c r="H1232" s="11" t="s">
        <v>3578</v>
      </c>
      <c r="I1232" s="11" t="s">
        <v>3436</v>
      </c>
    </row>
    <row r="1233" spans="1:9" x14ac:dyDescent="0.15">
      <c r="A1233" s="10">
        <v>1232</v>
      </c>
      <c r="B1233" s="11" t="s">
        <v>9</v>
      </c>
      <c r="C1233" s="11" t="s">
        <v>170</v>
      </c>
      <c r="D1233" s="11" t="s">
        <v>171</v>
      </c>
      <c r="E1233" s="9" t="str">
        <f>+HYPERLINK("http://trademark.i-assist.jp/data/china/image_1904th/79539362.pdf", "79539362")</f>
        <v>79539362</v>
      </c>
      <c r="F1233" s="11" t="s">
        <v>3579</v>
      </c>
      <c r="G1233" s="11" t="s">
        <v>3580</v>
      </c>
      <c r="H1233" s="11" t="s">
        <v>3581</v>
      </c>
      <c r="I1233" s="11" t="s">
        <v>3436</v>
      </c>
    </row>
    <row r="1234" spans="1:9" x14ac:dyDescent="0.15">
      <c r="A1234" s="10">
        <v>1233</v>
      </c>
      <c r="B1234" s="11" t="s">
        <v>9</v>
      </c>
      <c r="C1234" s="11" t="s">
        <v>170</v>
      </c>
      <c r="D1234" s="11" t="s">
        <v>171</v>
      </c>
      <c r="E1234" s="9" t="str">
        <f>+HYPERLINK("http://trademark.i-assist.jp/data/china/image_1904th/79539631.pdf", "79539631")</f>
        <v>79539631</v>
      </c>
      <c r="F1234" s="11" t="s">
        <v>3582</v>
      </c>
      <c r="G1234" s="11" t="s">
        <v>3583</v>
      </c>
      <c r="H1234" s="11" t="s">
        <v>3584</v>
      </c>
      <c r="I1234" s="11" t="s">
        <v>3436</v>
      </c>
    </row>
    <row r="1235" spans="1:9" x14ac:dyDescent="0.15">
      <c r="A1235" s="10">
        <v>1234</v>
      </c>
      <c r="B1235" s="11" t="s">
        <v>9</v>
      </c>
      <c r="C1235" s="11" t="s">
        <v>170</v>
      </c>
      <c r="D1235" s="11" t="s">
        <v>171</v>
      </c>
      <c r="E1235" s="9" t="str">
        <f>+HYPERLINK("http://trademark.i-assist.jp/data/china/image_1904th/79539818.pdf", "79539818")</f>
        <v>79539818</v>
      </c>
      <c r="F1235" s="11" t="s">
        <v>3585</v>
      </c>
      <c r="G1235" s="11" t="s">
        <v>3586</v>
      </c>
      <c r="H1235" s="11" t="s">
        <v>3587</v>
      </c>
      <c r="I1235" s="11" t="s">
        <v>3436</v>
      </c>
    </row>
    <row r="1236" spans="1:9" x14ac:dyDescent="0.15">
      <c r="A1236" s="10">
        <v>1235</v>
      </c>
      <c r="B1236" s="11" t="s">
        <v>9</v>
      </c>
      <c r="C1236" s="11" t="s">
        <v>170</v>
      </c>
      <c r="D1236" s="11" t="s">
        <v>171</v>
      </c>
      <c r="E1236" s="9" t="str">
        <f>+HYPERLINK("http://trademark.i-assist.jp/data/china/image_1904th/79540798.pdf", "79540798")</f>
        <v>79540798</v>
      </c>
      <c r="F1236" s="11" t="s">
        <v>3588</v>
      </c>
      <c r="G1236" s="11" t="s">
        <v>3589</v>
      </c>
      <c r="H1236" s="11" t="s">
        <v>3590</v>
      </c>
      <c r="I1236" s="11" t="s">
        <v>3436</v>
      </c>
    </row>
    <row r="1237" spans="1:9" x14ac:dyDescent="0.15">
      <c r="A1237" s="10">
        <v>1236</v>
      </c>
      <c r="B1237" s="11" t="s">
        <v>9</v>
      </c>
      <c r="C1237" s="11" t="s">
        <v>170</v>
      </c>
      <c r="D1237" s="11" t="s">
        <v>171</v>
      </c>
      <c r="E1237" s="9" t="str">
        <f>+HYPERLINK("http://trademark.i-assist.jp/data/china/image_1904th/79541132.pdf", "79541132")</f>
        <v>79541132</v>
      </c>
      <c r="F1237" s="11" t="s">
        <v>3591</v>
      </c>
      <c r="G1237" s="11" t="s">
        <v>3592</v>
      </c>
      <c r="H1237" s="11" t="s">
        <v>3593</v>
      </c>
      <c r="I1237" s="11" t="s">
        <v>3436</v>
      </c>
    </row>
    <row r="1238" spans="1:9" x14ac:dyDescent="0.15">
      <c r="A1238" s="10">
        <v>1237</v>
      </c>
      <c r="B1238" s="11" t="s">
        <v>9</v>
      </c>
      <c r="C1238" s="11" t="s">
        <v>170</v>
      </c>
      <c r="D1238" s="11" t="s">
        <v>171</v>
      </c>
      <c r="E1238" s="9" t="str">
        <f>+HYPERLINK("http://trademark.i-assist.jp/data/china/image_1904th/79541368.pdf", "79541368")</f>
        <v>79541368</v>
      </c>
      <c r="F1238" s="11" t="s">
        <v>3594</v>
      </c>
      <c r="G1238" s="11" t="s">
        <v>3595</v>
      </c>
      <c r="H1238" s="11" t="s">
        <v>3596</v>
      </c>
      <c r="I1238" s="11" t="s">
        <v>3436</v>
      </c>
    </row>
    <row r="1239" spans="1:9" x14ac:dyDescent="0.15">
      <c r="A1239" s="10">
        <v>1238</v>
      </c>
      <c r="B1239" s="11" t="s">
        <v>9</v>
      </c>
      <c r="C1239" s="11" t="s">
        <v>170</v>
      </c>
      <c r="D1239" s="11" t="s">
        <v>171</v>
      </c>
      <c r="E1239" s="9" t="str">
        <f>+HYPERLINK("http://trademark.i-assist.jp/data/china/image_1904th/79541372.pdf", "79541372")</f>
        <v>79541372</v>
      </c>
      <c r="F1239" s="11" t="s">
        <v>3597</v>
      </c>
      <c r="G1239" s="11" t="s">
        <v>3434</v>
      </c>
      <c r="H1239" s="11" t="s">
        <v>3598</v>
      </c>
      <c r="I1239" s="11" t="s">
        <v>3436</v>
      </c>
    </row>
    <row r="1240" spans="1:9" x14ac:dyDescent="0.15">
      <c r="A1240" s="10">
        <v>1239</v>
      </c>
      <c r="B1240" s="11" t="s">
        <v>9</v>
      </c>
      <c r="C1240" s="11" t="s">
        <v>170</v>
      </c>
      <c r="D1240" s="11" t="s">
        <v>171</v>
      </c>
      <c r="E1240" s="9" t="str">
        <f>+HYPERLINK("http://trademark.i-assist.jp/data/china/image_1904th/79541416.pdf", "79541416")</f>
        <v>79541416</v>
      </c>
      <c r="F1240" s="11" t="s">
        <v>3599</v>
      </c>
      <c r="G1240" s="11" t="s">
        <v>3434</v>
      </c>
      <c r="H1240" s="11" t="s">
        <v>3600</v>
      </c>
      <c r="I1240" s="11" t="s">
        <v>3436</v>
      </c>
    </row>
    <row r="1241" spans="1:9" x14ac:dyDescent="0.15">
      <c r="A1241" s="10">
        <v>1240</v>
      </c>
      <c r="B1241" s="11" t="s">
        <v>9</v>
      </c>
      <c r="C1241" s="11" t="s">
        <v>170</v>
      </c>
      <c r="D1241" s="11" t="s">
        <v>171</v>
      </c>
      <c r="E1241" s="9" t="str">
        <f>+HYPERLINK("http://trademark.i-assist.jp/data/china/image_1904th/79541495.pdf", "79541495")</f>
        <v>79541495</v>
      </c>
      <c r="F1241" s="11" t="s">
        <v>3601</v>
      </c>
      <c r="G1241" s="11" t="s">
        <v>3539</v>
      </c>
      <c r="H1241" s="11" t="s">
        <v>3602</v>
      </c>
      <c r="I1241" s="11" t="s">
        <v>3436</v>
      </c>
    </row>
    <row r="1242" spans="1:9" x14ac:dyDescent="0.15">
      <c r="A1242" s="10">
        <v>1241</v>
      </c>
      <c r="B1242" s="11" t="s">
        <v>9</v>
      </c>
      <c r="C1242" s="11" t="s">
        <v>170</v>
      </c>
      <c r="D1242" s="11" t="s">
        <v>171</v>
      </c>
      <c r="E1242" s="9" t="str">
        <f>+HYPERLINK("http://trademark.i-assist.jp/data/china/image_1904th/79541520.pdf", "79541520")</f>
        <v>79541520</v>
      </c>
      <c r="F1242" s="11" t="s">
        <v>3603</v>
      </c>
      <c r="G1242" s="11" t="s">
        <v>3604</v>
      </c>
      <c r="H1242" s="11" t="s">
        <v>3605</v>
      </c>
      <c r="I1242" s="11" t="s">
        <v>3436</v>
      </c>
    </row>
    <row r="1243" spans="1:9" x14ac:dyDescent="0.15">
      <c r="A1243" s="10">
        <v>1242</v>
      </c>
      <c r="B1243" s="11" t="s">
        <v>9</v>
      </c>
      <c r="C1243" s="11" t="s">
        <v>170</v>
      </c>
      <c r="D1243" s="11" t="s">
        <v>171</v>
      </c>
      <c r="E1243" s="9" t="str">
        <f>+HYPERLINK("http://trademark.i-assist.jp/data/china/image_1904th/79541644.pdf", "79541644")</f>
        <v>79541644</v>
      </c>
      <c r="F1243" s="11" t="s">
        <v>3606</v>
      </c>
      <c r="G1243" s="11" t="s">
        <v>3607</v>
      </c>
      <c r="H1243" s="11" t="s">
        <v>3608</v>
      </c>
      <c r="I1243" s="11" t="s">
        <v>3436</v>
      </c>
    </row>
    <row r="1244" spans="1:9" x14ac:dyDescent="0.15">
      <c r="A1244" s="10">
        <v>1243</v>
      </c>
      <c r="B1244" s="11" t="s">
        <v>9</v>
      </c>
      <c r="C1244" s="11" t="s">
        <v>170</v>
      </c>
      <c r="D1244" s="11" t="s">
        <v>171</v>
      </c>
      <c r="E1244" s="9" t="str">
        <f>+HYPERLINK("http://trademark.i-assist.jp/data/china/image_1904th/79542539.pdf", "79542539")</f>
        <v>79542539</v>
      </c>
      <c r="F1244" s="11" t="s">
        <v>3609</v>
      </c>
      <c r="G1244" s="11" t="s">
        <v>3610</v>
      </c>
      <c r="H1244" s="11" t="s">
        <v>3611</v>
      </c>
      <c r="I1244" s="11" t="s">
        <v>3436</v>
      </c>
    </row>
    <row r="1245" spans="1:9" x14ac:dyDescent="0.15">
      <c r="A1245" s="10">
        <v>1244</v>
      </c>
      <c r="B1245" s="11" t="s">
        <v>9</v>
      </c>
      <c r="C1245" s="11" t="s">
        <v>170</v>
      </c>
      <c r="D1245" s="11" t="s">
        <v>171</v>
      </c>
      <c r="E1245" s="9" t="str">
        <f>+HYPERLINK("http://trademark.i-assist.jp/data/china/image_1904th/79542625.pdf", "79542625")</f>
        <v>79542625</v>
      </c>
      <c r="F1245" s="11" t="s">
        <v>3612</v>
      </c>
      <c r="G1245" s="11" t="s">
        <v>3613</v>
      </c>
      <c r="H1245" s="11" t="s">
        <v>3614</v>
      </c>
      <c r="I1245" s="11" t="s">
        <v>3436</v>
      </c>
    </row>
    <row r="1246" spans="1:9" x14ac:dyDescent="0.15">
      <c r="A1246" s="10">
        <v>1245</v>
      </c>
      <c r="B1246" s="11" t="s">
        <v>9</v>
      </c>
      <c r="C1246" s="11" t="s">
        <v>170</v>
      </c>
      <c r="D1246" s="11" t="s">
        <v>171</v>
      </c>
      <c r="E1246" s="9" t="str">
        <f>+HYPERLINK("http://trademark.i-assist.jp/data/china/image_1904th/79542657.pdf", "79542657")</f>
        <v>79542657</v>
      </c>
      <c r="F1246" s="11" t="s">
        <v>3615</v>
      </c>
      <c r="G1246" s="11" t="s">
        <v>3616</v>
      </c>
      <c r="H1246" s="11" t="s">
        <v>3617</v>
      </c>
      <c r="I1246" s="11" t="s">
        <v>3436</v>
      </c>
    </row>
    <row r="1247" spans="1:9" x14ac:dyDescent="0.15">
      <c r="A1247" s="10">
        <v>1246</v>
      </c>
      <c r="B1247" s="11" t="s">
        <v>9</v>
      </c>
      <c r="C1247" s="11" t="s">
        <v>170</v>
      </c>
      <c r="D1247" s="11" t="s">
        <v>171</v>
      </c>
      <c r="E1247" s="9" t="str">
        <f>+HYPERLINK("http://trademark.i-assist.jp/data/china/image_1904th/79542809.pdf", "79542809")</f>
        <v>79542809</v>
      </c>
      <c r="F1247" s="11" t="s">
        <v>3618</v>
      </c>
      <c r="G1247" s="11" t="s">
        <v>3619</v>
      </c>
      <c r="H1247" s="11" t="s">
        <v>3620</v>
      </c>
      <c r="I1247" s="11" t="s">
        <v>3436</v>
      </c>
    </row>
    <row r="1248" spans="1:9" x14ac:dyDescent="0.15">
      <c r="A1248" s="10">
        <v>1247</v>
      </c>
      <c r="B1248" s="11" t="s">
        <v>9</v>
      </c>
      <c r="C1248" s="11" t="s">
        <v>170</v>
      </c>
      <c r="D1248" s="11" t="s">
        <v>171</v>
      </c>
      <c r="E1248" s="9" t="str">
        <f>+HYPERLINK("http://trademark.i-assist.jp/data/china/image_1904th/79542990.pdf", "79542990")</f>
        <v>79542990</v>
      </c>
      <c r="F1248" s="11" t="s">
        <v>3621</v>
      </c>
      <c r="G1248" s="11" t="s">
        <v>3610</v>
      </c>
      <c r="H1248" s="11" t="s">
        <v>3622</v>
      </c>
      <c r="I1248" s="11" t="s">
        <v>3436</v>
      </c>
    </row>
    <row r="1249" spans="1:9" x14ac:dyDescent="0.15">
      <c r="A1249" s="10">
        <v>1248</v>
      </c>
      <c r="B1249" s="11" t="s">
        <v>9</v>
      </c>
      <c r="C1249" s="11" t="s">
        <v>170</v>
      </c>
      <c r="D1249" s="11" t="s">
        <v>171</v>
      </c>
      <c r="E1249" s="9" t="str">
        <f>+HYPERLINK("http://trademark.i-assist.jp/data/china/image_1904th/79543044.pdf", "79543044")</f>
        <v>79543044</v>
      </c>
      <c r="F1249" s="11" t="s">
        <v>3623</v>
      </c>
      <c r="G1249" s="11" t="s">
        <v>3434</v>
      </c>
      <c r="H1249" s="11" t="s">
        <v>3624</v>
      </c>
      <c r="I1249" s="11" t="s">
        <v>3436</v>
      </c>
    </row>
    <row r="1250" spans="1:9" x14ac:dyDescent="0.15">
      <c r="A1250" s="10">
        <v>1249</v>
      </c>
      <c r="B1250" s="11" t="s">
        <v>9</v>
      </c>
      <c r="C1250" s="11" t="s">
        <v>170</v>
      </c>
      <c r="D1250" s="11" t="s">
        <v>171</v>
      </c>
      <c r="E1250" s="9" t="str">
        <f>+HYPERLINK("http://trademark.i-assist.jp/data/china/image_1904th/79543207.pdf", "79543207")</f>
        <v>79543207</v>
      </c>
      <c r="F1250" s="11" t="s">
        <v>3625</v>
      </c>
      <c r="G1250" s="11" t="s">
        <v>3626</v>
      </c>
      <c r="H1250" s="11" t="s">
        <v>3627</v>
      </c>
      <c r="I1250" s="11" t="s">
        <v>3436</v>
      </c>
    </row>
    <row r="1251" spans="1:9" x14ac:dyDescent="0.15">
      <c r="A1251" s="10">
        <v>1250</v>
      </c>
      <c r="B1251" s="11" t="s">
        <v>9</v>
      </c>
      <c r="C1251" s="11" t="s">
        <v>170</v>
      </c>
      <c r="D1251" s="11" t="s">
        <v>171</v>
      </c>
      <c r="E1251" s="9" t="str">
        <f>+HYPERLINK("http://trademark.i-assist.jp/data/china/image_1904th/79543406.pdf", "79543406")</f>
        <v>79543406</v>
      </c>
      <c r="F1251" s="11" t="s">
        <v>3628</v>
      </c>
      <c r="G1251" s="11" t="s">
        <v>3629</v>
      </c>
      <c r="H1251" s="11" t="s">
        <v>3630</v>
      </c>
      <c r="I1251" s="11" t="s">
        <v>3436</v>
      </c>
    </row>
    <row r="1252" spans="1:9" x14ac:dyDescent="0.15">
      <c r="A1252" s="10">
        <v>1251</v>
      </c>
      <c r="B1252" s="11" t="s">
        <v>9</v>
      </c>
      <c r="C1252" s="11" t="s">
        <v>170</v>
      </c>
      <c r="D1252" s="11" t="s">
        <v>171</v>
      </c>
      <c r="E1252" s="9" t="str">
        <f>+HYPERLINK("http://trademark.i-assist.jp/data/china/image_1904th/79543873.pdf", "79543873")</f>
        <v>79543873</v>
      </c>
      <c r="F1252" s="11" t="s">
        <v>3631</v>
      </c>
      <c r="G1252" s="11" t="s">
        <v>3632</v>
      </c>
      <c r="H1252" s="11" t="s">
        <v>3633</v>
      </c>
      <c r="I1252" s="11" t="s">
        <v>3436</v>
      </c>
    </row>
    <row r="1253" spans="1:9" x14ac:dyDescent="0.15">
      <c r="A1253" s="10">
        <v>1252</v>
      </c>
      <c r="B1253" s="11" t="s">
        <v>9</v>
      </c>
      <c r="C1253" s="11" t="s">
        <v>170</v>
      </c>
      <c r="D1253" s="11" t="s">
        <v>171</v>
      </c>
      <c r="E1253" s="9" t="str">
        <f>+HYPERLINK("http://trademark.i-assist.jp/data/china/image_1904th/79543984.pdf", "79543984")</f>
        <v>79543984</v>
      </c>
      <c r="F1253" s="11" t="s">
        <v>3634</v>
      </c>
      <c r="G1253" s="11" t="s">
        <v>3635</v>
      </c>
      <c r="H1253" s="11" t="s">
        <v>3636</v>
      </c>
      <c r="I1253" s="11" t="s">
        <v>3436</v>
      </c>
    </row>
    <row r="1254" spans="1:9" x14ac:dyDescent="0.15">
      <c r="A1254" s="10">
        <v>1253</v>
      </c>
      <c r="B1254" s="11" t="s">
        <v>9</v>
      </c>
      <c r="C1254" s="11" t="s">
        <v>170</v>
      </c>
      <c r="D1254" s="11" t="s">
        <v>171</v>
      </c>
      <c r="E1254" s="9" t="str">
        <f>+HYPERLINK("http://trademark.i-assist.jp/data/china/image_1904th/79544315.pdf", "79544315")</f>
        <v>79544315</v>
      </c>
      <c r="F1254" s="11" t="s">
        <v>3637</v>
      </c>
      <c r="G1254" s="11" t="s">
        <v>3638</v>
      </c>
      <c r="H1254" s="11" t="s">
        <v>3639</v>
      </c>
      <c r="I1254" s="11" t="s">
        <v>3436</v>
      </c>
    </row>
    <row r="1255" spans="1:9" x14ac:dyDescent="0.15">
      <c r="A1255" s="10">
        <v>1254</v>
      </c>
      <c r="B1255" s="11" t="s">
        <v>9</v>
      </c>
      <c r="C1255" s="11" t="s">
        <v>170</v>
      </c>
      <c r="D1255" s="11" t="s">
        <v>171</v>
      </c>
      <c r="E1255" s="9" t="str">
        <f>+HYPERLINK("http://trademark.i-assist.jp/data/china/image_1904th/79544351.pdf", "79544351")</f>
        <v>79544351</v>
      </c>
      <c r="F1255" s="11" t="s">
        <v>3640</v>
      </c>
      <c r="G1255" s="11" t="s">
        <v>3641</v>
      </c>
      <c r="H1255" s="11" t="s">
        <v>3642</v>
      </c>
      <c r="I1255" s="11" t="s">
        <v>3436</v>
      </c>
    </row>
    <row r="1256" spans="1:9" x14ac:dyDescent="0.15">
      <c r="A1256" s="10">
        <v>1255</v>
      </c>
      <c r="B1256" s="11" t="s">
        <v>9</v>
      </c>
      <c r="C1256" s="11" t="s">
        <v>170</v>
      </c>
      <c r="D1256" s="11" t="s">
        <v>171</v>
      </c>
      <c r="E1256" s="9" t="str">
        <f>+HYPERLINK("http://trademark.i-assist.jp/data/china/image_1904th/79545120.pdf", "79545120")</f>
        <v>79545120</v>
      </c>
      <c r="F1256" s="11" t="s">
        <v>3643</v>
      </c>
      <c r="G1256" s="11" t="s">
        <v>3644</v>
      </c>
      <c r="H1256" s="11" t="s">
        <v>3645</v>
      </c>
      <c r="I1256" s="11" t="s">
        <v>3436</v>
      </c>
    </row>
    <row r="1257" spans="1:9" x14ac:dyDescent="0.15">
      <c r="A1257" s="10">
        <v>1256</v>
      </c>
      <c r="B1257" s="11" t="s">
        <v>9</v>
      </c>
      <c r="C1257" s="11" t="s">
        <v>170</v>
      </c>
      <c r="D1257" s="11" t="s">
        <v>171</v>
      </c>
      <c r="E1257" s="9" t="str">
        <f>+HYPERLINK("http://trademark.i-assist.jp/data/china/image_1904th/79545286.pdf", "79545286")</f>
        <v>79545286</v>
      </c>
      <c r="F1257" s="11" t="s">
        <v>3646</v>
      </c>
      <c r="G1257" s="11" t="s">
        <v>3647</v>
      </c>
      <c r="H1257" s="11" t="s">
        <v>3648</v>
      </c>
      <c r="I1257" s="11" t="s">
        <v>3436</v>
      </c>
    </row>
    <row r="1258" spans="1:9" x14ac:dyDescent="0.15">
      <c r="A1258" s="10">
        <v>1257</v>
      </c>
      <c r="B1258" s="11" t="s">
        <v>9</v>
      </c>
      <c r="C1258" s="11" t="s">
        <v>170</v>
      </c>
      <c r="D1258" s="11" t="s">
        <v>171</v>
      </c>
      <c r="E1258" s="9" t="str">
        <f>+HYPERLINK("http://trademark.i-assist.jp/data/china/image_1904th/79545325.pdf", "79545325")</f>
        <v>79545325</v>
      </c>
      <c r="F1258" s="11" t="s">
        <v>3649</v>
      </c>
      <c r="G1258" s="11" t="s">
        <v>3650</v>
      </c>
      <c r="H1258" s="11" t="s">
        <v>3651</v>
      </c>
      <c r="I1258" s="11" t="s">
        <v>3436</v>
      </c>
    </row>
    <row r="1259" spans="1:9" x14ac:dyDescent="0.15">
      <c r="A1259" s="10">
        <v>1258</v>
      </c>
      <c r="B1259" s="11" t="s">
        <v>9</v>
      </c>
      <c r="C1259" s="11" t="s">
        <v>170</v>
      </c>
      <c r="D1259" s="11" t="s">
        <v>171</v>
      </c>
      <c r="E1259" s="9" t="str">
        <f>+HYPERLINK("http://trademark.i-assist.jp/data/china/image_1904th/79545402.pdf", "79545402")</f>
        <v>79545402</v>
      </c>
      <c r="F1259" s="11" t="s">
        <v>3652</v>
      </c>
      <c r="G1259" s="11" t="s">
        <v>3653</v>
      </c>
      <c r="H1259" s="11" t="s">
        <v>3654</v>
      </c>
      <c r="I1259" s="11" t="s">
        <v>3436</v>
      </c>
    </row>
    <row r="1260" spans="1:9" x14ac:dyDescent="0.15">
      <c r="A1260" s="10">
        <v>1259</v>
      </c>
      <c r="B1260" s="11" t="s">
        <v>9</v>
      </c>
      <c r="C1260" s="11" t="s">
        <v>170</v>
      </c>
      <c r="D1260" s="11" t="s">
        <v>171</v>
      </c>
      <c r="E1260" s="9" t="str">
        <f>+HYPERLINK("http://trademark.i-assist.jp/data/china/image_1904th/79546132.pdf", "79546132")</f>
        <v>79546132</v>
      </c>
      <c r="F1260" s="11" t="s">
        <v>3655</v>
      </c>
      <c r="G1260" s="11" t="s">
        <v>3589</v>
      </c>
      <c r="H1260" s="11" t="s">
        <v>3656</v>
      </c>
      <c r="I1260" s="11" t="s">
        <v>3436</v>
      </c>
    </row>
    <row r="1261" spans="1:9" x14ac:dyDescent="0.15">
      <c r="A1261" s="10">
        <v>1260</v>
      </c>
      <c r="B1261" s="11" t="s">
        <v>9</v>
      </c>
      <c r="C1261" s="11" t="s">
        <v>170</v>
      </c>
      <c r="D1261" s="11" t="s">
        <v>171</v>
      </c>
      <c r="E1261" s="9" t="str">
        <f>+HYPERLINK("http://trademark.i-assist.jp/data/china/image_1904th/79546428.pdf", "79546428")</f>
        <v>79546428</v>
      </c>
      <c r="F1261" s="11" t="s">
        <v>3657</v>
      </c>
      <c r="G1261" s="11" t="s">
        <v>3658</v>
      </c>
      <c r="H1261" s="11" t="s">
        <v>3659</v>
      </c>
      <c r="I1261" s="11" t="s">
        <v>3436</v>
      </c>
    </row>
    <row r="1262" spans="1:9" x14ac:dyDescent="0.15">
      <c r="A1262" s="10">
        <v>1261</v>
      </c>
      <c r="B1262" s="11" t="s">
        <v>9</v>
      </c>
      <c r="C1262" s="11" t="s">
        <v>170</v>
      </c>
      <c r="D1262" s="11" t="s">
        <v>171</v>
      </c>
      <c r="E1262" s="9" t="str">
        <f>+HYPERLINK("http://trademark.i-assist.jp/data/china/image_1904th/79546791.pdf", "79546791")</f>
        <v>79546791</v>
      </c>
      <c r="F1262" s="11" t="s">
        <v>3660</v>
      </c>
      <c r="G1262" s="11" t="s">
        <v>3661</v>
      </c>
      <c r="H1262" s="11" t="s">
        <v>3662</v>
      </c>
      <c r="I1262" s="11" t="s">
        <v>3436</v>
      </c>
    </row>
    <row r="1263" spans="1:9" x14ac:dyDescent="0.15">
      <c r="A1263" s="10">
        <v>1262</v>
      </c>
      <c r="B1263" s="11" t="s">
        <v>9</v>
      </c>
      <c r="C1263" s="11" t="s">
        <v>170</v>
      </c>
      <c r="D1263" s="11" t="s">
        <v>171</v>
      </c>
      <c r="E1263" s="9" t="str">
        <f>+HYPERLINK("http://trademark.i-assist.jp/data/china/image_1904th/79546913.pdf", "79546913")</f>
        <v>79546913</v>
      </c>
      <c r="F1263" s="11" t="s">
        <v>3663</v>
      </c>
      <c r="G1263" s="11" t="s">
        <v>3539</v>
      </c>
      <c r="H1263" s="11" t="s">
        <v>3664</v>
      </c>
      <c r="I1263" s="11" t="s">
        <v>3436</v>
      </c>
    </row>
    <row r="1264" spans="1:9" x14ac:dyDescent="0.15">
      <c r="A1264" s="10">
        <v>1263</v>
      </c>
      <c r="B1264" s="11" t="s">
        <v>9</v>
      </c>
      <c r="C1264" s="11" t="s">
        <v>170</v>
      </c>
      <c r="D1264" s="11" t="s">
        <v>171</v>
      </c>
      <c r="E1264" s="9" t="str">
        <f>+HYPERLINK("http://trademark.i-assist.jp/data/china/image_1904th/79547252.pdf", "79547252")</f>
        <v>79547252</v>
      </c>
      <c r="F1264" s="11" t="s">
        <v>3665</v>
      </c>
      <c r="G1264" s="11" t="s">
        <v>3666</v>
      </c>
      <c r="H1264" s="11" t="s">
        <v>3667</v>
      </c>
      <c r="I1264" s="11" t="s">
        <v>3436</v>
      </c>
    </row>
    <row r="1265" spans="1:9" x14ac:dyDescent="0.15">
      <c r="A1265" s="10">
        <v>1264</v>
      </c>
      <c r="B1265" s="11" t="s">
        <v>9</v>
      </c>
      <c r="C1265" s="11" t="s">
        <v>170</v>
      </c>
      <c r="D1265" s="11" t="s">
        <v>171</v>
      </c>
      <c r="E1265" s="9" t="str">
        <f>+HYPERLINK("http://trademark.i-assist.jp/data/china/image_1904th/79547255.pdf", "79547255")</f>
        <v>79547255</v>
      </c>
      <c r="F1265" s="11" t="s">
        <v>3668</v>
      </c>
      <c r="G1265" s="11" t="s">
        <v>3669</v>
      </c>
      <c r="H1265" s="11" t="s">
        <v>3670</v>
      </c>
      <c r="I1265" s="11" t="s">
        <v>3436</v>
      </c>
    </row>
    <row r="1266" spans="1:9" x14ac:dyDescent="0.15">
      <c r="A1266" s="10">
        <v>1265</v>
      </c>
      <c r="B1266" s="11" t="s">
        <v>9</v>
      </c>
      <c r="C1266" s="11" t="s">
        <v>170</v>
      </c>
      <c r="D1266" s="11" t="s">
        <v>171</v>
      </c>
      <c r="E1266" s="9" t="str">
        <f>+HYPERLINK("http://trademark.i-assist.jp/data/china/image_1904th/79547257.pdf", "79547257")</f>
        <v>79547257</v>
      </c>
      <c r="F1266" s="11" t="s">
        <v>3671</v>
      </c>
      <c r="G1266" s="11" t="s">
        <v>3672</v>
      </c>
      <c r="H1266" s="11" t="s">
        <v>3673</v>
      </c>
      <c r="I1266" s="11" t="s">
        <v>3436</v>
      </c>
    </row>
    <row r="1267" spans="1:9" x14ac:dyDescent="0.15">
      <c r="A1267" s="10">
        <v>1266</v>
      </c>
      <c r="B1267" s="11" t="s">
        <v>9</v>
      </c>
      <c r="C1267" s="11" t="s">
        <v>170</v>
      </c>
      <c r="D1267" s="11" t="s">
        <v>171</v>
      </c>
      <c r="E1267" s="9" t="str">
        <f>+HYPERLINK("http://trademark.i-assist.jp/data/china/image_1904th/79547284.pdf", "79547284")</f>
        <v>79547284</v>
      </c>
      <c r="F1267" s="11" t="s">
        <v>3674</v>
      </c>
      <c r="G1267" s="11" t="s">
        <v>3675</v>
      </c>
      <c r="H1267" s="11" t="s">
        <v>3676</v>
      </c>
      <c r="I1267" s="11" t="s">
        <v>3436</v>
      </c>
    </row>
    <row r="1268" spans="1:9" x14ac:dyDescent="0.15">
      <c r="A1268" s="10">
        <v>1267</v>
      </c>
      <c r="B1268" s="11" t="s">
        <v>9</v>
      </c>
      <c r="C1268" s="11" t="s">
        <v>170</v>
      </c>
      <c r="D1268" s="11" t="s">
        <v>171</v>
      </c>
      <c r="E1268" s="9" t="str">
        <f>+HYPERLINK("http://trademark.i-assist.jp/data/china/image_1904th/79547455.pdf", "79547455")</f>
        <v>79547455</v>
      </c>
      <c r="F1268" s="11" t="s">
        <v>3677</v>
      </c>
      <c r="G1268" s="11" t="s">
        <v>3678</v>
      </c>
      <c r="H1268" s="11" t="s">
        <v>3679</v>
      </c>
      <c r="I1268" s="11" t="s">
        <v>3436</v>
      </c>
    </row>
    <row r="1269" spans="1:9" x14ac:dyDescent="0.15">
      <c r="A1269" s="10">
        <v>1268</v>
      </c>
      <c r="B1269" s="11" t="s">
        <v>9</v>
      </c>
      <c r="C1269" s="11" t="s">
        <v>170</v>
      </c>
      <c r="D1269" s="11" t="s">
        <v>171</v>
      </c>
      <c r="E1269" s="9" t="str">
        <f>+HYPERLINK("http://trademark.i-assist.jp/data/china/image_1904th/79547635.pdf", "79547635")</f>
        <v>79547635</v>
      </c>
      <c r="F1269" s="11" t="s">
        <v>3680</v>
      </c>
      <c r="G1269" s="11" t="s">
        <v>3681</v>
      </c>
      <c r="H1269" s="11" t="s">
        <v>3682</v>
      </c>
      <c r="I1269" s="11" t="s">
        <v>3436</v>
      </c>
    </row>
    <row r="1270" spans="1:9" x14ac:dyDescent="0.15">
      <c r="A1270" s="10">
        <v>1269</v>
      </c>
      <c r="B1270" s="11" t="s">
        <v>9</v>
      </c>
      <c r="C1270" s="11" t="s">
        <v>170</v>
      </c>
      <c r="D1270" s="11" t="s">
        <v>171</v>
      </c>
      <c r="E1270" s="9" t="str">
        <f>+HYPERLINK("http://trademark.i-assist.jp/data/china/image_1904th/79547874.pdf", "79547874")</f>
        <v>79547874</v>
      </c>
      <c r="F1270" s="11" t="s">
        <v>3683</v>
      </c>
      <c r="G1270" s="11" t="s">
        <v>3684</v>
      </c>
      <c r="H1270" s="11" t="s">
        <v>3685</v>
      </c>
      <c r="I1270" s="11" t="s">
        <v>3436</v>
      </c>
    </row>
    <row r="1271" spans="1:9" x14ac:dyDescent="0.15">
      <c r="A1271" s="10">
        <v>1270</v>
      </c>
      <c r="B1271" s="11" t="s">
        <v>9</v>
      </c>
      <c r="C1271" s="11" t="s">
        <v>170</v>
      </c>
      <c r="D1271" s="11" t="s">
        <v>171</v>
      </c>
      <c r="E1271" s="9" t="str">
        <f>+HYPERLINK("http://trademark.i-assist.jp/data/china/image_1904th/79548310.pdf", "79548310")</f>
        <v>79548310</v>
      </c>
      <c r="F1271" s="11" t="s">
        <v>12</v>
      </c>
      <c r="G1271" s="11" t="s">
        <v>3686</v>
      </c>
      <c r="H1271" s="11" t="s">
        <v>3687</v>
      </c>
      <c r="I1271" s="11" t="s">
        <v>3436</v>
      </c>
    </row>
    <row r="1272" spans="1:9" x14ac:dyDescent="0.15">
      <c r="A1272" s="10">
        <v>1271</v>
      </c>
      <c r="B1272" s="11" t="s">
        <v>9</v>
      </c>
      <c r="C1272" s="11" t="s">
        <v>170</v>
      </c>
      <c r="D1272" s="11" t="s">
        <v>171</v>
      </c>
      <c r="E1272" s="9" t="str">
        <f>+HYPERLINK("http://trademark.i-assist.jp/data/china/image_1904th/79548907.pdf", "79548907")</f>
        <v>79548907</v>
      </c>
      <c r="F1272" s="11" t="s">
        <v>3688</v>
      </c>
      <c r="G1272" s="11" t="s">
        <v>3689</v>
      </c>
      <c r="H1272" s="11" t="s">
        <v>3690</v>
      </c>
      <c r="I1272" s="11" t="s">
        <v>3436</v>
      </c>
    </row>
    <row r="1273" spans="1:9" x14ac:dyDescent="0.15">
      <c r="A1273" s="10">
        <v>1272</v>
      </c>
      <c r="B1273" s="11" t="s">
        <v>9</v>
      </c>
      <c r="C1273" s="11" t="s">
        <v>170</v>
      </c>
      <c r="D1273" s="11" t="s">
        <v>171</v>
      </c>
      <c r="E1273" s="9" t="str">
        <f>+HYPERLINK("http://trademark.i-assist.jp/data/china/image_1904th/79548913.pdf", "79548913")</f>
        <v>79548913</v>
      </c>
      <c r="F1273" s="11" t="s">
        <v>3691</v>
      </c>
      <c r="G1273" s="11" t="s">
        <v>3692</v>
      </c>
      <c r="H1273" s="11" t="s">
        <v>3693</v>
      </c>
      <c r="I1273" s="11" t="s">
        <v>3436</v>
      </c>
    </row>
    <row r="1274" spans="1:9" x14ac:dyDescent="0.15">
      <c r="A1274" s="10">
        <v>1273</v>
      </c>
      <c r="B1274" s="11" t="s">
        <v>9</v>
      </c>
      <c r="C1274" s="11" t="s">
        <v>170</v>
      </c>
      <c r="D1274" s="11" t="s">
        <v>171</v>
      </c>
      <c r="E1274" s="9" t="str">
        <f>+HYPERLINK("http://trademark.i-assist.jp/data/china/image_1904th/79549020.pdf", "79549020")</f>
        <v>79549020</v>
      </c>
      <c r="F1274" s="11" t="s">
        <v>3694</v>
      </c>
      <c r="G1274" s="11" t="s">
        <v>3491</v>
      </c>
      <c r="H1274" s="11" t="s">
        <v>3695</v>
      </c>
      <c r="I1274" s="11" t="s">
        <v>3436</v>
      </c>
    </row>
    <row r="1275" spans="1:9" x14ac:dyDescent="0.15">
      <c r="A1275" s="10">
        <v>1274</v>
      </c>
      <c r="B1275" s="11" t="s">
        <v>9</v>
      </c>
      <c r="C1275" s="11" t="s">
        <v>170</v>
      </c>
      <c r="D1275" s="11" t="s">
        <v>171</v>
      </c>
      <c r="E1275" s="9" t="str">
        <f>+HYPERLINK("http://trademark.i-assist.jp/data/china/image_1904th/79549221.pdf", "79549221")</f>
        <v>79549221</v>
      </c>
      <c r="F1275" s="11" t="s">
        <v>12</v>
      </c>
      <c r="G1275" s="11" t="s">
        <v>3696</v>
      </c>
      <c r="H1275" s="11" t="s">
        <v>3697</v>
      </c>
      <c r="I1275" s="11" t="s">
        <v>3436</v>
      </c>
    </row>
    <row r="1276" spans="1:9" x14ac:dyDescent="0.15">
      <c r="A1276" s="10">
        <v>1275</v>
      </c>
      <c r="B1276" s="11" t="s">
        <v>9</v>
      </c>
      <c r="C1276" s="11" t="s">
        <v>170</v>
      </c>
      <c r="D1276" s="11" t="s">
        <v>171</v>
      </c>
      <c r="E1276" s="9" t="str">
        <f>+HYPERLINK("http://trademark.i-assist.jp/data/china/image_1904th/79549381.pdf", "79549381")</f>
        <v>79549381</v>
      </c>
      <c r="F1276" s="11" t="s">
        <v>3698</v>
      </c>
      <c r="G1276" s="11" t="s">
        <v>3699</v>
      </c>
      <c r="H1276" s="11" t="s">
        <v>3700</v>
      </c>
      <c r="I1276" s="11" t="s">
        <v>3436</v>
      </c>
    </row>
    <row r="1277" spans="1:9" x14ac:dyDescent="0.15">
      <c r="A1277" s="10">
        <v>1276</v>
      </c>
      <c r="B1277" s="11" t="s">
        <v>9</v>
      </c>
      <c r="C1277" s="11" t="s">
        <v>170</v>
      </c>
      <c r="D1277" s="11" t="s">
        <v>171</v>
      </c>
      <c r="E1277" s="9" t="str">
        <f>+HYPERLINK("http://trademark.i-assist.jp/data/china/image_1904th/79549524.pdf", "79549524")</f>
        <v>79549524</v>
      </c>
      <c r="F1277" s="11" t="s">
        <v>3701</v>
      </c>
      <c r="G1277" s="11" t="s">
        <v>3702</v>
      </c>
      <c r="H1277" s="11" t="s">
        <v>3703</v>
      </c>
      <c r="I1277" s="11" t="s">
        <v>3436</v>
      </c>
    </row>
    <row r="1278" spans="1:9" x14ac:dyDescent="0.15">
      <c r="A1278" s="10">
        <v>1277</v>
      </c>
      <c r="B1278" s="11" t="s">
        <v>9</v>
      </c>
      <c r="C1278" s="11" t="s">
        <v>170</v>
      </c>
      <c r="D1278" s="11" t="s">
        <v>171</v>
      </c>
      <c r="E1278" s="9" t="str">
        <f>+HYPERLINK("http://trademark.i-assist.jp/data/china/image_1904th/79550269.pdf", "79550269")</f>
        <v>79550269</v>
      </c>
      <c r="F1278" s="11" t="s">
        <v>3704</v>
      </c>
      <c r="G1278" s="11" t="s">
        <v>3684</v>
      </c>
      <c r="H1278" s="11" t="s">
        <v>3705</v>
      </c>
      <c r="I1278" s="11" t="s">
        <v>3436</v>
      </c>
    </row>
    <row r="1279" spans="1:9" x14ac:dyDescent="0.15">
      <c r="A1279" s="10">
        <v>1278</v>
      </c>
      <c r="B1279" s="11" t="s">
        <v>9</v>
      </c>
      <c r="C1279" s="11" t="s">
        <v>170</v>
      </c>
      <c r="D1279" s="11" t="s">
        <v>171</v>
      </c>
      <c r="E1279" s="9" t="str">
        <f>+HYPERLINK("http://trademark.i-assist.jp/data/china/image_1904th/79550350.pdf", "79550350")</f>
        <v>79550350</v>
      </c>
      <c r="F1279" s="11" t="s">
        <v>3691</v>
      </c>
      <c r="G1279" s="11" t="s">
        <v>3692</v>
      </c>
      <c r="H1279" s="11" t="s">
        <v>3706</v>
      </c>
      <c r="I1279" s="11" t="s">
        <v>3436</v>
      </c>
    </row>
    <row r="1280" spans="1:9" x14ac:dyDescent="0.15">
      <c r="A1280" s="10">
        <v>1279</v>
      </c>
      <c r="B1280" s="11" t="s">
        <v>9</v>
      </c>
      <c r="C1280" s="11" t="s">
        <v>170</v>
      </c>
      <c r="D1280" s="11" t="s">
        <v>171</v>
      </c>
      <c r="E1280" s="9" t="str">
        <f>+HYPERLINK("http://trademark.i-assist.jp/data/china/image_1904th/79550419.pdf", "79550419")</f>
        <v>79550419</v>
      </c>
      <c r="F1280" s="11" t="s">
        <v>12</v>
      </c>
      <c r="G1280" s="11" t="s">
        <v>3549</v>
      </c>
      <c r="H1280" s="11" t="s">
        <v>3707</v>
      </c>
      <c r="I1280" s="11" t="s">
        <v>3436</v>
      </c>
    </row>
    <row r="1281" spans="1:9" x14ac:dyDescent="0.15">
      <c r="A1281" s="10">
        <v>1280</v>
      </c>
      <c r="B1281" s="11" t="s">
        <v>9</v>
      </c>
      <c r="C1281" s="11" t="s">
        <v>170</v>
      </c>
      <c r="D1281" s="11" t="s">
        <v>171</v>
      </c>
      <c r="E1281" s="9" t="str">
        <f>+HYPERLINK("http://trademark.i-assist.jp/data/china/image_1904th/79551154.pdf", "79551154")</f>
        <v>79551154</v>
      </c>
      <c r="F1281" s="11" t="s">
        <v>3708</v>
      </c>
      <c r="G1281" s="11" t="s">
        <v>3709</v>
      </c>
      <c r="H1281" s="11" t="s">
        <v>3710</v>
      </c>
      <c r="I1281" s="11" t="s">
        <v>3711</v>
      </c>
    </row>
    <row r="1282" spans="1:9" x14ac:dyDescent="0.15">
      <c r="A1282" s="10">
        <v>1281</v>
      </c>
      <c r="B1282" s="11" t="s">
        <v>9</v>
      </c>
      <c r="C1282" s="11" t="s">
        <v>170</v>
      </c>
      <c r="D1282" s="11" t="s">
        <v>171</v>
      </c>
      <c r="E1282" s="9" t="str">
        <f>+HYPERLINK("http://trademark.i-assist.jp/data/china/image_1904th/79551198.pdf", "79551198")</f>
        <v>79551198</v>
      </c>
      <c r="F1282" s="11" t="s">
        <v>3712</v>
      </c>
      <c r="G1282" s="11" t="s">
        <v>3713</v>
      </c>
      <c r="H1282" s="11" t="s">
        <v>3714</v>
      </c>
      <c r="I1282" s="11" t="s">
        <v>3711</v>
      </c>
    </row>
    <row r="1283" spans="1:9" x14ac:dyDescent="0.15">
      <c r="A1283" s="10">
        <v>1282</v>
      </c>
      <c r="B1283" s="11" t="s">
        <v>9</v>
      </c>
      <c r="C1283" s="11" t="s">
        <v>170</v>
      </c>
      <c r="D1283" s="11" t="s">
        <v>171</v>
      </c>
      <c r="E1283" s="9" t="str">
        <f>+HYPERLINK("http://trademark.i-assist.jp/data/china/image_1904th/79551238.pdf", "79551238")</f>
        <v>79551238</v>
      </c>
      <c r="F1283" s="11" t="s">
        <v>3715</v>
      </c>
      <c r="G1283" s="11" t="s">
        <v>2476</v>
      </c>
      <c r="H1283" s="11" t="s">
        <v>3716</v>
      </c>
      <c r="I1283" s="11" t="s">
        <v>3711</v>
      </c>
    </row>
    <row r="1284" spans="1:9" x14ac:dyDescent="0.15">
      <c r="A1284" s="10">
        <v>1283</v>
      </c>
      <c r="B1284" s="11" t="s">
        <v>9</v>
      </c>
      <c r="C1284" s="11" t="s">
        <v>170</v>
      </c>
      <c r="D1284" s="11" t="s">
        <v>171</v>
      </c>
      <c r="E1284" s="9" t="str">
        <f>+HYPERLINK("http://trademark.i-assist.jp/data/china/image_1904th/79551478.pdf", "79551478")</f>
        <v>79551478</v>
      </c>
      <c r="F1284" s="11" t="s">
        <v>3717</v>
      </c>
      <c r="G1284" s="11" t="s">
        <v>3718</v>
      </c>
      <c r="H1284" s="11" t="s">
        <v>3719</v>
      </c>
      <c r="I1284" s="11" t="s">
        <v>3711</v>
      </c>
    </row>
    <row r="1285" spans="1:9" x14ac:dyDescent="0.15">
      <c r="A1285" s="10">
        <v>1284</v>
      </c>
      <c r="B1285" s="11" t="s">
        <v>9</v>
      </c>
      <c r="C1285" s="11" t="s">
        <v>170</v>
      </c>
      <c r="D1285" s="11" t="s">
        <v>171</v>
      </c>
      <c r="E1285" s="9" t="str">
        <f>+HYPERLINK("http://trademark.i-assist.jp/data/china/image_1904th/79551632.pdf", "79551632")</f>
        <v>79551632</v>
      </c>
      <c r="F1285" s="11" t="s">
        <v>3720</v>
      </c>
      <c r="G1285" s="11" t="s">
        <v>3721</v>
      </c>
      <c r="H1285" s="11" t="s">
        <v>3722</v>
      </c>
      <c r="I1285" s="11" t="s">
        <v>3711</v>
      </c>
    </row>
    <row r="1286" spans="1:9" x14ac:dyDescent="0.15">
      <c r="A1286" s="10">
        <v>1285</v>
      </c>
      <c r="B1286" s="11" t="s">
        <v>9</v>
      </c>
      <c r="C1286" s="11" t="s">
        <v>170</v>
      </c>
      <c r="D1286" s="11" t="s">
        <v>171</v>
      </c>
      <c r="E1286" s="9" t="str">
        <f>+HYPERLINK("http://trademark.i-assist.jp/data/china/image_1904th/79551773.pdf", "79551773")</f>
        <v>79551773</v>
      </c>
      <c r="F1286" s="11" t="s">
        <v>3723</v>
      </c>
      <c r="G1286" s="11" t="s">
        <v>3724</v>
      </c>
      <c r="H1286" s="11" t="s">
        <v>3725</v>
      </c>
      <c r="I1286" s="11" t="s">
        <v>3711</v>
      </c>
    </row>
    <row r="1287" spans="1:9" x14ac:dyDescent="0.15">
      <c r="A1287" s="10">
        <v>1286</v>
      </c>
      <c r="B1287" s="11" t="s">
        <v>9</v>
      </c>
      <c r="C1287" s="11" t="s">
        <v>170</v>
      </c>
      <c r="D1287" s="11" t="s">
        <v>171</v>
      </c>
      <c r="E1287" s="9" t="str">
        <f>+HYPERLINK("http://trademark.i-assist.jp/data/china/image_1904th/79551824.pdf", "79551824")</f>
        <v>79551824</v>
      </c>
      <c r="F1287" s="11" t="s">
        <v>3726</v>
      </c>
      <c r="G1287" s="11" t="s">
        <v>3727</v>
      </c>
      <c r="H1287" s="11" t="s">
        <v>3728</v>
      </c>
      <c r="I1287" s="11" t="s">
        <v>3711</v>
      </c>
    </row>
    <row r="1288" spans="1:9" x14ac:dyDescent="0.15">
      <c r="A1288" s="10">
        <v>1287</v>
      </c>
      <c r="B1288" s="11" t="s">
        <v>9</v>
      </c>
      <c r="C1288" s="11" t="s">
        <v>170</v>
      </c>
      <c r="D1288" s="11" t="s">
        <v>171</v>
      </c>
      <c r="E1288" s="9" t="str">
        <f>+HYPERLINK("http://trademark.i-assist.jp/data/china/image_1904th/79551859.pdf", "79551859")</f>
        <v>79551859</v>
      </c>
      <c r="F1288" s="11" t="s">
        <v>3729</v>
      </c>
      <c r="G1288" s="11" t="s">
        <v>3730</v>
      </c>
      <c r="H1288" s="11" t="s">
        <v>3731</v>
      </c>
      <c r="I1288" s="11" t="s">
        <v>3711</v>
      </c>
    </row>
    <row r="1289" spans="1:9" x14ac:dyDescent="0.15">
      <c r="A1289" s="10">
        <v>1288</v>
      </c>
      <c r="B1289" s="11" t="s">
        <v>9</v>
      </c>
      <c r="C1289" s="11" t="s">
        <v>170</v>
      </c>
      <c r="D1289" s="11" t="s">
        <v>171</v>
      </c>
      <c r="E1289" s="9" t="str">
        <f>+HYPERLINK("http://trademark.i-assist.jp/data/china/image_1904th/79551912.pdf", "79551912")</f>
        <v>79551912</v>
      </c>
      <c r="F1289" s="11" t="s">
        <v>3732</v>
      </c>
      <c r="G1289" s="11" t="s">
        <v>3733</v>
      </c>
      <c r="H1289" s="11" t="s">
        <v>3734</v>
      </c>
      <c r="I1289" s="11" t="s">
        <v>3711</v>
      </c>
    </row>
    <row r="1290" spans="1:9" x14ac:dyDescent="0.15">
      <c r="A1290" s="10">
        <v>1289</v>
      </c>
      <c r="B1290" s="11" t="s">
        <v>9</v>
      </c>
      <c r="C1290" s="11" t="s">
        <v>170</v>
      </c>
      <c r="D1290" s="11" t="s">
        <v>171</v>
      </c>
      <c r="E1290" s="9" t="str">
        <f>+HYPERLINK("http://trademark.i-assist.jp/data/china/image_1904th/79552006.pdf", "79552006")</f>
        <v>79552006</v>
      </c>
      <c r="F1290" s="11" t="s">
        <v>3735</v>
      </c>
      <c r="G1290" s="11" t="s">
        <v>3736</v>
      </c>
      <c r="H1290" s="11" t="s">
        <v>3737</v>
      </c>
      <c r="I1290" s="11" t="s">
        <v>3711</v>
      </c>
    </row>
    <row r="1291" spans="1:9" x14ac:dyDescent="0.15">
      <c r="A1291" s="10">
        <v>1290</v>
      </c>
      <c r="B1291" s="11" t="s">
        <v>9</v>
      </c>
      <c r="C1291" s="11" t="s">
        <v>170</v>
      </c>
      <c r="D1291" s="11" t="s">
        <v>171</v>
      </c>
      <c r="E1291" s="9" t="str">
        <f>+HYPERLINK("http://trademark.i-assist.jp/data/china/image_1904th/79552288.pdf", "79552288")</f>
        <v>79552288</v>
      </c>
      <c r="F1291" s="11" t="s">
        <v>3738</v>
      </c>
      <c r="G1291" s="11" t="s">
        <v>3739</v>
      </c>
      <c r="H1291" s="11" t="s">
        <v>3740</v>
      </c>
      <c r="I1291" s="11" t="s">
        <v>3711</v>
      </c>
    </row>
    <row r="1292" spans="1:9" x14ac:dyDescent="0.15">
      <c r="A1292" s="10">
        <v>1291</v>
      </c>
      <c r="B1292" s="11" t="s">
        <v>9</v>
      </c>
      <c r="C1292" s="11" t="s">
        <v>170</v>
      </c>
      <c r="D1292" s="11" t="s">
        <v>171</v>
      </c>
      <c r="E1292" s="9" t="str">
        <f>+HYPERLINK("http://trademark.i-assist.jp/data/china/image_1904th/79553082.pdf", "79553082")</f>
        <v>79553082</v>
      </c>
      <c r="F1292" s="11" t="s">
        <v>3741</v>
      </c>
      <c r="G1292" s="11" t="s">
        <v>3742</v>
      </c>
      <c r="H1292" s="11" t="s">
        <v>3743</v>
      </c>
      <c r="I1292" s="11" t="s">
        <v>3711</v>
      </c>
    </row>
    <row r="1293" spans="1:9" x14ac:dyDescent="0.15">
      <c r="A1293" s="10">
        <v>1292</v>
      </c>
      <c r="B1293" s="11" t="s">
        <v>9</v>
      </c>
      <c r="C1293" s="11" t="s">
        <v>170</v>
      </c>
      <c r="D1293" s="11" t="s">
        <v>171</v>
      </c>
      <c r="E1293" s="9" t="str">
        <f>+HYPERLINK("http://trademark.i-assist.jp/data/china/image_1904th/79553177.pdf", "79553177")</f>
        <v>79553177</v>
      </c>
      <c r="F1293" s="11" t="s">
        <v>3744</v>
      </c>
      <c r="G1293" s="11" t="s">
        <v>3745</v>
      </c>
      <c r="H1293" s="11" t="s">
        <v>3746</v>
      </c>
      <c r="I1293" s="11" t="s">
        <v>3711</v>
      </c>
    </row>
    <row r="1294" spans="1:9" x14ac:dyDescent="0.15">
      <c r="A1294" s="10">
        <v>1293</v>
      </c>
      <c r="B1294" s="11" t="s">
        <v>9</v>
      </c>
      <c r="C1294" s="11" t="s">
        <v>170</v>
      </c>
      <c r="D1294" s="11" t="s">
        <v>171</v>
      </c>
      <c r="E1294" s="9" t="str">
        <f>+HYPERLINK("http://trademark.i-assist.jp/data/china/image_1904th/79553260.pdf", "79553260")</f>
        <v>79553260</v>
      </c>
      <c r="F1294" s="11" t="s">
        <v>3747</v>
      </c>
      <c r="G1294" s="11" t="s">
        <v>3748</v>
      </c>
      <c r="H1294" s="11" t="s">
        <v>3749</v>
      </c>
      <c r="I1294" s="11" t="s">
        <v>3711</v>
      </c>
    </row>
    <row r="1295" spans="1:9" x14ac:dyDescent="0.15">
      <c r="A1295" s="10">
        <v>1294</v>
      </c>
      <c r="B1295" s="11" t="s">
        <v>9</v>
      </c>
      <c r="C1295" s="11" t="s">
        <v>170</v>
      </c>
      <c r="D1295" s="11" t="s">
        <v>171</v>
      </c>
      <c r="E1295" s="9" t="str">
        <f>+HYPERLINK("http://trademark.i-assist.jp/data/china/image_1904th/79553406.pdf", "79553406")</f>
        <v>79553406</v>
      </c>
      <c r="F1295" s="11" t="s">
        <v>3750</v>
      </c>
      <c r="G1295" s="11" t="s">
        <v>3751</v>
      </c>
      <c r="H1295" s="11" t="s">
        <v>3752</v>
      </c>
      <c r="I1295" s="11" t="s">
        <v>3711</v>
      </c>
    </row>
    <row r="1296" spans="1:9" x14ac:dyDescent="0.15">
      <c r="A1296" s="10">
        <v>1295</v>
      </c>
      <c r="B1296" s="11" t="s">
        <v>9</v>
      </c>
      <c r="C1296" s="11" t="s">
        <v>170</v>
      </c>
      <c r="D1296" s="11" t="s">
        <v>171</v>
      </c>
      <c r="E1296" s="9" t="str">
        <f>+HYPERLINK("http://trademark.i-assist.jp/data/china/image_1904th/79553774.pdf", "79553774")</f>
        <v>79553774</v>
      </c>
      <c r="F1296" s="11" t="s">
        <v>3753</v>
      </c>
      <c r="G1296" s="11" t="s">
        <v>3754</v>
      </c>
      <c r="H1296" s="11" t="s">
        <v>3755</v>
      </c>
      <c r="I1296" s="11" t="s">
        <v>3711</v>
      </c>
    </row>
    <row r="1297" spans="1:9" x14ac:dyDescent="0.15">
      <c r="A1297" s="10">
        <v>1296</v>
      </c>
      <c r="B1297" s="11" t="s">
        <v>9</v>
      </c>
      <c r="C1297" s="11" t="s">
        <v>170</v>
      </c>
      <c r="D1297" s="11" t="s">
        <v>171</v>
      </c>
      <c r="E1297" s="9" t="str">
        <f>+HYPERLINK("http://trademark.i-assist.jp/data/china/image_1904th/79553854.pdf", "79553854")</f>
        <v>79553854</v>
      </c>
      <c r="F1297" s="11" t="s">
        <v>3756</v>
      </c>
      <c r="G1297" s="11" t="s">
        <v>3709</v>
      </c>
      <c r="H1297" s="11" t="s">
        <v>3757</v>
      </c>
      <c r="I1297" s="11" t="s">
        <v>3711</v>
      </c>
    </row>
    <row r="1298" spans="1:9" x14ac:dyDescent="0.15">
      <c r="A1298" s="10">
        <v>1297</v>
      </c>
      <c r="B1298" s="11" t="s">
        <v>9</v>
      </c>
      <c r="C1298" s="11" t="s">
        <v>170</v>
      </c>
      <c r="D1298" s="11" t="s">
        <v>171</v>
      </c>
      <c r="E1298" s="9" t="str">
        <f>+HYPERLINK("http://trademark.i-assist.jp/data/china/image_1904th/79553878.pdf", "79553878")</f>
        <v>79553878</v>
      </c>
      <c r="F1298" s="11" t="s">
        <v>3758</v>
      </c>
      <c r="G1298" s="11" t="s">
        <v>3759</v>
      </c>
      <c r="H1298" s="11" t="s">
        <v>3760</v>
      </c>
      <c r="I1298" s="11" t="s">
        <v>3711</v>
      </c>
    </row>
    <row r="1299" spans="1:9" x14ac:dyDescent="0.15">
      <c r="A1299" s="10">
        <v>1298</v>
      </c>
      <c r="B1299" s="11" t="s">
        <v>9</v>
      </c>
      <c r="C1299" s="11" t="s">
        <v>170</v>
      </c>
      <c r="D1299" s="11" t="s">
        <v>171</v>
      </c>
      <c r="E1299" s="9" t="str">
        <f>+HYPERLINK("http://trademark.i-assist.jp/data/china/image_1904th/79554112.pdf", "79554112")</f>
        <v>79554112</v>
      </c>
      <c r="F1299" s="11" t="s">
        <v>3761</v>
      </c>
      <c r="G1299" s="11" t="s">
        <v>3762</v>
      </c>
      <c r="H1299" s="11" t="s">
        <v>3763</v>
      </c>
      <c r="I1299" s="11" t="s">
        <v>3711</v>
      </c>
    </row>
    <row r="1300" spans="1:9" x14ac:dyDescent="0.15">
      <c r="A1300" s="10">
        <v>1299</v>
      </c>
      <c r="B1300" s="11" t="s">
        <v>9</v>
      </c>
      <c r="C1300" s="11" t="s">
        <v>170</v>
      </c>
      <c r="D1300" s="11" t="s">
        <v>171</v>
      </c>
      <c r="E1300" s="9" t="str">
        <f>+HYPERLINK("http://trademark.i-assist.jp/data/china/image_1904th/79554461.pdf", "79554461")</f>
        <v>79554461</v>
      </c>
      <c r="F1300" s="11" t="s">
        <v>3764</v>
      </c>
      <c r="G1300" s="11" t="s">
        <v>3765</v>
      </c>
      <c r="H1300" s="11" t="s">
        <v>3766</v>
      </c>
      <c r="I1300" s="11" t="s">
        <v>3711</v>
      </c>
    </row>
    <row r="1301" spans="1:9" x14ac:dyDescent="0.15">
      <c r="A1301" s="10">
        <v>1300</v>
      </c>
      <c r="B1301" s="11" t="s">
        <v>9</v>
      </c>
      <c r="C1301" s="11" t="s">
        <v>170</v>
      </c>
      <c r="D1301" s="11" t="s">
        <v>171</v>
      </c>
      <c r="E1301" s="9" t="str">
        <f>+HYPERLINK("http://trademark.i-assist.jp/data/china/image_1904th/79554654.pdf", "79554654")</f>
        <v>79554654</v>
      </c>
      <c r="F1301" s="11" t="s">
        <v>3767</v>
      </c>
      <c r="G1301" s="11" t="s">
        <v>3768</v>
      </c>
      <c r="H1301" s="11" t="s">
        <v>3769</v>
      </c>
      <c r="I1301" s="11" t="s">
        <v>3711</v>
      </c>
    </row>
    <row r="1302" spans="1:9" x14ac:dyDescent="0.15">
      <c r="A1302" s="10">
        <v>1301</v>
      </c>
      <c r="B1302" s="11" t="s">
        <v>9</v>
      </c>
      <c r="C1302" s="11" t="s">
        <v>170</v>
      </c>
      <c r="D1302" s="11" t="s">
        <v>171</v>
      </c>
      <c r="E1302" s="9" t="str">
        <f>+HYPERLINK("http://trademark.i-assist.jp/data/china/image_1904th/79554893.pdf", "79554893")</f>
        <v>79554893</v>
      </c>
      <c r="F1302" s="11" t="s">
        <v>3770</v>
      </c>
      <c r="G1302" s="11" t="s">
        <v>3771</v>
      </c>
      <c r="H1302" s="11" t="s">
        <v>3772</v>
      </c>
      <c r="I1302" s="11" t="s">
        <v>3711</v>
      </c>
    </row>
    <row r="1303" spans="1:9" x14ac:dyDescent="0.15">
      <c r="A1303" s="10">
        <v>1302</v>
      </c>
      <c r="B1303" s="11" t="s">
        <v>9</v>
      </c>
      <c r="C1303" s="11" t="s">
        <v>170</v>
      </c>
      <c r="D1303" s="11" t="s">
        <v>171</v>
      </c>
      <c r="E1303" s="9" t="str">
        <f>+HYPERLINK("http://trademark.i-assist.jp/data/china/image_1904th/79555008.pdf", "79555008")</f>
        <v>79555008</v>
      </c>
      <c r="F1303" s="11" t="s">
        <v>3773</v>
      </c>
      <c r="G1303" s="11" t="s">
        <v>3774</v>
      </c>
      <c r="H1303" s="11" t="s">
        <v>3775</v>
      </c>
      <c r="I1303" s="11" t="s">
        <v>3711</v>
      </c>
    </row>
    <row r="1304" spans="1:9" x14ac:dyDescent="0.15">
      <c r="A1304" s="10">
        <v>1303</v>
      </c>
      <c r="B1304" s="11" t="s">
        <v>9</v>
      </c>
      <c r="C1304" s="11" t="s">
        <v>170</v>
      </c>
      <c r="D1304" s="11" t="s">
        <v>171</v>
      </c>
      <c r="E1304" s="9" t="str">
        <f>+HYPERLINK("http://trademark.i-assist.jp/data/china/image_1904th/79555020.pdf", "79555020")</f>
        <v>79555020</v>
      </c>
      <c r="F1304" s="11" t="s">
        <v>3776</v>
      </c>
      <c r="G1304" s="11" t="s">
        <v>3709</v>
      </c>
      <c r="H1304" s="11" t="s">
        <v>3777</v>
      </c>
      <c r="I1304" s="11" t="s">
        <v>3711</v>
      </c>
    </row>
    <row r="1305" spans="1:9" x14ac:dyDescent="0.15">
      <c r="A1305" s="10">
        <v>1304</v>
      </c>
      <c r="B1305" s="11" t="s">
        <v>9</v>
      </c>
      <c r="C1305" s="11" t="s">
        <v>170</v>
      </c>
      <c r="D1305" s="11" t="s">
        <v>171</v>
      </c>
      <c r="E1305" s="9" t="str">
        <f>+HYPERLINK("http://trademark.i-assist.jp/data/china/image_1904th/79555309.pdf", "79555309")</f>
        <v>79555309</v>
      </c>
      <c r="F1305" s="11" t="s">
        <v>3778</v>
      </c>
      <c r="G1305" s="11" t="s">
        <v>3779</v>
      </c>
      <c r="H1305" s="11" t="s">
        <v>3780</v>
      </c>
      <c r="I1305" s="11" t="s">
        <v>3711</v>
      </c>
    </row>
    <row r="1306" spans="1:9" x14ac:dyDescent="0.15">
      <c r="A1306" s="10">
        <v>1305</v>
      </c>
      <c r="B1306" s="11" t="s">
        <v>9</v>
      </c>
      <c r="C1306" s="11" t="s">
        <v>170</v>
      </c>
      <c r="D1306" s="11" t="s">
        <v>171</v>
      </c>
      <c r="E1306" s="9" t="str">
        <f>+HYPERLINK("http://trademark.i-assist.jp/data/china/image_1904th/79555720.pdf", "79555720")</f>
        <v>79555720</v>
      </c>
      <c r="F1306" s="11" t="s">
        <v>3781</v>
      </c>
      <c r="G1306" s="11" t="s">
        <v>3782</v>
      </c>
      <c r="H1306" s="11" t="s">
        <v>3783</v>
      </c>
      <c r="I1306" s="11" t="s">
        <v>3711</v>
      </c>
    </row>
    <row r="1307" spans="1:9" x14ac:dyDescent="0.15">
      <c r="A1307" s="10">
        <v>1306</v>
      </c>
      <c r="B1307" s="11" t="s">
        <v>9</v>
      </c>
      <c r="C1307" s="11" t="s">
        <v>170</v>
      </c>
      <c r="D1307" s="11" t="s">
        <v>171</v>
      </c>
      <c r="E1307" s="9" t="str">
        <f>+HYPERLINK("http://trademark.i-assist.jp/data/china/image_1904th/79555808.pdf", "79555808")</f>
        <v>79555808</v>
      </c>
      <c r="F1307" s="11" t="s">
        <v>12</v>
      </c>
      <c r="G1307" s="11" t="s">
        <v>3784</v>
      </c>
      <c r="H1307" s="11" t="s">
        <v>3785</v>
      </c>
      <c r="I1307" s="11" t="s">
        <v>3711</v>
      </c>
    </row>
    <row r="1308" spans="1:9" x14ac:dyDescent="0.15">
      <c r="A1308" s="10">
        <v>1307</v>
      </c>
      <c r="B1308" s="11" t="s">
        <v>9</v>
      </c>
      <c r="C1308" s="11" t="s">
        <v>170</v>
      </c>
      <c r="D1308" s="11" t="s">
        <v>171</v>
      </c>
      <c r="E1308" s="9" t="str">
        <f>+HYPERLINK("http://trademark.i-assist.jp/data/china/image_1904th/79555828.pdf", "79555828")</f>
        <v>79555828</v>
      </c>
      <c r="F1308" s="11" t="s">
        <v>3786</v>
      </c>
      <c r="G1308" s="11" t="s">
        <v>3787</v>
      </c>
      <c r="H1308" s="11" t="s">
        <v>3788</v>
      </c>
      <c r="I1308" s="11" t="s">
        <v>3711</v>
      </c>
    </row>
    <row r="1309" spans="1:9" x14ac:dyDescent="0.15">
      <c r="A1309" s="10">
        <v>1308</v>
      </c>
      <c r="B1309" s="11" t="s">
        <v>9</v>
      </c>
      <c r="C1309" s="11" t="s">
        <v>170</v>
      </c>
      <c r="D1309" s="11" t="s">
        <v>171</v>
      </c>
      <c r="E1309" s="9" t="str">
        <f>+HYPERLINK("http://trademark.i-assist.jp/data/china/image_1904th/79555861.pdf", "79555861")</f>
        <v>79555861</v>
      </c>
      <c r="F1309" s="11" t="s">
        <v>3789</v>
      </c>
      <c r="G1309" s="11" t="s">
        <v>3790</v>
      </c>
      <c r="H1309" s="11" t="s">
        <v>3791</v>
      </c>
      <c r="I1309" s="11" t="s">
        <v>3711</v>
      </c>
    </row>
    <row r="1310" spans="1:9" x14ac:dyDescent="0.15">
      <c r="A1310" s="10">
        <v>1309</v>
      </c>
      <c r="B1310" s="11" t="s">
        <v>9</v>
      </c>
      <c r="C1310" s="11" t="s">
        <v>170</v>
      </c>
      <c r="D1310" s="11" t="s">
        <v>171</v>
      </c>
      <c r="E1310" s="9" t="str">
        <f>+HYPERLINK("http://trademark.i-assist.jp/data/china/image_1904th/79555863.pdf", "79555863")</f>
        <v>79555863</v>
      </c>
      <c r="F1310" s="11" t="s">
        <v>3792</v>
      </c>
      <c r="G1310" s="11" t="s">
        <v>3793</v>
      </c>
      <c r="H1310" s="11" t="s">
        <v>3794</v>
      </c>
      <c r="I1310" s="11" t="s">
        <v>3711</v>
      </c>
    </row>
    <row r="1311" spans="1:9" x14ac:dyDescent="0.15">
      <c r="A1311" s="10">
        <v>1310</v>
      </c>
      <c r="B1311" s="11" t="s">
        <v>9</v>
      </c>
      <c r="C1311" s="11" t="s">
        <v>170</v>
      </c>
      <c r="D1311" s="11" t="s">
        <v>171</v>
      </c>
      <c r="E1311" s="9" t="str">
        <f>+HYPERLINK("http://trademark.i-assist.jp/data/china/image_1904th/79555989.pdf", "79555989")</f>
        <v>79555989</v>
      </c>
      <c r="F1311" s="11" t="s">
        <v>3795</v>
      </c>
      <c r="G1311" s="11" t="s">
        <v>3796</v>
      </c>
      <c r="H1311" s="11" t="s">
        <v>3797</v>
      </c>
      <c r="I1311" s="11" t="s">
        <v>3711</v>
      </c>
    </row>
    <row r="1312" spans="1:9" x14ac:dyDescent="0.15">
      <c r="A1312" s="10">
        <v>1311</v>
      </c>
      <c r="B1312" s="11" t="s">
        <v>9</v>
      </c>
      <c r="C1312" s="11" t="s">
        <v>170</v>
      </c>
      <c r="D1312" s="11" t="s">
        <v>171</v>
      </c>
      <c r="E1312" s="9" t="str">
        <f>+HYPERLINK("http://trademark.i-assist.jp/data/china/image_1904th/79556157.pdf", "79556157")</f>
        <v>79556157</v>
      </c>
      <c r="F1312" s="11" t="s">
        <v>3798</v>
      </c>
      <c r="G1312" s="11" t="s">
        <v>3799</v>
      </c>
      <c r="H1312" s="11" t="s">
        <v>3800</v>
      </c>
      <c r="I1312" s="11" t="s">
        <v>3711</v>
      </c>
    </row>
    <row r="1313" spans="1:9" x14ac:dyDescent="0.15">
      <c r="A1313" s="10">
        <v>1312</v>
      </c>
      <c r="B1313" s="11" t="s">
        <v>9</v>
      </c>
      <c r="C1313" s="11" t="s">
        <v>170</v>
      </c>
      <c r="D1313" s="11" t="s">
        <v>171</v>
      </c>
      <c r="E1313" s="9" t="str">
        <f>+HYPERLINK("http://trademark.i-assist.jp/data/china/image_1904th/79556263.pdf", "79556263")</f>
        <v>79556263</v>
      </c>
      <c r="F1313" s="11" t="s">
        <v>3801</v>
      </c>
      <c r="G1313" s="11" t="s">
        <v>3802</v>
      </c>
      <c r="H1313" s="11" t="s">
        <v>3803</v>
      </c>
      <c r="I1313" s="11" t="s">
        <v>3711</v>
      </c>
    </row>
    <row r="1314" spans="1:9" x14ac:dyDescent="0.15">
      <c r="A1314" s="10">
        <v>1313</v>
      </c>
      <c r="B1314" s="11" t="s">
        <v>9</v>
      </c>
      <c r="C1314" s="11" t="s">
        <v>170</v>
      </c>
      <c r="D1314" s="11" t="s">
        <v>171</v>
      </c>
      <c r="E1314" s="9" t="str">
        <f>+HYPERLINK("http://trademark.i-assist.jp/data/china/image_1904th/79556376.pdf", "79556376")</f>
        <v>79556376</v>
      </c>
      <c r="F1314" s="11" t="s">
        <v>3804</v>
      </c>
      <c r="G1314" s="11" t="s">
        <v>3805</v>
      </c>
      <c r="H1314" s="11" t="s">
        <v>3806</v>
      </c>
      <c r="I1314" s="11" t="s">
        <v>3711</v>
      </c>
    </row>
    <row r="1315" spans="1:9" x14ac:dyDescent="0.15">
      <c r="A1315" s="10">
        <v>1314</v>
      </c>
      <c r="B1315" s="11" t="s">
        <v>9</v>
      </c>
      <c r="C1315" s="11" t="s">
        <v>170</v>
      </c>
      <c r="D1315" s="11" t="s">
        <v>171</v>
      </c>
      <c r="E1315" s="9" t="str">
        <f>+HYPERLINK("http://trademark.i-assist.jp/data/china/image_1904th/79556534.pdf", "79556534")</f>
        <v>79556534</v>
      </c>
      <c r="F1315" s="11" t="s">
        <v>3807</v>
      </c>
      <c r="G1315" s="11" t="s">
        <v>121</v>
      </c>
      <c r="H1315" s="11" t="s">
        <v>3808</v>
      </c>
      <c r="I1315" s="11" t="s">
        <v>3711</v>
      </c>
    </row>
    <row r="1316" spans="1:9" x14ac:dyDescent="0.15">
      <c r="A1316" s="10">
        <v>1315</v>
      </c>
      <c r="B1316" s="11" t="s">
        <v>9</v>
      </c>
      <c r="C1316" s="11" t="s">
        <v>170</v>
      </c>
      <c r="D1316" s="11" t="s">
        <v>171</v>
      </c>
      <c r="E1316" s="9" t="str">
        <f>+HYPERLINK("http://trademark.i-assist.jp/data/china/image_1904th/79556697.pdf", "79556697")</f>
        <v>79556697</v>
      </c>
      <c r="F1316" s="11" t="s">
        <v>3809</v>
      </c>
      <c r="G1316" s="11" t="s">
        <v>3810</v>
      </c>
      <c r="H1316" s="11" t="s">
        <v>3811</v>
      </c>
      <c r="I1316" s="11" t="s">
        <v>3711</v>
      </c>
    </row>
    <row r="1317" spans="1:9" x14ac:dyDescent="0.15">
      <c r="A1317" s="10">
        <v>1316</v>
      </c>
      <c r="B1317" s="11" t="s">
        <v>9</v>
      </c>
      <c r="C1317" s="11" t="s">
        <v>170</v>
      </c>
      <c r="D1317" s="11" t="s">
        <v>171</v>
      </c>
      <c r="E1317" s="9" t="str">
        <f>+HYPERLINK("http://trademark.i-assist.jp/data/china/image_1904th/79556704.pdf", "79556704")</f>
        <v>79556704</v>
      </c>
      <c r="F1317" s="11" t="s">
        <v>3812</v>
      </c>
      <c r="G1317" s="11" t="s">
        <v>3813</v>
      </c>
      <c r="H1317" s="11" t="s">
        <v>3814</v>
      </c>
      <c r="I1317" s="11" t="s">
        <v>3711</v>
      </c>
    </row>
    <row r="1318" spans="1:9" x14ac:dyDescent="0.15">
      <c r="A1318" s="10">
        <v>1317</v>
      </c>
      <c r="B1318" s="11" t="s">
        <v>9</v>
      </c>
      <c r="C1318" s="11" t="s">
        <v>170</v>
      </c>
      <c r="D1318" s="11" t="s">
        <v>171</v>
      </c>
      <c r="E1318" s="9" t="str">
        <f>+HYPERLINK("http://trademark.i-assist.jp/data/china/image_1904th/79556843.pdf", "79556843")</f>
        <v>79556843</v>
      </c>
      <c r="F1318" s="11" t="s">
        <v>3815</v>
      </c>
      <c r="G1318" s="11" t="s">
        <v>3816</v>
      </c>
      <c r="H1318" s="11" t="s">
        <v>3817</v>
      </c>
      <c r="I1318" s="11" t="s">
        <v>3711</v>
      </c>
    </row>
    <row r="1319" spans="1:9" x14ac:dyDescent="0.15">
      <c r="A1319" s="10">
        <v>1318</v>
      </c>
      <c r="B1319" s="11" t="s">
        <v>9</v>
      </c>
      <c r="C1319" s="11" t="s">
        <v>170</v>
      </c>
      <c r="D1319" s="11" t="s">
        <v>171</v>
      </c>
      <c r="E1319" s="9" t="str">
        <f>+HYPERLINK("http://trademark.i-assist.jp/data/china/image_1904th/79556918.pdf", "79556918")</f>
        <v>79556918</v>
      </c>
      <c r="F1319" s="11" t="s">
        <v>3818</v>
      </c>
      <c r="G1319" s="11" t="s">
        <v>3819</v>
      </c>
      <c r="H1319" s="11" t="s">
        <v>3820</v>
      </c>
      <c r="I1319" s="11" t="s">
        <v>3711</v>
      </c>
    </row>
    <row r="1320" spans="1:9" x14ac:dyDescent="0.15">
      <c r="A1320" s="10">
        <v>1319</v>
      </c>
      <c r="B1320" s="11" t="s">
        <v>9</v>
      </c>
      <c r="C1320" s="11" t="s">
        <v>170</v>
      </c>
      <c r="D1320" s="11" t="s">
        <v>171</v>
      </c>
      <c r="E1320" s="9" t="str">
        <f>+HYPERLINK("http://trademark.i-assist.jp/data/china/image_1904th/79556962.pdf", "79556962")</f>
        <v>79556962</v>
      </c>
      <c r="F1320" s="11" t="s">
        <v>3821</v>
      </c>
      <c r="G1320" s="11" t="s">
        <v>3822</v>
      </c>
      <c r="H1320" s="11" t="s">
        <v>3823</v>
      </c>
      <c r="I1320" s="11" t="s">
        <v>3711</v>
      </c>
    </row>
    <row r="1321" spans="1:9" x14ac:dyDescent="0.15">
      <c r="A1321" s="10">
        <v>1320</v>
      </c>
      <c r="B1321" s="11" t="s">
        <v>9</v>
      </c>
      <c r="C1321" s="11" t="s">
        <v>170</v>
      </c>
      <c r="D1321" s="11" t="s">
        <v>171</v>
      </c>
      <c r="E1321" s="9" t="str">
        <f>+HYPERLINK("http://trademark.i-assist.jp/data/china/image_1904th/79557269.pdf", "79557269")</f>
        <v>79557269</v>
      </c>
      <c r="F1321" s="11" t="s">
        <v>3824</v>
      </c>
      <c r="G1321" s="11" t="s">
        <v>3825</v>
      </c>
      <c r="H1321" s="11" t="s">
        <v>3826</v>
      </c>
      <c r="I1321" s="11" t="s">
        <v>3711</v>
      </c>
    </row>
    <row r="1322" spans="1:9" x14ac:dyDescent="0.15">
      <c r="A1322" s="10">
        <v>1321</v>
      </c>
      <c r="B1322" s="11" t="s">
        <v>9</v>
      </c>
      <c r="C1322" s="11" t="s">
        <v>170</v>
      </c>
      <c r="D1322" s="11" t="s">
        <v>171</v>
      </c>
      <c r="E1322" s="9" t="str">
        <f>+HYPERLINK("http://trademark.i-assist.jp/data/china/image_1904th/79557696.pdf", "79557696")</f>
        <v>79557696</v>
      </c>
      <c r="F1322" s="11" t="s">
        <v>3827</v>
      </c>
      <c r="G1322" s="11" t="s">
        <v>3828</v>
      </c>
      <c r="H1322" s="11" t="s">
        <v>18</v>
      </c>
      <c r="I1322" s="11" t="s">
        <v>3711</v>
      </c>
    </row>
    <row r="1323" spans="1:9" x14ac:dyDescent="0.15">
      <c r="A1323" s="10">
        <v>1322</v>
      </c>
      <c r="B1323" s="11" t="s">
        <v>9</v>
      </c>
      <c r="C1323" s="11" t="s">
        <v>170</v>
      </c>
      <c r="D1323" s="11" t="s">
        <v>171</v>
      </c>
      <c r="E1323" s="9" t="str">
        <f>+HYPERLINK("http://trademark.i-assist.jp/data/china/image_1904th/79558101.pdf", "79558101")</f>
        <v>79558101</v>
      </c>
      <c r="F1323" s="11" t="s">
        <v>3829</v>
      </c>
      <c r="G1323" s="11" t="s">
        <v>3830</v>
      </c>
      <c r="H1323" s="11" t="s">
        <v>3831</v>
      </c>
      <c r="I1323" s="11" t="s">
        <v>3711</v>
      </c>
    </row>
    <row r="1324" spans="1:9" x14ac:dyDescent="0.15">
      <c r="A1324" s="10">
        <v>1323</v>
      </c>
      <c r="B1324" s="11" t="s">
        <v>9</v>
      </c>
      <c r="C1324" s="11" t="s">
        <v>170</v>
      </c>
      <c r="D1324" s="11" t="s">
        <v>171</v>
      </c>
      <c r="E1324" s="9" t="str">
        <f>+HYPERLINK("http://trademark.i-assist.jp/data/china/image_1904th/79558656.pdf", "79558656")</f>
        <v>79558656</v>
      </c>
      <c r="F1324" s="11" t="s">
        <v>12</v>
      </c>
      <c r="G1324" s="11" t="s">
        <v>3832</v>
      </c>
      <c r="H1324" s="11" t="s">
        <v>3833</v>
      </c>
      <c r="I1324" s="11" t="s">
        <v>3711</v>
      </c>
    </row>
    <row r="1325" spans="1:9" x14ac:dyDescent="0.15">
      <c r="A1325" s="10">
        <v>1324</v>
      </c>
      <c r="B1325" s="11" t="s">
        <v>9</v>
      </c>
      <c r="C1325" s="11" t="s">
        <v>170</v>
      </c>
      <c r="D1325" s="11" t="s">
        <v>171</v>
      </c>
      <c r="E1325" s="9" t="str">
        <f>+HYPERLINK("http://trademark.i-assist.jp/data/china/image_1904th/79558842.pdf", "79558842")</f>
        <v>79558842</v>
      </c>
      <c r="F1325" s="11" t="s">
        <v>3834</v>
      </c>
      <c r="G1325" s="11" t="s">
        <v>3835</v>
      </c>
      <c r="H1325" s="11" t="s">
        <v>3836</v>
      </c>
      <c r="I1325" s="11" t="s">
        <v>3711</v>
      </c>
    </row>
    <row r="1326" spans="1:9" x14ac:dyDescent="0.15">
      <c r="A1326" s="10">
        <v>1325</v>
      </c>
      <c r="B1326" s="11" t="s">
        <v>9</v>
      </c>
      <c r="C1326" s="11" t="s">
        <v>170</v>
      </c>
      <c r="D1326" s="11" t="s">
        <v>171</v>
      </c>
      <c r="E1326" s="9" t="str">
        <f>+HYPERLINK("http://trademark.i-assist.jp/data/china/image_1904th/79559032.pdf", "79559032")</f>
        <v>79559032</v>
      </c>
      <c r="F1326" s="11" t="s">
        <v>3837</v>
      </c>
      <c r="G1326" s="11" t="s">
        <v>3838</v>
      </c>
      <c r="H1326" s="11" t="s">
        <v>3839</v>
      </c>
      <c r="I1326" s="11" t="s">
        <v>3711</v>
      </c>
    </row>
    <row r="1327" spans="1:9" x14ac:dyDescent="0.15">
      <c r="A1327" s="10">
        <v>1326</v>
      </c>
      <c r="B1327" s="11" t="s">
        <v>9</v>
      </c>
      <c r="C1327" s="11" t="s">
        <v>170</v>
      </c>
      <c r="D1327" s="11" t="s">
        <v>171</v>
      </c>
      <c r="E1327" s="9" t="str">
        <f>+HYPERLINK("http://trademark.i-assist.jp/data/china/image_1904th/79559168.pdf", "79559168")</f>
        <v>79559168</v>
      </c>
      <c r="F1327" s="11" t="s">
        <v>3840</v>
      </c>
      <c r="G1327" s="11" t="s">
        <v>3841</v>
      </c>
      <c r="H1327" s="11" t="s">
        <v>3842</v>
      </c>
      <c r="I1327" s="11" t="s">
        <v>3711</v>
      </c>
    </row>
    <row r="1328" spans="1:9" x14ac:dyDescent="0.15">
      <c r="A1328" s="10">
        <v>1327</v>
      </c>
      <c r="B1328" s="11" t="s">
        <v>9</v>
      </c>
      <c r="C1328" s="11" t="s">
        <v>170</v>
      </c>
      <c r="D1328" s="11" t="s">
        <v>171</v>
      </c>
      <c r="E1328" s="9" t="str">
        <f>+HYPERLINK("http://trademark.i-assist.jp/data/china/image_1904th/79559317.pdf", "79559317")</f>
        <v>79559317</v>
      </c>
      <c r="F1328" s="11" t="s">
        <v>3843</v>
      </c>
      <c r="G1328" s="11" t="s">
        <v>3844</v>
      </c>
      <c r="H1328" s="11" t="s">
        <v>3845</v>
      </c>
      <c r="I1328" s="11" t="s">
        <v>3711</v>
      </c>
    </row>
    <row r="1329" spans="1:9" x14ac:dyDescent="0.15">
      <c r="A1329" s="10">
        <v>1328</v>
      </c>
      <c r="B1329" s="11" t="s">
        <v>9</v>
      </c>
      <c r="C1329" s="11" t="s">
        <v>170</v>
      </c>
      <c r="D1329" s="11" t="s">
        <v>171</v>
      </c>
      <c r="E1329" s="9" t="str">
        <f>+HYPERLINK("http://trademark.i-assist.jp/data/china/image_1904th/79559339.pdf", "79559339")</f>
        <v>79559339</v>
      </c>
      <c r="F1329" s="11" t="s">
        <v>3846</v>
      </c>
      <c r="G1329" s="11" t="s">
        <v>3847</v>
      </c>
      <c r="H1329" s="11" t="s">
        <v>3848</v>
      </c>
      <c r="I1329" s="11" t="s">
        <v>3711</v>
      </c>
    </row>
    <row r="1330" spans="1:9" x14ac:dyDescent="0.15">
      <c r="A1330" s="10">
        <v>1329</v>
      </c>
      <c r="B1330" s="11" t="s">
        <v>9</v>
      </c>
      <c r="C1330" s="11" t="s">
        <v>170</v>
      </c>
      <c r="D1330" s="11" t="s">
        <v>171</v>
      </c>
      <c r="E1330" s="9" t="str">
        <f>+HYPERLINK("http://trademark.i-assist.jp/data/china/image_1904th/79559384.pdf", "79559384")</f>
        <v>79559384</v>
      </c>
      <c r="F1330" s="11" t="s">
        <v>3849</v>
      </c>
      <c r="G1330" s="11" t="s">
        <v>3850</v>
      </c>
      <c r="H1330" s="11" t="s">
        <v>3851</v>
      </c>
      <c r="I1330" s="11" t="s">
        <v>3711</v>
      </c>
    </row>
    <row r="1331" spans="1:9" x14ac:dyDescent="0.15">
      <c r="A1331" s="10">
        <v>1330</v>
      </c>
      <c r="B1331" s="11" t="s">
        <v>9</v>
      </c>
      <c r="C1331" s="11" t="s">
        <v>170</v>
      </c>
      <c r="D1331" s="11" t="s">
        <v>171</v>
      </c>
      <c r="E1331" s="9" t="str">
        <f>+HYPERLINK("http://trademark.i-assist.jp/data/china/image_1904th/79559546.pdf", "79559546")</f>
        <v>79559546</v>
      </c>
      <c r="F1331" s="11" t="s">
        <v>3852</v>
      </c>
      <c r="G1331" s="11" t="s">
        <v>3853</v>
      </c>
      <c r="H1331" s="11" t="s">
        <v>3854</v>
      </c>
      <c r="I1331" s="11" t="s">
        <v>3711</v>
      </c>
    </row>
    <row r="1332" spans="1:9" x14ac:dyDescent="0.15">
      <c r="A1332" s="10">
        <v>1331</v>
      </c>
      <c r="B1332" s="11" t="s">
        <v>9</v>
      </c>
      <c r="C1332" s="11" t="s">
        <v>170</v>
      </c>
      <c r="D1332" s="11" t="s">
        <v>171</v>
      </c>
      <c r="E1332" s="9" t="str">
        <f>+HYPERLINK("http://trademark.i-assist.jp/data/china/image_1904th/79559696.pdf", "79559696")</f>
        <v>79559696</v>
      </c>
      <c r="F1332" s="11" t="s">
        <v>3855</v>
      </c>
      <c r="G1332" s="11" t="s">
        <v>3856</v>
      </c>
      <c r="H1332" s="11" t="s">
        <v>3857</v>
      </c>
      <c r="I1332" s="11" t="s">
        <v>3711</v>
      </c>
    </row>
    <row r="1333" spans="1:9" x14ac:dyDescent="0.15">
      <c r="A1333" s="10">
        <v>1332</v>
      </c>
      <c r="B1333" s="11" t="s">
        <v>9</v>
      </c>
      <c r="C1333" s="11" t="s">
        <v>170</v>
      </c>
      <c r="D1333" s="11" t="s">
        <v>171</v>
      </c>
      <c r="E1333" s="9" t="str">
        <f>+HYPERLINK("http://trademark.i-assist.jp/data/china/image_1904th/79559748.pdf", "79559748")</f>
        <v>79559748</v>
      </c>
      <c r="F1333" s="11" t="s">
        <v>3858</v>
      </c>
      <c r="G1333" s="11" t="s">
        <v>3859</v>
      </c>
      <c r="H1333" s="11" t="s">
        <v>3860</v>
      </c>
      <c r="I1333" s="11" t="s">
        <v>3711</v>
      </c>
    </row>
    <row r="1334" spans="1:9" x14ac:dyDescent="0.15">
      <c r="A1334" s="10">
        <v>1333</v>
      </c>
      <c r="B1334" s="11" t="s">
        <v>9</v>
      </c>
      <c r="C1334" s="11" t="s">
        <v>170</v>
      </c>
      <c r="D1334" s="11" t="s">
        <v>171</v>
      </c>
      <c r="E1334" s="9" t="str">
        <f>+HYPERLINK("http://trademark.i-assist.jp/data/china/image_1904th/79559847.pdf", "79559847")</f>
        <v>79559847</v>
      </c>
      <c r="F1334" s="11" t="s">
        <v>3861</v>
      </c>
      <c r="G1334" s="11" t="s">
        <v>147</v>
      </c>
      <c r="H1334" s="11" t="s">
        <v>3862</v>
      </c>
      <c r="I1334" s="11" t="s">
        <v>3711</v>
      </c>
    </row>
    <row r="1335" spans="1:9" x14ac:dyDescent="0.15">
      <c r="A1335" s="10">
        <v>1334</v>
      </c>
      <c r="B1335" s="11" t="s">
        <v>9</v>
      </c>
      <c r="C1335" s="11" t="s">
        <v>170</v>
      </c>
      <c r="D1335" s="11" t="s">
        <v>171</v>
      </c>
      <c r="E1335" s="9" t="str">
        <f>+HYPERLINK("http://trademark.i-assist.jp/data/china/image_1904th/79560434.pdf", "79560434")</f>
        <v>79560434</v>
      </c>
      <c r="F1335" s="11" t="s">
        <v>3863</v>
      </c>
      <c r="G1335" s="11" t="s">
        <v>3864</v>
      </c>
      <c r="H1335" s="11" t="s">
        <v>3865</v>
      </c>
      <c r="I1335" s="11" t="s">
        <v>3711</v>
      </c>
    </row>
    <row r="1336" spans="1:9" x14ac:dyDescent="0.15">
      <c r="A1336" s="10">
        <v>1335</v>
      </c>
      <c r="B1336" s="11" t="s">
        <v>9</v>
      </c>
      <c r="C1336" s="11" t="s">
        <v>170</v>
      </c>
      <c r="D1336" s="11" t="s">
        <v>171</v>
      </c>
      <c r="E1336" s="9" t="str">
        <f>+HYPERLINK("http://trademark.i-assist.jp/data/china/image_1904th/79560461.pdf", "79560461")</f>
        <v>79560461</v>
      </c>
      <c r="F1336" s="11" t="s">
        <v>3866</v>
      </c>
      <c r="G1336" s="11" t="s">
        <v>3810</v>
      </c>
      <c r="H1336" s="11" t="s">
        <v>3867</v>
      </c>
      <c r="I1336" s="11" t="s">
        <v>3711</v>
      </c>
    </row>
    <row r="1337" spans="1:9" x14ac:dyDescent="0.15">
      <c r="A1337" s="10">
        <v>1336</v>
      </c>
      <c r="B1337" s="11" t="s">
        <v>9</v>
      </c>
      <c r="C1337" s="11" t="s">
        <v>170</v>
      </c>
      <c r="D1337" s="11" t="s">
        <v>171</v>
      </c>
      <c r="E1337" s="9" t="str">
        <f>+HYPERLINK("http://trademark.i-assist.jp/data/china/image_1904th/79561000.pdf", "79561000")</f>
        <v>79561000</v>
      </c>
      <c r="F1337" s="11" t="s">
        <v>3868</v>
      </c>
      <c r="G1337" s="11" t="s">
        <v>3869</v>
      </c>
      <c r="H1337" s="11" t="s">
        <v>3870</v>
      </c>
      <c r="I1337" s="11" t="s">
        <v>3711</v>
      </c>
    </row>
    <row r="1338" spans="1:9" x14ac:dyDescent="0.15">
      <c r="A1338" s="10">
        <v>1337</v>
      </c>
      <c r="B1338" s="11" t="s">
        <v>9</v>
      </c>
      <c r="C1338" s="11" t="s">
        <v>170</v>
      </c>
      <c r="D1338" s="11" t="s">
        <v>171</v>
      </c>
      <c r="E1338" s="9" t="str">
        <f>+HYPERLINK("http://trademark.i-assist.jp/data/china/image_1904th/79561224.pdf", "79561224")</f>
        <v>79561224</v>
      </c>
      <c r="F1338" s="11" t="s">
        <v>3871</v>
      </c>
      <c r="G1338" s="11" t="s">
        <v>3872</v>
      </c>
      <c r="H1338" s="11" t="s">
        <v>3873</v>
      </c>
      <c r="I1338" s="11" t="s">
        <v>3711</v>
      </c>
    </row>
    <row r="1339" spans="1:9" x14ac:dyDescent="0.15">
      <c r="A1339" s="10">
        <v>1338</v>
      </c>
      <c r="B1339" s="11" t="s">
        <v>9</v>
      </c>
      <c r="C1339" s="11" t="s">
        <v>170</v>
      </c>
      <c r="D1339" s="11" t="s">
        <v>171</v>
      </c>
      <c r="E1339" s="9" t="str">
        <f>+HYPERLINK("http://trademark.i-assist.jp/data/china/image_1904th/79561816.pdf", "79561816")</f>
        <v>79561816</v>
      </c>
      <c r="F1339" s="11" t="s">
        <v>3874</v>
      </c>
      <c r="G1339" s="11" t="s">
        <v>3875</v>
      </c>
      <c r="H1339" s="11" t="s">
        <v>3876</v>
      </c>
      <c r="I1339" s="11" t="s">
        <v>3711</v>
      </c>
    </row>
    <row r="1340" spans="1:9" x14ac:dyDescent="0.15">
      <c r="A1340" s="10">
        <v>1339</v>
      </c>
      <c r="B1340" s="11" t="s">
        <v>9</v>
      </c>
      <c r="C1340" s="11" t="s">
        <v>170</v>
      </c>
      <c r="D1340" s="11" t="s">
        <v>171</v>
      </c>
      <c r="E1340" s="9" t="str">
        <f>+HYPERLINK("http://trademark.i-assist.jp/data/china/image_1904th/79561897.pdf", "79561897")</f>
        <v>79561897</v>
      </c>
      <c r="F1340" s="11" t="s">
        <v>3877</v>
      </c>
      <c r="G1340" s="11" t="s">
        <v>3878</v>
      </c>
      <c r="H1340" s="11" t="s">
        <v>3879</v>
      </c>
      <c r="I1340" s="11" t="s">
        <v>3711</v>
      </c>
    </row>
    <row r="1341" spans="1:9" x14ac:dyDescent="0.15">
      <c r="A1341" s="10">
        <v>1340</v>
      </c>
      <c r="B1341" s="11" t="s">
        <v>9</v>
      </c>
      <c r="C1341" s="11" t="s">
        <v>170</v>
      </c>
      <c r="D1341" s="11" t="s">
        <v>171</v>
      </c>
      <c r="E1341" s="9" t="str">
        <f>+HYPERLINK("http://trademark.i-assist.jp/data/china/image_1904th/79561964.pdf", "79561964")</f>
        <v>79561964</v>
      </c>
      <c r="F1341" s="11" t="s">
        <v>3880</v>
      </c>
      <c r="G1341" s="11" t="s">
        <v>3881</v>
      </c>
      <c r="H1341" s="11" t="s">
        <v>3882</v>
      </c>
      <c r="I1341" s="11" t="s">
        <v>3711</v>
      </c>
    </row>
    <row r="1342" spans="1:9" x14ac:dyDescent="0.15">
      <c r="A1342" s="10">
        <v>1341</v>
      </c>
      <c r="B1342" s="11" t="s">
        <v>9</v>
      </c>
      <c r="C1342" s="11" t="s">
        <v>170</v>
      </c>
      <c r="D1342" s="11" t="s">
        <v>171</v>
      </c>
      <c r="E1342" s="9" t="str">
        <f>+HYPERLINK("http://trademark.i-assist.jp/data/china/image_1904th/79562862.pdf", "79562862")</f>
        <v>79562862</v>
      </c>
      <c r="F1342" s="11" t="s">
        <v>3883</v>
      </c>
      <c r="G1342" s="11" t="s">
        <v>3884</v>
      </c>
      <c r="H1342" s="11" t="s">
        <v>3885</v>
      </c>
      <c r="I1342" s="11" t="s">
        <v>3711</v>
      </c>
    </row>
    <row r="1343" spans="1:9" x14ac:dyDescent="0.15">
      <c r="A1343" s="10">
        <v>1342</v>
      </c>
      <c r="B1343" s="11" t="s">
        <v>9</v>
      </c>
      <c r="C1343" s="11" t="s">
        <v>170</v>
      </c>
      <c r="D1343" s="11" t="s">
        <v>171</v>
      </c>
      <c r="E1343" s="9" t="str">
        <f>+HYPERLINK("http://trademark.i-assist.jp/data/china/image_1904th/79563344.pdf", "79563344")</f>
        <v>79563344</v>
      </c>
      <c r="F1343" s="11" t="s">
        <v>3886</v>
      </c>
      <c r="G1343" s="11" t="s">
        <v>3887</v>
      </c>
      <c r="H1343" s="11" t="s">
        <v>3888</v>
      </c>
      <c r="I1343" s="11" t="s">
        <v>3711</v>
      </c>
    </row>
    <row r="1344" spans="1:9" x14ac:dyDescent="0.15">
      <c r="A1344" s="10">
        <v>1343</v>
      </c>
      <c r="B1344" s="11" t="s">
        <v>9</v>
      </c>
      <c r="C1344" s="11" t="s">
        <v>170</v>
      </c>
      <c r="D1344" s="11" t="s">
        <v>171</v>
      </c>
      <c r="E1344" s="9" t="str">
        <f>+HYPERLINK("http://trademark.i-assist.jp/data/china/image_1904th/79563373.pdf", "79563373")</f>
        <v>79563373</v>
      </c>
      <c r="F1344" s="11" t="s">
        <v>3889</v>
      </c>
      <c r="G1344" s="11" t="s">
        <v>3890</v>
      </c>
      <c r="H1344" s="11" t="s">
        <v>3891</v>
      </c>
      <c r="I1344" s="11" t="s">
        <v>3711</v>
      </c>
    </row>
    <row r="1345" spans="1:9" x14ac:dyDescent="0.15">
      <c r="A1345" s="10">
        <v>1344</v>
      </c>
      <c r="B1345" s="11" t="s">
        <v>9</v>
      </c>
      <c r="C1345" s="11" t="s">
        <v>170</v>
      </c>
      <c r="D1345" s="11" t="s">
        <v>171</v>
      </c>
      <c r="E1345" s="9" t="str">
        <f>+HYPERLINK("http://trademark.i-assist.jp/data/china/image_1904th/79563409.pdf", "79563409")</f>
        <v>79563409</v>
      </c>
      <c r="F1345" s="11" t="s">
        <v>12</v>
      </c>
      <c r="G1345" s="11" t="s">
        <v>3832</v>
      </c>
      <c r="H1345" s="11" t="s">
        <v>3892</v>
      </c>
      <c r="I1345" s="11" t="s">
        <v>3711</v>
      </c>
    </row>
    <row r="1346" spans="1:9" x14ac:dyDescent="0.15">
      <c r="A1346" s="10">
        <v>1345</v>
      </c>
      <c r="B1346" s="11" t="s">
        <v>9</v>
      </c>
      <c r="C1346" s="11" t="s">
        <v>170</v>
      </c>
      <c r="D1346" s="11" t="s">
        <v>171</v>
      </c>
      <c r="E1346" s="9" t="str">
        <f>+HYPERLINK("http://trademark.i-assist.jp/data/china/image_1904th/79563640.pdf", "79563640")</f>
        <v>79563640</v>
      </c>
      <c r="F1346" s="11" t="s">
        <v>3893</v>
      </c>
      <c r="G1346" s="11" t="s">
        <v>3733</v>
      </c>
      <c r="H1346" s="11" t="s">
        <v>3894</v>
      </c>
      <c r="I1346" s="11" t="s">
        <v>3711</v>
      </c>
    </row>
    <row r="1347" spans="1:9" x14ac:dyDescent="0.15">
      <c r="A1347" s="10">
        <v>1346</v>
      </c>
      <c r="B1347" s="11" t="s">
        <v>9</v>
      </c>
      <c r="C1347" s="11" t="s">
        <v>170</v>
      </c>
      <c r="D1347" s="11" t="s">
        <v>171</v>
      </c>
      <c r="E1347" s="9" t="str">
        <f>+HYPERLINK("http://trademark.i-assist.jp/data/china/image_1904th/79563918.pdf", "79563918")</f>
        <v>79563918</v>
      </c>
      <c r="F1347" s="11" t="s">
        <v>3895</v>
      </c>
      <c r="G1347" s="11" t="s">
        <v>3896</v>
      </c>
      <c r="H1347" s="11" t="s">
        <v>3897</v>
      </c>
      <c r="I1347" s="11" t="s">
        <v>3711</v>
      </c>
    </row>
    <row r="1348" spans="1:9" x14ac:dyDescent="0.15">
      <c r="A1348" s="10">
        <v>1347</v>
      </c>
      <c r="B1348" s="11" t="s">
        <v>9</v>
      </c>
      <c r="C1348" s="11" t="s">
        <v>170</v>
      </c>
      <c r="D1348" s="11" t="s">
        <v>171</v>
      </c>
      <c r="E1348" s="9" t="str">
        <f>+HYPERLINK("http://trademark.i-assist.jp/data/china/image_1904th/79564096.pdf", "79564096")</f>
        <v>79564096</v>
      </c>
      <c r="F1348" s="11" t="s">
        <v>3898</v>
      </c>
      <c r="G1348" s="11" t="s">
        <v>3899</v>
      </c>
      <c r="H1348" s="11" t="s">
        <v>3900</v>
      </c>
      <c r="I1348" s="11" t="s">
        <v>3711</v>
      </c>
    </row>
    <row r="1349" spans="1:9" x14ac:dyDescent="0.15">
      <c r="A1349" s="10">
        <v>1348</v>
      </c>
      <c r="B1349" s="11" t="s">
        <v>9</v>
      </c>
      <c r="C1349" s="11" t="s">
        <v>170</v>
      </c>
      <c r="D1349" s="11" t="s">
        <v>171</v>
      </c>
      <c r="E1349" s="9" t="str">
        <f>+HYPERLINK("http://trademark.i-assist.jp/data/china/image_1904th/79564182.pdf", "79564182")</f>
        <v>79564182</v>
      </c>
      <c r="F1349" s="11" t="s">
        <v>3901</v>
      </c>
      <c r="G1349" s="11" t="s">
        <v>3902</v>
      </c>
      <c r="H1349" s="11" t="s">
        <v>3903</v>
      </c>
      <c r="I1349" s="11" t="s">
        <v>3711</v>
      </c>
    </row>
    <row r="1350" spans="1:9" x14ac:dyDescent="0.15">
      <c r="A1350" s="10">
        <v>1349</v>
      </c>
      <c r="B1350" s="11" t="s">
        <v>9</v>
      </c>
      <c r="C1350" s="11" t="s">
        <v>170</v>
      </c>
      <c r="D1350" s="11" t="s">
        <v>171</v>
      </c>
      <c r="E1350" s="9" t="str">
        <f>+HYPERLINK("http://trademark.i-assist.jp/data/china/image_1904th/79564257.pdf", "79564257")</f>
        <v>79564257</v>
      </c>
      <c r="F1350" s="11" t="s">
        <v>3904</v>
      </c>
      <c r="G1350" s="11" t="s">
        <v>3905</v>
      </c>
      <c r="H1350" s="11" t="s">
        <v>3906</v>
      </c>
      <c r="I1350" s="11" t="s">
        <v>3711</v>
      </c>
    </row>
    <row r="1351" spans="1:9" x14ac:dyDescent="0.15">
      <c r="A1351" s="10">
        <v>1350</v>
      </c>
      <c r="B1351" s="11" t="s">
        <v>9</v>
      </c>
      <c r="C1351" s="11" t="s">
        <v>170</v>
      </c>
      <c r="D1351" s="11" t="s">
        <v>171</v>
      </c>
      <c r="E1351" s="9" t="str">
        <f>+HYPERLINK("http://trademark.i-assist.jp/data/china/image_1904th/79564304.pdf", "79564304")</f>
        <v>79564304</v>
      </c>
      <c r="F1351" s="11" t="s">
        <v>3907</v>
      </c>
      <c r="G1351" s="11" t="s">
        <v>3908</v>
      </c>
      <c r="H1351" s="11" t="s">
        <v>3909</v>
      </c>
      <c r="I1351" s="11" t="s">
        <v>3711</v>
      </c>
    </row>
    <row r="1352" spans="1:9" x14ac:dyDescent="0.15">
      <c r="A1352" s="10">
        <v>1351</v>
      </c>
      <c r="B1352" s="11" t="s">
        <v>9</v>
      </c>
      <c r="C1352" s="11" t="s">
        <v>170</v>
      </c>
      <c r="D1352" s="11" t="s">
        <v>171</v>
      </c>
      <c r="E1352" s="9" t="str">
        <f>+HYPERLINK("http://trademark.i-assist.jp/data/china/image_1904th/79565038.pdf", "79565038")</f>
        <v>79565038</v>
      </c>
      <c r="F1352" s="11" t="s">
        <v>3910</v>
      </c>
      <c r="G1352" s="11" t="s">
        <v>3911</v>
      </c>
      <c r="H1352" s="11" t="s">
        <v>3912</v>
      </c>
      <c r="I1352" s="11" t="s">
        <v>3711</v>
      </c>
    </row>
    <row r="1353" spans="1:9" x14ac:dyDescent="0.15">
      <c r="A1353" s="10">
        <v>1352</v>
      </c>
      <c r="B1353" s="11" t="s">
        <v>9</v>
      </c>
      <c r="C1353" s="11" t="s">
        <v>170</v>
      </c>
      <c r="D1353" s="11" t="s">
        <v>171</v>
      </c>
      <c r="E1353" s="9" t="str">
        <f>+HYPERLINK("http://trademark.i-assist.jp/data/china/image_1904th/79565522.pdf", "79565522")</f>
        <v>79565522</v>
      </c>
      <c r="F1353" s="11" t="s">
        <v>3913</v>
      </c>
      <c r="G1353" s="11" t="s">
        <v>3914</v>
      </c>
      <c r="H1353" s="11" t="s">
        <v>3915</v>
      </c>
      <c r="I1353" s="11" t="s">
        <v>3711</v>
      </c>
    </row>
    <row r="1354" spans="1:9" x14ac:dyDescent="0.15">
      <c r="A1354" s="10">
        <v>1353</v>
      </c>
      <c r="B1354" s="11" t="s">
        <v>9</v>
      </c>
      <c r="C1354" s="11" t="s">
        <v>170</v>
      </c>
      <c r="D1354" s="11" t="s">
        <v>171</v>
      </c>
      <c r="E1354" s="9" t="str">
        <f>+HYPERLINK("http://trademark.i-assist.jp/data/china/image_1904th/79565758.pdf", "79565758")</f>
        <v>79565758</v>
      </c>
      <c r="F1354" s="11" t="s">
        <v>3916</v>
      </c>
      <c r="G1354" s="11" t="s">
        <v>3917</v>
      </c>
      <c r="H1354" s="11" t="s">
        <v>3918</v>
      </c>
      <c r="I1354" s="11" t="s">
        <v>3711</v>
      </c>
    </row>
    <row r="1355" spans="1:9" x14ac:dyDescent="0.15">
      <c r="A1355" s="10">
        <v>1354</v>
      </c>
      <c r="B1355" s="11" t="s">
        <v>9</v>
      </c>
      <c r="C1355" s="11" t="s">
        <v>170</v>
      </c>
      <c r="D1355" s="11" t="s">
        <v>171</v>
      </c>
      <c r="E1355" s="9" t="str">
        <f>+HYPERLINK("http://trademark.i-assist.jp/data/china/image_1904th/79565892.pdf", "79565892")</f>
        <v>79565892</v>
      </c>
      <c r="F1355" s="11" t="s">
        <v>3919</v>
      </c>
      <c r="G1355" s="11" t="s">
        <v>3920</v>
      </c>
      <c r="H1355" s="11" t="s">
        <v>3921</v>
      </c>
      <c r="I1355" s="11" t="s">
        <v>3711</v>
      </c>
    </row>
    <row r="1356" spans="1:9" x14ac:dyDescent="0.15">
      <c r="A1356" s="10">
        <v>1355</v>
      </c>
      <c r="B1356" s="11" t="s">
        <v>9</v>
      </c>
      <c r="C1356" s="11" t="s">
        <v>170</v>
      </c>
      <c r="D1356" s="11" t="s">
        <v>171</v>
      </c>
      <c r="E1356" s="9" t="str">
        <f>+HYPERLINK("http://trademark.i-assist.jp/data/china/image_1904th/79565945.pdf", "79565945")</f>
        <v>79565945</v>
      </c>
      <c r="F1356" s="11" t="s">
        <v>12</v>
      </c>
      <c r="G1356" s="11" t="s">
        <v>3922</v>
      </c>
      <c r="H1356" s="11" t="s">
        <v>3923</v>
      </c>
      <c r="I1356" s="11" t="s">
        <v>3711</v>
      </c>
    </row>
    <row r="1357" spans="1:9" x14ac:dyDescent="0.15">
      <c r="A1357" s="10">
        <v>1356</v>
      </c>
      <c r="B1357" s="11" t="s">
        <v>9</v>
      </c>
      <c r="C1357" s="11" t="s">
        <v>170</v>
      </c>
      <c r="D1357" s="11" t="s">
        <v>171</v>
      </c>
      <c r="E1357" s="9" t="str">
        <f>+HYPERLINK("http://trademark.i-assist.jp/data/china/image_1904th/79566096.pdf", "79566096")</f>
        <v>79566096</v>
      </c>
      <c r="F1357" s="11" t="s">
        <v>3924</v>
      </c>
      <c r="G1357" s="11" t="s">
        <v>3925</v>
      </c>
      <c r="H1357" s="11" t="s">
        <v>3926</v>
      </c>
      <c r="I1357" s="11" t="s">
        <v>3711</v>
      </c>
    </row>
    <row r="1358" spans="1:9" x14ac:dyDescent="0.15">
      <c r="A1358" s="10">
        <v>1357</v>
      </c>
      <c r="B1358" s="11" t="s">
        <v>9</v>
      </c>
      <c r="C1358" s="11" t="s">
        <v>170</v>
      </c>
      <c r="D1358" s="11" t="s">
        <v>171</v>
      </c>
      <c r="E1358" s="9" t="str">
        <f>+HYPERLINK("http://trademark.i-assist.jp/data/china/image_1904th/79566684.pdf", "79566684")</f>
        <v>79566684</v>
      </c>
      <c r="F1358" s="11" t="s">
        <v>3927</v>
      </c>
      <c r="G1358" s="11" t="s">
        <v>3928</v>
      </c>
      <c r="H1358" s="11" t="s">
        <v>3929</v>
      </c>
      <c r="I1358" s="11" t="s">
        <v>3711</v>
      </c>
    </row>
    <row r="1359" spans="1:9" x14ac:dyDescent="0.15">
      <c r="A1359" s="10">
        <v>1358</v>
      </c>
      <c r="B1359" s="11" t="s">
        <v>9</v>
      </c>
      <c r="C1359" s="11" t="s">
        <v>170</v>
      </c>
      <c r="D1359" s="11" t="s">
        <v>171</v>
      </c>
      <c r="E1359" s="9" t="str">
        <f>+HYPERLINK("http://trademark.i-assist.jp/data/china/image_1904th/79566942.pdf", "79566942")</f>
        <v>79566942</v>
      </c>
      <c r="F1359" s="11" t="s">
        <v>3930</v>
      </c>
      <c r="G1359" s="11" t="s">
        <v>3931</v>
      </c>
      <c r="H1359" s="11" t="s">
        <v>3932</v>
      </c>
      <c r="I1359" s="11" t="s">
        <v>3711</v>
      </c>
    </row>
    <row r="1360" spans="1:9" x14ac:dyDescent="0.15">
      <c r="A1360" s="10">
        <v>1359</v>
      </c>
      <c r="B1360" s="11" t="s">
        <v>9</v>
      </c>
      <c r="C1360" s="11" t="s">
        <v>170</v>
      </c>
      <c r="D1360" s="11" t="s">
        <v>171</v>
      </c>
      <c r="E1360" s="9" t="str">
        <f>+HYPERLINK("http://trademark.i-assist.jp/data/china/image_1904th/79567102.pdf", "79567102")</f>
        <v>79567102</v>
      </c>
      <c r="F1360" s="11" t="s">
        <v>3933</v>
      </c>
      <c r="G1360" s="11" t="s">
        <v>3934</v>
      </c>
      <c r="H1360" s="11" t="s">
        <v>3935</v>
      </c>
      <c r="I1360" s="11" t="s">
        <v>3711</v>
      </c>
    </row>
    <row r="1361" spans="1:9" x14ac:dyDescent="0.15">
      <c r="A1361" s="10">
        <v>1360</v>
      </c>
      <c r="B1361" s="11" t="s">
        <v>9</v>
      </c>
      <c r="C1361" s="11" t="s">
        <v>170</v>
      </c>
      <c r="D1361" s="11" t="s">
        <v>171</v>
      </c>
      <c r="E1361" s="9" t="str">
        <f>+HYPERLINK("http://trademark.i-assist.jp/data/china/image_1904th/79567369.pdf", "79567369")</f>
        <v>79567369</v>
      </c>
      <c r="F1361" s="11" t="s">
        <v>3936</v>
      </c>
      <c r="G1361" s="11" t="s">
        <v>3937</v>
      </c>
      <c r="H1361" s="11" t="s">
        <v>3938</v>
      </c>
      <c r="I1361" s="11" t="s">
        <v>3711</v>
      </c>
    </row>
    <row r="1362" spans="1:9" x14ac:dyDescent="0.15">
      <c r="A1362" s="10">
        <v>1361</v>
      </c>
      <c r="B1362" s="11" t="s">
        <v>9</v>
      </c>
      <c r="C1362" s="11" t="s">
        <v>170</v>
      </c>
      <c r="D1362" s="11" t="s">
        <v>171</v>
      </c>
      <c r="E1362" s="9" t="str">
        <f>+HYPERLINK("http://trademark.i-assist.jp/data/china/image_1904th/79567830.pdf", "79567830")</f>
        <v>79567830</v>
      </c>
      <c r="F1362" s="11" t="s">
        <v>3939</v>
      </c>
      <c r="G1362" s="11" t="s">
        <v>3940</v>
      </c>
      <c r="H1362" s="11" t="s">
        <v>3941</v>
      </c>
      <c r="I1362" s="11" t="s">
        <v>3711</v>
      </c>
    </row>
    <row r="1363" spans="1:9" x14ac:dyDescent="0.15">
      <c r="A1363" s="10">
        <v>1362</v>
      </c>
      <c r="B1363" s="11" t="s">
        <v>9</v>
      </c>
      <c r="C1363" s="11" t="s">
        <v>170</v>
      </c>
      <c r="D1363" s="11" t="s">
        <v>171</v>
      </c>
      <c r="E1363" s="9" t="str">
        <f>+HYPERLINK("http://trademark.i-assist.jp/data/china/image_1904th/79568366.pdf", "79568366")</f>
        <v>79568366</v>
      </c>
      <c r="F1363" s="11" t="s">
        <v>3942</v>
      </c>
      <c r="G1363" s="11" t="s">
        <v>3943</v>
      </c>
      <c r="H1363" s="11" t="s">
        <v>3944</v>
      </c>
      <c r="I1363" s="11" t="s">
        <v>3711</v>
      </c>
    </row>
    <row r="1364" spans="1:9" x14ac:dyDescent="0.15">
      <c r="A1364" s="10">
        <v>1363</v>
      </c>
      <c r="B1364" s="11" t="s">
        <v>9</v>
      </c>
      <c r="C1364" s="11" t="s">
        <v>170</v>
      </c>
      <c r="D1364" s="11" t="s">
        <v>171</v>
      </c>
      <c r="E1364" s="9" t="str">
        <f>+HYPERLINK("http://trademark.i-assist.jp/data/china/image_1904th/79568382.pdf", "79568382")</f>
        <v>79568382</v>
      </c>
      <c r="F1364" s="11" t="s">
        <v>3945</v>
      </c>
      <c r="G1364" s="11" t="s">
        <v>3946</v>
      </c>
      <c r="H1364" s="11" t="s">
        <v>3947</v>
      </c>
      <c r="I1364" s="11" t="s">
        <v>3711</v>
      </c>
    </row>
    <row r="1365" spans="1:9" x14ac:dyDescent="0.15">
      <c r="A1365" s="10">
        <v>1364</v>
      </c>
      <c r="B1365" s="11" t="s">
        <v>9</v>
      </c>
      <c r="C1365" s="11" t="s">
        <v>170</v>
      </c>
      <c r="D1365" s="11" t="s">
        <v>171</v>
      </c>
      <c r="E1365" s="9" t="str">
        <f>+HYPERLINK("http://trademark.i-assist.jp/data/china/image_1904th/79568599.pdf", "79568599")</f>
        <v>79568599</v>
      </c>
      <c r="F1365" s="11" t="s">
        <v>12</v>
      </c>
      <c r="G1365" s="11" t="s">
        <v>3948</v>
      </c>
      <c r="H1365" s="11" t="s">
        <v>3949</v>
      </c>
      <c r="I1365" s="11" t="s">
        <v>3711</v>
      </c>
    </row>
    <row r="1366" spans="1:9" x14ac:dyDescent="0.15">
      <c r="A1366" s="10">
        <v>1365</v>
      </c>
      <c r="B1366" s="11" t="s">
        <v>9</v>
      </c>
      <c r="C1366" s="11" t="s">
        <v>170</v>
      </c>
      <c r="D1366" s="11" t="s">
        <v>171</v>
      </c>
      <c r="E1366" s="9" t="str">
        <f>+HYPERLINK("http://trademark.i-assist.jp/data/china/image_1904th/79568765.pdf", "79568765")</f>
        <v>79568765</v>
      </c>
      <c r="F1366" s="11" t="s">
        <v>3950</v>
      </c>
      <c r="G1366" s="11" t="s">
        <v>3951</v>
      </c>
      <c r="H1366" s="11" t="s">
        <v>3952</v>
      </c>
      <c r="I1366" s="11" t="s">
        <v>3711</v>
      </c>
    </row>
    <row r="1367" spans="1:9" x14ac:dyDescent="0.15">
      <c r="A1367" s="10">
        <v>1366</v>
      </c>
      <c r="B1367" s="11" t="s">
        <v>9</v>
      </c>
      <c r="C1367" s="11" t="s">
        <v>170</v>
      </c>
      <c r="D1367" s="11" t="s">
        <v>171</v>
      </c>
      <c r="E1367" s="9" t="str">
        <f>+HYPERLINK("http://trademark.i-assist.jp/data/china/image_1904th/79568766.pdf", "79568766")</f>
        <v>79568766</v>
      </c>
      <c r="F1367" s="11" t="s">
        <v>3953</v>
      </c>
      <c r="G1367" s="11" t="s">
        <v>3733</v>
      </c>
      <c r="H1367" s="11" t="s">
        <v>3954</v>
      </c>
      <c r="I1367" s="11" t="s">
        <v>3711</v>
      </c>
    </row>
    <row r="1368" spans="1:9" x14ac:dyDescent="0.15">
      <c r="A1368" s="10">
        <v>1367</v>
      </c>
      <c r="B1368" s="11" t="s">
        <v>9</v>
      </c>
      <c r="C1368" s="11" t="s">
        <v>170</v>
      </c>
      <c r="D1368" s="11" t="s">
        <v>171</v>
      </c>
      <c r="E1368" s="9" t="str">
        <f>+HYPERLINK("http://trademark.i-assist.jp/data/china/image_1904th/79568871.pdf", "79568871")</f>
        <v>79568871</v>
      </c>
      <c r="F1368" s="11" t="s">
        <v>3955</v>
      </c>
      <c r="G1368" s="11" t="s">
        <v>3956</v>
      </c>
      <c r="H1368" s="11" t="s">
        <v>3957</v>
      </c>
      <c r="I1368" s="11" t="s">
        <v>3711</v>
      </c>
    </row>
    <row r="1369" spans="1:9" x14ac:dyDescent="0.15">
      <c r="A1369" s="10">
        <v>1368</v>
      </c>
      <c r="B1369" s="11" t="s">
        <v>9</v>
      </c>
      <c r="C1369" s="11" t="s">
        <v>170</v>
      </c>
      <c r="D1369" s="11" t="s">
        <v>171</v>
      </c>
      <c r="E1369" s="9" t="str">
        <f>+HYPERLINK("http://trademark.i-assist.jp/data/china/image_1904th/79569120.pdf", "79569120")</f>
        <v>79569120</v>
      </c>
      <c r="F1369" s="11" t="s">
        <v>3958</v>
      </c>
      <c r="G1369" s="11" t="s">
        <v>3838</v>
      </c>
      <c r="H1369" s="11" t="s">
        <v>3959</v>
      </c>
      <c r="I1369" s="11" t="s">
        <v>3711</v>
      </c>
    </row>
    <row r="1370" spans="1:9" x14ac:dyDescent="0.15">
      <c r="A1370" s="10">
        <v>1369</v>
      </c>
      <c r="B1370" s="11" t="s">
        <v>9</v>
      </c>
      <c r="C1370" s="11" t="s">
        <v>170</v>
      </c>
      <c r="D1370" s="11" t="s">
        <v>171</v>
      </c>
      <c r="E1370" s="9" t="str">
        <f>+HYPERLINK("http://trademark.i-assist.jp/data/china/image_1904th/79569343.pdf", "79569343")</f>
        <v>79569343</v>
      </c>
      <c r="F1370" s="11" t="s">
        <v>3960</v>
      </c>
      <c r="G1370" s="11" t="s">
        <v>3961</v>
      </c>
      <c r="H1370" s="11" t="s">
        <v>3962</v>
      </c>
      <c r="I1370" s="11" t="s">
        <v>3711</v>
      </c>
    </row>
    <row r="1371" spans="1:9" x14ac:dyDescent="0.15">
      <c r="A1371" s="10">
        <v>1370</v>
      </c>
      <c r="B1371" s="11" t="s">
        <v>9</v>
      </c>
      <c r="C1371" s="11" t="s">
        <v>170</v>
      </c>
      <c r="D1371" s="11" t="s">
        <v>171</v>
      </c>
      <c r="E1371" s="9" t="str">
        <f>+HYPERLINK("http://trademark.i-assist.jp/data/china/image_1904th/79569442.pdf", "79569442")</f>
        <v>79569442</v>
      </c>
      <c r="F1371" s="11" t="s">
        <v>3963</v>
      </c>
      <c r="G1371" s="11" t="s">
        <v>3964</v>
      </c>
      <c r="H1371" s="11" t="s">
        <v>3965</v>
      </c>
      <c r="I1371" s="11" t="s">
        <v>3711</v>
      </c>
    </row>
    <row r="1372" spans="1:9" x14ac:dyDescent="0.15">
      <c r="A1372" s="10">
        <v>1371</v>
      </c>
      <c r="B1372" s="11" t="s">
        <v>9</v>
      </c>
      <c r="C1372" s="11" t="s">
        <v>170</v>
      </c>
      <c r="D1372" s="11" t="s">
        <v>171</v>
      </c>
      <c r="E1372" s="9" t="str">
        <f>+HYPERLINK("http://trademark.i-assist.jp/data/china/image_1904th/79569805.pdf", "79569805")</f>
        <v>79569805</v>
      </c>
      <c r="F1372" s="11" t="s">
        <v>3966</v>
      </c>
      <c r="G1372" s="11" t="s">
        <v>3967</v>
      </c>
      <c r="H1372" s="11" t="s">
        <v>3968</v>
      </c>
      <c r="I1372" s="11" t="s">
        <v>3711</v>
      </c>
    </row>
    <row r="1373" spans="1:9" x14ac:dyDescent="0.15">
      <c r="A1373" s="10">
        <v>1372</v>
      </c>
      <c r="B1373" s="11" t="s">
        <v>9</v>
      </c>
      <c r="C1373" s="11" t="s">
        <v>170</v>
      </c>
      <c r="D1373" s="11" t="s">
        <v>171</v>
      </c>
      <c r="E1373" s="9" t="str">
        <f>+HYPERLINK("http://trademark.i-assist.jp/data/china/image_1904th/79569982.pdf", "79569982")</f>
        <v>79569982</v>
      </c>
      <c r="F1373" s="11" t="s">
        <v>3969</v>
      </c>
      <c r="G1373" s="11" t="s">
        <v>3970</v>
      </c>
      <c r="H1373" s="11" t="s">
        <v>3971</v>
      </c>
      <c r="I1373" s="11" t="s">
        <v>3711</v>
      </c>
    </row>
    <row r="1374" spans="1:9" x14ac:dyDescent="0.15">
      <c r="A1374" s="10">
        <v>1373</v>
      </c>
      <c r="B1374" s="11" t="s">
        <v>9</v>
      </c>
      <c r="C1374" s="11" t="s">
        <v>170</v>
      </c>
      <c r="D1374" s="11" t="s">
        <v>171</v>
      </c>
      <c r="E1374" s="9" t="str">
        <f>+HYPERLINK("http://trademark.i-assist.jp/data/china/image_1904th/79570344.pdf", "79570344")</f>
        <v>79570344</v>
      </c>
      <c r="F1374" s="11" t="s">
        <v>3972</v>
      </c>
      <c r="G1374" s="11" t="s">
        <v>3973</v>
      </c>
      <c r="H1374" s="11" t="s">
        <v>3974</v>
      </c>
      <c r="I1374" s="11" t="s">
        <v>3711</v>
      </c>
    </row>
    <row r="1375" spans="1:9" x14ac:dyDescent="0.15">
      <c r="A1375" s="10">
        <v>1374</v>
      </c>
      <c r="B1375" s="11" t="s">
        <v>9</v>
      </c>
      <c r="C1375" s="11" t="s">
        <v>170</v>
      </c>
      <c r="D1375" s="11" t="s">
        <v>171</v>
      </c>
      <c r="E1375" s="9" t="str">
        <f>+HYPERLINK("http://trademark.i-assist.jp/data/china/image_1904th/79571137.pdf", "79571137")</f>
        <v>79571137</v>
      </c>
      <c r="F1375" s="11" t="s">
        <v>3975</v>
      </c>
      <c r="G1375" s="11" t="s">
        <v>3828</v>
      </c>
      <c r="H1375" s="11" t="s">
        <v>3976</v>
      </c>
      <c r="I1375" s="11" t="s">
        <v>3711</v>
      </c>
    </row>
    <row r="1376" spans="1:9" x14ac:dyDescent="0.15">
      <c r="A1376" s="10">
        <v>1375</v>
      </c>
      <c r="B1376" s="11" t="s">
        <v>9</v>
      </c>
      <c r="C1376" s="11" t="s">
        <v>170</v>
      </c>
      <c r="D1376" s="11" t="s">
        <v>171</v>
      </c>
      <c r="E1376" s="9" t="str">
        <f>+HYPERLINK("http://trademark.i-assist.jp/data/china/image_1904th/79571239.pdf", "79571239")</f>
        <v>79571239</v>
      </c>
      <c r="F1376" s="11" t="s">
        <v>3977</v>
      </c>
      <c r="G1376" s="11" t="s">
        <v>3887</v>
      </c>
      <c r="H1376" s="11" t="s">
        <v>3978</v>
      </c>
      <c r="I1376" s="11" t="s">
        <v>3711</v>
      </c>
    </row>
    <row r="1377" spans="1:9" x14ac:dyDescent="0.15">
      <c r="A1377" s="10">
        <v>1376</v>
      </c>
      <c r="B1377" s="11" t="s">
        <v>9</v>
      </c>
      <c r="C1377" s="11" t="s">
        <v>170</v>
      </c>
      <c r="D1377" s="11" t="s">
        <v>171</v>
      </c>
      <c r="E1377" s="9" t="str">
        <f>+HYPERLINK("http://trademark.i-assist.jp/data/china/image_1904th/79571759.pdf", "79571759")</f>
        <v>79571759</v>
      </c>
      <c r="F1377" s="11" t="s">
        <v>3979</v>
      </c>
      <c r="G1377" s="11" t="s">
        <v>3980</v>
      </c>
      <c r="H1377" s="11" t="s">
        <v>3981</v>
      </c>
      <c r="I1377" s="11" t="s">
        <v>3711</v>
      </c>
    </row>
    <row r="1378" spans="1:9" x14ac:dyDescent="0.15">
      <c r="A1378" s="10">
        <v>1377</v>
      </c>
      <c r="B1378" s="11" t="s">
        <v>9</v>
      </c>
      <c r="C1378" s="11" t="s">
        <v>170</v>
      </c>
      <c r="D1378" s="11" t="s">
        <v>171</v>
      </c>
      <c r="E1378" s="9" t="str">
        <f>+HYPERLINK("http://trademark.i-assist.jp/data/china/image_1904th/79571832.pdf", "79571832")</f>
        <v>79571832</v>
      </c>
      <c r="F1378" s="11" t="s">
        <v>3982</v>
      </c>
      <c r="G1378" s="11" t="s">
        <v>3983</v>
      </c>
      <c r="H1378" s="11" t="s">
        <v>3984</v>
      </c>
      <c r="I1378" s="11" t="s">
        <v>3711</v>
      </c>
    </row>
    <row r="1379" spans="1:9" x14ac:dyDescent="0.15">
      <c r="A1379" s="10">
        <v>1378</v>
      </c>
      <c r="B1379" s="11" t="s">
        <v>9</v>
      </c>
      <c r="C1379" s="11" t="s">
        <v>170</v>
      </c>
      <c r="D1379" s="11" t="s">
        <v>171</v>
      </c>
      <c r="E1379" s="9" t="str">
        <f>+HYPERLINK("http://trademark.i-assist.jp/data/china/image_1904th/79571975.pdf", "79571975")</f>
        <v>79571975</v>
      </c>
      <c r="F1379" s="11" t="s">
        <v>3985</v>
      </c>
      <c r="G1379" s="11" t="s">
        <v>3986</v>
      </c>
      <c r="H1379" s="11" t="s">
        <v>3987</v>
      </c>
      <c r="I1379" s="11" t="s">
        <v>3711</v>
      </c>
    </row>
    <row r="1380" spans="1:9" x14ac:dyDescent="0.15">
      <c r="A1380" s="10">
        <v>1379</v>
      </c>
      <c r="B1380" s="11" t="s">
        <v>9</v>
      </c>
      <c r="C1380" s="11" t="s">
        <v>170</v>
      </c>
      <c r="D1380" s="11" t="s">
        <v>171</v>
      </c>
      <c r="E1380" s="9" t="str">
        <f>+HYPERLINK("http://trademark.i-assist.jp/data/china/image_1904th/79571993.pdf", "79571993")</f>
        <v>79571993</v>
      </c>
      <c r="F1380" s="11" t="s">
        <v>3988</v>
      </c>
      <c r="G1380" s="11" t="s">
        <v>3989</v>
      </c>
      <c r="H1380" s="11" t="s">
        <v>3990</v>
      </c>
      <c r="I1380" s="11" t="s">
        <v>3711</v>
      </c>
    </row>
    <row r="1381" spans="1:9" x14ac:dyDescent="0.15">
      <c r="A1381" s="10">
        <v>1380</v>
      </c>
      <c r="B1381" s="11" t="s">
        <v>9</v>
      </c>
      <c r="C1381" s="11" t="s">
        <v>170</v>
      </c>
      <c r="D1381" s="11" t="s">
        <v>171</v>
      </c>
      <c r="E1381" s="9" t="str">
        <f>+HYPERLINK("http://trademark.i-assist.jp/data/china/image_1904th/79572334.pdf", "79572334")</f>
        <v>79572334</v>
      </c>
      <c r="F1381" s="11" t="s">
        <v>3991</v>
      </c>
      <c r="G1381" s="11" t="s">
        <v>3992</v>
      </c>
      <c r="H1381" s="11" t="s">
        <v>3993</v>
      </c>
      <c r="I1381" s="11" t="s">
        <v>3711</v>
      </c>
    </row>
    <row r="1382" spans="1:9" x14ac:dyDescent="0.15">
      <c r="A1382" s="10">
        <v>1381</v>
      </c>
      <c r="B1382" s="11" t="s">
        <v>9</v>
      </c>
      <c r="C1382" s="11" t="s">
        <v>170</v>
      </c>
      <c r="D1382" s="11" t="s">
        <v>171</v>
      </c>
      <c r="E1382" s="9" t="str">
        <f>+HYPERLINK("http://trademark.i-assist.jp/data/china/image_1904th/79572453.pdf", "79572453")</f>
        <v>79572453</v>
      </c>
      <c r="F1382" s="11" t="s">
        <v>3994</v>
      </c>
      <c r="G1382" s="11" t="s">
        <v>3995</v>
      </c>
      <c r="H1382" s="11" t="s">
        <v>3996</v>
      </c>
      <c r="I1382" s="11" t="s">
        <v>3711</v>
      </c>
    </row>
    <row r="1383" spans="1:9" x14ac:dyDescent="0.15">
      <c r="A1383" s="10">
        <v>1382</v>
      </c>
      <c r="B1383" s="11" t="s">
        <v>9</v>
      </c>
      <c r="C1383" s="11" t="s">
        <v>170</v>
      </c>
      <c r="D1383" s="11" t="s">
        <v>171</v>
      </c>
      <c r="E1383" s="9" t="str">
        <f>+HYPERLINK("http://trademark.i-assist.jp/data/china/image_1904th/79572907.pdf", "79572907")</f>
        <v>79572907</v>
      </c>
      <c r="F1383" s="11" t="s">
        <v>3997</v>
      </c>
      <c r="G1383" s="11" t="s">
        <v>3998</v>
      </c>
      <c r="H1383" s="11" t="s">
        <v>3999</v>
      </c>
      <c r="I1383" s="11" t="s">
        <v>3711</v>
      </c>
    </row>
    <row r="1384" spans="1:9" x14ac:dyDescent="0.15">
      <c r="A1384" s="10">
        <v>1383</v>
      </c>
      <c r="B1384" s="11" t="s">
        <v>9</v>
      </c>
      <c r="C1384" s="11" t="s">
        <v>170</v>
      </c>
      <c r="D1384" s="11" t="s">
        <v>171</v>
      </c>
      <c r="E1384" s="9" t="str">
        <f>+HYPERLINK("http://trademark.i-assist.jp/data/china/image_1904th/79572994.pdf", "79572994")</f>
        <v>79572994</v>
      </c>
      <c r="F1384" s="11" t="s">
        <v>4000</v>
      </c>
      <c r="G1384" s="11" t="s">
        <v>4001</v>
      </c>
      <c r="H1384" s="11" t="s">
        <v>4002</v>
      </c>
      <c r="I1384" s="11" t="s">
        <v>3711</v>
      </c>
    </row>
    <row r="1385" spans="1:9" x14ac:dyDescent="0.15">
      <c r="A1385" s="10">
        <v>1384</v>
      </c>
      <c r="B1385" s="11" t="s">
        <v>9</v>
      </c>
      <c r="C1385" s="11" t="s">
        <v>170</v>
      </c>
      <c r="D1385" s="11" t="s">
        <v>171</v>
      </c>
      <c r="E1385" s="9" t="str">
        <f>+HYPERLINK("http://trademark.i-assist.jp/data/china/image_1904th/79573355.pdf", "79573355")</f>
        <v>79573355</v>
      </c>
      <c r="F1385" s="11" t="s">
        <v>4003</v>
      </c>
      <c r="G1385" s="11" t="s">
        <v>3779</v>
      </c>
      <c r="H1385" s="11" t="s">
        <v>4004</v>
      </c>
      <c r="I1385" s="11" t="s">
        <v>3711</v>
      </c>
    </row>
    <row r="1386" spans="1:9" x14ac:dyDescent="0.15">
      <c r="A1386" s="10">
        <v>1385</v>
      </c>
      <c r="B1386" s="11" t="s">
        <v>9</v>
      </c>
      <c r="C1386" s="11" t="s">
        <v>170</v>
      </c>
      <c r="D1386" s="11" t="s">
        <v>171</v>
      </c>
      <c r="E1386" s="9" t="str">
        <f>+HYPERLINK("http://trademark.i-assist.jp/data/china/image_1904th/79573373.pdf", "79573373")</f>
        <v>79573373</v>
      </c>
      <c r="F1386" s="11" t="s">
        <v>4005</v>
      </c>
      <c r="G1386" s="11" t="s">
        <v>117</v>
      </c>
      <c r="H1386" s="11" t="s">
        <v>4006</v>
      </c>
      <c r="I1386" s="11" t="s">
        <v>3711</v>
      </c>
    </row>
    <row r="1387" spans="1:9" x14ac:dyDescent="0.15">
      <c r="A1387" s="10">
        <v>1386</v>
      </c>
      <c r="B1387" s="11" t="s">
        <v>9</v>
      </c>
      <c r="C1387" s="11" t="s">
        <v>170</v>
      </c>
      <c r="D1387" s="11" t="s">
        <v>171</v>
      </c>
      <c r="E1387" s="9" t="str">
        <f>+HYPERLINK("http://trademark.i-assist.jp/data/china/image_1904th/79573444.pdf", "79573444")</f>
        <v>79573444</v>
      </c>
      <c r="F1387" s="11" t="s">
        <v>4007</v>
      </c>
      <c r="G1387" s="11" t="s">
        <v>4008</v>
      </c>
      <c r="H1387" s="11" t="s">
        <v>4009</v>
      </c>
      <c r="I1387" s="11" t="s">
        <v>3711</v>
      </c>
    </row>
    <row r="1388" spans="1:9" x14ac:dyDescent="0.15">
      <c r="A1388" s="10">
        <v>1387</v>
      </c>
      <c r="B1388" s="11" t="s">
        <v>9</v>
      </c>
      <c r="C1388" s="11" t="s">
        <v>170</v>
      </c>
      <c r="D1388" s="11" t="s">
        <v>171</v>
      </c>
      <c r="E1388" s="9" t="str">
        <f>+HYPERLINK("http://trademark.i-assist.jp/data/china/image_1904th/79573539.pdf", "79573539")</f>
        <v>79573539</v>
      </c>
      <c r="F1388" s="11" t="s">
        <v>4010</v>
      </c>
      <c r="G1388" s="11" t="s">
        <v>3709</v>
      </c>
      <c r="H1388" s="11" t="s">
        <v>4011</v>
      </c>
      <c r="I1388" s="11" t="s">
        <v>3711</v>
      </c>
    </row>
    <row r="1389" spans="1:9" x14ac:dyDescent="0.15">
      <c r="A1389" s="10">
        <v>1388</v>
      </c>
      <c r="B1389" s="11" t="s">
        <v>9</v>
      </c>
      <c r="C1389" s="11" t="s">
        <v>170</v>
      </c>
      <c r="D1389" s="11" t="s">
        <v>171</v>
      </c>
      <c r="E1389" s="9" t="str">
        <f>+HYPERLINK("http://trademark.i-assist.jp/data/china/image_1904th/79573639.pdf", "79573639")</f>
        <v>79573639</v>
      </c>
      <c r="F1389" s="11" t="s">
        <v>4012</v>
      </c>
      <c r="G1389" s="11" t="s">
        <v>4013</v>
      </c>
      <c r="H1389" s="11" t="s">
        <v>4014</v>
      </c>
      <c r="I1389" s="11" t="s">
        <v>3711</v>
      </c>
    </row>
    <row r="1390" spans="1:9" x14ac:dyDescent="0.15">
      <c r="A1390" s="10">
        <v>1389</v>
      </c>
      <c r="B1390" s="11" t="s">
        <v>9</v>
      </c>
      <c r="C1390" s="11" t="s">
        <v>170</v>
      </c>
      <c r="D1390" s="11" t="s">
        <v>171</v>
      </c>
      <c r="E1390" s="9" t="str">
        <f>+HYPERLINK("http://trademark.i-assist.jp/data/china/image_1904th/79573778.pdf", "79573778")</f>
        <v>79573778</v>
      </c>
      <c r="F1390" s="11" t="s">
        <v>3927</v>
      </c>
      <c r="G1390" s="11" t="s">
        <v>3928</v>
      </c>
      <c r="H1390" s="11" t="s">
        <v>4015</v>
      </c>
      <c r="I1390" s="11" t="s">
        <v>3711</v>
      </c>
    </row>
    <row r="1391" spans="1:9" x14ac:dyDescent="0.15">
      <c r="A1391" s="10">
        <v>1390</v>
      </c>
      <c r="B1391" s="11" t="s">
        <v>9</v>
      </c>
      <c r="C1391" s="11" t="s">
        <v>170</v>
      </c>
      <c r="D1391" s="11" t="s">
        <v>171</v>
      </c>
      <c r="E1391" s="9" t="str">
        <f>+HYPERLINK("http://trademark.i-assist.jp/data/china/image_1904th/79573821.pdf", "79573821")</f>
        <v>79573821</v>
      </c>
      <c r="F1391" s="11" t="s">
        <v>4016</v>
      </c>
      <c r="G1391" s="11" t="s">
        <v>3937</v>
      </c>
      <c r="H1391" s="11" t="s">
        <v>4017</v>
      </c>
      <c r="I1391" s="11" t="s">
        <v>3711</v>
      </c>
    </row>
    <row r="1392" spans="1:9" x14ac:dyDescent="0.15">
      <c r="A1392" s="10">
        <v>1391</v>
      </c>
      <c r="B1392" s="11" t="s">
        <v>9</v>
      </c>
      <c r="C1392" s="11" t="s">
        <v>170</v>
      </c>
      <c r="D1392" s="11" t="s">
        <v>171</v>
      </c>
      <c r="E1392" s="9" t="str">
        <f>+HYPERLINK("http://trademark.i-assist.jp/data/china/image_1904th/79573946.pdf", "79573946")</f>
        <v>79573946</v>
      </c>
      <c r="F1392" s="11" t="s">
        <v>4018</v>
      </c>
      <c r="G1392" s="11" t="s">
        <v>3813</v>
      </c>
      <c r="H1392" s="11" t="s">
        <v>4019</v>
      </c>
      <c r="I1392" s="11" t="s">
        <v>3711</v>
      </c>
    </row>
    <row r="1393" spans="1:9" x14ac:dyDescent="0.15">
      <c r="A1393" s="10">
        <v>1392</v>
      </c>
      <c r="B1393" s="11" t="s">
        <v>9</v>
      </c>
      <c r="C1393" s="11" t="s">
        <v>170</v>
      </c>
      <c r="D1393" s="11" t="s">
        <v>171</v>
      </c>
      <c r="E1393" s="9" t="str">
        <f>+HYPERLINK("http://trademark.i-assist.jp/data/china/image_1904th/79573983.pdf", "79573983")</f>
        <v>79573983</v>
      </c>
      <c r="F1393" s="11" t="s">
        <v>4020</v>
      </c>
      <c r="G1393" s="11" t="s">
        <v>4021</v>
      </c>
      <c r="H1393" s="11" t="s">
        <v>4022</v>
      </c>
      <c r="I1393" s="11" t="s">
        <v>3711</v>
      </c>
    </row>
    <row r="1394" spans="1:9" x14ac:dyDescent="0.15">
      <c r="A1394" s="10">
        <v>1393</v>
      </c>
      <c r="B1394" s="11" t="s">
        <v>9</v>
      </c>
      <c r="C1394" s="11" t="s">
        <v>170</v>
      </c>
      <c r="D1394" s="11" t="s">
        <v>171</v>
      </c>
      <c r="E1394" s="9" t="str">
        <f>+HYPERLINK("http://trademark.i-assist.jp/data/china/image_1904th/79574127.pdf", "79574127")</f>
        <v>79574127</v>
      </c>
      <c r="F1394" s="11" t="s">
        <v>4023</v>
      </c>
      <c r="G1394" s="11" t="s">
        <v>3970</v>
      </c>
      <c r="H1394" s="11" t="s">
        <v>4024</v>
      </c>
      <c r="I1394" s="11" t="s">
        <v>3711</v>
      </c>
    </row>
    <row r="1395" spans="1:9" x14ac:dyDescent="0.15">
      <c r="A1395" s="10">
        <v>1394</v>
      </c>
      <c r="B1395" s="11" t="s">
        <v>9</v>
      </c>
      <c r="C1395" s="11" t="s">
        <v>170</v>
      </c>
      <c r="D1395" s="11" t="s">
        <v>171</v>
      </c>
      <c r="E1395" s="9" t="str">
        <f>+HYPERLINK("http://trademark.i-assist.jp/data/china/image_1904th/79574427.pdf", "79574427")</f>
        <v>79574427</v>
      </c>
      <c r="F1395" s="11" t="s">
        <v>4025</v>
      </c>
      <c r="G1395" s="11" t="s">
        <v>3946</v>
      </c>
      <c r="H1395" s="11" t="s">
        <v>4026</v>
      </c>
      <c r="I1395" s="11" t="s">
        <v>3711</v>
      </c>
    </row>
    <row r="1396" spans="1:9" x14ac:dyDescent="0.15">
      <c r="A1396" s="10">
        <v>1395</v>
      </c>
      <c r="B1396" s="11" t="s">
        <v>9</v>
      </c>
      <c r="C1396" s="11" t="s">
        <v>170</v>
      </c>
      <c r="D1396" s="11" t="s">
        <v>171</v>
      </c>
      <c r="E1396" s="9" t="str">
        <f>+HYPERLINK("http://trademark.i-assist.jp/data/china/image_1904th/79575160.pdf", "79575160")</f>
        <v>79575160</v>
      </c>
      <c r="F1396" s="11" t="s">
        <v>4027</v>
      </c>
      <c r="G1396" s="11" t="s">
        <v>4028</v>
      </c>
      <c r="H1396" s="11" t="s">
        <v>4029</v>
      </c>
      <c r="I1396" s="11" t="s">
        <v>3711</v>
      </c>
    </row>
    <row r="1397" spans="1:9" x14ac:dyDescent="0.15">
      <c r="A1397" s="10">
        <v>1396</v>
      </c>
      <c r="B1397" s="11" t="s">
        <v>9</v>
      </c>
      <c r="C1397" s="11" t="s">
        <v>170</v>
      </c>
      <c r="D1397" s="11" t="s">
        <v>171</v>
      </c>
      <c r="E1397" s="9" t="str">
        <f>+HYPERLINK("http://trademark.i-assist.jp/data/china/image_1904th/79575199.pdf", "79575199")</f>
        <v>79575199</v>
      </c>
      <c r="F1397" s="11" t="s">
        <v>4030</v>
      </c>
      <c r="G1397" s="11" t="s">
        <v>4031</v>
      </c>
      <c r="H1397" s="11" t="s">
        <v>4032</v>
      </c>
      <c r="I1397" s="11" t="s">
        <v>3711</v>
      </c>
    </row>
    <row r="1398" spans="1:9" x14ac:dyDescent="0.15">
      <c r="A1398" s="10">
        <v>1397</v>
      </c>
      <c r="B1398" s="11" t="s">
        <v>9</v>
      </c>
      <c r="C1398" s="11" t="s">
        <v>170</v>
      </c>
      <c r="D1398" s="11" t="s">
        <v>171</v>
      </c>
      <c r="E1398" s="9" t="str">
        <f>+HYPERLINK("http://trademark.i-assist.jp/data/china/image_1904th/79575298.pdf", "79575298")</f>
        <v>79575298</v>
      </c>
      <c r="F1398" s="11" t="s">
        <v>12</v>
      </c>
      <c r="G1398" s="11" t="s">
        <v>4033</v>
      </c>
      <c r="H1398" s="11" t="s">
        <v>4034</v>
      </c>
      <c r="I1398" s="11" t="s">
        <v>3711</v>
      </c>
    </row>
    <row r="1399" spans="1:9" x14ac:dyDescent="0.15">
      <c r="A1399" s="10">
        <v>1398</v>
      </c>
      <c r="B1399" s="11" t="s">
        <v>9</v>
      </c>
      <c r="C1399" s="11" t="s">
        <v>170</v>
      </c>
      <c r="D1399" s="11" t="s">
        <v>171</v>
      </c>
      <c r="E1399" s="9" t="str">
        <f>+HYPERLINK("http://trademark.i-assist.jp/data/china/image_1904th/79575353.pdf", "79575353")</f>
        <v>79575353</v>
      </c>
      <c r="F1399" s="11" t="s">
        <v>4035</v>
      </c>
      <c r="G1399" s="11" t="s">
        <v>3973</v>
      </c>
      <c r="H1399" s="11" t="s">
        <v>4036</v>
      </c>
      <c r="I1399" s="11" t="s">
        <v>3711</v>
      </c>
    </row>
    <row r="1400" spans="1:9" x14ac:dyDescent="0.15">
      <c r="A1400" s="10">
        <v>1399</v>
      </c>
      <c r="B1400" s="11" t="s">
        <v>9</v>
      </c>
      <c r="C1400" s="11" t="s">
        <v>170</v>
      </c>
      <c r="D1400" s="11" t="s">
        <v>171</v>
      </c>
      <c r="E1400" s="9" t="str">
        <f>+HYPERLINK("http://trademark.i-assist.jp/data/china/image_1904th/79575560.pdf", "79575560")</f>
        <v>79575560</v>
      </c>
      <c r="F1400" s="11" t="s">
        <v>4037</v>
      </c>
      <c r="G1400" s="11" t="s">
        <v>3742</v>
      </c>
      <c r="H1400" s="11" t="s">
        <v>4038</v>
      </c>
      <c r="I1400" s="11" t="s">
        <v>3711</v>
      </c>
    </row>
    <row r="1401" spans="1:9" x14ac:dyDescent="0.15">
      <c r="A1401" s="10">
        <v>1400</v>
      </c>
      <c r="B1401" s="11" t="s">
        <v>9</v>
      </c>
      <c r="C1401" s="11" t="s">
        <v>170</v>
      </c>
      <c r="D1401" s="11" t="s">
        <v>171</v>
      </c>
      <c r="E1401" s="9" t="str">
        <f>+HYPERLINK("http://trademark.i-assist.jp/data/china/image_1904th/79575853.pdf", "79575853")</f>
        <v>79575853</v>
      </c>
      <c r="F1401" s="11" t="s">
        <v>4039</v>
      </c>
      <c r="G1401" s="11" t="s">
        <v>100</v>
      </c>
      <c r="H1401" s="11" t="s">
        <v>4040</v>
      </c>
      <c r="I1401" s="11" t="s">
        <v>3711</v>
      </c>
    </row>
    <row r="1402" spans="1:9" x14ac:dyDescent="0.15">
      <c r="A1402" s="10">
        <v>1401</v>
      </c>
      <c r="B1402" s="11" t="s">
        <v>9</v>
      </c>
      <c r="C1402" s="11" t="s">
        <v>170</v>
      </c>
      <c r="D1402" s="11" t="s">
        <v>171</v>
      </c>
      <c r="E1402" s="9" t="str">
        <f>+HYPERLINK("http://trademark.i-assist.jp/data/china/image_1904th/79575996.pdf", "79575996")</f>
        <v>79575996</v>
      </c>
      <c r="F1402" s="11" t="s">
        <v>4041</v>
      </c>
      <c r="G1402" s="11" t="s">
        <v>4042</v>
      </c>
      <c r="H1402" s="11" t="s">
        <v>4043</v>
      </c>
      <c r="I1402" s="11" t="s">
        <v>3711</v>
      </c>
    </row>
    <row r="1403" spans="1:9" x14ac:dyDescent="0.15">
      <c r="A1403" s="10">
        <v>1402</v>
      </c>
      <c r="B1403" s="11" t="s">
        <v>9</v>
      </c>
      <c r="C1403" s="11" t="s">
        <v>170</v>
      </c>
      <c r="D1403" s="11" t="s">
        <v>171</v>
      </c>
      <c r="E1403" s="9" t="str">
        <f>+HYPERLINK("http://trademark.i-assist.jp/data/china/image_1904th/79576141.pdf", "79576141")</f>
        <v>79576141</v>
      </c>
      <c r="F1403" s="11" t="s">
        <v>4044</v>
      </c>
      <c r="G1403" s="11" t="s">
        <v>4045</v>
      </c>
      <c r="H1403" s="11" t="s">
        <v>4046</v>
      </c>
      <c r="I1403" s="11" t="s">
        <v>4047</v>
      </c>
    </row>
    <row r="1404" spans="1:9" x14ac:dyDescent="0.15">
      <c r="A1404" s="10">
        <v>1403</v>
      </c>
      <c r="B1404" s="11" t="s">
        <v>9</v>
      </c>
      <c r="C1404" s="11" t="s">
        <v>170</v>
      </c>
      <c r="D1404" s="11" t="s">
        <v>171</v>
      </c>
      <c r="E1404" s="9" t="str">
        <f>+HYPERLINK("http://trademark.i-assist.jp/data/china/image_1904th/79576161.pdf", "79576161")</f>
        <v>79576161</v>
      </c>
      <c r="F1404" s="11" t="s">
        <v>4048</v>
      </c>
      <c r="G1404" s="11" t="s">
        <v>4049</v>
      </c>
      <c r="H1404" s="11" t="s">
        <v>4050</v>
      </c>
      <c r="I1404" s="11" t="s">
        <v>4047</v>
      </c>
    </row>
    <row r="1405" spans="1:9" x14ac:dyDescent="0.15">
      <c r="A1405" s="10">
        <v>1404</v>
      </c>
      <c r="B1405" s="11" t="s">
        <v>9</v>
      </c>
      <c r="C1405" s="11" t="s">
        <v>170</v>
      </c>
      <c r="D1405" s="11" t="s">
        <v>171</v>
      </c>
      <c r="E1405" s="9" t="str">
        <f>+HYPERLINK("http://trademark.i-assist.jp/data/china/image_1904th/79576177.pdf", "79576177")</f>
        <v>79576177</v>
      </c>
      <c r="F1405" s="11" t="s">
        <v>4051</v>
      </c>
      <c r="G1405" s="11" t="s">
        <v>4052</v>
      </c>
      <c r="H1405" s="11" t="s">
        <v>4053</v>
      </c>
      <c r="I1405" s="11" t="s">
        <v>4047</v>
      </c>
    </row>
    <row r="1406" spans="1:9" x14ac:dyDescent="0.15">
      <c r="A1406" s="10">
        <v>1405</v>
      </c>
      <c r="B1406" s="11" t="s">
        <v>9</v>
      </c>
      <c r="C1406" s="11" t="s">
        <v>170</v>
      </c>
      <c r="D1406" s="11" t="s">
        <v>171</v>
      </c>
      <c r="E1406" s="9" t="str">
        <f>+HYPERLINK("http://trademark.i-assist.jp/data/china/image_1904th/79576455.pdf", "79576455")</f>
        <v>79576455</v>
      </c>
      <c r="F1406" s="11" t="s">
        <v>4054</v>
      </c>
      <c r="G1406" s="11" t="s">
        <v>4055</v>
      </c>
      <c r="H1406" s="11" t="s">
        <v>4056</v>
      </c>
      <c r="I1406" s="11" t="s">
        <v>4047</v>
      </c>
    </row>
    <row r="1407" spans="1:9" x14ac:dyDescent="0.15">
      <c r="A1407" s="10">
        <v>1406</v>
      </c>
      <c r="B1407" s="11" t="s">
        <v>9</v>
      </c>
      <c r="C1407" s="11" t="s">
        <v>170</v>
      </c>
      <c r="D1407" s="11" t="s">
        <v>171</v>
      </c>
      <c r="E1407" s="9" t="str">
        <f>+HYPERLINK("http://trademark.i-assist.jp/data/china/image_1904th/79576575.pdf", "79576575")</f>
        <v>79576575</v>
      </c>
      <c r="F1407" s="11" t="s">
        <v>4057</v>
      </c>
      <c r="G1407" s="11" t="s">
        <v>4058</v>
      </c>
      <c r="H1407" s="11" t="s">
        <v>4059</v>
      </c>
      <c r="I1407" s="11" t="s">
        <v>4047</v>
      </c>
    </row>
    <row r="1408" spans="1:9" x14ac:dyDescent="0.15">
      <c r="A1408" s="10">
        <v>1407</v>
      </c>
      <c r="B1408" s="11" t="s">
        <v>9</v>
      </c>
      <c r="C1408" s="11" t="s">
        <v>170</v>
      </c>
      <c r="D1408" s="11" t="s">
        <v>171</v>
      </c>
      <c r="E1408" s="9" t="str">
        <f>+HYPERLINK("http://trademark.i-assist.jp/data/china/image_1904th/79576822.pdf", "79576822")</f>
        <v>79576822</v>
      </c>
      <c r="F1408" s="11" t="s">
        <v>4060</v>
      </c>
      <c r="G1408" s="11" t="s">
        <v>4061</v>
      </c>
      <c r="H1408" s="11" t="s">
        <v>4062</v>
      </c>
      <c r="I1408" s="11" t="s">
        <v>4047</v>
      </c>
    </row>
    <row r="1409" spans="1:9" x14ac:dyDescent="0.15">
      <c r="A1409" s="10">
        <v>1408</v>
      </c>
      <c r="B1409" s="11" t="s">
        <v>9</v>
      </c>
      <c r="C1409" s="11" t="s">
        <v>170</v>
      </c>
      <c r="D1409" s="11" t="s">
        <v>171</v>
      </c>
      <c r="E1409" s="9" t="str">
        <f>+HYPERLINK("http://trademark.i-assist.jp/data/china/image_1904th/79576999.pdf", "79576999")</f>
        <v>79576999</v>
      </c>
      <c r="F1409" s="11" t="s">
        <v>4063</v>
      </c>
      <c r="G1409" s="11" t="s">
        <v>4064</v>
      </c>
      <c r="H1409" s="11" t="s">
        <v>4065</v>
      </c>
      <c r="I1409" s="11" t="s">
        <v>4047</v>
      </c>
    </row>
    <row r="1410" spans="1:9" x14ac:dyDescent="0.15">
      <c r="A1410" s="10">
        <v>1409</v>
      </c>
      <c r="B1410" s="11" t="s">
        <v>9</v>
      </c>
      <c r="C1410" s="11" t="s">
        <v>170</v>
      </c>
      <c r="D1410" s="11" t="s">
        <v>171</v>
      </c>
      <c r="E1410" s="9" t="str">
        <f>+HYPERLINK("http://trademark.i-assist.jp/data/china/image_1904th/79577873.pdf", "79577873")</f>
        <v>79577873</v>
      </c>
      <c r="F1410" s="11" t="s">
        <v>4066</v>
      </c>
      <c r="G1410" s="11" t="s">
        <v>4067</v>
      </c>
      <c r="H1410" s="11" t="s">
        <v>4068</v>
      </c>
      <c r="I1410" s="11" t="s">
        <v>4047</v>
      </c>
    </row>
    <row r="1411" spans="1:9" x14ac:dyDescent="0.15">
      <c r="A1411" s="10">
        <v>1410</v>
      </c>
      <c r="B1411" s="11" t="s">
        <v>9</v>
      </c>
      <c r="C1411" s="11" t="s">
        <v>170</v>
      </c>
      <c r="D1411" s="11" t="s">
        <v>171</v>
      </c>
      <c r="E1411" s="9" t="str">
        <f>+HYPERLINK("http://trademark.i-assist.jp/data/china/image_1904th/79577902.pdf", "79577902")</f>
        <v>79577902</v>
      </c>
      <c r="F1411" s="11" t="s">
        <v>4069</v>
      </c>
      <c r="G1411" s="11" t="s">
        <v>4070</v>
      </c>
      <c r="H1411" s="11" t="s">
        <v>4071</v>
      </c>
      <c r="I1411" s="11" t="s">
        <v>4047</v>
      </c>
    </row>
    <row r="1412" spans="1:9" x14ac:dyDescent="0.15">
      <c r="A1412" s="10">
        <v>1411</v>
      </c>
      <c r="B1412" s="11" t="s">
        <v>9</v>
      </c>
      <c r="C1412" s="11" t="s">
        <v>170</v>
      </c>
      <c r="D1412" s="11" t="s">
        <v>171</v>
      </c>
      <c r="E1412" s="9" t="str">
        <f>+HYPERLINK("http://trademark.i-assist.jp/data/china/image_1904th/79578098.pdf", "79578098")</f>
        <v>79578098</v>
      </c>
      <c r="F1412" s="11" t="s">
        <v>4072</v>
      </c>
      <c r="G1412" s="11" t="s">
        <v>4073</v>
      </c>
      <c r="H1412" s="11" t="s">
        <v>4074</v>
      </c>
      <c r="I1412" s="11" t="s">
        <v>4047</v>
      </c>
    </row>
    <row r="1413" spans="1:9" x14ac:dyDescent="0.15">
      <c r="A1413" s="10">
        <v>1412</v>
      </c>
      <c r="B1413" s="11" t="s">
        <v>9</v>
      </c>
      <c r="C1413" s="11" t="s">
        <v>170</v>
      </c>
      <c r="D1413" s="11" t="s">
        <v>171</v>
      </c>
      <c r="E1413" s="9" t="str">
        <f>+HYPERLINK("http://trademark.i-assist.jp/data/china/image_1904th/79578689.pdf", "79578689")</f>
        <v>79578689</v>
      </c>
      <c r="F1413" s="11" t="s">
        <v>4075</v>
      </c>
      <c r="G1413" s="11" t="s">
        <v>4076</v>
      </c>
      <c r="H1413" s="11" t="s">
        <v>4077</v>
      </c>
      <c r="I1413" s="11" t="s">
        <v>4047</v>
      </c>
    </row>
    <row r="1414" spans="1:9" x14ac:dyDescent="0.15">
      <c r="A1414" s="10">
        <v>1413</v>
      </c>
      <c r="B1414" s="11" t="s">
        <v>9</v>
      </c>
      <c r="C1414" s="11" t="s">
        <v>170</v>
      </c>
      <c r="D1414" s="11" t="s">
        <v>171</v>
      </c>
      <c r="E1414" s="9" t="str">
        <f>+HYPERLINK("http://trademark.i-assist.jp/data/china/image_1904th/79578829.pdf", "79578829")</f>
        <v>79578829</v>
      </c>
      <c r="F1414" s="11" t="s">
        <v>4078</v>
      </c>
      <c r="G1414" s="11" t="s">
        <v>4079</v>
      </c>
      <c r="H1414" s="11" t="s">
        <v>4080</v>
      </c>
      <c r="I1414" s="11" t="s">
        <v>4047</v>
      </c>
    </row>
    <row r="1415" spans="1:9" x14ac:dyDescent="0.15">
      <c r="A1415" s="10">
        <v>1414</v>
      </c>
      <c r="B1415" s="11" t="s">
        <v>9</v>
      </c>
      <c r="C1415" s="11" t="s">
        <v>170</v>
      </c>
      <c r="D1415" s="11" t="s">
        <v>171</v>
      </c>
      <c r="E1415" s="9" t="str">
        <f>+HYPERLINK("http://trademark.i-assist.jp/data/china/image_1904th/79578874.pdf", "79578874")</f>
        <v>79578874</v>
      </c>
      <c r="F1415" s="11" t="s">
        <v>4081</v>
      </c>
      <c r="G1415" s="11" t="s">
        <v>4082</v>
      </c>
      <c r="H1415" s="11" t="s">
        <v>4083</v>
      </c>
      <c r="I1415" s="11" t="s">
        <v>4047</v>
      </c>
    </row>
    <row r="1416" spans="1:9" x14ac:dyDescent="0.15">
      <c r="A1416" s="10">
        <v>1415</v>
      </c>
      <c r="B1416" s="11" t="s">
        <v>9</v>
      </c>
      <c r="C1416" s="11" t="s">
        <v>170</v>
      </c>
      <c r="D1416" s="11" t="s">
        <v>171</v>
      </c>
      <c r="E1416" s="9" t="str">
        <f>+HYPERLINK("http://trademark.i-assist.jp/data/china/image_1904th/79579104.pdf", "79579104")</f>
        <v>79579104</v>
      </c>
      <c r="F1416" s="11" t="s">
        <v>4084</v>
      </c>
      <c r="G1416" s="11" t="s">
        <v>4085</v>
      </c>
      <c r="H1416" s="11" t="s">
        <v>4086</v>
      </c>
      <c r="I1416" s="11" t="s">
        <v>4047</v>
      </c>
    </row>
    <row r="1417" spans="1:9" x14ac:dyDescent="0.15">
      <c r="A1417" s="10">
        <v>1416</v>
      </c>
      <c r="B1417" s="11" t="s">
        <v>9</v>
      </c>
      <c r="C1417" s="11" t="s">
        <v>170</v>
      </c>
      <c r="D1417" s="11" t="s">
        <v>171</v>
      </c>
      <c r="E1417" s="9" t="str">
        <f>+HYPERLINK("http://trademark.i-assist.jp/data/china/image_1904th/79579118.pdf", "79579118")</f>
        <v>79579118</v>
      </c>
      <c r="F1417" s="11" t="s">
        <v>4087</v>
      </c>
      <c r="G1417" s="11" t="s">
        <v>4088</v>
      </c>
      <c r="H1417" s="11" t="s">
        <v>4089</v>
      </c>
      <c r="I1417" s="11" t="s">
        <v>4047</v>
      </c>
    </row>
    <row r="1418" spans="1:9" x14ac:dyDescent="0.15">
      <c r="A1418" s="10">
        <v>1417</v>
      </c>
      <c r="B1418" s="11" t="s">
        <v>9</v>
      </c>
      <c r="C1418" s="11" t="s">
        <v>170</v>
      </c>
      <c r="D1418" s="11" t="s">
        <v>171</v>
      </c>
      <c r="E1418" s="9" t="str">
        <f>+HYPERLINK("http://trademark.i-assist.jp/data/china/image_1904th/79579121.pdf", "79579121")</f>
        <v>79579121</v>
      </c>
      <c r="F1418" s="11" t="s">
        <v>12</v>
      </c>
      <c r="G1418" s="11" t="s">
        <v>4090</v>
      </c>
      <c r="H1418" s="11" t="s">
        <v>4091</v>
      </c>
      <c r="I1418" s="11" t="s">
        <v>4047</v>
      </c>
    </row>
    <row r="1419" spans="1:9" x14ac:dyDescent="0.15">
      <c r="A1419" s="10">
        <v>1418</v>
      </c>
      <c r="B1419" s="11" t="s">
        <v>9</v>
      </c>
      <c r="C1419" s="11" t="s">
        <v>170</v>
      </c>
      <c r="D1419" s="11" t="s">
        <v>171</v>
      </c>
      <c r="E1419" s="9" t="str">
        <f>+HYPERLINK("http://trademark.i-assist.jp/data/china/image_1904th/79579290.pdf", "79579290")</f>
        <v>79579290</v>
      </c>
      <c r="F1419" s="11" t="s">
        <v>4092</v>
      </c>
      <c r="G1419" s="11" t="s">
        <v>4093</v>
      </c>
      <c r="H1419" s="11" t="s">
        <v>4094</v>
      </c>
      <c r="I1419" s="11" t="s">
        <v>4047</v>
      </c>
    </row>
    <row r="1420" spans="1:9" x14ac:dyDescent="0.15">
      <c r="A1420" s="10">
        <v>1419</v>
      </c>
      <c r="B1420" s="11" t="s">
        <v>9</v>
      </c>
      <c r="C1420" s="11" t="s">
        <v>170</v>
      </c>
      <c r="D1420" s="11" t="s">
        <v>171</v>
      </c>
      <c r="E1420" s="9" t="str">
        <f>+HYPERLINK("http://trademark.i-assist.jp/data/china/image_1904th/79579345.pdf", "79579345")</f>
        <v>79579345</v>
      </c>
      <c r="F1420" s="11" t="s">
        <v>4095</v>
      </c>
      <c r="G1420" s="11" t="s">
        <v>4096</v>
      </c>
      <c r="H1420" s="11" t="s">
        <v>4097</v>
      </c>
      <c r="I1420" s="11" t="s">
        <v>4047</v>
      </c>
    </row>
    <row r="1421" spans="1:9" x14ac:dyDescent="0.15">
      <c r="A1421" s="10">
        <v>1420</v>
      </c>
      <c r="B1421" s="11" t="s">
        <v>9</v>
      </c>
      <c r="C1421" s="11" t="s">
        <v>170</v>
      </c>
      <c r="D1421" s="11" t="s">
        <v>171</v>
      </c>
      <c r="E1421" s="9" t="str">
        <f>+HYPERLINK("http://trademark.i-assist.jp/data/china/image_1904th/79579469.pdf", "79579469")</f>
        <v>79579469</v>
      </c>
      <c r="F1421" s="11" t="s">
        <v>4098</v>
      </c>
      <c r="G1421" s="11" t="s">
        <v>4099</v>
      </c>
      <c r="H1421" s="11" t="s">
        <v>4100</v>
      </c>
      <c r="I1421" s="11" t="s">
        <v>4047</v>
      </c>
    </row>
    <row r="1422" spans="1:9" x14ac:dyDescent="0.15">
      <c r="A1422" s="10">
        <v>1421</v>
      </c>
      <c r="B1422" s="11" t="s">
        <v>9</v>
      </c>
      <c r="C1422" s="11" t="s">
        <v>170</v>
      </c>
      <c r="D1422" s="11" t="s">
        <v>171</v>
      </c>
      <c r="E1422" s="9" t="str">
        <f>+HYPERLINK("http://trademark.i-assist.jp/data/china/image_1904th/79579828.pdf", "79579828")</f>
        <v>79579828</v>
      </c>
      <c r="F1422" s="11" t="s">
        <v>4101</v>
      </c>
      <c r="G1422" s="11" t="s">
        <v>4102</v>
      </c>
      <c r="H1422" s="11" t="s">
        <v>4103</v>
      </c>
      <c r="I1422" s="11" t="s">
        <v>4047</v>
      </c>
    </row>
    <row r="1423" spans="1:9" x14ac:dyDescent="0.15">
      <c r="A1423" s="10">
        <v>1422</v>
      </c>
      <c r="B1423" s="11" t="s">
        <v>9</v>
      </c>
      <c r="C1423" s="11" t="s">
        <v>170</v>
      </c>
      <c r="D1423" s="11" t="s">
        <v>171</v>
      </c>
      <c r="E1423" s="9" t="str">
        <f>+HYPERLINK("http://trademark.i-assist.jp/data/china/image_1904th/79579862.pdf", "79579862")</f>
        <v>79579862</v>
      </c>
      <c r="F1423" s="11" t="s">
        <v>4104</v>
      </c>
      <c r="G1423" s="11" t="s">
        <v>4105</v>
      </c>
      <c r="H1423" s="11" t="s">
        <v>4106</v>
      </c>
      <c r="I1423" s="11" t="s">
        <v>4047</v>
      </c>
    </row>
    <row r="1424" spans="1:9" x14ac:dyDescent="0.15">
      <c r="A1424" s="10">
        <v>1423</v>
      </c>
      <c r="B1424" s="11" t="s">
        <v>9</v>
      </c>
      <c r="C1424" s="11" t="s">
        <v>170</v>
      </c>
      <c r="D1424" s="11" t="s">
        <v>171</v>
      </c>
      <c r="E1424" s="9" t="str">
        <f>+HYPERLINK("http://trademark.i-assist.jp/data/china/image_1904th/79580307.pdf", "79580307")</f>
        <v>79580307</v>
      </c>
      <c r="F1424" s="11" t="s">
        <v>4107</v>
      </c>
      <c r="G1424" s="11" t="s">
        <v>4108</v>
      </c>
      <c r="H1424" s="11" t="s">
        <v>4109</v>
      </c>
      <c r="I1424" s="11" t="s">
        <v>4047</v>
      </c>
    </row>
    <row r="1425" spans="1:9" x14ac:dyDescent="0.15">
      <c r="A1425" s="10">
        <v>1424</v>
      </c>
      <c r="B1425" s="11" t="s">
        <v>9</v>
      </c>
      <c r="C1425" s="11" t="s">
        <v>170</v>
      </c>
      <c r="D1425" s="11" t="s">
        <v>171</v>
      </c>
      <c r="E1425" s="9" t="str">
        <f>+HYPERLINK("http://trademark.i-assist.jp/data/china/image_1904th/79580630.pdf", "79580630")</f>
        <v>79580630</v>
      </c>
      <c r="F1425" s="11" t="s">
        <v>4110</v>
      </c>
      <c r="G1425" s="11" t="s">
        <v>4064</v>
      </c>
      <c r="H1425" s="11" t="s">
        <v>4111</v>
      </c>
      <c r="I1425" s="11" t="s">
        <v>4047</v>
      </c>
    </row>
    <row r="1426" spans="1:9" x14ac:dyDescent="0.15">
      <c r="A1426" s="10">
        <v>1425</v>
      </c>
      <c r="B1426" s="11" t="s">
        <v>9</v>
      </c>
      <c r="C1426" s="11" t="s">
        <v>170</v>
      </c>
      <c r="D1426" s="11" t="s">
        <v>171</v>
      </c>
      <c r="E1426" s="9" t="str">
        <f>+HYPERLINK("http://trademark.i-assist.jp/data/china/image_1904th/79580722.pdf", "79580722")</f>
        <v>79580722</v>
      </c>
      <c r="F1426" s="11" t="s">
        <v>4112</v>
      </c>
      <c r="G1426" s="11" t="s">
        <v>4113</v>
      </c>
      <c r="H1426" s="11" t="s">
        <v>4114</v>
      </c>
      <c r="I1426" s="11" t="s">
        <v>4047</v>
      </c>
    </row>
    <row r="1427" spans="1:9" x14ac:dyDescent="0.15">
      <c r="A1427" s="10">
        <v>1426</v>
      </c>
      <c r="B1427" s="11" t="s">
        <v>9</v>
      </c>
      <c r="C1427" s="11" t="s">
        <v>170</v>
      </c>
      <c r="D1427" s="11" t="s">
        <v>171</v>
      </c>
      <c r="E1427" s="9" t="str">
        <f>+HYPERLINK("http://trademark.i-assist.jp/data/china/image_1904th/79580742.pdf", "79580742")</f>
        <v>79580742</v>
      </c>
      <c r="F1427" s="11" t="s">
        <v>4115</v>
      </c>
      <c r="G1427" s="11" t="s">
        <v>4116</v>
      </c>
      <c r="H1427" s="11" t="s">
        <v>4117</v>
      </c>
      <c r="I1427" s="11" t="s">
        <v>4047</v>
      </c>
    </row>
    <row r="1428" spans="1:9" x14ac:dyDescent="0.15">
      <c r="A1428" s="10">
        <v>1427</v>
      </c>
      <c r="B1428" s="11" t="s">
        <v>9</v>
      </c>
      <c r="C1428" s="11" t="s">
        <v>170</v>
      </c>
      <c r="D1428" s="11" t="s">
        <v>171</v>
      </c>
      <c r="E1428" s="9" t="str">
        <f>+HYPERLINK("http://trademark.i-assist.jp/data/china/image_1904th/79580960.pdf", "79580960")</f>
        <v>79580960</v>
      </c>
      <c r="F1428" s="11" t="s">
        <v>4118</v>
      </c>
      <c r="G1428" s="11" t="s">
        <v>4119</v>
      </c>
      <c r="H1428" s="11" t="s">
        <v>4120</v>
      </c>
      <c r="I1428" s="11" t="s">
        <v>4047</v>
      </c>
    </row>
    <row r="1429" spans="1:9" x14ac:dyDescent="0.15">
      <c r="A1429" s="10">
        <v>1428</v>
      </c>
      <c r="B1429" s="11" t="s">
        <v>9</v>
      </c>
      <c r="C1429" s="11" t="s">
        <v>170</v>
      </c>
      <c r="D1429" s="11" t="s">
        <v>171</v>
      </c>
      <c r="E1429" s="9" t="str">
        <f>+HYPERLINK("http://trademark.i-assist.jp/data/china/image_1904th/79581272.pdf", "79581272")</f>
        <v>79581272</v>
      </c>
      <c r="F1429" s="11" t="s">
        <v>4121</v>
      </c>
      <c r="G1429" s="11" t="s">
        <v>4122</v>
      </c>
      <c r="H1429" s="11" t="s">
        <v>4123</v>
      </c>
      <c r="I1429" s="11" t="s">
        <v>4047</v>
      </c>
    </row>
    <row r="1430" spans="1:9" x14ac:dyDescent="0.15">
      <c r="A1430" s="10">
        <v>1429</v>
      </c>
      <c r="B1430" s="11" t="s">
        <v>9</v>
      </c>
      <c r="C1430" s="11" t="s">
        <v>170</v>
      </c>
      <c r="D1430" s="11" t="s">
        <v>171</v>
      </c>
      <c r="E1430" s="9" t="str">
        <f>+HYPERLINK("http://trademark.i-assist.jp/data/china/image_1904th/79581489.pdf", "79581489")</f>
        <v>79581489</v>
      </c>
      <c r="F1430" s="11" t="s">
        <v>4124</v>
      </c>
      <c r="G1430" s="11" t="s">
        <v>4125</v>
      </c>
      <c r="H1430" s="11" t="s">
        <v>4126</v>
      </c>
      <c r="I1430" s="11" t="s">
        <v>4047</v>
      </c>
    </row>
    <row r="1431" spans="1:9" x14ac:dyDescent="0.15">
      <c r="A1431" s="10">
        <v>1430</v>
      </c>
      <c r="B1431" s="11" t="s">
        <v>9</v>
      </c>
      <c r="C1431" s="11" t="s">
        <v>170</v>
      </c>
      <c r="D1431" s="11" t="s">
        <v>171</v>
      </c>
      <c r="E1431" s="9" t="str">
        <f>+HYPERLINK("http://trademark.i-assist.jp/data/china/image_1904th/79582111.pdf", "79582111")</f>
        <v>79582111</v>
      </c>
      <c r="F1431" s="11" t="s">
        <v>4127</v>
      </c>
      <c r="G1431" s="11" t="s">
        <v>4128</v>
      </c>
      <c r="H1431" s="11" t="s">
        <v>4129</v>
      </c>
      <c r="I1431" s="11" t="s">
        <v>4047</v>
      </c>
    </row>
    <row r="1432" spans="1:9" x14ac:dyDescent="0.15">
      <c r="A1432" s="10">
        <v>1431</v>
      </c>
      <c r="B1432" s="11" t="s">
        <v>9</v>
      </c>
      <c r="C1432" s="11" t="s">
        <v>170</v>
      </c>
      <c r="D1432" s="11" t="s">
        <v>171</v>
      </c>
      <c r="E1432" s="9" t="str">
        <f>+HYPERLINK("http://trademark.i-assist.jp/data/china/image_1904th/79582216.pdf", "79582216")</f>
        <v>79582216</v>
      </c>
      <c r="F1432" s="11" t="s">
        <v>4130</v>
      </c>
      <c r="G1432" s="11" t="s">
        <v>4131</v>
      </c>
      <c r="H1432" s="11" t="s">
        <v>4132</v>
      </c>
      <c r="I1432" s="11" t="s">
        <v>4047</v>
      </c>
    </row>
    <row r="1433" spans="1:9" x14ac:dyDescent="0.15">
      <c r="A1433" s="10">
        <v>1432</v>
      </c>
      <c r="B1433" s="11" t="s">
        <v>9</v>
      </c>
      <c r="C1433" s="11" t="s">
        <v>170</v>
      </c>
      <c r="D1433" s="11" t="s">
        <v>171</v>
      </c>
      <c r="E1433" s="9" t="str">
        <f>+HYPERLINK("http://trademark.i-assist.jp/data/china/image_1904th/79582247.pdf", "79582247")</f>
        <v>79582247</v>
      </c>
      <c r="F1433" s="11" t="s">
        <v>4133</v>
      </c>
      <c r="G1433" s="11" t="s">
        <v>4134</v>
      </c>
      <c r="H1433" s="11" t="s">
        <v>4135</v>
      </c>
      <c r="I1433" s="11" t="s">
        <v>4047</v>
      </c>
    </row>
    <row r="1434" spans="1:9" x14ac:dyDescent="0.15">
      <c r="A1434" s="10">
        <v>1433</v>
      </c>
      <c r="B1434" s="11" t="s">
        <v>9</v>
      </c>
      <c r="C1434" s="11" t="s">
        <v>170</v>
      </c>
      <c r="D1434" s="11" t="s">
        <v>171</v>
      </c>
      <c r="E1434" s="9" t="str">
        <f>+HYPERLINK("http://trademark.i-assist.jp/data/china/image_1904th/79582321.pdf", "79582321")</f>
        <v>79582321</v>
      </c>
      <c r="F1434" s="11" t="s">
        <v>4136</v>
      </c>
      <c r="G1434" s="11" t="s">
        <v>4137</v>
      </c>
      <c r="H1434" s="11" t="s">
        <v>4138</v>
      </c>
      <c r="I1434" s="11" t="s">
        <v>4047</v>
      </c>
    </row>
    <row r="1435" spans="1:9" x14ac:dyDescent="0.15">
      <c r="A1435" s="10">
        <v>1434</v>
      </c>
      <c r="B1435" s="11" t="s">
        <v>9</v>
      </c>
      <c r="C1435" s="11" t="s">
        <v>170</v>
      </c>
      <c r="D1435" s="11" t="s">
        <v>171</v>
      </c>
      <c r="E1435" s="9" t="str">
        <f>+HYPERLINK("http://trademark.i-assist.jp/data/china/image_1904th/79582551.pdf", "79582551")</f>
        <v>79582551</v>
      </c>
      <c r="F1435" s="11" t="s">
        <v>4139</v>
      </c>
      <c r="G1435" s="11" t="s">
        <v>4140</v>
      </c>
      <c r="H1435" s="11" t="s">
        <v>4141</v>
      </c>
      <c r="I1435" s="11" t="s">
        <v>4047</v>
      </c>
    </row>
    <row r="1436" spans="1:9" x14ac:dyDescent="0.15">
      <c r="A1436" s="10">
        <v>1435</v>
      </c>
      <c r="B1436" s="11" t="s">
        <v>9</v>
      </c>
      <c r="C1436" s="11" t="s">
        <v>170</v>
      </c>
      <c r="D1436" s="11" t="s">
        <v>171</v>
      </c>
      <c r="E1436" s="9" t="str">
        <f>+HYPERLINK("http://trademark.i-assist.jp/data/china/image_1904th/79583022.pdf", "79583022")</f>
        <v>79583022</v>
      </c>
      <c r="F1436" s="11" t="s">
        <v>4142</v>
      </c>
      <c r="G1436" s="11" t="s">
        <v>4143</v>
      </c>
      <c r="H1436" s="11" t="s">
        <v>4144</v>
      </c>
      <c r="I1436" s="11" t="s">
        <v>4047</v>
      </c>
    </row>
    <row r="1437" spans="1:9" x14ac:dyDescent="0.15">
      <c r="A1437" s="10">
        <v>1436</v>
      </c>
      <c r="B1437" s="11" t="s">
        <v>9</v>
      </c>
      <c r="C1437" s="11" t="s">
        <v>170</v>
      </c>
      <c r="D1437" s="11" t="s">
        <v>171</v>
      </c>
      <c r="E1437" s="9" t="str">
        <f>+HYPERLINK("http://trademark.i-assist.jp/data/china/image_1904th/79583076.pdf", "79583076")</f>
        <v>79583076</v>
      </c>
      <c r="F1437" s="11" t="s">
        <v>4145</v>
      </c>
      <c r="G1437" s="11" t="s">
        <v>4146</v>
      </c>
      <c r="H1437" s="11" t="s">
        <v>4147</v>
      </c>
      <c r="I1437" s="11" t="s">
        <v>4047</v>
      </c>
    </row>
    <row r="1438" spans="1:9" x14ac:dyDescent="0.15">
      <c r="A1438" s="10">
        <v>1437</v>
      </c>
      <c r="B1438" s="11" t="s">
        <v>9</v>
      </c>
      <c r="C1438" s="11" t="s">
        <v>170</v>
      </c>
      <c r="D1438" s="11" t="s">
        <v>171</v>
      </c>
      <c r="E1438" s="9" t="str">
        <f>+HYPERLINK("http://trademark.i-assist.jp/data/china/image_1904th/79583332.pdf", "79583332")</f>
        <v>79583332</v>
      </c>
      <c r="F1438" s="11" t="s">
        <v>4148</v>
      </c>
      <c r="G1438" s="11" t="s">
        <v>4149</v>
      </c>
      <c r="H1438" s="11" t="s">
        <v>4150</v>
      </c>
      <c r="I1438" s="11" t="s">
        <v>4047</v>
      </c>
    </row>
    <row r="1439" spans="1:9" x14ac:dyDescent="0.15">
      <c r="A1439" s="10">
        <v>1438</v>
      </c>
      <c r="B1439" s="11" t="s">
        <v>9</v>
      </c>
      <c r="C1439" s="11" t="s">
        <v>170</v>
      </c>
      <c r="D1439" s="11" t="s">
        <v>171</v>
      </c>
      <c r="E1439" s="9" t="str">
        <f>+HYPERLINK("http://trademark.i-assist.jp/data/china/image_1904th/79583504.pdf", "79583504")</f>
        <v>79583504</v>
      </c>
      <c r="F1439" s="11" t="s">
        <v>4151</v>
      </c>
      <c r="G1439" s="11" t="s">
        <v>4152</v>
      </c>
      <c r="H1439" s="11" t="s">
        <v>4153</v>
      </c>
      <c r="I1439" s="11" t="s">
        <v>4047</v>
      </c>
    </row>
    <row r="1440" spans="1:9" x14ac:dyDescent="0.15">
      <c r="A1440" s="10">
        <v>1439</v>
      </c>
      <c r="B1440" s="11" t="s">
        <v>9</v>
      </c>
      <c r="C1440" s="11" t="s">
        <v>170</v>
      </c>
      <c r="D1440" s="11" t="s">
        <v>171</v>
      </c>
      <c r="E1440" s="9" t="str">
        <f>+HYPERLINK("http://trademark.i-assist.jp/data/china/image_1904th/79584014.pdf", "79584014")</f>
        <v>79584014</v>
      </c>
      <c r="F1440" s="11" t="s">
        <v>12</v>
      </c>
      <c r="G1440" s="11" t="s">
        <v>4154</v>
      </c>
      <c r="H1440" s="11" t="s">
        <v>4155</v>
      </c>
      <c r="I1440" s="11" t="s">
        <v>4047</v>
      </c>
    </row>
    <row r="1441" spans="1:9" x14ac:dyDescent="0.15">
      <c r="A1441" s="10">
        <v>1440</v>
      </c>
      <c r="B1441" s="11" t="s">
        <v>9</v>
      </c>
      <c r="C1441" s="11" t="s">
        <v>170</v>
      </c>
      <c r="D1441" s="11" t="s">
        <v>171</v>
      </c>
      <c r="E1441" s="9" t="str">
        <f>+HYPERLINK("http://trademark.i-assist.jp/data/china/image_1904th/79584206.pdf", "79584206")</f>
        <v>79584206</v>
      </c>
      <c r="F1441" s="11" t="s">
        <v>4156</v>
      </c>
      <c r="G1441" s="11" t="s">
        <v>4157</v>
      </c>
      <c r="H1441" s="11" t="s">
        <v>4158</v>
      </c>
      <c r="I1441" s="11" t="s">
        <v>4047</v>
      </c>
    </row>
    <row r="1442" spans="1:9" x14ac:dyDescent="0.15">
      <c r="A1442" s="10">
        <v>1441</v>
      </c>
      <c r="B1442" s="11" t="s">
        <v>9</v>
      </c>
      <c r="C1442" s="11" t="s">
        <v>170</v>
      </c>
      <c r="D1442" s="11" t="s">
        <v>171</v>
      </c>
      <c r="E1442" s="9" t="str">
        <f>+HYPERLINK("http://trademark.i-assist.jp/data/china/image_1904th/79584315.pdf", "79584315")</f>
        <v>79584315</v>
      </c>
      <c r="F1442" s="11" t="s">
        <v>4159</v>
      </c>
      <c r="G1442" s="11" t="s">
        <v>4160</v>
      </c>
      <c r="H1442" s="11" t="s">
        <v>4161</v>
      </c>
      <c r="I1442" s="11" t="s">
        <v>4047</v>
      </c>
    </row>
    <row r="1443" spans="1:9" x14ac:dyDescent="0.15">
      <c r="A1443" s="10">
        <v>1442</v>
      </c>
      <c r="B1443" s="11" t="s">
        <v>9</v>
      </c>
      <c r="C1443" s="11" t="s">
        <v>170</v>
      </c>
      <c r="D1443" s="11" t="s">
        <v>171</v>
      </c>
      <c r="E1443" s="9" t="str">
        <f>+HYPERLINK("http://trademark.i-assist.jp/data/china/image_1904th/79584406.pdf", "79584406")</f>
        <v>79584406</v>
      </c>
      <c r="F1443" s="11" t="s">
        <v>4162</v>
      </c>
      <c r="G1443" s="11" t="s">
        <v>4163</v>
      </c>
      <c r="H1443" s="11" t="s">
        <v>4164</v>
      </c>
      <c r="I1443" s="11" t="s">
        <v>4047</v>
      </c>
    </row>
    <row r="1444" spans="1:9" x14ac:dyDescent="0.15">
      <c r="A1444" s="10">
        <v>1443</v>
      </c>
      <c r="B1444" s="11" t="s">
        <v>9</v>
      </c>
      <c r="C1444" s="11" t="s">
        <v>170</v>
      </c>
      <c r="D1444" s="11" t="s">
        <v>171</v>
      </c>
      <c r="E1444" s="9" t="str">
        <f>+HYPERLINK("http://trademark.i-assist.jp/data/china/image_1904th/79584440.pdf", "79584440")</f>
        <v>79584440</v>
      </c>
      <c r="F1444" s="11" t="s">
        <v>4165</v>
      </c>
      <c r="G1444" s="11" t="s">
        <v>4166</v>
      </c>
      <c r="H1444" s="11" t="s">
        <v>4167</v>
      </c>
      <c r="I1444" s="11" t="s">
        <v>4047</v>
      </c>
    </row>
    <row r="1445" spans="1:9" x14ac:dyDescent="0.15">
      <c r="A1445" s="10">
        <v>1444</v>
      </c>
      <c r="B1445" s="11" t="s">
        <v>9</v>
      </c>
      <c r="C1445" s="11" t="s">
        <v>170</v>
      </c>
      <c r="D1445" s="11" t="s">
        <v>171</v>
      </c>
      <c r="E1445" s="9" t="str">
        <f>+HYPERLINK("http://trademark.i-assist.jp/data/china/image_1904th/79584485.pdf", "79584485")</f>
        <v>79584485</v>
      </c>
      <c r="F1445" s="11" t="s">
        <v>4168</v>
      </c>
      <c r="G1445" s="11" t="s">
        <v>4169</v>
      </c>
      <c r="H1445" s="11" t="s">
        <v>4170</v>
      </c>
      <c r="I1445" s="11" t="s">
        <v>4047</v>
      </c>
    </row>
    <row r="1446" spans="1:9" x14ac:dyDescent="0.15">
      <c r="A1446" s="10">
        <v>1445</v>
      </c>
      <c r="B1446" s="11" t="s">
        <v>9</v>
      </c>
      <c r="C1446" s="11" t="s">
        <v>170</v>
      </c>
      <c r="D1446" s="11" t="s">
        <v>171</v>
      </c>
      <c r="E1446" s="9" t="str">
        <f>+HYPERLINK("http://trademark.i-assist.jp/data/china/image_1904th/79584614.pdf", "79584614")</f>
        <v>79584614</v>
      </c>
      <c r="F1446" s="11" t="s">
        <v>4171</v>
      </c>
      <c r="G1446" s="11" t="s">
        <v>4172</v>
      </c>
      <c r="H1446" s="11" t="s">
        <v>4173</v>
      </c>
      <c r="I1446" s="11" t="s">
        <v>4047</v>
      </c>
    </row>
    <row r="1447" spans="1:9" x14ac:dyDescent="0.15">
      <c r="A1447" s="10">
        <v>1446</v>
      </c>
      <c r="B1447" s="11" t="s">
        <v>9</v>
      </c>
      <c r="C1447" s="11" t="s">
        <v>170</v>
      </c>
      <c r="D1447" s="11" t="s">
        <v>171</v>
      </c>
      <c r="E1447" s="9" t="str">
        <f>+HYPERLINK("http://trademark.i-assist.jp/data/china/image_1904th/79584688.pdf", "79584688")</f>
        <v>79584688</v>
      </c>
      <c r="F1447" s="11" t="s">
        <v>4174</v>
      </c>
      <c r="G1447" s="11" t="s">
        <v>4175</v>
      </c>
      <c r="H1447" s="11" t="s">
        <v>4176</v>
      </c>
      <c r="I1447" s="11" t="s">
        <v>4047</v>
      </c>
    </row>
    <row r="1448" spans="1:9" x14ac:dyDescent="0.15">
      <c r="A1448" s="10">
        <v>1447</v>
      </c>
      <c r="B1448" s="11" t="s">
        <v>9</v>
      </c>
      <c r="C1448" s="11" t="s">
        <v>170</v>
      </c>
      <c r="D1448" s="11" t="s">
        <v>171</v>
      </c>
      <c r="E1448" s="9" t="str">
        <f>+HYPERLINK("http://trademark.i-assist.jp/data/china/image_1904th/79584739.pdf", "79584739")</f>
        <v>79584739</v>
      </c>
      <c r="F1448" s="11" t="s">
        <v>4177</v>
      </c>
      <c r="G1448" s="11" t="s">
        <v>4178</v>
      </c>
      <c r="H1448" s="11" t="s">
        <v>4179</v>
      </c>
      <c r="I1448" s="11" t="s">
        <v>4047</v>
      </c>
    </row>
    <row r="1449" spans="1:9" x14ac:dyDescent="0.15">
      <c r="A1449" s="10">
        <v>1448</v>
      </c>
      <c r="B1449" s="11" t="s">
        <v>9</v>
      </c>
      <c r="C1449" s="11" t="s">
        <v>170</v>
      </c>
      <c r="D1449" s="11" t="s">
        <v>171</v>
      </c>
      <c r="E1449" s="9" t="str">
        <f>+HYPERLINK("http://trademark.i-assist.jp/data/china/image_1904th/79584872.pdf", "79584872")</f>
        <v>79584872</v>
      </c>
      <c r="F1449" s="11" t="s">
        <v>4180</v>
      </c>
      <c r="G1449" s="11" t="s">
        <v>4181</v>
      </c>
      <c r="H1449" s="11" t="s">
        <v>4182</v>
      </c>
      <c r="I1449" s="11" t="s">
        <v>4047</v>
      </c>
    </row>
    <row r="1450" spans="1:9" x14ac:dyDescent="0.15">
      <c r="A1450" s="10">
        <v>1449</v>
      </c>
      <c r="B1450" s="11" t="s">
        <v>9</v>
      </c>
      <c r="C1450" s="11" t="s">
        <v>170</v>
      </c>
      <c r="D1450" s="11" t="s">
        <v>171</v>
      </c>
      <c r="E1450" s="9" t="str">
        <f>+HYPERLINK("http://trademark.i-assist.jp/data/china/image_1904th/79584900.pdf", "79584900")</f>
        <v>79584900</v>
      </c>
      <c r="F1450" s="11" t="s">
        <v>4183</v>
      </c>
      <c r="G1450" s="11" t="s">
        <v>4079</v>
      </c>
      <c r="H1450" s="11" t="s">
        <v>4184</v>
      </c>
      <c r="I1450" s="11" t="s">
        <v>4047</v>
      </c>
    </row>
    <row r="1451" spans="1:9" x14ac:dyDescent="0.15">
      <c r="A1451" s="10">
        <v>1450</v>
      </c>
      <c r="B1451" s="11" t="s">
        <v>9</v>
      </c>
      <c r="C1451" s="11" t="s">
        <v>170</v>
      </c>
      <c r="D1451" s="11" t="s">
        <v>171</v>
      </c>
      <c r="E1451" s="9" t="str">
        <f>+HYPERLINK("http://trademark.i-assist.jp/data/china/image_1904th/79585376.pdf", "79585376")</f>
        <v>79585376</v>
      </c>
      <c r="F1451" s="11" t="s">
        <v>4185</v>
      </c>
      <c r="G1451" s="11" t="s">
        <v>4070</v>
      </c>
      <c r="H1451" s="11" t="s">
        <v>4186</v>
      </c>
      <c r="I1451" s="11" t="s">
        <v>4047</v>
      </c>
    </row>
    <row r="1452" spans="1:9" x14ac:dyDescent="0.15">
      <c r="A1452" s="10">
        <v>1451</v>
      </c>
      <c r="B1452" s="11" t="s">
        <v>9</v>
      </c>
      <c r="C1452" s="11" t="s">
        <v>170</v>
      </c>
      <c r="D1452" s="11" t="s">
        <v>171</v>
      </c>
      <c r="E1452" s="9" t="str">
        <f>+HYPERLINK("http://trademark.i-assist.jp/data/china/image_1904th/79585388.pdf", "79585388")</f>
        <v>79585388</v>
      </c>
      <c r="F1452" s="11" t="s">
        <v>4187</v>
      </c>
      <c r="G1452" s="11" t="s">
        <v>4188</v>
      </c>
      <c r="H1452" s="11" t="s">
        <v>4189</v>
      </c>
      <c r="I1452" s="11" t="s">
        <v>4047</v>
      </c>
    </row>
    <row r="1453" spans="1:9" x14ac:dyDescent="0.15">
      <c r="A1453" s="10">
        <v>1452</v>
      </c>
      <c r="B1453" s="11" t="s">
        <v>9</v>
      </c>
      <c r="C1453" s="11" t="s">
        <v>170</v>
      </c>
      <c r="D1453" s="11" t="s">
        <v>171</v>
      </c>
      <c r="E1453" s="9" t="str">
        <f>+HYPERLINK("http://trademark.i-assist.jp/data/china/image_1904th/79585923.pdf", "79585923")</f>
        <v>79585923</v>
      </c>
      <c r="F1453" s="11" t="s">
        <v>4190</v>
      </c>
      <c r="G1453" s="11" t="s">
        <v>4191</v>
      </c>
      <c r="H1453" s="11" t="s">
        <v>4192</v>
      </c>
      <c r="I1453" s="11" t="s">
        <v>4047</v>
      </c>
    </row>
    <row r="1454" spans="1:9" x14ac:dyDescent="0.15">
      <c r="A1454" s="10">
        <v>1453</v>
      </c>
      <c r="B1454" s="11" t="s">
        <v>9</v>
      </c>
      <c r="C1454" s="11" t="s">
        <v>170</v>
      </c>
      <c r="D1454" s="11" t="s">
        <v>171</v>
      </c>
      <c r="E1454" s="9" t="str">
        <f>+HYPERLINK("http://trademark.i-assist.jp/data/china/image_1904th/79585940.pdf", "79585940")</f>
        <v>79585940</v>
      </c>
      <c r="F1454" s="11" t="s">
        <v>4193</v>
      </c>
      <c r="G1454" s="11" t="s">
        <v>4194</v>
      </c>
      <c r="H1454" s="11" t="s">
        <v>4195</v>
      </c>
      <c r="I1454" s="11" t="s">
        <v>4047</v>
      </c>
    </row>
    <row r="1455" spans="1:9" x14ac:dyDescent="0.15">
      <c r="A1455" s="10">
        <v>1454</v>
      </c>
      <c r="B1455" s="11" t="s">
        <v>9</v>
      </c>
      <c r="C1455" s="11" t="s">
        <v>170</v>
      </c>
      <c r="D1455" s="11" t="s">
        <v>171</v>
      </c>
      <c r="E1455" s="9" t="str">
        <f>+HYPERLINK("http://trademark.i-assist.jp/data/china/image_1904th/79586260.pdf", "79586260")</f>
        <v>79586260</v>
      </c>
      <c r="F1455" s="11" t="s">
        <v>4196</v>
      </c>
      <c r="G1455" s="11" t="s">
        <v>4102</v>
      </c>
      <c r="H1455" s="11" t="s">
        <v>4197</v>
      </c>
      <c r="I1455" s="11" t="s">
        <v>4047</v>
      </c>
    </row>
    <row r="1456" spans="1:9" x14ac:dyDescent="0.15">
      <c r="A1456" s="10">
        <v>1455</v>
      </c>
      <c r="B1456" s="11" t="s">
        <v>9</v>
      </c>
      <c r="C1456" s="11" t="s">
        <v>170</v>
      </c>
      <c r="D1456" s="11" t="s">
        <v>171</v>
      </c>
      <c r="E1456" s="9" t="str">
        <f>+HYPERLINK("http://trademark.i-assist.jp/data/china/image_1904th/79586364.pdf", "79586364")</f>
        <v>79586364</v>
      </c>
      <c r="F1456" s="11" t="s">
        <v>4198</v>
      </c>
      <c r="G1456" s="11" t="s">
        <v>4199</v>
      </c>
      <c r="H1456" s="11" t="s">
        <v>4200</v>
      </c>
      <c r="I1456" s="11" t="s">
        <v>4047</v>
      </c>
    </row>
    <row r="1457" spans="1:9" x14ac:dyDescent="0.15">
      <c r="A1457" s="10">
        <v>1456</v>
      </c>
      <c r="B1457" s="11" t="s">
        <v>9</v>
      </c>
      <c r="C1457" s="11" t="s">
        <v>170</v>
      </c>
      <c r="D1457" s="11" t="s">
        <v>171</v>
      </c>
      <c r="E1457" s="9" t="str">
        <f>+HYPERLINK("http://trademark.i-assist.jp/data/china/image_1904th/79586406.pdf", "79586406")</f>
        <v>79586406</v>
      </c>
      <c r="F1457" s="11" t="s">
        <v>4201</v>
      </c>
      <c r="G1457" s="11" t="s">
        <v>4202</v>
      </c>
      <c r="H1457" s="11" t="s">
        <v>4203</v>
      </c>
      <c r="I1457" s="11" t="s">
        <v>4047</v>
      </c>
    </row>
    <row r="1458" spans="1:9" x14ac:dyDescent="0.15">
      <c r="A1458" s="10">
        <v>1457</v>
      </c>
      <c r="B1458" s="11" t="s">
        <v>9</v>
      </c>
      <c r="C1458" s="11" t="s">
        <v>170</v>
      </c>
      <c r="D1458" s="11" t="s">
        <v>171</v>
      </c>
      <c r="E1458" s="9" t="str">
        <f>+HYPERLINK("http://trademark.i-assist.jp/data/china/image_1904th/79586507.pdf", "79586507")</f>
        <v>79586507</v>
      </c>
      <c r="F1458" s="11" t="s">
        <v>4204</v>
      </c>
      <c r="G1458" s="11" t="s">
        <v>4205</v>
      </c>
      <c r="H1458" s="11" t="s">
        <v>4206</v>
      </c>
      <c r="I1458" s="11" t="s">
        <v>4047</v>
      </c>
    </row>
    <row r="1459" spans="1:9" x14ac:dyDescent="0.15">
      <c r="A1459" s="10">
        <v>1458</v>
      </c>
      <c r="B1459" s="11" t="s">
        <v>9</v>
      </c>
      <c r="C1459" s="11" t="s">
        <v>170</v>
      </c>
      <c r="D1459" s="11" t="s">
        <v>171</v>
      </c>
      <c r="E1459" s="9" t="str">
        <f>+HYPERLINK("http://trademark.i-assist.jp/data/china/image_1904th/79587536.pdf", "79587536")</f>
        <v>79587536</v>
      </c>
      <c r="F1459" s="11" t="s">
        <v>4207</v>
      </c>
      <c r="G1459" s="11" t="s">
        <v>4208</v>
      </c>
      <c r="H1459" s="11" t="s">
        <v>4209</v>
      </c>
      <c r="I1459" s="11" t="s">
        <v>4047</v>
      </c>
    </row>
    <row r="1460" spans="1:9" x14ac:dyDescent="0.15">
      <c r="A1460" s="10">
        <v>1459</v>
      </c>
      <c r="B1460" s="11" t="s">
        <v>9</v>
      </c>
      <c r="C1460" s="11" t="s">
        <v>170</v>
      </c>
      <c r="D1460" s="11" t="s">
        <v>171</v>
      </c>
      <c r="E1460" s="9" t="str">
        <f>+HYPERLINK("http://trademark.i-assist.jp/data/china/image_1904th/79587755.pdf", "79587755")</f>
        <v>79587755</v>
      </c>
      <c r="F1460" s="11" t="s">
        <v>12</v>
      </c>
      <c r="G1460" s="11" t="s">
        <v>4210</v>
      </c>
      <c r="H1460" s="11" t="s">
        <v>4211</v>
      </c>
      <c r="I1460" s="11" t="s">
        <v>4047</v>
      </c>
    </row>
    <row r="1461" spans="1:9" x14ac:dyDescent="0.15">
      <c r="A1461" s="10">
        <v>1460</v>
      </c>
      <c r="B1461" s="11" t="s">
        <v>9</v>
      </c>
      <c r="C1461" s="11" t="s">
        <v>170</v>
      </c>
      <c r="D1461" s="11" t="s">
        <v>171</v>
      </c>
      <c r="E1461" s="9" t="str">
        <f>+HYPERLINK("http://trademark.i-assist.jp/data/china/image_1904th/79587901.pdf", "79587901")</f>
        <v>79587901</v>
      </c>
      <c r="F1461" s="11" t="s">
        <v>4212</v>
      </c>
      <c r="G1461" s="11" t="s">
        <v>4146</v>
      </c>
      <c r="H1461" s="11" t="s">
        <v>4213</v>
      </c>
      <c r="I1461" s="11" t="s">
        <v>4047</v>
      </c>
    </row>
    <row r="1462" spans="1:9" x14ac:dyDescent="0.15">
      <c r="A1462" s="10">
        <v>1461</v>
      </c>
      <c r="B1462" s="11" t="s">
        <v>9</v>
      </c>
      <c r="C1462" s="11" t="s">
        <v>170</v>
      </c>
      <c r="D1462" s="11" t="s">
        <v>171</v>
      </c>
      <c r="E1462" s="9" t="str">
        <f>+HYPERLINK("http://trademark.i-assist.jp/data/china/image_1904th/79588070.pdf", "79588070")</f>
        <v>79588070</v>
      </c>
      <c r="F1462" s="11" t="s">
        <v>4214</v>
      </c>
      <c r="G1462" s="11" t="s">
        <v>4208</v>
      </c>
      <c r="H1462" s="11" t="s">
        <v>4215</v>
      </c>
      <c r="I1462" s="11" t="s">
        <v>4047</v>
      </c>
    </row>
    <row r="1463" spans="1:9" x14ac:dyDescent="0.15">
      <c r="A1463" s="10">
        <v>1462</v>
      </c>
      <c r="B1463" s="11" t="s">
        <v>9</v>
      </c>
      <c r="C1463" s="11" t="s">
        <v>170</v>
      </c>
      <c r="D1463" s="11" t="s">
        <v>171</v>
      </c>
      <c r="E1463" s="9" t="str">
        <f>+HYPERLINK("http://trademark.i-assist.jp/data/china/image_1904th/79588282.pdf", "79588282")</f>
        <v>79588282</v>
      </c>
      <c r="F1463" s="11" t="s">
        <v>4216</v>
      </c>
      <c r="G1463" s="11" t="s">
        <v>4217</v>
      </c>
      <c r="H1463" s="11" t="s">
        <v>4218</v>
      </c>
      <c r="I1463" s="11" t="s">
        <v>4047</v>
      </c>
    </row>
    <row r="1464" spans="1:9" x14ac:dyDescent="0.15">
      <c r="A1464" s="10">
        <v>1463</v>
      </c>
      <c r="B1464" s="11" t="s">
        <v>9</v>
      </c>
      <c r="C1464" s="11" t="s">
        <v>170</v>
      </c>
      <c r="D1464" s="11" t="s">
        <v>171</v>
      </c>
      <c r="E1464" s="9" t="str">
        <f>+HYPERLINK("http://trademark.i-assist.jp/data/china/image_1904th/79588318.pdf", "79588318")</f>
        <v>79588318</v>
      </c>
      <c r="F1464" s="11" t="s">
        <v>4219</v>
      </c>
      <c r="G1464" s="11" t="s">
        <v>4220</v>
      </c>
      <c r="H1464" s="11" t="s">
        <v>4221</v>
      </c>
      <c r="I1464" s="11" t="s">
        <v>4047</v>
      </c>
    </row>
    <row r="1465" spans="1:9" x14ac:dyDescent="0.15">
      <c r="A1465" s="10">
        <v>1464</v>
      </c>
      <c r="B1465" s="11" t="s">
        <v>9</v>
      </c>
      <c r="C1465" s="11" t="s">
        <v>170</v>
      </c>
      <c r="D1465" s="11" t="s">
        <v>171</v>
      </c>
      <c r="E1465" s="9" t="str">
        <f>+HYPERLINK("http://trademark.i-assist.jp/data/china/image_1904th/79588462.pdf", "79588462")</f>
        <v>79588462</v>
      </c>
      <c r="F1465" s="11" t="s">
        <v>4222</v>
      </c>
      <c r="G1465" s="11" t="s">
        <v>4223</v>
      </c>
      <c r="H1465" s="11" t="s">
        <v>4224</v>
      </c>
      <c r="I1465" s="11" t="s">
        <v>4047</v>
      </c>
    </row>
    <row r="1466" spans="1:9" x14ac:dyDescent="0.15">
      <c r="A1466" s="10">
        <v>1465</v>
      </c>
      <c r="B1466" s="11" t="s">
        <v>9</v>
      </c>
      <c r="C1466" s="11" t="s">
        <v>170</v>
      </c>
      <c r="D1466" s="11" t="s">
        <v>171</v>
      </c>
      <c r="E1466" s="9" t="str">
        <f>+HYPERLINK("http://trademark.i-assist.jp/data/china/image_1904th/79588832.pdf", "79588832")</f>
        <v>79588832</v>
      </c>
      <c r="F1466" s="11" t="s">
        <v>4225</v>
      </c>
      <c r="G1466" s="11" t="s">
        <v>4226</v>
      </c>
      <c r="H1466" s="11" t="s">
        <v>4227</v>
      </c>
      <c r="I1466" s="11" t="s">
        <v>4047</v>
      </c>
    </row>
    <row r="1467" spans="1:9" x14ac:dyDescent="0.15">
      <c r="A1467" s="10">
        <v>1466</v>
      </c>
      <c r="B1467" s="11" t="s">
        <v>9</v>
      </c>
      <c r="C1467" s="11" t="s">
        <v>170</v>
      </c>
      <c r="D1467" s="11" t="s">
        <v>171</v>
      </c>
      <c r="E1467" s="9" t="str">
        <f>+HYPERLINK("http://trademark.i-assist.jp/data/china/image_1904th/79588964.pdf", "79588964")</f>
        <v>79588964</v>
      </c>
      <c r="F1467" s="11" t="s">
        <v>4228</v>
      </c>
      <c r="G1467" s="11" t="s">
        <v>4229</v>
      </c>
      <c r="H1467" s="11" t="s">
        <v>4230</v>
      </c>
      <c r="I1467" s="11" t="s">
        <v>4047</v>
      </c>
    </row>
    <row r="1468" spans="1:9" x14ac:dyDescent="0.15">
      <c r="A1468" s="10">
        <v>1467</v>
      </c>
      <c r="B1468" s="11" t="s">
        <v>9</v>
      </c>
      <c r="C1468" s="11" t="s">
        <v>170</v>
      </c>
      <c r="D1468" s="11" t="s">
        <v>171</v>
      </c>
      <c r="E1468" s="9" t="str">
        <f>+HYPERLINK("http://trademark.i-assist.jp/data/china/image_1904th/79588974.pdf", "79588974")</f>
        <v>79588974</v>
      </c>
      <c r="F1468" s="11" t="s">
        <v>4231</v>
      </c>
      <c r="G1468" s="11" t="s">
        <v>4232</v>
      </c>
      <c r="H1468" s="11" t="s">
        <v>4233</v>
      </c>
      <c r="I1468" s="11" t="s">
        <v>4047</v>
      </c>
    </row>
    <row r="1469" spans="1:9" x14ac:dyDescent="0.15">
      <c r="A1469" s="10">
        <v>1468</v>
      </c>
      <c r="B1469" s="11" t="s">
        <v>9</v>
      </c>
      <c r="C1469" s="11" t="s">
        <v>170</v>
      </c>
      <c r="D1469" s="11" t="s">
        <v>171</v>
      </c>
      <c r="E1469" s="9" t="str">
        <f>+HYPERLINK("http://trademark.i-assist.jp/data/china/image_1904th/79589101.pdf", "79589101")</f>
        <v>79589101</v>
      </c>
      <c r="F1469" s="11" t="s">
        <v>4234</v>
      </c>
      <c r="G1469" s="11" t="s">
        <v>4116</v>
      </c>
      <c r="H1469" s="11" t="s">
        <v>4235</v>
      </c>
      <c r="I1469" s="11" t="s">
        <v>4047</v>
      </c>
    </row>
    <row r="1470" spans="1:9" x14ac:dyDescent="0.15">
      <c r="A1470" s="10">
        <v>1469</v>
      </c>
      <c r="B1470" s="11" t="s">
        <v>9</v>
      </c>
      <c r="C1470" s="11" t="s">
        <v>170</v>
      </c>
      <c r="D1470" s="11" t="s">
        <v>171</v>
      </c>
      <c r="E1470" s="9" t="str">
        <f>+HYPERLINK("http://trademark.i-assist.jp/data/china/image_1904th/79589585.pdf", "79589585")</f>
        <v>79589585</v>
      </c>
      <c r="F1470" s="11" t="s">
        <v>4236</v>
      </c>
      <c r="G1470" s="11" t="s">
        <v>4237</v>
      </c>
      <c r="H1470" s="11" t="s">
        <v>4238</v>
      </c>
      <c r="I1470" s="11" t="s">
        <v>4047</v>
      </c>
    </row>
    <row r="1471" spans="1:9" x14ac:dyDescent="0.15">
      <c r="A1471" s="10">
        <v>1470</v>
      </c>
      <c r="B1471" s="11" t="s">
        <v>9</v>
      </c>
      <c r="C1471" s="11" t="s">
        <v>170</v>
      </c>
      <c r="D1471" s="11" t="s">
        <v>171</v>
      </c>
      <c r="E1471" s="9" t="str">
        <f>+HYPERLINK("http://trademark.i-assist.jp/data/china/image_1904th/79589627.pdf", "79589627")</f>
        <v>79589627</v>
      </c>
      <c r="F1471" s="11" t="s">
        <v>4239</v>
      </c>
      <c r="G1471" s="11" t="s">
        <v>4240</v>
      </c>
      <c r="H1471" s="11" t="s">
        <v>4241</v>
      </c>
      <c r="I1471" s="11" t="s">
        <v>4047</v>
      </c>
    </row>
    <row r="1472" spans="1:9" x14ac:dyDescent="0.15">
      <c r="A1472" s="10">
        <v>1471</v>
      </c>
      <c r="B1472" s="11" t="s">
        <v>9</v>
      </c>
      <c r="C1472" s="11" t="s">
        <v>170</v>
      </c>
      <c r="D1472" s="11" t="s">
        <v>171</v>
      </c>
      <c r="E1472" s="9" t="str">
        <f>+HYPERLINK("http://trademark.i-assist.jp/data/china/image_1904th/79591041.pdf", "79591041")</f>
        <v>79591041</v>
      </c>
      <c r="F1472" s="11" t="s">
        <v>4242</v>
      </c>
      <c r="G1472" s="11" t="s">
        <v>4243</v>
      </c>
      <c r="H1472" s="11" t="s">
        <v>4244</v>
      </c>
      <c r="I1472" s="11" t="s">
        <v>4047</v>
      </c>
    </row>
    <row r="1473" spans="1:9" x14ac:dyDescent="0.15">
      <c r="A1473" s="10">
        <v>1472</v>
      </c>
      <c r="B1473" s="11" t="s">
        <v>9</v>
      </c>
      <c r="C1473" s="11" t="s">
        <v>170</v>
      </c>
      <c r="D1473" s="11" t="s">
        <v>171</v>
      </c>
      <c r="E1473" s="9" t="str">
        <f>+HYPERLINK("http://trademark.i-assist.jp/data/china/image_1904th/79591152.pdf", "79591152")</f>
        <v>79591152</v>
      </c>
      <c r="F1473" s="11" t="s">
        <v>4245</v>
      </c>
      <c r="G1473" s="11" t="s">
        <v>4246</v>
      </c>
      <c r="H1473" s="11" t="s">
        <v>4247</v>
      </c>
      <c r="I1473" s="11" t="s">
        <v>4047</v>
      </c>
    </row>
    <row r="1474" spans="1:9" x14ac:dyDescent="0.15">
      <c r="A1474" s="10">
        <v>1473</v>
      </c>
      <c r="B1474" s="11" t="s">
        <v>9</v>
      </c>
      <c r="C1474" s="11" t="s">
        <v>170</v>
      </c>
      <c r="D1474" s="11" t="s">
        <v>171</v>
      </c>
      <c r="E1474" s="9" t="str">
        <f>+HYPERLINK("http://trademark.i-assist.jp/data/china/image_1904th/79591418.pdf", "79591418")</f>
        <v>79591418</v>
      </c>
      <c r="F1474" s="11" t="s">
        <v>4248</v>
      </c>
      <c r="G1474" s="11" t="s">
        <v>4249</v>
      </c>
      <c r="H1474" s="11" t="s">
        <v>4250</v>
      </c>
      <c r="I1474" s="11" t="s">
        <v>4047</v>
      </c>
    </row>
    <row r="1475" spans="1:9" x14ac:dyDescent="0.15">
      <c r="A1475" s="10">
        <v>1474</v>
      </c>
      <c r="B1475" s="11" t="s">
        <v>9</v>
      </c>
      <c r="C1475" s="11" t="s">
        <v>170</v>
      </c>
      <c r="D1475" s="11" t="s">
        <v>171</v>
      </c>
      <c r="E1475" s="9" t="str">
        <f>+HYPERLINK("http://trademark.i-assist.jp/data/china/image_1904th/79591455.pdf", "79591455")</f>
        <v>79591455</v>
      </c>
      <c r="F1475" s="11" t="s">
        <v>4251</v>
      </c>
      <c r="G1475" s="11" t="s">
        <v>4252</v>
      </c>
      <c r="H1475" s="11" t="s">
        <v>4253</v>
      </c>
      <c r="I1475" s="11" t="s">
        <v>4047</v>
      </c>
    </row>
    <row r="1476" spans="1:9" x14ac:dyDescent="0.15">
      <c r="A1476" s="10">
        <v>1475</v>
      </c>
      <c r="B1476" s="11" t="s">
        <v>9</v>
      </c>
      <c r="C1476" s="11" t="s">
        <v>170</v>
      </c>
      <c r="D1476" s="11" t="s">
        <v>171</v>
      </c>
      <c r="E1476" s="9" t="str">
        <f>+HYPERLINK("http://trademark.i-assist.jp/data/china/image_1904th/79591522.pdf", "79591522")</f>
        <v>79591522</v>
      </c>
      <c r="F1476" s="11" t="s">
        <v>4254</v>
      </c>
      <c r="G1476" s="11" t="s">
        <v>4255</v>
      </c>
      <c r="H1476" s="11" t="s">
        <v>4256</v>
      </c>
      <c r="I1476" s="11" t="s">
        <v>4047</v>
      </c>
    </row>
    <row r="1477" spans="1:9" x14ac:dyDescent="0.15">
      <c r="A1477" s="10">
        <v>1476</v>
      </c>
      <c r="B1477" s="11" t="s">
        <v>9</v>
      </c>
      <c r="C1477" s="11" t="s">
        <v>170</v>
      </c>
      <c r="D1477" s="11" t="s">
        <v>171</v>
      </c>
      <c r="E1477" s="9" t="str">
        <f>+HYPERLINK("http://trademark.i-assist.jp/data/china/image_1904th/79591847.pdf", "79591847")</f>
        <v>79591847</v>
      </c>
      <c r="F1477" s="11" t="s">
        <v>4257</v>
      </c>
      <c r="G1477" s="11" t="s">
        <v>4223</v>
      </c>
      <c r="H1477" s="11" t="s">
        <v>4258</v>
      </c>
      <c r="I1477" s="11" t="s">
        <v>4047</v>
      </c>
    </row>
    <row r="1478" spans="1:9" x14ac:dyDescent="0.15">
      <c r="A1478" s="10">
        <v>1477</v>
      </c>
      <c r="B1478" s="11" t="s">
        <v>9</v>
      </c>
      <c r="C1478" s="11" t="s">
        <v>170</v>
      </c>
      <c r="D1478" s="11" t="s">
        <v>171</v>
      </c>
      <c r="E1478" s="9" t="str">
        <f>+HYPERLINK("http://trademark.i-assist.jp/data/china/image_1904th/79591989.pdf", "79591989")</f>
        <v>79591989</v>
      </c>
      <c r="F1478" s="11" t="s">
        <v>4259</v>
      </c>
      <c r="G1478" s="11" t="s">
        <v>4146</v>
      </c>
      <c r="H1478" s="11" t="s">
        <v>4260</v>
      </c>
      <c r="I1478" s="11" t="s">
        <v>4047</v>
      </c>
    </row>
    <row r="1479" spans="1:9" x14ac:dyDescent="0.15">
      <c r="A1479" s="10">
        <v>1478</v>
      </c>
      <c r="B1479" s="11" t="s">
        <v>9</v>
      </c>
      <c r="C1479" s="11" t="s">
        <v>170</v>
      </c>
      <c r="D1479" s="11" t="s">
        <v>171</v>
      </c>
      <c r="E1479" s="9" t="str">
        <f>+HYPERLINK("http://trademark.i-assist.jp/data/china/image_1904th/79592446.pdf", "79592446")</f>
        <v>79592446</v>
      </c>
      <c r="F1479" s="11" t="s">
        <v>4261</v>
      </c>
      <c r="G1479" s="11" t="s">
        <v>4262</v>
      </c>
      <c r="H1479" s="11" t="s">
        <v>4263</v>
      </c>
      <c r="I1479" s="11" t="s">
        <v>4047</v>
      </c>
    </row>
    <row r="1480" spans="1:9" x14ac:dyDescent="0.15">
      <c r="A1480" s="10">
        <v>1479</v>
      </c>
      <c r="B1480" s="11" t="s">
        <v>9</v>
      </c>
      <c r="C1480" s="11" t="s">
        <v>170</v>
      </c>
      <c r="D1480" s="11" t="s">
        <v>171</v>
      </c>
      <c r="E1480" s="9" t="str">
        <f>+HYPERLINK("http://trademark.i-assist.jp/data/china/image_1904th/79592530.pdf", "79592530")</f>
        <v>79592530</v>
      </c>
      <c r="F1480" s="11" t="s">
        <v>4156</v>
      </c>
      <c r="G1480" s="11" t="s">
        <v>4157</v>
      </c>
      <c r="H1480" s="11" t="s">
        <v>15</v>
      </c>
      <c r="I1480" s="11" t="s">
        <v>4047</v>
      </c>
    </row>
    <row r="1481" spans="1:9" x14ac:dyDescent="0.15">
      <c r="A1481" s="10">
        <v>1480</v>
      </c>
      <c r="B1481" s="11" t="s">
        <v>9</v>
      </c>
      <c r="C1481" s="11" t="s">
        <v>170</v>
      </c>
      <c r="D1481" s="11" t="s">
        <v>171</v>
      </c>
      <c r="E1481" s="9" t="str">
        <f>+HYPERLINK("http://trademark.i-assist.jp/data/china/image_1904th/79592711.pdf", "79592711")</f>
        <v>79592711</v>
      </c>
      <c r="F1481" s="11" t="s">
        <v>4264</v>
      </c>
      <c r="G1481" s="11" t="s">
        <v>4265</v>
      </c>
      <c r="H1481" s="11" t="s">
        <v>4266</v>
      </c>
      <c r="I1481" s="11" t="s">
        <v>4047</v>
      </c>
    </row>
    <row r="1482" spans="1:9" x14ac:dyDescent="0.15">
      <c r="A1482" s="10">
        <v>1481</v>
      </c>
      <c r="B1482" s="11" t="s">
        <v>9</v>
      </c>
      <c r="C1482" s="11" t="s">
        <v>170</v>
      </c>
      <c r="D1482" s="11" t="s">
        <v>171</v>
      </c>
      <c r="E1482" s="9" t="str">
        <f>+HYPERLINK("http://trademark.i-assist.jp/data/china/image_1904th/79592798.pdf", "79592798")</f>
        <v>79592798</v>
      </c>
      <c r="F1482" s="11" t="s">
        <v>4267</v>
      </c>
      <c r="G1482" s="11" t="s">
        <v>4268</v>
      </c>
      <c r="H1482" s="11" t="s">
        <v>4269</v>
      </c>
      <c r="I1482" s="11" t="s">
        <v>4047</v>
      </c>
    </row>
    <row r="1483" spans="1:9" x14ac:dyDescent="0.15">
      <c r="A1483" s="10">
        <v>1482</v>
      </c>
      <c r="B1483" s="11" t="s">
        <v>9</v>
      </c>
      <c r="C1483" s="11" t="s">
        <v>170</v>
      </c>
      <c r="D1483" s="11" t="s">
        <v>171</v>
      </c>
      <c r="E1483" s="9" t="str">
        <f>+HYPERLINK("http://trademark.i-assist.jp/data/china/image_1904th/79592900.pdf", "79592900")</f>
        <v>79592900</v>
      </c>
      <c r="F1483" s="11" t="s">
        <v>4270</v>
      </c>
      <c r="G1483" s="11" t="s">
        <v>4271</v>
      </c>
      <c r="H1483" s="11" t="s">
        <v>4272</v>
      </c>
      <c r="I1483" s="11" t="s">
        <v>4047</v>
      </c>
    </row>
    <row r="1484" spans="1:9" x14ac:dyDescent="0.15">
      <c r="A1484" s="10">
        <v>1483</v>
      </c>
      <c r="B1484" s="11" t="s">
        <v>9</v>
      </c>
      <c r="C1484" s="11" t="s">
        <v>170</v>
      </c>
      <c r="D1484" s="11" t="s">
        <v>171</v>
      </c>
      <c r="E1484" s="9" t="str">
        <f>+HYPERLINK("http://trademark.i-assist.jp/data/china/image_1904th/79593020.pdf", "79593020")</f>
        <v>79593020</v>
      </c>
      <c r="F1484" s="11" t="s">
        <v>4273</v>
      </c>
      <c r="G1484" s="11" t="s">
        <v>4274</v>
      </c>
      <c r="H1484" s="11" t="s">
        <v>4275</v>
      </c>
      <c r="I1484" s="11" t="s">
        <v>4047</v>
      </c>
    </row>
    <row r="1485" spans="1:9" x14ac:dyDescent="0.15">
      <c r="A1485" s="10">
        <v>1484</v>
      </c>
      <c r="B1485" s="11" t="s">
        <v>9</v>
      </c>
      <c r="C1485" s="11" t="s">
        <v>170</v>
      </c>
      <c r="D1485" s="11" t="s">
        <v>171</v>
      </c>
      <c r="E1485" s="9" t="str">
        <f>+HYPERLINK("http://trademark.i-assist.jp/data/china/image_1904th/79593097.pdf", "79593097")</f>
        <v>79593097</v>
      </c>
      <c r="F1485" s="11" t="s">
        <v>4276</v>
      </c>
      <c r="G1485" s="11" t="s">
        <v>4116</v>
      </c>
      <c r="H1485" s="11" t="s">
        <v>4277</v>
      </c>
      <c r="I1485" s="11" t="s">
        <v>4047</v>
      </c>
    </row>
    <row r="1486" spans="1:9" x14ac:dyDescent="0.15">
      <c r="A1486" s="10">
        <v>1485</v>
      </c>
      <c r="B1486" s="11" t="s">
        <v>9</v>
      </c>
      <c r="C1486" s="11" t="s">
        <v>170</v>
      </c>
      <c r="D1486" s="11" t="s">
        <v>171</v>
      </c>
      <c r="E1486" s="9" t="str">
        <f>+HYPERLINK("http://trademark.i-assist.jp/data/china/image_1904th/79593318.pdf", "79593318")</f>
        <v>79593318</v>
      </c>
      <c r="F1486" s="11" t="s">
        <v>4278</v>
      </c>
      <c r="G1486" s="11" t="s">
        <v>4279</v>
      </c>
      <c r="H1486" s="11" t="s">
        <v>4280</v>
      </c>
      <c r="I1486" s="11" t="s">
        <v>4047</v>
      </c>
    </row>
    <row r="1487" spans="1:9" x14ac:dyDescent="0.15">
      <c r="A1487" s="10">
        <v>1486</v>
      </c>
      <c r="B1487" s="11" t="s">
        <v>9</v>
      </c>
      <c r="C1487" s="11" t="s">
        <v>170</v>
      </c>
      <c r="D1487" s="11" t="s">
        <v>171</v>
      </c>
      <c r="E1487" s="9" t="str">
        <f>+HYPERLINK("http://trademark.i-assist.jp/data/china/image_1904th/79593381.pdf", "79593381")</f>
        <v>79593381</v>
      </c>
      <c r="F1487" s="11" t="s">
        <v>4281</v>
      </c>
      <c r="G1487" s="11" t="s">
        <v>4282</v>
      </c>
      <c r="H1487" s="11" t="s">
        <v>4283</v>
      </c>
      <c r="I1487" s="11" t="s">
        <v>4047</v>
      </c>
    </row>
    <row r="1488" spans="1:9" x14ac:dyDescent="0.15">
      <c r="A1488" s="10">
        <v>1487</v>
      </c>
      <c r="B1488" s="11" t="s">
        <v>9</v>
      </c>
      <c r="C1488" s="11" t="s">
        <v>170</v>
      </c>
      <c r="D1488" s="11" t="s">
        <v>171</v>
      </c>
      <c r="E1488" s="9" t="str">
        <f>+HYPERLINK("http://trademark.i-assist.jp/data/china/image_1904th/79593482.pdf", "79593482")</f>
        <v>79593482</v>
      </c>
      <c r="F1488" s="11" t="s">
        <v>4284</v>
      </c>
      <c r="G1488" s="11" t="s">
        <v>4285</v>
      </c>
      <c r="H1488" s="11" t="s">
        <v>4286</v>
      </c>
      <c r="I1488" s="11" t="s">
        <v>4047</v>
      </c>
    </row>
    <row r="1489" spans="1:9" x14ac:dyDescent="0.15">
      <c r="A1489" s="10">
        <v>1488</v>
      </c>
      <c r="B1489" s="11" t="s">
        <v>9</v>
      </c>
      <c r="C1489" s="11" t="s">
        <v>170</v>
      </c>
      <c r="D1489" s="11" t="s">
        <v>171</v>
      </c>
      <c r="E1489" s="9" t="str">
        <f>+HYPERLINK("http://trademark.i-assist.jp/data/china/image_1904th/79593605.pdf", "79593605")</f>
        <v>79593605</v>
      </c>
      <c r="F1489" s="11" t="s">
        <v>12</v>
      </c>
      <c r="G1489" s="11" t="s">
        <v>4287</v>
      </c>
      <c r="H1489" s="11" t="s">
        <v>4288</v>
      </c>
      <c r="I1489" s="11" t="s">
        <v>4047</v>
      </c>
    </row>
    <row r="1490" spans="1:9" x14ac:dyDescent="0.15">
      <c r="A1490" s="10">
        <v>1489</v>
      </c>
      <c r="B1490" s="11" t="s">
        <v>9</v>
      </c>
      <c r="C1490" s="11" t="s">
        <v>170</v>
      </c>
      <c r="D1490" s="11" t="s">
        <v>171</v>
      </c>
      <c r="E1490" s="9" t="str">
        <f>+HYPERLINK("http://trademark.i-assist.jp/data/china/image_1904th/79593789.pdf", "79593789")</f>
        <v>79593789</v>
      </c>
      <c r="F1490" s="11" t="s">
        <v>4289</v>
      </c>
      <c r="G1490" s="11" t="s">
        <v>89</v>
      </c>
      <c r="H1490" s="11" t="s">
        <v>4290</v>
      </c>
      <c r="I1490" s="11" t="s">
        <v>4047</v>
      </c>
    </row>
    <row r="1491" spans="1:9" x14ac:dyDescent="0.15">
      <c r="A1491" s="10">
        <v>1490</v>
      </c>
      <c r="B1491" s="11" t="s">
        <v>9</v>
      </c>
      <c r="C1491" s="11" t="s">
        <v>170</v>
      </c>
      <c r="D1491" s="11" t="s">
        <v>171</v>
      </c>
      <c r="E1491" s="9" t="str">
        <f>+HYPERLINK("http://trademark.i-assist.jp/data/china/image_1904th/79594069.pdf", "79594069")</f>
        <v>79594069</v>
      </c>
      <c r="F1491" s="11" t="s">
        <v>4291</v>
      </c>
      <c r="G1491" s="11" t="s">
        <v>4292</v>
      </c>
      <c r="H1491" s="11" t="s">
        <v>4293</v>
      </c>
      <c r="I1491" s="11" t="s">
        <v>4047</v>
      </c>
    </row>
    <row r="1492" spans="1:9" x14ac:dyDescent="0.15">
      <c r="A1492" s="10">
        <v>1491</v>
      </c>
      <c r="B1492" s="11" t="s">
        <v>9</v>
      </c>
      <c r="C1492" s="11" t="s">
        <v>170</v>
      </c>
      <c r="D1492" s="11" t="s">
        <v>171</v>
      </c>
      <c r="E1492" s="9" t="str">
        <f>+HYPERLINK("http://trademark.i-assist.jp/data/china/image_1904th/79594090.pdf", "79594090")</f>
        <v>79594090</v>
      </c>
      <c r="F1492" s="11" t="s">
        <v>4294</v>
      </c>
      <c r="G1492" s="11" t="s">
        <v>4175</v>
      </c>
      <c r="H1492" s="11" t="s">
        <v>4295</v>
      </c>
      <c r="I1492" s="11" t="s">
        <v>4047</v>
      </c>
    </row>
    <row r="1493" spans="1:9" x14ac:dyDescent="0.15">
      <c r="A1493" s="10">
        <v>1492</v>
      </c>
      <c r="B1493" s="11" t="s">
        <v>9</v>
      </c>
      <c r="C1493" s="11" t="s">
        <v>170</v>
      </c>
      <c r="D1493" s="11" t="s">
        <v>171</v>
      </c>
      <c r="E1493" s="9" t="str">
        <f>+HYPERLINK("http://trademark.i-assist.jp/data/china/image_1904th/79594101.pdf", "79594101")</f>
        <v>79594101</v>
      </c>
      <c r="F1493" s="11" t="s">
        <v>4296</v>
      </c>
      <c r="G1493" s="11" t="s">
        <v>4297</v>
      </c>
      <c r="H1493" s="11" t="s">
        <v>4298</v>
      </c>
      <c r="I1493" s="11" t="s">
        <v>4047</v>
      </c>
    </row>
    <row r="1494" spans="1:9" x14ac:dyDescent="0.15">
      <c r="A1494" s="10">
        <v>1493</v>
      </c>
      <c r="B1494" s="11" t="s">
        <v>9</v>
      </c>
      <c r="C1494" s="11" t="s">
        <v>170</v>
      </c>
      <c r="D1494" s="11" t="s">
        <v>171</v>
      </c>
      <c r="E1494" s="9" t="str">
        <f>+HYPERLINK("http://trademark.i-assist.jp/data/china/image_1904th/79594152.pdf", "79594152")</f>
        <v>79594152</v>
      </c>
      <c r="F1494" s="11" t="s">
        <v>4299</v>
      </c>
      <c r="G1494" s="11" t="s">
        <v>4300</v>
      </c>
      <c r="H1494" s="11" t="s">
        <v>4301</v>
      </c>
      <c r="I1494" s="11" t="s">
        <v>4047</v>
      </c>
    </row>
    <row r="1495" spans="1:9" x14ac:dyDescent="0.15">
      <c r="A1495" s="10">
        <v>1494</v>
      </c>
      <c r="B1495" s="11" t="s">
        <v>9</v>
      </c>
      <c r="C1495" s="11" t="s">
        <v>170</v>
      </c>
      <c r="D1495" s="11" t="s">
        <v>171</v>
      </c>
      <c r="E1495" s="9" t="str">
        <f>+HYPERLINK("http://trademark.i-assist.jp/data/china/image_1904th/79594442.pdf", "79594442")</f>
        <v>79594442</v>
      </c>
      <c r="F1495" s="11" t="s">
        <v>4302</v>
      </c>
      <c r="G1495" s="11" t="s">
        <v>4303</v>
      </c>
      <c r="H1495" s="11" t="s">
        <v>4304</v>
      </c>
      <c r="I1495" s="11" t="s">
        <v>4047</v>
      </c>
    </row>
    <row r="1496" spans="1:9" x14ac:dyDescent="0.15">
      <c r="A1496" s="10">
        <v>1495</v>
      </c>
      <c r="B1496" s="11" t="s">
        <v>9</v>
      </c>
      <c r="C1496" s="11" t="s">
        <v>170</v>
      </c>
      <c r="D1496" s="11" t="s">
        <v>171</v>
      </c>
      <c r="E1496" s="9" t="str">
        <f>+HYPERLINK("http://trademark.i-assist.jp/data/china/image_1904th/79594584.pdf", "79594584")</f>
        <v>79594584</v>
      </c>
      <c r="F1496" s="11" t="s">
        <v>4305</v>
      </c>
      <c r="G1496" s="11" t="s">
        <v>4306</v>
      </c>
      <c r="H1496" s="11" t="s">
        <v>4307</v>
      </c>
      <c r="I1496" s="11" t="s">
        <v>4047</v>
      </c>
    </row>
    <row r="1497" spans="1:9" x14ac:dyDescent="0.15">
      <c r="A1497" s="10">
        <v>1496</v>
      </c>
      <c r="B1497" s="11" t="s">
        <v>9</v>
      </c>
      <c r="C1497" s="11" t="s">
        <v>170</v>
      </c>
      <c r="D1497" s="11" t="s">
        <v>171</v>
      </c>
      <c r="E1497" s="9" t="str">
        <f>+HYPERLINK("http://trademark.i-assist.jp/data/china/image_1904th/79594752.pdf", "79594752")</f>
        <v>79594752</v>
      </c>
      <c r="F1497" s="11" t="s">
        <v>4308</v>
      </c>
      <c r="G1497" s="11" t="s">
        <v>4309</v>
      </c>
      <c r="H1497" s="11" t="s">
        <v>4310</v>
      </c>
      <c r="I1497" s="11" t="s">
        <v>4047</v>
      </c>
    </row>
    <row r="1498" spans="1:9" x14ac:dyDescent="0.15">
      <c r="A1498" s="10">
        <v>1497</v>
      </c>
      <c r="B1498" s="11" t="s">
        <v>9</v>
      </c>
      <c r="C1498" s="11" t="s">
        <v>170</v>
      </c>
      <c r="D1498" s="11" t="s">
        <v>171</v>
      </c>
      <c r="E1498" s="9" t="str">
        <f>+HYPERLINK("http://trademark.i-assist.jp/data/china/image_1904th/79595055.pdf", "79595055")</f>
        <v>79595055</v>
      </c>
      <c r="F1498" s="11" t="s">
        <v>4311</v>
      </c>
      <c r="G1498" s="11" t="s">
        <v>4312</v>
      </c>
      <c r="H1498" s="11" t="s">
        <v>4313</v>
      </c>
      <c r="I1498" s="11" t="s">
        <v>4047</v>
      </c>
    </row>
    <row r="1499" spans="1:9" x14ac:dyDescent="0.15">
      <c r="A1499" s="10">
        <v>1498</v>
      </c>
      <c r="B1499" s="11" t="s">
        <v>9</v>
      </c>
      <c r="C1499" s="11" t="s">
        <v>170</v>
      </c>
      <c r="D1499" s="11" t="s">
        <v>171</v>
      </c>
      <c r="E1499" s="9" t="str">
        <f>+HYPERLINK("http://trademark.i-assist.jp/data/china/image_1904th/79595098.pdf", "79595098")</f>
        <v>79595098</v>
      </c>
      <c r="F1499" s="11" t="s">
        <v>4314</v>
      </c>
      <c r="G1499" s="11" t="s">
        <v>4315</v>
      </c>
      <c r="H1499" s="11" t="s">
        <v>4316</v>
      </c>
      <c r="I1499" s="11" t="s">
        <v>4047</v>
      </c>
    </row>
    <row r="1500" spans="1:9" x14ac:dyDescent="0.15">
      <c r="A1500" s="10">
        <v>1499</v>
      </c>
      <c r="B1500" s="11" t="s">
        <v>9</v>
      </c>
      <c r="C1500" s="11" t="s">
        <v>170</v>
      </c>
      <c r="D1500" s="11" t="s">
        <v>171</v>
      </c>
      <c r="E1500" s="9" t="str">
        <f>+HYPERLINK("http://trademark.i-assist.jp/data/china/image_1904th/79595109.pdf", "79595109")</f>
        <v>79595109</v>
      </c>
      <c r="F1500" s="11" t="s">
        <v>4317</v>
      </c>
      <c r="G1500" s="11" t="s">
        <v>4318</v>
      </c>
      <c r="H1500" s="11" t="s">
        <v>4319</v>
      </c>
      <c r="I1500" s="11" t="s">
        <v>4047</v>
      </c>
    </row>
    <row r="1501" spans="1:9" x14ac:dyDescent="0.15">
      <c r="A1501" s="10">
        <v>1500</v>
      </c>
      <c r="B1501" s="11" t="s">
        <v>9</v>
      </c>
      <c r="C1501" s="11" t="s">
        <v>170</v>
      </c>
      <c r="D1501" s="11" t="s">
        <v>171</v>
      </c>
      <c r="E1501" s="9" t="str">
        <f>+HYPERLINK("http://trademark.i-assist.jp/data/china/image_1904th/79595150.pdf", "79595150")</f>
        <v>79595150</v>
      </c>
      <c r="F1501" s="11" t="s">
        <v>4320</v>
      </c>
      <c r="G1501" s="11" t="s">
        <v>4208</v>
      </c>
      <c r="H1501" s="11" t="s">
        <v>4321</v>
      </c>
      <c r="I1501" s="11" t="s">
        <v>4047</v>
      </c>
    </row>
    <row r="1502" spans="1:9" x14ac:dyDescent="0.15">
      <c r="A1502" s="10">
        <v>1501</v>
      </c>
      <c r="B1502" s="11" t="s">
        <v>9</v>
      </c>
      <c r="C1502" s="11" t="s">
        <v>170</v>
      </c>
      <c r="D1502" s="11" t="s">
        <v>171</v>
      </c>
      <c r="E1502" s="9" t="str">
        <f>+HYPERLINK("http://trademark.i-assist.jp/data/china/image_1904th/79595371.pdf", "79595371")</f>
        <v>79595371</v>
      </c>
      <c r="F1502" s="11" t="s">
        <v>4322</v>
      </c>
      <c r="G1502" s="11" t="s">
        <v>4323</v>
      </c>
      <c r="H1502" s="11" t="s">
        <v>4324</v>
      </c>
      <c r="I1502" s="11" t="s">
        <v>4047</v>
      </c>
    </row>
    <row r="1503" spans="1:9" x14ac:dyDescent="0.15">
      <c r="A1503" s="10">
        <v>1502</v>
      </c>
      <c r="B1503" s="11" t="s">
        <v>9</v>
      </c>
      <c r="C1503" s="11" t="s">
        <v>170</v>
      </c>
      <c r="D1503" s="11" t="s">
        <v>171</v>
      </c>
      <c r="E1503" s="9" t="str">
        <f>+HYPERLINK("http://trademark.i-assist.jp/data/china/image_1904th/79595682.pdf", "79595682")</f>
        <v>79595682</v>
      </c>
      <c r="F1503" s="11" t="s">
        <v>4325</v>
      </c>
      <c r="G1503" s="11" t="s">
        <v>4326</v>
      </c>
      <c r="H1503" s="11" t="s">
        <v>4327</v>
      </c>
      <c r="I1503" s="11" t="s">
        <v>4047</v>
      </c>
    </row>
    <row r="1504" spans="1:9" x14ac:dyDescent="0.15">
      <c r="A1504" s="10">
        <v>1503</v>
      </c>
      <c r="B1504" s="11" t="s">
        <v>9</v>
      </c>
      <c r="C1504" s="11" t="s">
        <v>170</v>
      </c>
      <c r="D1504" s="11" t="s">
        <v>171</v>
      </c>
      <c r="E1504" s="9" t="str">
        <f>+HYPERLINK("http://trademark.i-assist.jp/data/china/image_1904th/79595925.pdf", "79595925")</f>
        <v>79595925</v>
      </c>
      <c r="F1504" s="11" t="s">
        <v>4328</v>
      </c>
      <c r="G1504" s="11" t="s">
        <v>4226</v>
      </c>
      <c r="H1504" s="11" t="s">
        <v>4329</v>
      </c>
      <c r="I1504" s="11" t="s">
        <v>4047</v>
      </c>
    </row>
    <row r="1505" spans="1:9" x14ac:dyDescent="0.15">
      <c r="A1505" s="10">
        <v>1504</v>
      </c>
      <c r="B1505" s="11" t="s">
        <v>9</v>
      </c>
      <c r="C1505" s="11" t="s">
        <v>170</v>
      </c>
      <c r="D1505" s="11" t="s">
        <v>171</v>
      </c>
      <c r="E1505" s="9" t="str">
        <f>+HYPERLINK("http://trademark.i-assist.jp/data/china/image_1904th/79596406.pdf", "79596406")</f>
        <v>79596406</v>
      </c>
      <c r="F1505" s="11" t="s">
        <v>4330</v>
      </c>
      <c r="G1505" s="11" t="s">
        <v>4099</v>
      </c>
      <c r="H1505" s="11" t="s">
        <v>4331</v>
      </c>
      <c r="I1505" s="11" t="s">
        <v>4047</v>
      </c>
    </row>
    <row r="1506" spans="1:9" x14ac:dyDescent="0.15">
      <c r="A1506" s="10">
        <v>1505</v>
      </c>
      <c r="B1506" s="11" t="s">
        <v>9</v>
      </c>
      <c r="C1506" s="11" t="s">
        <v>170</v>
      </c>
      <c r="D1506" s="11" t="s">
        <v>171</v>
      </c>
      <c r="E1506" s="9" t="str">
        <f>+HYPERLINK("http://trademark.i-assist.jp/data/china/image_1904th/79596473.pdf", "79596473")</f>
        <v>79596473</v>
      </c>
      <c r="F1506" s="11" t="s">
        <v>4332</v>
      </c>
      <c r="G1506" s="11" t="s">
        <v>4333</v>
      </c>
      <c r="H1506" s="11" t="s">
        <v>4334</v>
      </c>
      <c r="I1506" s="11" t="s">
        <v>4047</v>
      </c>
    </row>
    <row r="1507" spans="1:9" x14ac:dyDescent="0.15">
      <c r="A1507" s="10">
        <v>1506</v>
      </c>
      <c r="B1507" s="11" t="s">
        <v>9</v>
      </c>
      <c r="C1507" s="11" t="s">
        <v>170</v>
      </c>
      <c r="D1507" s="11" t="s">
        <v>171</v>
      </c>
      <c r="E1507" s="9" t="str">
        <f>+HYPERLINK("http://trademark.i-assist.jp/data/china/image_1904th/79596695.pdf", "79596695")</f>
        <v>79596695</v>
      </c>
      <c r="F1507" s="11" t="s">
        <v>4335</v>
      </c>
      <c r="G1507" s="11" t="s">
        <v>4336</v>
      </c>
      <c r="H1507" s="11" t="s">
        <v>4337</v>
      </c>
      <c r="I1507" s="11" t="s">
        <v>4047</v>
      </c>
    </row>
    <row r="1508" spans="1:9" x14ac:dyDescent="0.15">
      <c r="A1508" s="10">
        <v>1507</v>
      </c>
      <c r="B1508" s="11" t="s">
        <v>9</v>
      </c>
      <c r="C1508" s="11" t="s">
        <v>170</v>
      </c>
      <c r="D1508" s="11" t="s">
        <v>171</v>
      </c>
      <c r="E1508" s="9" t="str">
        <f>+HYPERLINK("http://trademark.i-assist.jp/data/china/image_1904th/79596829.pdf", "79596829")</f>
        <v>79596829</v>
      </c>
      <c r="F1508" s="11" t="s">
        <v>4338</v>
      </c>
      <c r="G1508" s="11" t="s">
        <v>4208</v>
      </c>
      <c r="H1508" s="11" t="s">
        <v>4339</v>
      </c>
      <c r="I1508" s="11" t="s">
        <v>4047</v>
      </c>
    </row>
    <row r="1509" spans="1:9" x14ac:dyDescent="0.15">
      <c r="A1509" s="10">
        <v>1508</v>
      </c>
      <c r="B1509" s="11" t="s">
        <v>9</v>
      </c>
      <c r="C1509" s="11" t="s">
        <v>170</v>
      </c>
      <c r="D1509" s="11" t="s">
        <v>171</v>
      </c>
      <c r="E1509" s="9" t="str">
        <f>+HYPERLINK("http://trademark.i-assist.jp/data/china/image_1904th/79596832.pdf", "79596832")</f>
        <v>79596832</v>
      </c>
      <c r="F1509" s="11" t="s">
        <v>4340</v>
      </c>
      <c r="G1509" s="11" t="s">
        <v>4341</v>
      </c>
      <c r="H1509" s="11" t="s">
        <v>4342</v>
      </c>
      <c r="I1509" s="11" t="s">
        <v>4047</v>
      </c>
    </row>
    <row r="1510" spans="1:9" x14ac:dyDescent="0.15">
      <c r="A1510" s="10">
        <v>1509</v>
      </c>
      <c r="B1510" s="11" t="s">
        <v>9</v>
      </c>
      <c r="C1510" s="11" t="s">
        <v>170</v>
      </c>
      <c r="D1510" s="11" t="s">
        <v>171</v>
      </c>
      <c r="E1510" s="9" t="str">
        <f>+HYPERLINK("http://trademark.i-assist.jp/data/china/image_1904th/79597454.pdf", "79597454")</f>
        <v>79597454</v>
      </c>
      <c r="F1510" s="11" t="s">
        <v>4343</v>
      </c>
      <c r="G1510" s="11" t="s">
        <v>4344</v>
      </c>
      <c r="H1510" s="11" t="s">
        <v>4345</v>
      </c>
      <c r="I1510" s="11" t="s">
        <v>4047</v>
      </c>
    </row>
    <row r="1511" spans="1:9" x14ac:dyDescent="0.15">
      <c r="A1511" s="10">
        <v>1510</v>
      </c>
      <c r="B1511" s="11" t="s">
        <v>9</v>
      </c>
      <c r="C1511" s="11" t="s">
        <v>170</v>
      </c>
      <c r="D1511" s="11" t="s">
        <v>171</v>
      </c>
      <c r="E1511" s="9" t="str">
        <f>+HYPERLINK("http://trademark.i-assist.jp/data/china/image_1904th/79598079.pdf", "79598079")</f>
        <v>79598079</v>
      </c>
      <c r="F1511" s="11" t="s">
        <v>4346</v>
      </c>
      <c r="G1511" s="11" t="s">
        <v>4347</v>
      </c>
      <c r="H1511" s="11" t="s">
        <v>4348</v>
      </c>
      <c r="I1511" s="11" t="s">
        <v>4047</v>
      </c>
    </row>
    <row r="1512" spans="1:9" x14ac:dyDescent="0.15">
      <c r="A1512" s="10">
        <v>1511</v>
      </c>
      <c r="B1512" s="11" t="s">
        <v>9</v>
      </c>
      <c r="C1512" s="11" t="s">
        <v>170</v>
      </c>
      <c r="D1512" s="11" t="s">
        <v>171</v>
      </c>
      <c r="E1512" s="9" t="str">
        <f>+HYPERLINK("http://trademark.i-assist.jp/data/china/image_1904th/79598099.pdf", "79598099")</f>
        <v>79598099</v>
      </c>
      <c r="F1512" s="11" t="s">
        <v>4349</v>
      </c>
      <c r="G1512" s="11" t="s">
        <v>4350</v>
      </c>
      <c r="H1512" s="11" t="s">
        <v>4351</v>
      </c>
      <c r="I1512" s="11" t="s">
        <v>4047</v>
      </c>
    </row>
    <row r="1513" spans="1:9" x14ac:dyDescent="0.15">
      <c r="A1513" s="10">
        <v>1512</v>
      </c>
      <c r="B1513" s="11" t="s">
        <v>9</v>
      </c>
      <c r="C1513" s="11" t="s">
        <v>170</v>
      </c>
      <c r="D1513" s="11" t="s">
        <v>171</v>
      </c>
      <c r="E1513" s="9" t="str">
        <f>+HYPERLINK("http://trademark.i-assist.jp/data/china/image_1904th/79598114.pdf", "79598114")</f>
        <v>79598114</v>
      </c>
      <c r="F1513" s="11" t="s">
        <v>12</v>
      </c>
      <c r="G1513" s="11" t="s">
        <v>4352</v>
      </c>
      <c r="H1513" s="11" t="s">
        <v>4353</v>
      </c>
      <c r="I1513" s="11" t="s">
        <v>4047</v>
      </c>
    </row>
    <row r="1514" spans="1:9" x14ac:dyDescent="0.15">
      <c r="A1514" s="10">
        <v>1513</v>
      </c>
      <c r="B1514" s="11" t="s">
        <v>9</v>
      </c>
      <c r="C1514" s="11" t="s">
        <v>170</v>
      </c>
      <c r="D1514" s="11" t="s">
        <v>171</v>
      </c>
      <c r="E1514" s="9" t="str">
        <f>+HYPERLINK("http://trademark.i-assist.jp/data/china/image_1904th/79598524.pdf", "79598524")</f>
        <v>79598524</v>
      </c>
      <c r="F1514" s="11" t="s">
        <v>4354</v>
      </c>
      <c r="G1514" s="11" t="s">
        <v>4355</v>
      </c>
      <c r="H1514" s="11" t="s">
        <v>4356</v>
      </c>
      <c r="I1514" s="11" t="s">
        <v>4047</v>
      </c>
    </row>
    <row r="1515" spans="1:9" x14ac:dyDescent="0.15">
      <c r="A1515" s="10">
        <v>1514</v>
      </c>
      <c r="B1515" s="11" t="s">
        <v>9</v>
      </c>
      <c r="C1515" s="11" t="s">
        <v>170</v>
      </c>
      <c r="D1515" s="11" t="s">
        <v>171</v>
      </c>
      <c r="E1515" s="9" t="str">
        <f>+HYPERLINK("http://trademark.i-assist.jp/data/china/image_1904th/79598565.pdf", "79598565")</f>
        <v>79598565</v>
      </c>
      <c r="F1515" s="11" t="s">
        <v>4357</v>
      </c>
      <c r="G1515" s="11" t="s">
        <v>4358</v>
      </c>
      <c r="H1515" s="11" t="s">
        <v>4359</v>
      </c>
      <c r="I1515" s="11" t="s">
        <v>4047</v>
      </c>
    </row>
    <row r="1516" spans="1:9" x14ac:dyDescent="0.15">
      <c r="A1516" s="10">
        <v>1515</v>
      </c>
      <c r="B1516" s="11" t="s">
        <v>9</v>
      </c>
      <c r="C1516" s="11" t="s">
        <v>170</v>
      </c>
      <c r="D1516" s="11" t="s">
        <v>171</v>
      </c>
      <c r="E1516" s="9" t="str">
        <f>+HYPERLINK("http://trademark.i-assist.jp/data/china/image_1904th/79598626.pdf", "79598626")</f>
        <v>79598626</v>
      </c>
      <c r="F1516" s="11" t="s">
        <v>4360</v>
      </c>
      <c r="G1516" s="11" t="s">
        <v>4361</v>
      </c>
      <c r="H1516" s="11" t="s">
        <v>18</v>
      </c>
      <c r="I1516" s="11" t="s">
        <v>4047</v>
      </c>
    </row>
    <row r="1517" spans="1:9" x14ac:dyDescent="0.15">
      <c r="A1517" s="10">
        <v>1516</v>
      </c>
      <c r="B1517" s="11" t="s">
        <v>9</v>
      </c>
      <c r="C1517" s="11" t="s">
        <v>170</v>
      </c>
      <c r="D1517" s="11" t="s">
        <v>171</v>
      </c>
      <c r="E1517" s="9" t="str">
        <f>+HYPERLINK("http://trademark.i-assist.jp/data/china/image_1904th/79599049.pdf", "79599049")</f>
        <v>79599049</v>
      </c>
      <c r="F1517" s="11" t="s">
        <v>4362</v>
      </c>
      <c r="G1517" s="11" t="s">
        <v>71</v>
      </c>
      <c r="H1517" s="11" t="s">
        <v>4363</v>
      </c>
      <c r="I1517" s="11" t="s">
        <v>4047</v>
      </c>
    </row>
    <row r="1518" spans="1:9" x14ac:dyDescent="0.15">
      <c r="A1518" s="10">
        <v>1517</v>
      </c>
      <c r="B1518" s="11" t="s">
        <v>9</v>
      </c>
      <c r="C1518" s="11" t="s">
        <v>170</v>
      </c>
      <c r="D1518" s="11" t="s">
        <v>171</v>
      </c>
      <c r="E1518" s="9" t="str">
        <f>+HYPERLINK("http://trademark.i-assist.jp/data/china/image_1904th/79599100.pdf", "79599100")</f>
        <v>79599100</v>
      </c>
      <c r="F1518" s="11" t="s">
        <v>4364</v>
      </c>
      <c r="G1518" s="11" t="s">
        <v>74</v>
      </c>
      <c r="H1518" s="11" t="s">
        <v>4365</v>
      </c>
      <c r="I1518" s="11" t="s">
        <v>4047</v>
      </c>
    </row>
    <row r="1519" spans="1:9" x14ac:dyDescent="0.15">
      <c r="A1519" s="10">
        <v>1518</v>
      </c>
      <c r="B1519" s="11" t="s">
        <v>9</v>
      </c>
      <c r="C1519" s="11" t="s">
        <v>170</v>
      </c>
      <c r="D1519" s="11" t="s">
        <v>171</v>
      </c>
      <c r="E1519" s="9" t="str">
        <f>+HYPERLINK("http://trademark.i-assist.jp/data/china/image_1904th/79599378.pdf", "79599378")</f>
        <v>79599378</v>
      </c>
      <c r="F1519" s="11" t="s">
        <v>4366</v>
      </c>
      <c r="G1519" s="11" t="s">
        <v>4367</v>
      </c>
      <c r="H1519" s="11" t="s">
        <v>4368</v>
      </c>
      <c r="I1519" s="11" t="s">
        <v>4369</v>
      </c>
    </row>
    <row r="1520" spans="1:9" x14ac:dyDescent="0.15">
      <c r="A1520" s="10">
        <v>1519</v>
      </c>
      <c r="B1520" s="11" t="s">
        <v>9</v>
      </c>
      <c r="C1520" s="11" t="s">
        <v>170</v>
      </c>
      <c r="D1520" s="11" t="s">
        <v>171</v>
      </c>
      <c r="E1520" s="9" t="str">
        <f>+HYPERLINK("http://trademark.i-assist.jp/data/china/image_1904th/79599872.pdf", "79599872")</f>
        <v>79599872</v>
      </c>
      <c r="F1520" s="11" t="s">
        <v>4370</v>
      </c>
      <c r="G1520" s="11" t="s">
        <v>4371</v>
      </c>
      <c r="H1520" s="11" t="s">
        <v>4372</v>
      </c>
      <c r="I1520" s="11" t="s">
        <v>4369</v>
      </c>
    </row>
    <row r="1521" spans="1:9" x14ac:dyDescent="0.15">
      <c r="A1521" s="10">
        <v>1520</v>
      </c>
      <c r="B1521" s="11" t="s">
        <v>9</v>
      </c>
      <c r="C1521" s="11" t="s">
        <v>170</v>
      </c>
      <c r="D1521" s="11" t="s">
        <v>171</v>
      </c>
      <c r="E1521" s="9" t="str">
        <f>+HYPERLINK("http://trademark.i-assist.jp/data/china/image_1904th/79600484.pdf", "79600484")</f>
        <v>79600484</v>
      </c>
      <c r="F1521" s="11" t="s">
        <v>4373</v>
      </c>
      <c r="G1521" s="11" t="s">
        <v>4374</v>
      </c>
      <c r="H1521" s="11" t="s">
        <v>4375</v>
      </c>
      <c r="I1521" s="11" t="s">
        <v>4369</v>
      </c>
    </row>
    <row r="1522" spans="1:9" x14ac:dyDescent="0.15">
      <c r="A1522" s="10">
        <v>1521</v>
      </c>
      <c r="B1522" s="11" t="s">
        <v>9</v>
      </c>
      <c r="C1522" s="11" t="s">
        <v>170</v>
      </c>
      <c r="D1522" s="11" t="s">
        <v>171</v>
      </c>
      <c r="E1522" s="9" t="str">
        <f>+HYPERLINK("http://trademark.i-assist.jp/data/china/image_1904th/79600576.pdf", "79600576")</f>
        <v>79600576</v>
      </c>
      <c r="F1522" s="11" t="s">
        <v>4376</v>
      </c>
      <c r="G1522" s="11" t="s">
        <v>4377</v>
      </c>
      <c r="H1522" s="11" t="s">
        <v>4378</v>
      </c>
      <c r="I1522" s="11" t="s">
        <v>4369</v>
      </c>
    </row>
    <row r="1523" spans="1:9" x14ac:dyDescent="0.15">
      <c r="A1523" s="10">
        <v>1522</v>
      </c>
      <c r="B1523" s="11" t="s">
        <v>9</v>
      </c>
      <c r="C1523" s="11" t="s">
        <v>170</v>
      </c>
      <c r="D1523" s="11" t="s">
        <v>171</v>
      </c>
      <c r="E1523" s="9" t="str">
        <f>+HYPERLINK("http://trademark.i-assist.jp/data/china/image_1904th/79600636.pdf", "79600636")</f>
        <v>79600636</v>
      </c>
      <c r="F1523" s="11" t="s">
        <v>4379</v>
      </c>
      <c r="G1523" s="11" t="s">
        <v>4380</v>
      </c>
      <c r="H1523" s="11" t="s">
        <v>4381</v>
      </c>
      <c r="I1523" s="11" t="s">
        <v>4369</v>
      </c>
    </row>
    <row r="1524" spans="1:9" x14ac:dyDescent="0.15">
      <c r="A1524" s="10">
        <v>1523</v>
      </c>
      <c r="B1524" s="11" t="s">
        <v>9</v>
      </c>
      <c r="C1524" s="11" t="s">
        <v>170</v>
      </c>
      <c r="D1524" s="11" t="s">
        <v>171</v>
      </c>
      <c r="E1524" s="9" t="str">
        <f>+HYPERLINK("http://trademark.i-assist.jp/data/china/image_1904th/79600788.pdf", "79600788")</f>
        <v>79600788</v>
      </c>
      <c r="F1524" s="11" t="s">
        <v>4382</v>
      </c>
      <c r="G1524" s="11" t="s">
        <v>72</v>
      </c>
      <c r="H1524" s="11" t="s">
        <v>4383</v>
      </c>
      <c r="I1524" s="11" t="s">
        <v>4369</v>
      </c>
    </row>
    <row r="1525" spans="1:9" x14ac:dyDescent="0.15">
      <c r="A1525" s="10">
        <v>1524</v>
      </c>
      <c r="B1525" s="11" t="s">
        <v>9</v>
      </c>
      <c r="C1525" s="11" t="s">
        <v>170</v>
      </c>
      <c r="D1525" s="11" t="s">
        <v>171</v>
      </c>
      <c r="E1525" s="9" t="str">
        <f>+HYPERLINK("http://trademark.i-assist.jp/data/china/image_1904th/79600929.pdf", "79600929")</f>
        <v>79600929</v>
      </c>
      <c r="F1525" s="11" t="s">
        <v>4384</v>
      </c>
      <c r="G1525" s="11" t="s">
        <v>4385</v>
      </c>
      <c r="H1525" s="11" t="s">
        <v>4386</v>
      </c>
      <c r="I1525" s="11" t="s">
        <v>4369</v>
      </c>
    </row>
    <row r="1526" spans="1:9" x14ac:dyDescent="0.15">
      <c r="A1526" s="10">
        <v>1525</v>
      </c>
      <c r="B1526" s="11" t="s">
        <v>9</v>
      </c>
      <c r="C1526" s="11" t="s">
        <v>170</v>
      </c>
      <c r="D1526" s="11" t="s">
        <v>171</v>
      </c>
      <c r="E1526" s="9" t="str">
        <f>+HYPERLINK("http://trademark.i-assist.jp/data/china/image_1904th/79600951.pdf", "79600951")</f>
        <v>79600951</v>
      </c>
      <c r="F1526" s="11" t="s">
        <v>4387</v>
      </c>
      <c r="G1526" s="11" t="s">
        <v>1182</v>
      </c>
      <c r="H1526" s="11" t="s">
        <v>4388</v>
      </c>
      <c r="I1526" s="11" t="s">
        <v>4369</v>
      </c>
    </row>
    <row r="1527" spans="1:9" x14ac:dyDescent="0.15">
      <c r="A1527" s="10">
        <v>1526</v>
      </c>
      <c r="B1527" s="11" t="s">
        <v>9</v>
      </c>
      <c r="C1527" s="11" t="s">
        <v>170</v>
      </c>
      <c r="D1527" s="11" t="s">
        <v>171</v>
      </c>
      <c r="E1527" s="9" t="str">
        <f>+HYPERLINK("http://trademark.i-assist.jp/data/china/image_1904th/79601051.pdf", "79601051")</f>
        <v>79601051</v>
      </c>
      <c r="F1527" s="11" t="s">
        <v>4389</v>
      </c>
      <c r="G1527" s="11" t="s">
        <v>4390</v>
      </c>
      <c r="H1527" s="11" t="s">
        <v>4391</v>
      </c>
      <c r="I1527" s="11" t="s">
        <v>4369</v>
      </c>
    </row>
    <row r="1528" spans="1:9" x14ac:dyDescent="0.15">
      <c r="A1528" s="10">
        <v>1527</v>
      </c>
      <c r="B1528" s="11" t="s">
        <v>9</v>
      </c>
      <c r="C1528" s="11" t="s">
        <v>170</v>
      </c>
      <c r="D1528" s="11" t="s">
        <v>171</v>
      </c>
      <c r="E1528" s="9" t="str">
        <f>+HYPERLINK("http://trademark.i-assist.jp/data/china/image_1904th/79601507.pdf", "79601507")</f>
        <v>79601507</v>
      </c>
      <c r="F1528" s="11" t="s">
        <v>4392</v>
      </c>
      <c r="G1528" s="11" t="s">
        <v>4393</v>
      </c>
      <c r="H1528" s="11" t="s">
        <v>4394</v>
      </c>
      <c r="I1528" s="11" t="s">
        <v>4369</v>
      </c>
    </row>
    <row r="1529" spans="1:9" x14ac:dyDescent="0.15">
      <c r="A1529" s="10">
        <v>1528</v>
      </c>
      <c r="B1529" s="11" t="s">
        <v>9</v>
      </c>
      <c r="C1529" s="11" t="s">
        <v>170</v>
      </c>
      <c r="D1529" s="11" t="s">
        <v>171</v>
      </c>
      <c r="E1529" s="9" t="str">
        <f>+HYPERLINK("http://trademark.i-assist.jp/data/china/image_1904th/79602148.pdf", "79602148")</f>
        <v>79602148</v>
      </c>
      <c r="F1529" s="11" t="s">
        <v>4395</v>
      </c>
      <c r="G1529" s="11" t="s">
        <v>4396</v>
      </c>
      <c r="H1529" s="11" t="s">
        <v>4397</v>
      </c>
      <c r="I1529" s="11" t="s">
        <v>4369</v>
      </c>
    </row>
    <row r="1530" spans="1:9" x14ac:dyDescent="0.15">
      <c r="A1530" s="10">
        <v>1529</v>
      </c>
      <c r="B1530" s="11" t="s">
        <v>9</v>
      </c>
      <c r="C1530" s="11" t="s">
        <v>170</v>
      </c>
      <c r="D1530" s="11" t="s">
        <v>171</v>
      </c>
      <c r="E1530" s="9" t="str">
        <f>+HYPERLINK("http://trademark.i-assist.jp/data/china/image_1904th/79602166.pdf", "79602166")</f>
        <v>79602166</v>
      </c>
      <c r="F1530" s="11" t="s">
        <v>4398</v>
      </c>
      <c r="G1530" s="11" t="s">
        <v>4399</v>
      </c>
      <c r="H1530" s="11" t="s">
        <v>4400</v>
      </c>
      <c r="I1530" s="11" t="s">
        <v>4369</v>
      </c>
    </row>
    <row r="1531" spans="1:9" x14ac:dyDescent="0.15">
      <c r="A1531" s="10">
        <v>1530</v>
      </c>
      <c r="B1531" s="11" t="s">
        <v>9</v>
      </c>
      <c r="C1531" s="11" t="s">
        <v>170</v>
      </c>
      <c r="D1531" s="11" t="s">
        <v>171</v>
      </c>
      <c r="E1531" s="9" t="str">
        <f>+HYPERLINK("http://trademark.i-assist.jp/data/china/image_1904th/79602433.pdf", "79602433")</f>
        <v>79602433</v>
      </c>
      <c r="F1531" s="11" t="s">
        <v>4401</v>
      </c>
      <c r="G1531" s="11" t="s">
        <v>4402</v>
      </c>
      <c r="H1531" s="11" t="s">
        <v>4403</v>
      </c>
      <c r="I1531" s="11" t="s">
        <v>4369</v>
      </c>
    </row>
    <row r="1532" spans="1:9" x14ac:dyDescent="0.15">
      <c r="A1532" s="10">
        <v>1531</v>
      </c>
      <c r="B1532" s="11" t="s">
        <v>9</v>
      </c>
      <c r="C1532" s="11" t="s">
        <v>170</v>
      </c>
      <c r="D1532" s="11" t="s">
        <v>171</v>
      </c>
      <c r="E1532" s="9" t="str">
        <f>+HYPERLINK("http://trademark.i-assist.jp/data/china/image_1904th/79602469.pdf", "79602469")</f>
        <v>79602469</v>
      </c>
      <c r="F1532" s="11" t="s">
        <v>4404</v>
      </c>
      <c r="G1532" s="11" t="s">
        <v>4405</v>
      </c>
      <c r="H1532" s="11" t="s">
        <v>4406</v>
      </c>
      <c r="I1532" s="11" t="s">
        <v>4369</v>
      </c>
    </row>
    <row r="1533" spans="1:9" x14ac:dyDescent="0.15">
      <c r="A1533" s="10">
        <v>1532</v>
      </c>
      <c r="B1533" s="11" t="s">
        <v>9</v>
      </c>
      <c r="C1533" s="11" t="s">
        <v>170</v>
      </c>
      <c r="D1533" s="11" t="s">
        <v>171</v>
      </c>
      <c r="E1533" s="9" t="str">
        <f>+HYPERLINK("http://trademark.i-assist.jp/data/china/image_1904th/79602688.pdf", "79602688")</f>
        <v>79602688</v>
      </c>
      <c r="F1533" s="11" t="s">
        <v>4407</v>
      </c>
      <c r="G1533" s="11" t="s">
        <v>1981</v>
      </c>
      <c r="H1533" s="11" t="s">
        <v>4408</v>
      </c>
      <c r="I1533" s="11" t="s">
        <v>4369</v>
      </c>
    </row>
    <row r="1534" spans="1:9" x14ac:dyDescent="0.15">
      <c r="A1534" s="10">
        <v>1533</v>
      </c>
      <c r="B1534" s="11" t="s">
        <v>9</v>
      </c>
      <c r="C1534" s="11" t="s">
        <v>170</v>
      </c>
      <c r="D1534" s="11" t="s">
        <v>171</v>
      </c>
      <c r="E1534" s="9" t="str">
        <f>+HYPERLINK("http://trademark.i-assist.jp/data/china/image_1904th/79602848.pdf", "79602848")</f>
        <v>79602848</v>
      </c>
      <c r="F1534" s="11" t="s">
        <v>4409</v>
      </c>
      <c r="G1534" s="11" t="s">
        <v>4410</v>
      </c>
      <c r="H1534" s="11" t="s">
        <v>4411</v>
      </c>
      <c r="I1534" s="11" t="s">
        <v>4369</v>
      </c>
    </row>
    <row r="1535" spans="1:9" x14ac:dyDescent="0.15">
      <c r="A1535" s="10">
        <v>1534</v>
      </c>
      <c r="B1535" s="11" t="s">
        <v>9</v>
      </c>
      <c r="C1535" s="11" t="s">
        <v>170</v>
      </c>
      <c r="D1535" s="11" t="s">
        <v>171</v>
      </c>
      <c r="E1535" s="9" t="str">
        <f>+HYPERLINK("http://trademark.i-assist.jp/data/china/image_1904th/79602871.pdf", "79602871")</f>
        <v>79602871</v>
      </c>
      <c r="F1535" s="11" t="s">
        <v>4412</v>
      </c>
      <c r="G1535" s="11" t="s">
        <v>4413</v>
      </c>
      <c r="H1535" s="11" t="s">
        <v>4414</v>
      </c>
      <c r="I1535" s="11" t="s">
        <v>4369</v>
      </c>
    </row>
    <row r="1536" spans="1:9" x14ac:dyDescent="0.15">
      <c r="A1536" s="10">
        <v>1535</v>
      </c>
      <c r="B1536" s="11" t="s">
        <v>9</v>
      </c>
      <c r="C1536" s="11" t="s">
        <v>170</v>
      </c>
      <c r="D1536" s="11" t="s">
        <v>171</v>
      </c>
      <c r="E1536" s="9" t="str">
        <f>+HYPERLINK("http://trademark.i-assist.jp/data/china/image_1904th/79602932.pdf", "79602932")</f>
        <v>79602932</v>
      </c>
      <c r="F1536" s="11" t="s">
        <v>4415</v>
      </c>
      <c r="G1536" s="11" t="s">
        <v>4416</v>
      </c>
      <c r="H1536" s="11" t="s">
        <v>4417</v>
      </c>
      <c r="I1536" s="11" t="s">
        <v>4369</v>
      </c>
    </row>
    <row r="1537" spans="1:9" x14ac:dyDescent="0.15">
      <c r="A1537" s="10">
        <v>1536</v>
      </c>
      <c r="B1537" s="11" t="s">
        <v>9</v>
      </c>
      <c r="C1537" s="11" t="s">
        <v>170</v>
      </c>
      <c r="D1537" s="11" t="s">
        <v>171</v>
      </c>
      <c r="E1537" s="9" t="str">
        <f>+HYPERLINK("http://trademark.i-assist.jp/data/china/image_1904th/79603247.pdf", "79603247")</f>
        <v>79603247</v>
      </c>
      <c r="F1537" s="11" t="s">
        <v>4418</v>
      </c>
      <c r="G1537" s="11" t="s">
        <v>4419</v>
      </c>
      <c r="H1537" s="11" t="s">
        <v>4420</v>
      </c>
      <c r="I1537" s="11" t="s">
        <v>4369</v>
      </c>
    </row>
    <row r="1538" spans="1:9" x14ac:dyDescent="0.15">
      <c r="A1538" s="10">
        <v>1537</v>
      </c>
      <c r="B1538" s="11" t="s">
        <v>9</v>
      </c>
      <c r="C1538" s="11" t="s">
        <v>170</v>
      </c>
      <c r="D1538" s="11" t="s">
        <v>171</v>
      </c>
      <c r="E1538" s="9" t="str">
        <f>+HYPERLINK("http://trademark.i-assist.jp/data/china/image_1904th/79603551.pdf", "79603551")</f>
        <v>79603551</v>
      </c>
      <c r="F1538" s="11" t="s">
        <v>4421</v>
      </c>
      <c r="G1538" s="11" t="s">
        <v>72</v>
      </c>
      <c r="H1538" s="11" t="s">
        <v>4422</v>
      </c>
      <c r="I1538" s="11" t="s">
        <v>4369</v>
      </c>
    </row>
    <row r="1539" spans="1:9" x14ac:dyDescent="0.15">
      <c r="A1539" s="10">
        <v>1538</v>
      </c>
      <c r="B1539" s="11" t="s">
        <v>9</v>
      </c>
      <c r="C1539" s="11" t="s">
        <v>170</v>
      </c>
      <c r="D1539" s="11" t="s">
        <v>171</v>
      </c>
      <c r="E1539" s="9" t="str">
        <f>+HYPERLINK("http://trademark.i-assist.jp/data/china/image_1904th/79603600.pdf", "79603600")</f>
        <v>79603600</v>
      </c>
      <c r="F1539" s="11" t="s">
        <v>4423</v>
      </c>
      <c r="G1539" s="11" t="s">
        <v>4424</v>
      </c>
      <c r="H1539" s="11" t="s">
        <v>4425</v>
      </c>
      <c r="I1539" s="11" t="s">
        <v>4369</v>
      </c>
    </row>
    <row r="1540" spans="1:9" x14ac:dyDescent="0.15">
      <c r="A1540" s="10">
        <v>1539</v>
      </c>
      <c r="B1540" s="11" t="s">
        <v>9</v>
      </c>
      <c r="C1540" s="11" t="s">
        <v>170</v>
      </c>
      <c r="D1540" s="11" t="s">
        <v>171</v>
      </c>
      <c r="E1540" s="9" t="str">
        <f>+HYPERLINK("http://trademark.i-assist.jp/data/china/image_1904th/79603607.pdf", "79603607")</f>
        <v>79603607</v>
      </c>
      <c r="F1540" s="11" t="s">
        <v>4426</v>
      </c>
      <c r="G1540" s="11" t="s">
        <v>4427</v>
      </c>
      <c r="H1540" s="11" t="s">
        <v>4428</v>
      </c>
      <c r="I1540" s="11" t="s">
        <v>4369</v>
      </c>
    </row>
    <row r="1541" spans="1:9" x14ac:dyDescent="0.15">
      <c r="A1541" s="10">
        <v>1540</v>
      </c>
      <c r="B1541" s="11" t="s">
        <v>9</v>
      </c>
      <c r="C1541" s="11" t="s">
        <v>170</v>
      </c>
      <c r="D1541" s="11" t="s">
        <v>171</v>
      </c>
      <c r="E1541" s="9" t="str">
        <f>+HYPERLINK("http://trademark.i-assist.jp/data/china/image_1904th/79603808.pdf", "79603808")</f>
        <v>79603808</v>
      </c>
      <c r="F1541" s="11" t="s">
        <v>4429</v>
      </c>
      <c r="G1541" s="11" t="s">
        <v>137</v>
      </c>
      <c r="H1541" s="11" t="s">
        <v>4430</v>
      </c>
      <c r="I1541" s="11" t="s">
        <v>4369</v>
      </c>
    </row>
    <row r="1542" spans="1:9" x14ac:dyDescent="0.15">
      <c r="A1542" s="10">
        <v>1541</v>
      </c>
      <c r="B1542" s="11" t="s">
        <v>9</v>
      </c>
      <c r="C1542" s="11" t="s">
        <v>170</v>
      </c>
      <c r="D1542" s="11" t="s">
        <v>171</v>
      </c>
      <c r="E1542" s="9" t="str">
        <f>+HYPERLINK("http://trademark.i-assist.jp/data/china/image_1904th/79603872.pdf", "79603872")</f>
        <v>79603872</v>
      </c>
      <c r="F1542" s="11" t="s">
        <v>4431</v>
      </c>
      <c r="G1542" s="11" t="s">
        <v>4432</v>
      </c>
      <c r="H1542" s="11" t="s">
        <v>4433</v>
      </c>
      <c r="I1542" s="11" t="s">
        <v>4369</v>
      </c>
    </row>
    <row r="1543" spans="1:9" x14ac:dyDescent="0.15">
      <c r="A1543" s="10">
        <v>1542</v>
      </c>
      <c r="B1543" s="11" t="s">
        <v>9</v>
      </c>
      <c r="C1543" s="11" t="s">
        <v>170</v>
      </c>
      <c r="D1543" s="11" t="s">
        <v>171</v>
      </c>
      <c r="E1543" s="9" t="str">
        <f>+HYPERLINK("http://trademark.i-assist.jp/data/china/image_1904th/79604027.pdf", "79604027")</f>
        <v>79604027</v>
      </c>
      <c r="F1543" s="11" t="s">
        <v>12</v>
      </c>
      <c r="G1543" s="11" t="s">
        <v>4434</v>
      </c>
      <c r="H1543" s="11" t="s">
        <v>4435</v>
      </c>
      <c r="I1543" s="11" t="s">
        <v>4369</v>
      </c>
    </row>
    <row r="1544" spans="1:9" x14ac:dyDescent="0.15">
      <c r="A1544" s="10">
        <v>1543</v>
      </c>
      <c r="B1544" s="11" t="s">
        <v>9</v>
      </c>
      <c r="C1544" s="11" t="s">
        <v>170</v>
      </c>
      <c r="D1544" s="11" t="s">
        <v>171</v>
      </c>
      <c r="E1544" s="9" t="str">
        <f>+HYPERLINK("http://trademark.i-assist.jp/data/china/image_1904th/79604625.pdf", "79604625")</f>
        <v>79604625</v>
      </c>
      <c r="F1544" s="11" t="s">
        <v>4436</v>
      </c>
      <c r="G1544" s="11" t="s">
        <v>4437</v>
      </c>
      <c r="H1544" s="11" t="s">
        <v>4438</v>
      </c>
      <c r="I1544" s="11" t="s">
        <v>4369</v>
      </c>
    </row>
    <row r="1545" spans="1:9" x14ac:dyDescent="0.15">
      <c r="A1545" s="10">
        <v>1544</v>
      </c>
      <c r="B1545" s="11" t="s">
        <v>9</v>
      </c>
      <c r="C1545" s="11" t="s">
        <v>170</v>
      </c>
      <c r="D1545" s="11" t="s">
        <v>171</v>
      </c>
      <c r="E1545" s="9" t="str">
        <f>+HYPERLINK("http://trademark.i-assist.jp/data/china/image_1904th/79604662.pdf", "79604662")</f>
        <v>79604662</v>
      </c>
      <c r="F1545" s="11" t="s">
        <v>4439</v>
      </c>
      <c r="G1545" s="11" t="s">
        <v>4440</v>
      </c>
      <c r="H1545" s="11" t="s">
        <v>4441</v>
      </c>
      <c r="I1545" s="11" t="s">
        <v>4369</v>
      </c>
    </row>
    <row r="1546" spans="1:9" x14ac:dyDescent="0.15">
      <c r="A1546" s="10">
        <v>1545</v>
      </c>
      <c r="B1546" s="11" t="s">
        <v>9</v>
      </c>
      <c r="C1546" s="11" t="s">
        <v>170</v>
      </c>
      <c r="D1546" s="11" t="s">
        <v>171</v>
      </c>
      <c r="E1546" s="9" t="str">
        <f>+HYPERLINK("http://trademark.i-assist.jp/data/china/image_1904th/79605033.pdf", "79605033")</f>
        <v>79605033</v>
      </c>
      <c r="F1546" s="11" t="s">
        <v>12</v>
      </c>
      <c r="G1546" s="11" t="s">
        <v>4442</v>
      </c>
      <c r="H1546" s="11" t="s">
        <v>4443</v>
      </c>
      <c r="I1546" s="11" t="s">
        <v>4369</v>
      </c>
    </row>
    <row r="1547" spans="1:9" x14ac:dyDescent="0.15">
      <c r="A1547" s="10">
        <v>1546</v>
      </c>
      <c r="B1547" s="11" t="s">
        <v>9</v>
      </c>
      <c r="C1547" s="11" t="s">
        <v>170</v>
      </c>
      <c r="D1547" s="11" t="s">
        <v>171</v>
      </c>
      <c r="E1547" s="9" t="str">
        <f>+HYPERLINK("http://trademark.i-assist.jp/data/china/image_1904th/79605095.pdf", "79605095")</f>
        <v>79605095</v>
      </c>
      <c r="F1547" s="11" t="s">
        <v>4444</v>
      </c>
      <c r="G1547" s="11" t="s">
        <v>4445</v>
      </c>
      <c r="H1547" s="11" t="s">
        <v>4446</v>
      </c>
      <c r="I1547" s="11" t="s">
        <v>4369</v>
      </c>
    </row>
    <row r="1548" spans="1:9" x14ac:dyDescent="0.15">
      <c r="A1548" s="10">
        <v>1547</v>
      </c>
      <c r="B1548" s="11" t="s">
        <v>9</v>
      </c>
      <c r="C1548" s="11" t="s">
        <v>170</v>
      </c>
      <c r="D1548" s="11" t="s">
        <v>171</v>
      </c>
      <c r="E1548" s="9" t="str">
        <f>+HYPERLINK("http://trademark.i-assist.jp/data/china/image_1904th/79605324.pdf", "79605324")</f>
        <v>79605324</v>
      </c>
      <c r="F1548" s="11" t="s">
        <v>4447</v>
      </c>
      <c r="G1548" s="11" t="s">
        <v>1273</v>
      </c>
      <c r="H1548" s="11" t="s">
        <v>4448</v>
      </c>
      <c r="I1548" s="11" t="s">
        <v>4369</v>
      </c>
    </row>
    <row r="1549" spans="1:9" x14ac:dyDescent="0.15">
      <c r="A1549" s="10">
        <v>1548</v>
      </c>
      <c r="B1549" s="11" t="s">
        <v>9</v>
      </c>
      <c r="C1549" s="11" t="s">
        <v>170</v>
      </c>
      <c r="D1549" s="11" t="s">
        <v>171</v>
      </c>
      <c r="E1549" s="9" t="str">
        <f>+HYPERLINK("http://trademark.i-assist.jp/data/china/image_1904th/79605909.pdf", "79605909")</f>
        <v>79605909</v>
      </c>
      <c r="F1549" s="11" t="s">
        <v>4449</v>
      </c>
      <c r="G1549" s="11" t="s">
        <v>4450</v>
      </c>
      <c r="H1549" s="11" t="s">
        <v>4451</v>
      </c>
      <c r="I1549" s="11" t="s">
        <v>4369</v>
      </c>
    </row>
    <row r="1550" spans="1:9" x14ac:dyDescent="0.15">
      <c r="A1550" s="10">
        <v>1549</v>
      </c>
      <c r="B1550" s="11" t="s">
        <v>9</v>
      </c>
      <c r="C1550" s="11" t="s">
        <v>170</v>
      </c>
      <c r="D1550" s="11" t="s">
        <v>171</v>
      </c>
      <c r="E1550" s="9" t="str">
        <f>+HYPERLINK("http://trademark.i-assist.jp/data/china/image_1904th/79606428.pdf", "79606428")</f>
        <v>79606428</v>
      </c>
      <c r="F1550" s="11" t="s">
        <v>4452</v>
      </c>
      <c r="G1550" s="11" t="s">
        <v>4453</v>
      </c>
      <c r="H1550" s="11" t="s">
        <v>4454</v>
      </c>
      <c r="I1550" s="11" t="s">
        <v>4369</v>
      </c>
    </row>
    <row r="1551" spans="1:9" x14ac:dyDescent="0.15">
      <c r="A1551" s="10">
        <v>1550</v>
      </c>
      <c r="B1551" s="11" t="s">
        <v>9</v>
      </c>
      <c r="C1551" s="11" t="s">
        <v>170</v>
      </c>
      <c r="D1551" s="11" t="s">
        <v>171</v>
      </c>
      <c r="E1551" s="9" t="str">
        <f>+HYPERLINK("http://trademark.i-assist.jp/data/china/image_1904th/79606450.pdf", "79606450")</f>
        <v>79606450</v>
      </c>
      <c r="F1551" s="11" t="s">
        <v>4455</v>
      </c>
      <c r="G1551" s="11" t="s">
        <v>4456</v>
      </c>
      <c r="H1551" s="11" t="s">
        <v>4457</v>
      </c>
      <c r="I1551" s="11" t="s">
        <v>4369</v>
      </c>
    </row>
    <row r="1552" spans="1:9" x14ac:dyDescent="0.15">
      <c r="A1552" s="10">
        <v>1551</v>
      </c>
      <c r="B1552" s="11" t="s">
        <v>9</v>
      </c>
      <c r="C1552" s="11" t="s">
        <v>170</v>
      </c>
      <c r="D1552" s="11" t="s">
        <v>171</v>
      </c>
      <c r="E1552" s="9" t="str">
        <f>+HYPERLINK("http://trademark.i-assist.jp/data/china/image_1904th/79606534.pdf", "79606534")</f>
        <v>79606534</v>
      </c>
      <c r="F1552" s="11" t="s">
        <v>12</v>
      </c>
      <c r="G1552" s="11" t="s">
        <v>4458</v>
      </c>
      <c r="H1552" s="11" t="s">
        <v>4459</v>
      </c>
      <c r="I1552" s="11" t="s">
        <v>4369</v>
      </c>
    </row>
    <row r="1553" spans="1:9" x14ac:dyDescent="0.15">
      <c r="A1553" s="10">
        <v>1552</v>
      </c>
      <c r="B1553" s="11" t="s">
        <v>9</v>
      </c>
      <c r="C1553" s="11" t="s">
        <v>170</v>
      </c>
      <c r="D1553" s="11" t="s">
        <v>171</v>
      </c>
      <c r="E1553" s="9" t="str">
        <f>+HYPERLINK("http://trademark.i-assist.jp/data/china/image_1904th/79606539.pdf", "79606539")</f>
        <v>79606539</v>
      </c>
      <c r="F1553" s="11" t="s">
        <v>12</v>
      </c>
      <c r="G1553" s="11" t="s">
        <v>4460</v>
      </c>
      <c r="H1553" s="11" t="s">
        <v>4461</v>
      </c>
      <c r="I1553" s="11" t="s">
        <v>4369</v>
      </c>
    </row>
    <row r="1554" spans="1:9" x14ac:dyDescent="0.15">
      <c r="A1554" s="10">
        <v>1553</v>
      </c>
      <c r="B1554" s="11" t="s">
        <v>9</v>
      </c>
      <c r="C1554" s="11" t="s">
        <v>170</v>
      </c>
      <c r="D1554" s="11" t="s">
        <v>171</v>
      </c>
      <c r="E1554" s="9" t="str">
        <f>+HYPERLINK("http://trademark.i-assist.jp/data/china/image_1904th/79606825.pdf", "79606825")</f>
        <v>79606825</v>
      </c>
      <c r="F1554" s="11" t="s">
        <v>12</v>
      </c>
      <c r="G1554" s="11" t="s">
        <v>4462</v>
      </c>
      <c r="H1554" s="11" t="s">
        <v>4463</v>
      </c>
      <c r="I1554" s="11" t="s">
        <v>4369</v>
      </c>
    </row>
    <row r="1555" spans="1:9" x14ac:dyDescent="0.15">
      <c r="A1555" s="10">
        <v>1554</v>
      </c>
      <c r="B1555" s="11" t="s">
        <v>9</v>
      </c>
      <c r="C1555" s="11" t="s">
        <v>170</v>
      </c>
      <c r="D1555" s="11" t="s">
        <v>171</v>
      </c>
      <c r="E1555" s="9" t="str">
        <f>+HYPERLINK("http://trademark.i-assist.jp/data/china/image_1904th/79607185.pdf", "79607185")</f>
        <v>79607185</v>
      </c>
      <c r="F1555" s="11" t="s">
        <v>4464</v>
      </c>
      <c r="G1555" s="11" t="s">
        <v>4465</v>
      </c>
      <c r="H1555" s="11" t="s">
        <v>4466</v>
      </c>
      <c r="I1555" s="11" t="s">
        <v>4369</v>
      </c>
    </row>
    <row r="1556" spans="1:9" x14ac:dyDescent="0.15">
      <c r="A1556" s="10">
        <v>1555</v>
      </c>
      <c r="B1556" s="11" t="s">
        <v>9</v>
      </c>
      <c r="C1556" s="11" t="s">
        <v>170</v>
      </c>
      <c r="D1556" s="11" t="s">
        <v>171</v>
      </c>
      <c r="E1556" s="9" t="str">
        <f>+HYPERLINK("http://trademark.i-assist.jp/data/china/image_1904th/79607221.pdf", "79607221")</f>
        <v>79607221</v>
      </c>
      <c r="F1556" s="11" t="s">
        <v>4467</v>
      </c>
      <c r="G1556" s="11" t="s">
        <v>4468</v>
      </c>
      <c r="H1556" s="11" t="s">
        <v>4469</v>
      </c>
      <c r="I1556" s="11" t="s">
        <v>4369</v>
      </c>
    </row>
    <row r="1557" spans="1:9" x14ac:dyDescent="0.15">
      <c r="A1557" s="10">
        <v>1556</v>
      </c>
      <c r="B1557" s="11" t="s">
        <v>9</v>
      </c>
      <c r="C1557" s="11" t="s">
        <v>170</v>
      </c>
      <c r="D1557" s="11" t="s">
        <v>171</v>
      </c>
      <c r="E1557" s="9" t="str">
        <f>+HYPERLINK("http://trademark.i-assist.jp/data/china/image_1904th/79607650.pdf", "79607650")</f>
        <v>79607650</v>
      </c>
      <c r="F1557" s="11" t="s">
        <v>4470</v>
      </c>
      <c r="G1557" s="11" t="s">
        <v>4471</v>
      </c>
      <c r="H1557" s="11" t="s">
        <v>4472</v>
      </c>
      <c r="I1557" s="11" t="s">
        <v>4369</v>
      </c>
    </row>
    <row r="1558" spans="1:9" x14ac:dyDescent="0.15">
      <c r="A1558" s="10">
        <v>1557</v>
      </c>
      <c r="B1558" s="11" t="s">
        <v>9</v>
      </c>
      <c r="C1558" s="11" t="s">
        <v>170</v>
      </c>
      <c r="D1558" s="11" t="s">
        <v>171</v>
      </c>
      <c r="E1558" s="9" t="str">
        <f>+HYPERLINK("http://trademark.i-assist.jp/data/china/image_1904th/79607957.pdf", "79607957")</f>
        <v>79607957</v>
      </c>
      <c r="F1558" s="11" t="s">
        <v>4473</v>
      </c>
      <c r="G1558" s="11" t="s">
        <v>4474</v>
      </c>
      <c r="H1558" s="11" t="s">
        <v>4475</v>
      </c>
      <c r="I1558" s="11" t="s">
        <v>4369</v>
      </c>
    </row>
    <row r="1559" spans="1:9" x14ac:dyDescent="0.15">
      <c r="A1559" s="10">
        <v>1558</v>
      </c>
      <c r="B1559" s="11" t="s">
        <v>9</v>
      </c>
      <c r="C1559" s="11" t="s">
        <v>170</v>
      </c>
      <c r="D1559" s="11" t="s">
        <v>171</v>
      </c>
      <c r="E1559" s="9" t="str">
        <f>+HYPERLINK("http://trademark.i-assist.jp/data/china/image_1904th/79608039.pdf", "79608039")</f>
        <v>79608039</v>
      </c>
      <c r="F1559" s="11" t="s">
        <v>4476</v>
      </c>
      <c r="G1559" s="11" t="s">
        <v>1273</v>
      </c>
      <c r="H1559" s="11" t="s">
        <v>4477</v>
      </c>
      <c r="I1559" s="11" t="s">
        <v>4369</v>
      </c>
    </row>
    <row r="1560" spans="1:9" x14ac:dyDescent="0.15">
      <c r="A1560" s="10">
        <v>1559</v>
      </c>
      <c r="B1560" s="11" t="s">
        <v>9</v>
      </c>
      <c r="C1560" s="11" t="s">
        <v>170</v>
      </c>
      <c r="D1560" s="11" t="s">
        <v>171</v>
      </c>
      <c r="E1560" s="9" t="str">
        <f>+HYPERLINK("http://trademark.i-assist.jp/data/china/image_1904th/79608536.pdf", "79608536")</f>
        <v>79608536</v>
      </c>
      <c r="F1560" s="11" t="s">
        <v>4478</v>
      </c>
      <c r="G1560" s="11" t="s">
        <v>4419</v>
      </c>
      <c r="H1560" s="11" t="s">
        <v>4479</v>
      </c>
      <c r="I1560" s="11" t="s">
        <v>4369</v>
      </c>
    </row>
    <row r="1561" spans="1:9" x14ac:dyDescent="0.15">
      <c r="A1561" s="10">
        <v>1560</v>
      </c>
      <c r="B1561" s="11" t="s">
        <v>9</v>
      </c>
      <c r="C1561" s="11" t="s">
        <v>170</v>
      </c>
      <c r="D1561" s="11" t="s">
        <v>171</v>
      </c>
      <c r="E1561" s="9" t="str">
        <f>+HYPERLINK("http://trademark.i-assist.jp/data/china/image_1904th/79608945.pdf", "79608945")</f>
        <v>79608945</v>
      </c>
      <c r="F1561" s="11" t="s">
        <v>12</v>
      </c>
      <c r="G1561" s="11" t="s">
        <v>4480</v>
      </c>
      <c r="H1561" s="11" t="s">
        <v>4481</v>
      </c>
      <c r="I1561" s="11" t="s">
        <v>4369</v>
      </c>
    </row>
    <row r="1562" spans="1:9" x14ac:dyDescent="0.15">
      <c r="A1562" s="10">
        <v>1561</v>
      </c>
      <c r="B1562" s="11" t="s">
        <v>9</v>
      </c>
      <c r="C1562" s="11" t="s">
        <v>170</v>
      </c>
      <c r="D1562" s="11" t="s">
        <v>171</v>
      </c>
      <c r="E1562" s="9" t="str">
        <f>+HYPERLINK("http://trademark.i-assist.jp/data/china/image_1904th/79609078.pdf", "79609078")</f>
        <v>79609078</v>
      </c>
      <c r="F1562" s="11" t="s">
        <v>4482</v>
      </c>
      <c r="G1562" s="11" t="s">
        <v>4483</v>
      </c>
      <c r="H1562" s="11" t="s">
        <v>4484</v>
      </c>
      <c r="I1562" s="11" t="s">
        <v>4369</v>
      </c>
    </row>
    <row r="1563" spans="1:9" x14ac:dyDescent="0.15">
      <c r="A1563" s="10">
        <v>1562</v>
      </c>
      <c r="B1563" s="11" t="s">
        <v>9</v>
      </c>
      <c r="C1563" s="11" t="s">
        <v>170</v>
      </c>
      <c r="D1563" s="11" t="s">
        <v>171</v>
      </c>
      <c r="E1563" s="9" t="str">
        <f>+HYPERLINK("http://trademark.i-assist.jp/data/china/image_1904th/79609394.pdf", "79609394")</f>
        <v>79609394</v>
      </c>
      <c r="F1563" s="11" t="s">
        <v>4485</v>
      </c>
      <c r="G1563" s="11" t="s">
        <v>1273</v>
      </c>
      <c r="H1563" s="11" t="s">
        <v>4486</v>
      </c>
      <c r="I1563" s="11" t="s">
        <v>4369</v>
      </c>
    </row>
    <row r="1564" spans="1:9" x14ac:dyDescent="0.15">
      <c r="A1564" s="10">
        <v>1563</v>
      </c>
      <c r="B1564" s="11" t="s">
        <v>9</v>
      </c>
      <c r="C1564" s="11" t="s">
        <v>170</v>
      </c>
      <c r="D1564" s="11" t="s">
        <v>171</v>
      </c>
      <c r="E1564" s="9" t="str">
        <f>+HYPERLINK("http://trademark.i-assist.jp/data/china/image_1904th/79609405.pdf", "79609405")</f>
        <v>79609405</v>
      </c>
      <c r="F1564" s="11" t="s">
        <v>4487</v>
      </c>
      <c r="G1564" s="11" t="s">
        <v>1273</v>
      </c>
      <c r="H1564" s="11" t="s">
        <v>4488</v>
      </c>
      <c r="I1564" s="11" t="s">
        <v>4369</v>
      </c>
    </row>
    <row r="1565" spans="1:9" x14ac:dyDescent="0.15">
      <c r="A1565" s="10">
        <v>1564</v>
      </c>
      <c r="B1565" s="11" t="s">
        <v>9</v>
      </c>
      <c r="C1565" s="11" t="s">
        <v>170</v>
      </c>
      <c r="D1565" s="11" t="s">
        <v>171</v>
      </c>
      <c r="E1565" s="9" t="str">
        <f>+HYPERLINK("http://trademark.i-assist.jp/data/china/image_1904th/79611506.pdf", "79611506")</f>
        <v>79611506</v>
      </c>
      <c r="F1565" s="11" t="s">
        <v>4489</v>
      </c>
      <c r="G1565" s="11" t="s">
        <v>4440</v>
      </c>
      <c r="H1565" s="11" t="s">
        <v>4490</v>
      </c>
      <c r="I1565" s="11" t="s">
        <v>4369</v>
      </c>
    </row>
    <row r="1566" spans="1:9" x14ac:dyDescent="0.15">
      <c r="A1566" s="10">
        <v>1565</v>
      </c>
      <c r="B1566" s="11" t="s">
        <v>9</v>
      </c>
      <c r="C1566" s="11" t="s">
        <v>170</v>
      </c>
      <c r="D1566" s="11" t="s">
        <v>171</v>
      </c>
      <c r="E1566" s="9" t="str">
        <f>+HYPERLINK("http://trademark.i-assist.jp/data/china/image_1904th/79611791.pdf", "79611791")</f>
        <v>79611791</v>
      </c>
      <c r="F1566" s="11" t="s">
        <v>4491</v>
      </c>
      <c r="G1566" s="11" t="s">
        <v>4492</v>
      </c>
      <c r="H1566" s="11" t="s">
        <v>4493</v>
      </c>
      <c r="I1566" s="11" t="s">
        <v>4369</v>
      </c>
    </row>
    <row r="1567" spans="1:9" x14ac:dyDescent="0.15">
      <c r="A1567" s="10">
        <v>1566</v>
      </c>
      <c r="B1567" s="11" t="s">
        <v>9</v>
      </c>
      <c r="C1567" s="11" t="s">
        <v>170</v>
      </c>
      <c r="D1567" s="11" t="s">
        <v>171</v>
      </c>
      <c r="E1567" s="9" t="str">
        <f>+HYPERLINK("http://trademark.i-assist.jp/data/china/image_1904th/79612129.pdf", "79612129")</f>
        <v>79612129</v>
      </c>
      <c r="F1567" s="11" t="s">
        <v>4494</v>
      </c>
      <c r="G1567" s="11" t="s">
        <v>1273</v>
      </c>
      <c r="H1567" s="11" t="s">
        <v>4495</v>
      </c>
      <c r="I1567" s="11" t="s">
        <v>4369</v>
      </c>
    </row>
    <row r="1568" spans="1:9" x14ac:dyDescent="0.15">
      <c r="A1568" s="10">
        <v>1567</v>
      </c>
      <c r="B1568" s="11" t="s">
        <v>9</v>
      </c>
      <c r="C1568" s="11" t="s">
        <v>170</v>
      </c>
      <c r="D1568" s="11" t="s">
        <v>171</v>
      </c>
      <c r="E1568" s="9" t="str">
        <f>+HYPERLINK("http://trademark.i-assist.jp/data/china/image_1904th/79612262.pdf", "79612262")</f>
        <v>79612262</v>
      </c>
      <c r="F1568" s="11" t="s">
        <v>4496</v>
      </c>
      <c r="G1568" s="11" t="s">
        <v>4497</v>
      </c>
      <c r="H1568" s="11" t="s">
        <v>4498</v>
      </c>
      <c r="I1568" s="11" t="s">
        <v>4369</v>
      </c>
    </row>
    <row r="1569" spans="1:9" x14ac:dyDescent="0.15">
      <c r="A1569" s="10">
        <v>1568</v>
      </c>
      <c r="B1569" s="11" t="s">
        <v>9</v>
      </c>
      <c r="C1569" s="11" t="s">
        <v>170</v>
      </c>
      <c r="D1569" s="11" t="s">
        <v>171</v>
      </c>
      <c r="E1569" s="9" t="str">
        <f>+HYPERLINK("http://trademark.i-assist.jp/data/china/image_1904th/79612385.pdf", "79612385")</f>
        <v>79612385</v>
      </c>
      <c r="F1569" s="11" t="s">
        <v>4499</v>
      </c>
      <c r="G1569" s="11" t="s">
        <v>4500</v>
      </c>
      <c r="H1569" s="11" t="s">
        <v>4501</v>
      </c>
      <c r="I1569" s="11" t="s">
        <v>4369</v>
      </c>
    </row>
    <row r="1570" spans="1:9" x14ac:dyDescent="0.15">
      <c r="A1570" s="10">
        <v>1569</v>
      </c>
      <c r="B1570" s="11" t="s">
        <v>9</v>
      </c>
      <c r="C1570" s="11" t="s">
        <v>170</v>
      </c>
      <c r="D1570" s="11" t="s">
        <v>171</v>
      </c>
      <c r="E1570" s="9" t="str">
        <f>+HYPERLINK("http://trademark.i-assist.jp/data/china/image_1904th/79612744.pdf", "79612744")</f>
        <v>79612744</v>
      </c>
      <c r="F1570" s="11" t="s">
        <v>4502</v>
      </c>
      <c r="G1570" s="11" t="s">
        <v>4503</v>
      </c>
      <c r="H1570" s="11" t="s">
        <v>4504</v>
      </c>
      <c r="I1570" s="11" t="s">
        <v>4369</v>
      </c>
    </row>
    <row r="1571" spans="1:9" x14ac:dyDescent="0.15">
      <c r="A1571" s="10">
        <v>1570</v>
      </c>
      <c r="B1571" s="11" t="s">
        <v>9</v>
      </c>
      <c r="C1571" s="11" t="s">
        <v>170</v>
      </c>
      <c r="D1571" s="11" t="s">
        <v>171</v>
      </c>
      <c r="E1571" s="9" t="str">
        <f>+HYPERLINK("http://trademark.i-assist.jp/data/china/image_1904th/79612813.pdf", "79612813")</f>
        <v>79612813</v>
      </c>
      <c r="F1571" s="11" t="s">
        <v>4505</v>
      </c>
      <c r="G1571" s="11" t="s">
        <v>4506</v>
      </c>
      <c r="H1571" s="11" t="s">
        <v>4507</v>
      </c>
      <c r="I1571" s="11" t="s">
        <v>4369</v>
      </c>
    </row>
    <row r="1572" spans="1:9" x14ac:dyDescent="0.15">
      <c r="A1572" s="10">
        <v>1571</v>
      </c>
      <c r="B1572" s="11" t="s">
        <v>9</v>
      </c>
      <c r="C1572" s="11" t="s">
        <v>170</v>
      </c>
      <c r="D1572" s="11" t="s">
        <v>171</v>
      </c>
      <c r="E1572" s="9" t="str">
        <f>+HYPERLINK("http://trademark.i-assist.jp/data/china/image_1904th/79613083.pdf", "79613083")</f>
        <v>79613083</v>
      </c>
      <c r="F1572" s="11" t="s">
        <v>4508</v>
      </c>
      <c r="G1572" s="11" t="s">
        <v>1273</v>
      </c>
      <c r="H1572" s="11" t="s">
        <v>4509</v>
      </c>
      <c r="I1572" s="11" t="s">
        <v>4369</v>
      </c>
    </row>
    <row r="1573" spans="1:9" x14ac:dyDescent="0.15">
      <c r="A1573" s="10">
        <v>1572</v>
      </c>
      <c r="B1573" s="11" t="s">
        <v>9</v>
      </c>
      <c r="C1573" s="11" t="s">
        <v>170</v>
      </c>
      <c r="D1573" s="11" t="s">
        <v>171</v>
      </c>
      <c r="E1573" s="9" t="str">
        <f>+HYPERLINK("http://trademark.i-assist.jp/data/china/image_1904th/79613117.pdf", "79613117")</f>
        <v>79613117</v>
      </c>
      <c r="F1573" s="11" t="s">
        <v>4510</v>
      </c>
      <c r="G1573" s="11" t="s">
        <v>4511</v>
      </c>
      <c r="H1573" s="11" t="s">
        <v>4512</v>
      </c>
      <c r="I1573" s="11" t="s">
        <v>4369</v>
      </c>
    </row>
    <row r="1574" spans="1:9" x14ac:dyDescent="0.15">
      <c r="A1574" s="10">
        <v>1573</v>
      </c>
      <c r="B1574" s="11" t="s">
        <v>9</v>
      </c>
      <c r="C1574" s="11" t="s">
        <v>170</v>
      </c>
      <c r="D1574" s="11" t="s">
        <v>171</v>
      </c>
      <c r="E1574" s="9" t="str">
        <f>+HYPERLINK("http://trademark.i-assist.jp/data/china/image_1904th/79614068.pdf", "79614068")</f>
        <v>79614068</v>
      </c>
      <c r="F1574" s="11" t="s">
        <v>12</v>
      </c>
      <c r="G1574" s="11" t="s">
        <v>4513</v>
      </c>
      <c r="H1574" s="11" t="s">
        <v>4514</v>
      </c>
      <c r="I1574" s="11" t="s">
        <v>4369</v>
      </c>
    </row>
    <row r="1575" spans="1:9" x14ac:dyDescent="0.15">
      <c r="A1575" s="10">
        <v>1574</v>
      </c>
      <c r="B1575" s="11" t="s">
        <v>9</v>
      </c>
      <c r="C1575" s="11" t="s">
        <v>170</v>
      </c>
      <c r="D1575" s="11" t="s">
        <v>171</v>
      </c>
      <c r="E1575" s="9" t="str">
        <f>+HYPERLINK("http://trademark.i-assist.jp/data/china/image_1904th/79614382.pdf", "79614382")</f>
        <v>79614382</v>
      </c>
      <c r="F1575" s="11" t="s">
        <v>4515</v>
      </c>
      <c r="G1575" s="11" t="s">
        <v>4516</v>
      </c>
      <c r="H1575" s="11" t="s">
        <v>4517</v>
      </c>
      <c r="I1575" s="11" t="s">
        <v>4369</v>
      </c>
    </row>
    <row r="1576" spans="1:9" x14ac:dyDescent="0.15">
      <c r="A1576" s="10">
        <v>1575</v>
      </c>
      <c r="B1576" s="11" t="s">
        <v>9</v>
      </c>
      <c r="C1576" s="11" t="s">
        <v>170</v>
      </c>
      <c r="D1576" s="11" t="s">
        <v>171</v>
      </c>
      <c r="E1576" s="9" t="str">
        <f>+HYPERLINK("http://trademark.i-assist.jp/data/china/image_1904th/79614625.pdf", "79614625")</f>
        <v>79614625</v>
      </c>
      <c r="F1576" s="11" t="s">
        <v>4518</v>
      </c>
      <c r="G1576" s="11" t="s">
        <v>4519</v>
      </c>
      <c r="H1576" s="11" t="s">
        <v>4520</v>
      </c>
      <c r="I1576" s="11" t="s">
        <v>4369</v>
      </c>
    </row>
    <row r="1577" spans="1:9" x14ac:dyDescent="0.15">
      <c r="A1577" s="10">
        <v>1576</v>
      </c>
      <c r="B1577" s="11" t="s">
        <v>9</v>
      </c>
      <c r="C1577" s="11" t="s">
        <v>170</v>
      </c>
      <c r="D1577" s="11" t="s">
        <v>171</v>
      </c>
      <c r="E1577" s="9" t="str">
        <f>+HYPERLINK("http://trademark.i-assist.jp/data/china/image_1904th/79615106.pdf", "79615106")</f>
        <v>79615106</v>
      </c>
      <c r="F1577" s="11" t="s">
        <v>4521</v>
      </c>
      <c r="G1577" s="11" t="s">
        <v>123</v>
      </c>
      <c r="H1577" s="11" t="s">
        <v>4522</v>
      </c>
      <c r="I1577" s="11" t="s">
        <v>4369</v>
      </c>
    </row>
    <row r="1578" spans="1:9" x14ac:dyDescent="0.15">
      <c r="A1578" s="10">
        <v>1577</v>
      </c>
      <c r="B1578" s="11" t="s">
        <v>9</v>
      </c>
      <c r="C1578" s="11" t="s">
        <v>170</v>
      </c>
      <c r="D1578" s="11" t="s">
        <v>171</v>
      </c>
      <c r="E1578" s="9" t="str">
        <f>+HYPERLINK("http://trademark.i-assist.jp/data/china/image_1904th/79615289.pdf", "79615289")</f>
        <v>79615289</v>
      </c>
      <c r="F1578" s="11" t="s">
        <v>4523</v>
      </c>
      <c r="G1578" s="11" t="s">
        <v>4416</v>
      </c>
      <c r="H1578" s="11" t="s">
        <v>4524</v>
      </c>
      <c r="I1578" s="11" t="s">
        <v>4369</v>
      </c>
    </row>
    <row r="1579" spans="1:9" x14ac:dyDescent="0.15">
      <c r="A1579" s="10">
        <v>1578</v>
      </c>
      <c r="B1579" s="11" t="s">
        <v>9</v>
      </c>
      <c r="C1579" s="11" t="s">
        <v>170</v>
      </c>
      <c r="D1579" s="11" t="s">
        <v>171</v>
      </c>
      <c r="E1579" s="9" t="str">
        <f>+HYPERLINK("http://trademark.i-assist.jp/data/china/image_1904th/79615697.pdf", "79615697")</f>
        <v>79615697</v>
      </c>
      <c r="F1579" s="11" t="s">
        <v>12</v>
      </c>
      <c r="G1579" s="11" t="s">
        <v>4525</v>
      </c>
      <c r="H1579" s="11" t="s">
        <v>4526</v>
      </c>
      <c r="I1579" s="11" t="s">
        <v>4369</v>
      </c>
    </row>
    <row r="1580" spans="1:9" x14ac:dyDescent="0.15">
      <c r="A1580" s="10">
        <v>1579</v>
      </c>
      <c r="B1580" s="11" t="s">
        <v>9</v>
      </c>
      <c r="C1580" s="11" t="s">
        <v>170</v>
      </c>
      <c r="D1580" s="11" t="s">
        <v>171</v>
      </c>
      <c r="E1580" s="9" t="str">
        <f>+HYPERLINK("http://trademark.i-assist.jp/data/china/image_1904th/79615734.pdf", "79615734")</f>
        <v>79615734</v>
      </c>
      <c r="F1580" s="11" t="s">
        <v>4527</v>
      </c>
      <c r="G1580" s="11" t="s">
        <v>4528</v>
      </c>
      <c r="H1580" s="11" t="s">
        <v>4529</v>
      </c>
      <c r="I1580" s="11" t="s">
        <v>4369</v>
      </c>
    </row>
    <row r="1581" spans="1:9" x14ac:dyDescent="0.15">
      <c r="A1581" s="10">
        <v>1580</v>
      </c>
      <c r="B1581" s="11" t="s">
        <v>9</v>
      </c>
      <c r="C1581" s="11" t="s">
        <v>170</v>
      </c>
      <c r="D1581" s="11" t="s">
        <v>171</v>
      </c>
      <c r="E1581" s="9" t="str">
        <f>+HYPERLINK("http://trademark.i-assist.jp/data/china/image_1904th/79615795.pdf", "79615795")</f>
        <v>79615795</v>
      </c>
      <c r="F1581" s="11" t="s">
        <v>4530</v>
      </c>
      <c r="G1581" s="11" t="s">
        <v>4465</v>
      </c>
      <c r="H1581" s="11" t="s">
        <v>4531</v>
      </c>
      <c r="I1581" s="11" t="s">
        <v>4369</v>
      </c>
    </row>
    <row r="1582" spans="1:9" x14ac:dyDescent="0.15">
      <c r="A1582" s="10">
        <v>1581</v>
      </c>
      <c r="B1582" s="11" t="s">
        <v>9</v>
      </c>
      <c r="C1582" s="11" t="s">
        <v>170</v>
      </c>
      <c r="D1582" s="11" t="s">
        <v>171</v>
      </c>
      <c r="E1582" s="9" t="str">
        <f>+HYPERLINK("http://trademark.i-assist.jp/data/china/image_1904th/79616165.pdf", "79616165")</f>
        <v>79616165</v>
      </c>
      <c r="F1582" s="11" t="s">
        <v>4532</v>
      </c>
      <c r="G1582" s="11" t="s">
        <v>139</v>
      </c>
      <c r="H1582" s="11" t="s">
        <v>4533</v>
      </c>
      <c r="I1582" s="11" t="s">
        <v>4369</v>
      </c>
    </row>
    <row r="1583" spans="1:9" x14ac:dyDescent="0.15">
      <c r="A1583" s="10">
        <v>1582</v>
      </c>
      <c r="B1583" s="11" t="s">
        <v>9</v>
      </c>
      <c r="C1583" s="11" t="s">
        <v>170</v>
      </c>
      <c r="D1583" s="11" t="s">
        <v>171</v>
      </c>
      <c r="E1583" s="9" t="str">
        <f>+HYPERLINK("http://trademark.i-assist.jp/data/china/image_1904th/79616402.pdf", "79616402")</f>
        <v>79616402</v>
      </c>
      <c r="F1583" s="11" t="s">
        <v>4534</v>
      </c>
      <c r="G1583" s="11" t="s">
        <v>4535</v>
      </c>
      <c r="H1583" s="11" t="s">
        <v>4536</v>
      </c>
      <c r="I1583" s="11" t="s">
        <v>4369</v>
      </c>
    </row>
    <row r="1584" spans="1:9" x14ac:dyDescent="0.15">
      <c r="A1584" s="10">
        <v>1583</v>
      </c>
      <c r="B1584" s="11" t="s">
        <v>9</v>
      </c>
      <c r="C1584" s="11" t="s">
        <v>170</v>
      </c>
      <c r="D1584" s="11" t="s">
        <v>171</v>
      </c>
      <c r="E1584" s="9" t="str">
        <f>+HYPERLINK("http://trademark.i-assist.jp/data/china/image_1904th/79616574.pdf", "79616574")</f>
        <v>79616574</v>
      </c>
      <c r="F1584" s="11" t="s">
        <v>4537</v>
      </c>
      <c r="G1584" s="11" t="s">
        <v>2658</v>
      </c>
      <c r="H1584" s="11" t="s">
        <v>4538</v>
      </c>
      <c r="I1584" s="11" t="s">
        <v>4369</v>
      </c>
    </row>
    <row r="1585" spans="1:9" x14ac:dyDescent="0.15">
      <c r="A1585" s="10">
        <v>1584</v>
      </c>
      <c r="B1585" s="11" t="s">
        <v>9</v>
      </c>
      <c r="C1585" s="11" t="s">
        <v>170</v>
      </c>
      <c r="D1585" s="11" t="s">
        <v>171</v>
      </c>
      <c r="E1585" s="9" t="str">
        <f>+HYPERLINK("http://trademark.i-assist.jp/data/china/image_1904th/79616592.pdf", "79616592")</f>
        <v>79616592</v>
      </c>
      <c r="F1585" s="11" t="s">
        <v>4539</v>
      </c>
      <c r="G1585" s="11" t="s">
        <v>4540</v>
      </c>
      <c r="H1585" s="11" t="s">
        <v>4541</v>
      </c>
      <c r="I1585" s="11" t="s">
        <v>4369</v>
      </c>
    </row>
    <row r="1586" spans="1:9" x14ac:dyDescent="0.15">
      <c r="A1586" s="10">
        <v>1585</v>
      </c>
      <c r="B1586" s="11" t="s">
        <v>9</v>
      </c>
      <c r="C1586" s="11" t="s">
        <v>170</v>
      </c>
      <c r="D1586" s="11" t="s">
        <v>171</v>
      </c>
      <c r="E1586" s="9" t="str">
        <f>+HYPERLINK("http://trademark.i-assist.jp/data/china/image_1904th/79616818.pdf", "79616818")</f>
        <v>79616818</v>
      </c>
      <c r="F1586" s="11" t="s">
        <v>4542</v>
      </c>
      <c r="G1586" s="11" t="s">
        <v>1273</v>
      </c>
      <c r="H1586" s="11" t="s">
        <v>4543</v>
      </c>
      <c r="I1586" s="11" t="s">
        <v>4369</v>
      </c>
    </row>
    <row r="1587" spans="1:9" x14ac:dyDescent="0.15">
      <c r="A1587" s="10">
        <v>1586</v>
      </c>
      <c r="B1587" s="11" t="s">
        <v>9</v>
      </c>
      <c r="C1587" s="11" t="s">
        <v>170</v>
      </c>
      <c r="D1587" s="11" t="s">
        <v>171</v>
      </c>
      <c r="E1587" s="9" t="str">
        <f>+HYPERLINK("http://trademark.i-assist.jp/data/china/image_1904th/79617295.pdf", "79617295")</f>
        <v>79617295</v>
      </c>
      <c r="F1587" s="11" t="s">
        <v>4544</v>
      </c>
      <c r="G1587" s="11" t="s">
        <v>4545</v>
      </c>
      <c r="H1587" s="11" t="s">
        <v>4546</v>
      </c>
      <c r="I1587" s="11" t="s">
        <v>4369</v>
      </c>
    </row>
    <row r="1588" spans="1:9" x14ac:dyDescent="0.15">
      <c r="A1588" s="10">
        <v>1587</v>
      </c>
      <c r="B1588" s="11" t="s">
        <v>9</v>
      </c>
      <c r="C1588" s="11" t="s">
        <v>170</v>
      </c>
      <c r="D1588" s="11" t="s">
        <v>171</v>
      </c>
      <c r="E1588" s="9" t="str">
        <f>+HYPERLINK("http://trademark.i-assist.jp/data/china/image_1904th/79618327.pdf", "79618327")</f>
        <v>79618327</v>
      </c>
      <c r="F1588" s="11" t="s">
        <v>4547</v>
      </c>
      <c r="G1588" s="11" t="s">
        <v>4402</v>
      </c>
      <c r="H1588" s="11" t="s">
        <v>4548</v>
      </c>
      <c r="I1588" s="11" t="s">
        <v>4369</v>
      </c>
    </row>
    <row r="1589" spans="1:9" x14ac:dyDescent="0.15">
      <c r="A1589" s="10">
        <v>1588</v>
      </c>
      <c r="B1589" s="11" t="s">
        <v>9</v>
      </c>
      <c r="C1589" s="11" t="s">
        <v>170</v>
      </c>
      <c r="D1589" s="11" t="s">
        <v>171</v>
      </c>
      <c r="E1589" s="9" t="str">
        <f>+HYPERLINK("http://trademark.i-assist.jp/data/china/image_1904th/79618333.pdf", "79618333")</f>
        <v>79618333</v>
      </c>
      <c r="F1589" s="11" t="s">
        <v>4549</v>
      </c>
      <c r="G1589" s="11" t="s">
        <v>4550</v>
      </c>
      <c r="H1589" s="11" t="s">
        <v>4551</v>
      </c>
      <c r="I1589" s="11" t="s">
        <v>4369</v>
      </c>
    </row>
    <row r="1590" spans="1:9" x14ac:dyDescent="0.15">
      <c r="A1590" s="10">
        <v>1589</v>
      </c>
      <c r="B1590" s="11" t="s">
        <v>9</v>
      </c>
      <c r="C1590" s="11" t="s">
        <v>170</v>
      </c>
      <c r="D1590" s="11" t="s">
        <v>171</v>
      </c>
      <c r="E1590" s="9" t="str">
        <f>+HYPERLINK("http://trademark.i-assist.jp/data/china/image_1904th/79618382.pdf", "79618382")</f>
        <v>79618382</v>
      </c>
      <c r="F1590" s="11" t="s">
        <v>4552</v>
      </c>
      <c r="G1590" s="11" t="s">
        <v>4553</v>
      </c>
      <c r="H1590" s="11" t="s">
        <v>4554</v>
      </c>
      <c r="I1590" s="11" t="s">
        <v>4369</v>
      </c>
    </row>
    <row r="1591" spans="1:9" x14ac:dyDescent="0.15">
      <c r="A1591" s="10">
        <v>1590</v>
      </c>
      <c r="B1591" s="11" t="s">
        <v>9</v>
      </c>
      <c r="C1591" s="11" t="s">
        <v>170</v>
      </c>
      <c r="D1591" s="11" t="s">
        <v>171</v>
      </c>
      <c r="E1591" s="9" t="str">
        <f>+HYPERLINK("http://trademark.i-assist.jp/data/china/image_1904th/79618889.pdf", "79618889")</f>
        <v>79618889</v>
      </c>
      <c r="F1591" s="11" t="s">
        <v>4555</v>
      </c>
      <c r="G1591" s="11" t="s">
        <v>1273</v>
      </c>
      <c r="H1591" s="11" t="s">
        <v>4556</v>
      </c>
      <c r="I1591" s="11" t="s">
        <v>4369</v>
      </c>
    </row>
    <row r="1592" spans="1:9" x14ac:dyDescent="0.15">
      <c r="A1592" s="10">
        <v>1591</v>
      </c>
      <c r="B1592" s="11" t="s">
        <v>9</v>
      </c>
      <c r="C1592" s="11" t="s">
        <v>170</v>
      </c>
      <c r="D1592" s="11" t="s">
        <v>171</v>
      </c>
      <c r="E1592" s="9" t="str">
        <f>+HYPERLINK("http://trademark.i-assist.jp/data/china/image_1904th/79619070.pdf", "79619070")</f>
        <v>79619070</v>
      </c>
      <c r="F1592" s="11" t="s">
        <v>4557</v>
      </c>
      <c r="G1592" s="11" t="s">
        <v>4558</v>
      </c>
      <c r="H1592" s="11" t="s">
        <v>4559</v>
      </c>
      <c r="I1592" s="11" t="s">
        <v>4369</v>
      </c>
    </row>
    <row r="1593" spans="1:9" x14ac:dyDescent="0.15">
      <c r="A1593" s="10">
        <v>1592</v>
      </c>
      <c r="B1593" s="11" t="s">
        <v>9</v>
      </c>
      <c r="C1593" s="11" t="s">
        <v>170</v>
      </c>
      <c r="D1593" s="11" t="s">
        <v>171</v>
      </c>
      <c r="E1593" s="9" t="str">
        <f>+HYPERLINK("http://trademark.i-assist.jp/data/china/image_1904th/79619111.pdf", "79619111")</f>
        <v>79619111</v>
      </c>
      <c r="F1593" s="11" t="s">
        <v>4560</v>
      </c>
      <c r="G1593" s="11" t="s">
        <v>4561</v>
      </c>
      <c r="H1593" s="11" t="s">
        <v>4562</v>
      </c>
      <c r="I1593" s="11" t="s">
        <v>4369</v>
      </c>
    </row>
    <row r="1594" spans="1:9" x14ac:dyDescent="0.15">
      <c r="A1594" s="10">
        <v>1593</v>
      </c>
      <c r="B1594" s="11" t="s">
        <v>9</v>
      </c>
      <c r="C1594" s="11" t="s">
        <v>170</v>
      </c>
      <c r="D1594" s="11" t="s">
        <v>171</v>
      </c>
      <c r="E1594" s="9" t="str">
        <f>+HYPERLINK("http://trademark.i-assist.jp/data/china/image_1904th/79619192.pdf", "79619192")</f>
        <v>79619192</v>
      </c>
      <c r="F1594" s="11" t="s">
        <v>4563</v>
      </c>
      <c r="G1594" s="11" t="s">
        <v>4564</v>
      </c>
      <c r="H1594" s="11" t="s">
        <v>4565</v>
      </c>
      <c r="I1594" s="11" t="s">
        <v>4369</v>
      </c>
    </row>
    <row r="1595" spans="1:9" x14ac:dyDescent="0.15">
      <c r="A1595" s="10">
        <v>1594</v>
      </c>
      <c r="B1595" s="11" t="s">
        <v>9</v>
      </c>
      <c r="C1595" s="11" t="s">
        <v>170</v>
      </c>
      <c r="D1595" s="11" t="s">
        <v>171</v>
      </c>
      <c r="E1595" s="9" t="str">
        <f>+HYPERLINK("http://trademark.i-assist.jp/data/china/image_1904th/79619868.pdf", "79619868")</f>
        <v>79619868</v>
      </c>
      <c r="F1595" s="11" t="s">
        <v>4566</v>
      </c>
      <c r="G1595" s="11" t="s">
        <v>4437</v>
      </c>
      <c r="H1595" s="11" t="s">
        <v>4567</v>
      </c>
      <c r="I1595" s="11" t="s">
        <v>4369</v>
      </c>
    </row>
    <row r="1596" spans="1:9" x14ac:dyDescent="0.15">
      <c r="A1596" s="10">
        <v>1595</v>
      </c>
      <c r="B1596" s="11" t="s">
        <v>9</v>
      </c>
      <c r="C1596" s="11" t="s">
        <v>170</v>
      </c>
      <c r="D1596" s="11" t="s">
        <v>171</v>
      </c>
      <c r="E1596" s="9" t="str">
        <f>+HYPERLINK("http://trademark.i-assist.jp/data/china/image_1904th/79619881.pdf", "79619881")</f>
        <v>79619881</v>
      </c>
      <c r="F1596" s="11" t="s">
        <v>4568</v>
      </c>
      <c r="G1596" s="11" t="s">
        <v>4437</v>
      </c>
      <c r="H1596" s="11" t="s">
        <v>4569</v>
      </c>
      <c r="I1596" s="11" t="s">
        <v>4369</v>
      </c>
    </row>
    <row r="1597" spans="1:9" x14ac:dyDescent="0.15">
      <c r="A1597" s="10">
        <v>1596</v>
      </c>
      <c r="B1597" s="11" t="s">
        <v>9</v>
      </c>
      <c r="C1597" s="11" t="s">
        <v>170</v>
      </c>
      <c r="D1597" s="11" t="s">
        <v>171</v>
      </c>
      <c r="E1597" s="9" t="str">
        <f>+HYPERLINK("http://trademark.i-assist.jp/data/china/image_1904th/79619887.pdf", "79619887")</f>
        <v>79619887</v>
      </c>
      <c r="F1597" s="11" t="s">
        <v>4570</v>
      </c>
      <c r="G1597" s="11" t="s">
        <v>4440</v>
      </c>
      <c r="H1597" s="11" t="s">
        <v>4571</v>
      </c>
      <c r="I1597" s="11" t="s">
        <v>4369</v>
      </c>
    </row>
    <row r="1598" spans="1:9" x14ac:dyDescent="0.15">
      <c r="A1598" s="10">
        <v>1597</v>
      </c>
      <c r="B1598" s="11" t="s">
        <v>9</v>
      </c>
      <c r="C1598" s="11" t="s">
        <v>170</v>
      </c>
      <c r="D1598" s="11" t="s">
        <v>171</v>
      </c>
      <c r="E1598" s="9" t="str">
        <f>+HYPERLINK("http://trademark.i-assist.jp/data/china/image_1904th/79620311.pdf", "79620311")</f>
        <v>79620311</v>
      </c>
      <c r="F1598" s="11" t="s">
        <v>4572</v>
      </c>
      <c r="G1598" s="11" t="s">
        <v>4573</v>
      </c>
      <c r="H1598" s="11" t="s">
        <v>4574</v>
      </c>
      <c r="I1598" s="11" t="s">
        <v>4369</v>
      </c>
    </row>
    <row r="1599" spans="1:9" x14ac:dyDescent="0.15">
      <c r="A1599" s="10">
        <v>1598</v>
      </c>
      <c r="B1599" s="11" t="s">
        <v>9</v>
      </c>
      <c r="C1599" s="11" t="s">
        <v>170</v>
      </c>
      <c r="D1599" s="11" t="s">
        <v>171</v>
      </c>
      <c r="E1599" s="9" t="str">
        <f>+HYPERLINK("http://trademark.i-assist.jp/data/china/image_1904th/79620357.pdf", "79620357")</f>
        <v>79620357</v>
      </c>
      <c r="F1599" s="11" t="s">
        <v>4575</v>
      </c>
      <c r="G1599" s="11" t="s">
        <v>4576</v>
      </c>
      <c r="H1599" s="11" t="s">
        <v>4577</v>
      </c>
      <c r="I1599" s="11" t="s">
        <v>4369</v>
      </c>
    </row>
    <row r="1600" spans="1:9" x14ac:dyDescent="0.15">
      <c r="A1600" s="10">
        <v>1599</v>
      </c>
      <c r="B1600" s="11" t="s">
        <v>9</v>
      </c>
      <c r="C1600" s="11" t="s">
        <v>170</v>
      </c>
      <c r="D1600" s="11" t="s">
        <v>171</v>
      </c>
      <c r="E1600" s="9" t="str">
        <f>+HYPERLINK("http://trademark.i-assist.jp/data/china/image_1904th/79620667.pdf", "79620667")</f>
        <v>79620667</v>
      </c>
      <c r="F1600" s="11" t="s">
        <v>4578</v>
      </c>
      <c r="G1600" s="11" t="s">
        <v>4579</v>
      </c>
      <c r="H1600" s="11" t="s">
        <v>4580</v>
      </c>
      <c r="I1600" s="11" t="s">
        <v>4369</v>
      </c>
    </row>
    <row r="1601" spans="1:9" x14ac:dyDescent="0.15">
      <c r="A1601" s="10">
        <v>1600</v>
      </c>
      <c r="B1601" s="11" t="s">
        <v>9</v>
      </c>
      <c r="C1601" s="11" t="s">
        <v>170</v>
      </c>
      <c r="D1601" s="11" t="s">
        <v>171</v>
      </c>
      <c r="E1601" s="9" t="str">
        <f>+HYPERLINK("http://trademark.i-assist.jp/data/china/image_1904th/79620833.pdf", "79620833")</f>
        <v>79620833</v>
      </c>
      <c r="F1601" s="11" t="s">
        <v>4581</v>
      </c>
      <c r="G1601" s="11" t="s">
        <v>4582</v>
      </c>
      <c r="H1601" s="11" t="s">
        <v>4583</v>
      </c>
      <c r="I1601" s="11" t="s">
        <v>4369</v>
      </c>
    </row>
    <row r="1602" spans="1:9" x14ac:dyDescent="0.15">
      <c r="A1602" s="10">
        <v>1601</v>
      </c>
      <c r="B1602" s="11" t="s">
        <v>9</v>
      </c>
      <c r="C1602" s="11" t="s">
        <v>170</v>
      </c>
      <c r="D1602" s="11" t="s">
        <v>171</v>
      </c>
      <c r="E1602" s="9" t="str">
        <f>+HYPERLINK("http://trademark.i-assist.jp/data/china/image_1904th/79621192.pdf", "79621192")</f>
        <v>79621192</v>
      </c>
      <c r="F1602" s="11" t="s">
        <v>4584</v>
      </c>
      <c r="G1602" s="11" t="s">
        <v>4585</v>
      </c>
      <c r="H1602" s="11" t="s">
        <v>4586</v>
      </c>
      <c r="I1602" s="11" t="s">
        <v>4369</v>
      </c>
    </row>
    <row r="1603" spans="1:9" x14ac:dyDescent="0.15">
      <c r="A1603" s="10">
        <v>1602</v>
      </c>
      <c r="B1603" s="11" t="s">
        <v>9</v>
      </c>
      <c r="C1603" s="11" t="s">
        <v>170</v>
      </c>
      <c r="D1603" s="11" t="s">
        <v>171</v>
      </c>
      <c r="E1603" s="9" t="str">
        <f>+HYPERLINK("http://trademark.i-assist.jp/data/china/image_1904th/79621327.pdf", "79621327")</f>
        <v>79621327</v>
      </c>
      <c r="F1603" s="11" t="s">
        <v>4587</v>
      </c>
      <c r="G1603" s="11" t="s">
        <v>4460</v>
      </c>
      <c r="H1603" s="11" t="s">
        <v>4588</v>
      </c>
      <c r="I1603" s="11" t="s">
        <v>4369</v>
      </c>
    </row>
    <row r="1604" spans="1:9" x14ac:dyDescent="0.15">
      <c r="A1604" s="10">
        <v>1603</v>
      </c>
      <c r="B1604" s="11" t="s">
        <v>9</v>
      </c>
      <c r="C1604" s="11" t="s">
        <v>170</v>
      </c>
      <c r="D1604" s="11" t="s">
        <v>171</v>
      </c>
      <c r="E1604" s="9" t="str">
        <f>+HYPERLINK("http://trademark.i-assist.jp/data/china/image_1904th/79621424.pdf", "79621424")</f>
        <v>79621424</v>
      </c>
      <c r="F1604" s="11" t="s">
        <v>4589</v>
      </c>
      <c r="G1604" s="11" t="s">
        <v>4590</v>
      </c>
      <c r="H1604" s="11" t="s">
        <v>4591</v>
      </c>
      <c r="I1604" s="11" t="s">
        <v>4369</v>
      </c>
    </row>
    <row r="1605" spans="1:9" x14ac:dyDescent="0.15">
      <c r="A1605" s="10">
        <v>1604</v>
      </c>
      <c r="B1605" s="11" t="s">
        <v>9</v>
      </c>
      <c r="C1605" s="11" t="s">
        <v>170</v>
      </c>
      <c r="D1605" s="11" t="s">
        <v>171</v>
      </c>
      <c r="E1605" s="9" t="str">
        <f>+HYPERLINK("http://trademark.i-assist.jp/data/china/image_1904th/79621986.pdf", "79621986")</f>
        <v>79621986</v>
      </c>
      <c r="F1605" s="11" t="s">
        <v>4592</v>
      </c>
      <c r="G1605" s="11" t="s">
        <v>4593</v>
      </c>
      <c r="H1605" s="11" t="s">
        <v>4594</v>
      </c>
      <c r="I1605" s="11" t="s">
        <v>4369</v>
      </c>
    </row>
    <row r="1606" spans="1:9" x14ac:dyDescent="0.15">
      <c r="A1606" s="10">
        <v>1605</v>
      </c>
      <c r="B1606" s="11" t="s">
        <v>9</v>
      </c>
      <c r="C1606" s="11" t="s">
        <v>170</v>
      </c>
      <c r="D1606" s="11" t="s">
        <v>171</v>
      </c>
      <c r="E1606" s="9" t="str">
        <f>+HYPERLINK("http://trademark.i-assist.jp/data/china/image_1904th/79621997.pdf", "79621997")</f>
        <v>79621997</v>
      </c>
      <c r="F1606" s="11" t="s">
        <v>4595</v>
      </c>
      <c r="G1606" s="11" t="s">
        <v>4596</v>
      </c>
      <c r="H1606" s="11" t="s">
        <v>4597</v>
      </c>
      <c r="I1606" s="11" t="s">
        <v>4369</v>
      </c>
    </row>
    <row r="1607" spans="1:9" x14ac:dyDescent="0.15">
      <c r="A1607" s="10">
        <v>1606</v>
      </c>
      <c r="B1607" s="11" t="s">
        <v>9</v>
      </c>
      <c r="C1607" s="11" t="s">
        <v>170</v>
      </c>
      <c r="D1607" s="11" t="s">
        <v>171</v>
      </c>
      <c r="E1607" s="9" t="str">
        <f>+HYPERLINK("http://trademark.i-assist.jp/data/china/image_1904th/79622846.pdf", "79622846")</f>
        <v>79622846</v>
      </c>
      <c r="F1607" s="11" t="s">
        <v>4598</v>
      </c>
      <c r="G1607" s="11" t="s">
        <v>4599</v>
      </c>
      <c r="H1607" s="11" t="s">
        <v>4600</v>
      </c>
      <c r="I1607" s="11" t="s">
        <v>4601</v>
      </c>
    </row>
    <row r="1608" spans="1:9" x14ac:dyDescent="0.15">
      <c r="A1608" s="10">
        <v>1607</v>
      </c>
      <c r="B1608" s="11" t="s">
        <v>9</v>
      </c>
      <c r="C1608" s="11" t="s">
        <v>170</v>
      </c>
      <c r="D1608" s="11" t="s">
        <v>171</v>
      </c>
      <c r="E1608" s="9" t="str">
        <f>+HYPERLINK("http://trademark.i-assist.jp/data/china/image_1904th/79623035.pdf", "79623035")</f>
        <v>79623035</v>
      </c>
      <c r="F1608" s="11" t="s">
        <v>4602</v>
      </c>
      <c r="G1608" s="11" t="s">
        <v>4603</v>
      </c>
      <c r="H1608" s="11" t="s">
        <v>4604</v>
      </c>
      <c r="I1608" s="11" t="s">
        <v>4601</v>
      </c>
    </row>
    <row r="1609" spans="1:9" x14ac:dyDescent="0.15">
      <c r="A1609" s="10">
        <v>1608</v>
      </c>
      <c r="B1609" s="11" t="s">
        <v>9</v>
      </c>
      <c r="C1609" s="11" t="s">
        <v>170</v>
      </c>
      <c r="D1609" s="11" t="s">
        <v>171</v>
      </c>
      <c r="E1609" s="9" t="str">
        <f>+HYPERLINK("http://trademark.i-assist.jp/data/china/image_1904th/79623039.pdf", "79623039")</f>
        <v>79623039</v>
      </c>
      <c r="F1609" s="11" t="s">
        <v>4605</v>
      </c>
      <c r="G1609" s="11" t="s">
        <v>4606</v>
      </c>
      <c r="H1609" s="11" t="s">
        <v>4607</v>
      </c>
      <c r="I1609" s="11" t="s">
        <v>4601</v>
      </c>
    </row>
    <row r="1610" spans="1:9" x14ac:dyDescent="0.15">
      <c r="A1610" s="10">
        <v>1609</v>
      </c>
      <c r="B1610" s="11" t="s">
        <v>9</v>
      </c>
      <c r="C1610" s="11" t="s">
        <v>170</v>
      </c>
      <c r="D1610" s="11" t="s">
        <v>171</v>
      </c>
      <c r="E1610" s="9" t="str">
        <f>+HYPERLINK("http://trademark.i-assist.jp/data/china/image_1904th/79623207.pdf", "79623207")</f>
        <v>79623207</v>
      </c>
      <c r="F1610" s="11" t="s">
        <v>4608</v>
      </c>
      <c r="G1610" s="11" t="s">
        <v>4609</v>
      </c>
      <c r="H1610" s="11" t="s">
        <v>4610</v>
      </c>
      <c r="I1610" s="11" t="s">
        <v>4601</v>
      </c>
    </row>
    <row r="1611" spans="1:9" x14ac:dyDescent="0.15">
      <c r="A1611" s="10">
        <v>1610</v>
      </c>
      <c r="B1611" s="11" t="s">
        <v>9</v>
      </c>
      <c r="C1611" s="11" t="s">
        <v>170</v>
      </c>
      <c r="D1611" s="11" t="s">
        <v>171</v>
      </c>
      <c r="E1611" s="9" t="str">
        <f>+HYPERLINK("http://trademark.i-assist.jp/data/china/image_1904th/79623333.pdf", "79623333")</f>
        <v>79623333</v>
      </c>
      <c r="F1611" s="11" t="s">
        <v>4611</v>
      </c>
      <c r="G1611" s="11" t="s">
        <v>4612</v>
      </c>
      <c r="H1611" s="11" t="s">
        <v>4613</v>
      </c>
      <c r="I1611" s="11" t="s">
        <v>4601</v>
      </c>
    </row>
    <row r="1612" spans="1:9" x14ac:dyDescent="0.15">
      <c r="A1612" s="10">
        <v>1611</v>
      </c>
      <c r="B1612" s="11" t="s">
        <v>9</v>
      </c>
      <c r="C1612" s="11" t="s">
        <v>170</v>
      </c>
      <c r="D1612" s="11" t="s">
        <v>171</v>
      </c>
      <c r="E1612" s="9" t="str">
        <f>+HYPERLINK("http://trademark.i-assist.jp/data/china/image_1904th/79623443.pdf", "79623443")</f>
        <v>79623443</v>
      </c>
      <c r="F1612" s="11" t="s">
        <v>4614</v>
      </c>
      <c r="G1612" s="11" t="s">
        <v>4615</v>
      </c>
      <c r="H1612" s="11" t="s">
        <v>4616</v>
      </c>
      <c r="I1612" s="11" t="s">
        <v>4601</v>
      </c>
    </row>
    <row r="1613" spans="1:9" x14ac:dyDescent="0.15">
      <c r="A1613" s="10">
        <v>1612</v>
      </c>
      <c r="B1613" s="11" t="s">
        <v>9</v>
      </c>
      <c r="C1613" s="11" t="s">
        <v>170</v>
      </c>
      <c r="D1613" s="11" t="s">
        <v>171</v>
      </c>
      <c r="E1613" s="9" t="str">
        <f>+HYPERLINK("http://trademark.i-assist.jp/data/china/image_1904th/79623652.pdf", "79623652")</f>
        <v>79623652</v>
      </c>
      <c r="F1613" s="11" t="s">
        <v>4617</v>
      </c>
      <c r="G1613" s="11" t="s">
        <v>4618</v>
      </c>
      <c r="H1613" s="11" t="s">
        <v>4619</v>
      </c>
      <c r="I1613" s="11" t="s">
        <v>4601</v>
      </c>
    </row>
    <row r="1614" spans="1:9" x14ac:dyDescent="0.15">
      <c r="A1614" s="10">
        <v>1613</v>
      </c>
      <c r="B1614" s="11" t="s">
        <v>9</v>
      </c>
      <c r="C1614" s="11" t="s">
        <v>170</v>
      </c>
      <c r="D1614" s="11" t="s">
        <v>171</v>
      </c>
      <c r="E1614" s="9" t="str">
        <f>+HYPERLINK("http://trademark.i-assist.jp/data/china/image_1904th/79623761.pdf", "79623761")</f>
        <v>79623761</v>
      </c>
      <c r="F1614" s="11" t="s">
        <v>4620</v>
      </c>
      <c r="G1614" s="11" t="s">
        <v>4621</v>
      </c>
      <c r="H1614" s="11" t="s">
        <v>4622</v>
      </c>
      <c r="I1614" s="11" t="s">
        <v>4601</v>
      </c>
    </row>
    <row r="1615" spans="1:9" x14ac:dyDescent="0.15">
      <c r="A1615" s="10">
        <v>1614</v>
      </c>
      <c r="B1615" s="11" t="s">
        <v>9</v>
      </c>
      <c r="C1615" s="11" t="s">
        <v>170</v>
      </c>
      <c r="D1615" s="11" t="s">
        <v>171</v>
      </c>
      <c r="E1615" s="9" t="str">
        <f>+HYPERLINK("http://trademark.i-assist.jp/data/china/image_1904th/79623944.pdf", "79623944")</f>
        <v>79623944</v>
      </c>
      <c r="F1615" s="11" t="s">
        <v>4623</v>
      </c>
      <c r="G1615" s="11" t="s">
        <v>4624</v>
      </c>
      <c r="H1615" s="11" t="s">
        <v>4625</v>
      </c>
      <c r="I1615" s="11" t="s">
        <v>4601</v>
      </c>
    </row>
    <row r="1616" spans="1:9" x14ac:dyDescent="0.15">
      <c r="A1616" s="10">
        <v>1615</v>
      </c>
      <c r="B1616" s="11" t="s">
        <v>9</v>
      </c>
      <c r="C1616" s="11" t="s">
        <v>170</v>
      </c>
      <c r="D1616" s="11" t="s">
        <v>171</v>
      </c>
      <c r="E1616" s="9" t="str">
        <f>+HYPERLINK("http://trademark.i-assist.jp/data/china/image_1904th/79624091.pdf", "79624091")</f>
        <v>79624091</v>
      </c>
      <c r="F1616" s="11" t="s">
        <v>4626</v>
      </c>
      <c r="G1616" s="11" t="s">
        <v>4627</v>
      </c>
      <c r="H1616" s="11" t="s">
        <v>4628</v>
      </c>
      <c r="I1616" s="11" t="s">
        <v>4601</v>
      </c>
    </row>
    <row r="1617" spans="1:9" x14ac:dyDescent="0.15">
      <c r="A1617" s="10">
        <v>1616</v>
      </c>
      <c r="B1617" s="11" t="s">
        <v>9</v>
      </c>
      <c r="C1617" s="11" t="s">
        <v>170</v>
      </c>
      <c r="D1617" s="11" t="s">
        <v>171</v>
      </c>
      <c r="E1617" s="9" t="str">
        <f>+HYPERLINK("http://trademark.i-assist.jp/data/china/image_1904th/79624106.pdf", "79624106")</f>
        <v>79624106</v>
      </c>
      <c r="F1617" s="11" t="s">
        <v>4629</v>
      </c>
      <c r="G1617" s="11" t="s">
        <v>4630</v>
      </c>
      <c r="H1617" s="11" t="s">
        <v>4631</v>
      </c>
      <c r="I1617" s="11" t="s">
        <v>4601</v>
      </c>
    </row>
    <row r="1618" spans="1:9" x14ac:dyDescent="0.15">
      <c r="A1618" s="10">
        <v>1617</v>
      </c>
      <c r="B1618" s="11" t="s">
        <v>9</v>
      </c>
      <c r="C1618" s="11" t="s">
        <v>170</v>
      </c>
      <c r="D1618" s="11" t="s">
        <v>171</v>
      </c>
      <c r="E1618" s="9" t="str">
        <f>+HYPERLINK("http://trademark.i-assist.jp/data/china/image_1904th/79624443.pdf", "79624443")</f>
        <v>79624443</v>
      </c>
      <c r="F1618" s="11" t="s">
        <v>4632</v>
      </c>
      <c r="G1618" s="11" t="s">
        <v>4633</v>
      </c>
      <c r="H1618" s="11" t="s">
        <v>4634</v>
      </c>
      <c r="I1618" s="11" t="s">
        <v>4601</v>
      </c>
    </row>
    <row r="1619" spans="1:9" x14ac:dyDescent="0.15">
      <c r="A1619" s="10">
        <v>1618</v>
      </c>
      <c r="B1619" s="11" t="s">
        <v>9</v>
      </c>
      <c r="C1619" s="11" t="s">
        <v>170</v>
      </c>
      <c r="D1619" s="11" t="s">
        <v>171</v>
      </c>
      <c r="E1619" s="9" t="str">
        <f>+HYPERLINK("http://trademark.i-assist.jp/data/china/image_1904th/79625474.pdf", "79625474")</f>
        <v>79625474</v>
      </c>
      <c r="F1619" s="11" t="s">
        <v>4635</v>
      </c>
      <c r="G1619" s="11" t="s">
        <v>4636</v>
      </c>
      <c r="H1619" s="11" t="s">
        <v>4637</v>
      </c>
      <c r="I1619" s="11" t="s">
        <v>4601</v>
      </c>
    </row>
    <row r="1620" spans="1:9" x14ac:dyDescent="0.15">
      <c r="A1620" s="10">
        <v>1619</v>
      </c>
      <c r="B1620" s="11" t="s">
        <v>9</v>
      </c>
      <c r="C1620" s="11" t="s">
        <v>170</v>
      </c>
      <c r="D1620" s="11" t="s">
        <v>171</v>
      </c>
      <c r="E1620" s="9" t="str">
        <f>+HYPERLINK("http://trademark.i-assist.jp/data/china/image_1904th/79625487.pdf", "79625487")</f>
        <v>79625487</v>
      </c>
      <c r="F1620" s="11" t="s">
        <v>4638</v>
      </c>
      <c r="G1620" s="11" t="s">
        <v>4639</v>
      </c>
      <c r="H1620" s="11" t="s">
        <v>4640</v>
      </c>
      <c r="I1620" s="11" t="s">
        <v>4601</v>
      </c>
    </row>
    <row r="1621" spans="1:9" x14ac:dyDescent="0.15">
      <c r="A1621" s="10">
        <v>1620</v>
      </c>
      <c r="B1621" s="11" t="s">
        <v>9</v>
      </c>
      <c r="C1621" s="11" t="s">
        <v>170</v>
      </c>
      <c r="D1621" s="11" t="s">
        <v>171</v>
      </c>
      <c r="E1621" s="9" t="str">
        <f>+HYPERLINK("http://trademark.i-assist.jp/data/china/image_1904th/79625500.pdf", "79625500")</f>
        <v>79625500</v>
      </c>
      <c r="F1621" s="11" t="s">
        <v>4641</v>
      </c>
      <c r="G1621" s="11" t="s">
        <v>4642</v>
      </c>
      <c r="H1621" s="11" t="s">
        <v>4643</v>
      </c>
      <c r="I1621" s="11" t="s">
        <v>4601</v>
      </c>
    </row>
    <row r="1622" spans="1:9" x14ac:dyDescent="0.15">
      <c r="A1622" s="10">
        <v>1621</v>
      </c>
      <c r="B1622" s="11" t="s">
        <v>9</v>
      </c>
      <c r="C1622" s="11" t="s">
        <v>170</v>
      </c>
      <c r="D1622" s="11" t="s">
        <v>171</v>
      </c>
      <c r="E1622" s="9" t="str">
        <f>+HYPERLINK("http://trademark.i-assist.jp/data/china/image_1904th/79625701.pdf", "79625701")</f>
        <v>79625701</v>
      </c>
      <c r="F1622" s="11" t="s">
        <v>4644</v>
      </c>
      <c r="G1622" s="11" t="s">
        <v>48</v>
      </c>
      <c r="H1622" s="11" t="s">
        <v>4645</v>
      </c>
      <c r="I1622" s="11" t="s">
        <v>4601</v>
      </c>
    </row>
    <row r="1623" spans="1:9" x14ac:dyDescent="0.15">
      <c r="A1623" s="10">
        <v>1622</v>
      </c>
      <c r="B1623" s="11" t="s">
        <v>9</v>
      </c>
      <c r="C1623" s="11" t="s">
        <v>170</v>
      </c>
      <c r="D1623" s="11" t="s">
        <v>171</v>
      </c>
      <c r="E1623" s="9" t="str">
        <f>+HYPERLINK("http://trademark.i-assist.jp/data/china/image_1904th/79625776.pdf", "79625776")</f>
        <v>79625776</v>
      </c>
      <c r="F1623" s="11" t="s">
        <v>4646</v>
      </c>
      <c r="G1623" s="11" t="s">
        <v>4647</v>
      </c>
      <c r="H1623" s="11" t="s">
        <v>4648</v>
      </c>
      <c r="I1623" s="11" t="s">
        <v>4601</v>
      </c>
    </row>
    <row r="1624" spans="1:9" x14ac:dyDescent="0.15">
      <c r="A1624" s="10">
        <v>1623</v>
      </c>
      <c r="B1624" s="11" t="s">
        <v>9</v>
      </c>
      <c r="C1624" s="11" t="s">
        <v>170</v>
      </c>
      <c r="D1624" s="11" t="s">
        <v>171</v>
      </c>
      <c r="E1624" s="9" t="str">
        <f>+HYPERLINK("http://trademark.i-assist.jp/data/china/image_1904th/79625865.pdf", "79625865")</f>
        <v>79625865</v>
      </c>
      <c r="F1624" s="11" t="s">
        <v>4649</v>
      </c>
      <c r="G1624" s="11" t="s">
        <v>4650</v>
      </c>
      <c r="H1624" s="11" t="s">
        <v>4651</v>
      </c>
      <c r="I1624" s="11" t="s">
        <v>4601</v>
      </c>
    </row>
    <row r="1625" spans="1:9" x14ac:dyDescent="0.15">
      <c r="A1625" s="10">
        <v>1624</v>
      </c>
      <c r="B1625" s="11" t="s">
        <v>9</v>
      </c>
      <c r="C1625" s="11" t="s">
        <v>170</v>
      </c>
      <c r="D1625" s="11" t="s">
        <v>171</v>
      </c>
      <c r="E1625" s="9" t="str">
        <f>+HYPERLINK("http://trademark.i-assist.jp/data/china/image_1904th/79626128.pdf", "79626128")</f>
        <v>79626128</v>
      </c>
      <c r="F1625" s="11" t="s">
        <v>4652</v>
      </c>
      <c r="G1625" s="11" t="s">
        <v>4653</v>
      </c>
      <c r="H1625" s="11" t="s">
        <v>4654</v>
      </c>
      <c r="I1625" s="11" t="s">
        <v>4601</v>
      </c>
    </row>
    <row r="1626" spans="1:9" x14ac:dyDescent="0.15">
      <c r="A1626" s="10">
        <v>1625</v>
      </c>
      <c r="B1626" s="11" t="s">
        <v>9</v>
      </c>
      <c r="C1626" s="11" t="s">
        <v>170</v>
      </c>
      <c r="D1626" s="11" t="s">
        <v>171</v>
      </c>
      <c r="E1626" s="9" t="str">
        <f>+HYPERLINK("http://trademark.i-assist.jp/data/china/image_1904th/79626321.pdf", "79626321")</f>
        <v>79626321</v>
      </c>
      <c r="F1626" s="11" t="s">
        <v>4655</v>
      </c>
      <c r="G1626" s="11" t="s">
        <v>4656</v>
      </c>
      <c r="H1626" s="11" t="s">
        <v>4657</v>
      </c>
      <c r="I1626" s="11" t="s">
        <v>4601</v>
      </c>
    </row>
    <row r="1627" spans="1:9" x14ac:dyDescent="0.15">
      <c r="A1627" s="10">
        <v>1626</v>
      </c>
      <c r="B1627" s="11" t="s">
        <v>9</v>
      </c>
      <c r="C1627" s="11" t="s">
        <v>170</v>
      </c>
      <c r="D1627" s="11" t="s">
        <v>171</v>
      </c>
      <c r="E1627" s="9" t="str">
        <f>+HYPERLINK("http://trademark.i-assist.jp/data/china/image_1904th/79626368.pdf", "79626368")</f>
        <v>79626368</v>
      </c>
      <c r="F1627" s="11" t="s">
        <v>4658</v>
      </c>
      <c r="G1627" s="11" t="s">
        <v>4659</v>
      </c>
      <c r="H1627" s="11" t="s">
        <v>4660</v>
      </c>
      <c r="I1627" s="11" t="s">
        <v>4601</v>
      </c>
    </row>
    <row r="1628" spans="1:9" x14ac:dyDescent="0.15">
      <c r="A1628" s="10">
        <v>1627</v>
      </c>
      <c r="B1628" s="11" t="s">
        <v>9</v>
      </c>
      <c r="C1628" s="11" t="s">
        <v>170</v>
      </c>
      <c r="D1628" s="11" t="s">
        <v>171</v>
      </c>
      <c r="E1628" s="9" t="str">
        <f>+HYPERLINK("http://trademark.i-assist.jp/data/china/image_1904th/79626467.pdf", "79626467")</f>
        <v>79626467</v>
      </c>
      <c r="F1628" s="11" t="s">
        <v>4661</v>
      </c>
      <c r="G1628" s="11" t="s">
        <v>4662</v>
      </c>
      <c r="H1628" s="11" t="s">
        <v>4663</v>
      </c>
      <c r="I1628" s="11" t="s">
        <v>4601</v>
      </c>
    </row>
    <row r="1629" spans="1:9" x14ac:dyDescent="0.15">
      <c r="A1629" s="10">
        <v>1628</v>
      </c>
      <c r="B1629" s="11" t="s">
        <v>9</v>
      </c>
      <c r="C1629" s="11" t="s">
        <v>170</v>
      </c>
      <c r="D1629" s="11" t="s">
        <v>171</v>
      </c>
      <c r="E1629" s="9" t="str">
        <f>+HYPERLINK("http://trademark.i-assist.jp/data/china/image_1904th/79626674.pdf", "79626674")</f>
        <v>79626674</v>
      </c>
      <c r="F1629" s="11" t="s">
        <v>4664</v>
      </c>
      <c r="G1629" s="11" t="s">
        <v>4665</v>
      </c>
      <c r="H1629" s="11" t="s">
        <v>4666</v>
      </c>
      <c r="I1629" s="11" t="s">
        <v>4601</v>
      </c>
    </row>
    <row r="1630" spans="1:9" x14ac:dyDescent="0.15">
      <c r="A1630" s="10">
        <v>1629</v>
      </c>
      <c r="B1630" s="11" t="s">
        <v>9</v>
      </c>
      <c r="C1630" s="11" t="s">
        <v>170</v>
      </c>
      <c r="D1630" s="11" t="s">
        <v>171</v>
      </c>
      <c r="E1630" s="9" t="str">
        <f>+HYPERLINK("http://trademark.i-assist.jp/data/china/image_1904th/79626934.pdf", "79626934")</f>
        <v>79626934</v>
      </c>
      <c r="F1630" s="11" t="s">
        <v>4667</v>
      </c>
      <c r="G1630" s="11" t="s">
        <v>4668</v>
      </c>
      <c r="H1630" s="11" t="s">
        <v>17</v>
      </c>
      <c r="I1630" s="11" t="s">
        <v>4601</v>
      </c>
    </row>
    <row r="1631" spans="1:9" x14ac:dyDescent="0.15">
      <c r="A1631" s="10">
        <v>1630</v>
      </c>
      <c r="B1631" s="11" t="s">
        <v>9</v>
      </c>
      <c r="C1631" s="11" t="s">
        <v>170</v>
      </c>
      <c r="D1631" s="11" t="s">
        <v>171</v>
      </c>
      <c r="E1631" s="9" t="str">
        <f>+HYPERLINK("http://trademark.i-assist.jp/data/china/image_1904th/79626945.pdf", "79626945")</f>
        <v>79626945</v>
      </c>
      <c r="F1631" s="11" t="s">
        <v>4669</v>
      </c>
      <c r="G1631" s="11" t="s">
        <v>4670</v>
      </c>
      <c r="H1631" s="11" t="s">
        <v>4671</v>
      </c>
      <c r="I1631" s="11" t="s">
        <v>4601</v>
      </c>
    </row>
    <row r="1632" spans="1:9" x14ac:dyDescent="0.15">
      <c r="A1632" s="10">
        <v>1631</v>
      </c>
      <c r="B1632" s="11" t="s">
        <v>9</v>
      </c>
      <c r="C1632" s="11" t="s">
        <v>170</v>
      </c>
      <c r="D1632" s="11" t="s">
        <v>171</v>
      </c>
      <c r="E1632" s="9" t="str">
        <f>+HYPERLINK("http://trademark.i-assist.jp/data/china/image_1904th/79627037.pdf", "79627037")</f>
        <v>79627037</v>
      </c>
      <c r="F1632" s="11" t="s">
        <v>4672</v>
      </c>
      <c r="G1632" s="11" t="s">
        <v>4673</v>
      </c>
      <c r="H1632" s="11" t="s">
        <v>4674</v>
      </c>
      <c r="I1632" s="11" t="s">
        <v>4601</v>
      </c>
    </row>
    <row r="1633" spans="1:9" x14ac:dyDescent="0.15">
      <c r="A1633" s="10">
        <v>1632</v>
      </c>
      <c r="B1633" s="11" t="s">
        <v>9</v>
      </c>
      <c r="C1633" s="11" t="s">
        <v>170</v>
      </c>
      <c r="D1633" s="11" t="s">
        <v>171</v>
      </c>
      <c r="E1633" s="9" t="str">
        <f>+HYPERLINK("http://trademark.i-assist.jp/data/china/image_1904th/79627482.pdf", "79627482")</f>
        <v>79627482</v>
      </c>
      <c r="F1633" s="11" t="s">
        <v>4675</v>
      </c>
      <c r="G1633" s="11" t="s">
        <v>4676</v>
      </c>
      <c r="H1633" s="11" t="s">
        <v>4677</v>
      </c>
      <c r="I1633" s="11" t="s">
        <v>4601</v>
      </c>
    </row>
    <row r="1634" spans="1:9" x14ac:dyDescent="0.15">
      <c r="A1634" s="10">
        <v>1633</v>
      </c>
      <c r="B1634" s="11" t="s">
        <v>9</v>
      </c>
      <c r="C1634" s="11" t="s">
        <v>170</v>
      </c>
      <c r="D1634" s="11" t="s">
        <v>171</v>
      </c>
      <c r="E1634" s="9" t="str">
        <f>+HYPERLINK("http://trademark.i-assist.jp/data/china/image_1904th/79627624.pdf", "79627624")</f>
        <v>79627624</v>
      </c>
      <c r="F1634" s="11" t="s">
        <v>4678</v>
      </c>
      <c r="G1634" s="11" t="s">
        <v>4679</v>
      </c>
      <c r="H1634" s="11" t="s">
        <v>4680</v>
      </c>
      <c r="I1634" s="11" t="s">
        <v>4601</v>
      </c>
    </row>
    <row r="1635" spans="1:9" x14ac:dyDescent="0.15">
      <c r="A1635" s="10">
        <v>1634</v>
      </c>
      <c r="B1635" s="11" t="s">
        <v>9</v>
      </c>
      <c r="C1635" s="11" t="s">
        <v>170</v>
      </c>
      <c r="D1635" s="11" t="s">
        <v>171</v>
      </c>
      <c r="E1635" s="9" t="str">
        <f>+HYPERLINK("http://trademark.i-assist.jp/data/china/image_1904th/79627918.pdf", "79627918")</f>
        <v>79627918</v>
      </c>
      <c r="F1635" s="11" t="s">
        <v>4681</v>
      </c>
      <c r="G1635" s="11" t="s">
        <v>4682</v>
      </c>
      <c r="H1635" s="11" t="s">
        <v>4683</v>
      </c>
      <c r="I1635" s="11" t="s">
        <v>4601</v>
      </c>
    </row>
    <row r="1636" spans="1:9" x14ac:dyDescent="0.15">
      <c r="A1636" s="10">
        <v>1635</v>
      </c>
      <c r="B1636" s="11" t="s">
        <v>9</v>
      </c>
      <c r="C1636" s="11" t="s">
        <v>170</v>
      </c>
      <c r="D1636" s="11" t="s">
        <v>171</v>
      </c>
      <c r="E1636" s="9" t="str">
        <f>+HYPERLINK("http://trademark.i-assist.jp/data/china/image_1904th/79627958.pdf", "79627958")</f>
        <v>79627958</v>
      </c>
      <c r="F1636" s="11" t="s">
        <v>4684</v>
      </c>
      <c r="G1636" s="11" t="s">
        <v>4685</v>
      </c>
      <c r="H1636" s="11" t="s">
        <v>4686</v>
      </c>
      <c r="I1636" s="11" t="s">
        <v>4601</v>
      </c>
    </row>
    <row r="1637" spans="1:9" x14ac:dyDescent="0.15">
      <c r="A1637" s="10">
        <v>1636</v>
      </c>
      <c r="B1637" s="11" t="s">
        <v>9</v>
      </c>
      <c r="C1637" s="11" t="s">
        <v>170</v>
      </c>
      <c r="D1637" s="11" t="s">
        <v>171</v>
      </c>
      <c r="E1637" s="9" t="str">
        <f>+HYPERLINK("http://trademark.i-assist.jp/data/china/image_1904th/79628152.pdf", "79628152")</f>
        <v>79628152</v>
      </c>
      <c r="F1637" s="11" t="s">
        <v>4687</v>
      </c>
      <c r="G1637" s="11" t="s">
        <v>4688</v>
      </c>
      <c r="H1637" s="11" t="s">
        <v>4689</v>
      </c>
      <c r="I1637" s="11" t="s">
        <v>4601</v>
      </c>
    </row>
    <row r="1638" spans="1:9" x14ac:dyDescent="0.15">
      <c r="A1638" s="10">
        <v>1637</v>
      </c>
      <c r="B1638" s="11" t="s">
        <v>9</v>
      </c>
      <c r="C1638" s="11" t="s">
        <v>170</v>
      </c>
      <c r="D1638" s="11" t="s">
        <v>171</v>
      </c>
      <c r="E1638" s="9" t="str">
        <f>+HYPERLINK("http://trademark.i-assist.jp/data/china/image_1904th/79628983.pdf", "79628983")</f>
        <v>79628983</v>
      </c>
      <c r="F1638" s="11" t="s">
        <v>4690</v>
      </c>
      <c r="G1638" s="11" t="s">
        <v>4691</v>
      </c>
      <c r="H1638" s="11" t="s">
        <v>4692</v>
      </c>
      <c r="I1638" s="11" t="s">
        <v>4601</v>
      </c>
    </row>
    <row r="1639" spans="1:9" x14ac:dyDescent="0.15">
      <c r="A1639" s="10">
        <v>1638</v>
      </c>
      <c r="B1639" s="11" t="s">
        <v>9</v>
      </c>
      <c r="C1639" s="11" t="s">
        <v>170</v>
      </c>
      <c r="D1639" s="11" t="s">
        <v>171</v>
      </c>
      <c r="E1639" s="9" t="str">
        <f>+HYPERLINK("http://trademark.i-assist.jp/data/china/image_1904th/79628995.pdf", "79628995")</f>
        <v>79628995</v>
      </c>
      <c r="F1639" s="11" t="s">
        <v>4693</v>
      </c>
      <c r="G1639" s="11" t="s">
        <v>4618</v>
      </c>
      <c r="H1639" s="11" t="s">
        <v>4694</v>
      </c>
      <c r="I1639" s="11" t="s">
        <v>4601</v>
      </c>
    </row>
    <row r="1640" spans="1:9" x14ac:dyDescent="0.15">
      <c r="A1640" s="10">
        <v>1639</v>
      </c>
      <c r="B1640" s="11" t="s">
        <v>9</v>
      </c>
      <c r="C1640" s="11" t="s">
        <v>170</v>
      </c>
      <c r="D1640" s="11" t="s">
        <v>171</v>
      </c>
      <c r="E1640" s="9" t="str">
        <f>+HYPERLINK("http://trademark.i-assist.jp/data/china/image_1904th/79629006.pdf", "79629006")</f>
        <v>79629006</v>
      </c>
      <c r="F1640" s="11" t="s">
        <v>4695</v>
      </c>
      <c r="G1640" s="11" t="s">
        <v>4696</v>
      </c>
      <c r="H1640" s="11" t="s">
        <v>4697</v>
      </c>
      <c r="I1640" s="11" t="s">
        <v>4601</v>
      </c>
    </row>
    <row r="1641" spans="1:9" x14ac:dyDescent="0.15">
      <c r="A1641" s="10">
        <v>1640</v>
      </c>
      <c r="B1641" s="11" t="s">
        <v>9</v>
      </c>
      <c r="C1641" s="11" t="s">
        <v>170</v>
      </c>
      <c r="D1641" s="11" t="s">
        <v>171</v>
      </c>
      <c r="E1641" s="9" t="str">
        <f>+HYPERLINK("http://trademark.i-assist.jp/data/china/image_1904th/79629312.pdf", "79629312")</f>
        <v>79629312</v>
      </c>
      <c r="F1641" s="11" t="s">
        <v>4698</v>
      </c>
      <c r="G1641" s="11" t="s">
        <v>4699</v>
      </c>
      <c r="H1641" s="11" t="s">
        <v>4700</v>
      </c>
      <c r="I1641" s="11" t="s">
        <v>4601</v>
      </c>
    </row>
    <row r="1642" spans="1:9" x14ac:dyDescent="0.15">
      <c r="A1642" s="10">
        <v>1641</v>
      </c>
      <c r="B1642" s="11" t="s">
        <v>9</v>
      </c>
      <c r="C1642" s="11" t="s">
        <v>170</v>
      </c>
      <c r="D1642" s="11" t="s">
        <v>171</v>
      </c>
      <c r="E1642" s="9" t="str">
        <f>+HYPERLINK("http://trademark.i-assist.jp/data/china/image_1904th/79629348.pdf", "79629348")</f>
        <v>79629348</v>
      </c>
      <c r="F1642" s="11" t="s">
        <v>4701</v>
      </c>
      <c r="G1642" s="11" t="s">
        <v>4618</v>
      </c>
      <c r="H1642" s="11" t="s">
        <v>4702</v>
      </c>
      <c r="I1642" s="11" t="s">
        <v>4601</v>
      </c>
    </row>
    <row r="1643" spans="1:9" x14ac:dyDescent="0.15">
      <c r="A1643" s="10">
        <v>1642</v>
      </c>
      <c r="B1643" s="11" t="s">
        <v>9</v>
      </c>
      <c r="C1643" s="11" t="s">
        <v>170</v>
      </c>
      <c r="D1643" s="11" t="s">
        <v>171</v>
      </c>
      <c r="E1643" s="9" t="str">
        <f>+HYPERLINK("http://trademark.i-assist.jp/data/china/image_1904th/79629887.pdf", "79629887")</f>
        <v>79629887</v>
      </c>
      <c r="F1643" s="11" t="s">
        <v>4703</v>
      </c>
      <c r="G1643" s="11" t="s">
        <v>4704</v>
      </c>
      <c r="H1643" s="11" t="s">
        <v>4705</v>
      </c>
      <c r="I1643" s="11" t="s">
        <v>4601</v>
      </c>
    </row>
    <row r="1644" spans="1:9" x14ac:dyDescent="0.15">
      <c r="A1644" s="10">
        <v>1643</v>
      </c>
      <c r="B1644" s="11" t="s">
        <v>9</v>
      </c>
      <c r="C1644" s="11" t="s">
        <v>170</v>
      </c>
      <c r="D1644" s="11" t="s">
        <v>171</v>
      </c>
      <c r="E1644" s="9" t="str">
        <f>+HYPERLINK("http://trademark.i-assist.jp/data/china/image_1904th/79631519.pdf", "79631519")</f>
        <v>79631519</v>
      </c>
      <c r="F1644" s="11" t="s">
        <v>4706</v>
      </c>
      <c r="G1644" s="11" t="s">
        <v>4707</v>
      </c>
      <c r="H1644" s="11" t="s">
        <v>4708</v>
      </c>
      <c r="I1644" s="11" t="s">
        <v>4601</v>
      </c>
    </row>
    <row r="1645" spans="1:9" x14ac:dyDescent="0.15">
      <c r="A1645" s="10">
        <v>1644</v>
      </c>
      <c r="B1645" s="11" t="s">
        <v>9</v>
      </c>
      <c r="C1645" s="11" t="s">
        <v>170</v>
      </c>
      <c r="D1645" s="11" t="s">
        <v>171</v>
      </c>
      <c r="E1645" s="9" t="str">
        <f>+HYPERLINK("http://trademark.i-assist.jp/data/china/image_1904th/79631708.pdf", "79631708")</f>
        <v>79631708</v>
      </c>
      <c r="F1645" s="11" t="s">
        <v>4709</v>
      </c>
      <c r="G1645" s="11" t="s">
        <v>4710</v>
      </c>
      <c r="H1645" s="11" t="s">
        <v>4711</v>
      </c>
      <c r="I1645" s="11" t="s">
        <v>4601</v>
      </c>
    </row>
    <row r="1646" spans="1:9" x14ac:dyDescent="0.15">
      <c r="A1646" s="10">
        <v>1645</v>
      </c>
      <c r="B1646" s="11" t="s">
        <v>9</v>
      </c>
      <c r="C1646" s="11" t="s">
        <v>170</v>
      </c>
      <c r="D1646" s="11" t="s">
        <v>171</v>
      </c>
      <c r="E1646" s="9" t="str">
        <f>+HYPERLINK("http://trademark.i-assist.jp/data/china/image_1904th/79632502.pdf", "79632502")</f>
        <v>79632502</v>
      </c>
      <c r="F1646" s="11" t="s">
        <v>4712</v>
      </c>
      <c r="G1646" s="11" t="s">
        <v>4713</v>
      </c>
      <c r="H1646" s="11" t="s">
        <v>4714</v>
      </c>
      <c r="I1646" s="11" t="s">
        <v>4601</v>
      </c>
    </row>
    <row r="1647" spans="1:9" x14ac:dyDescent="0.15">
      <c r="A1647" s="10">
        <v>1646</v>
      </c>
      <c r="B1647" s="11" t="s">
        <v>9</v>
      </c>
      <c r="C1647" s="11" t="s">
        <v>170</v>
      </c>
      <c r="D1647" s="11" t="s">
        <v>171</v>
      </c>
      <c r="E1647" s="9" t="str">
        <f>+HYPERLINK("http://trademark.i-assist.jp/data/china/image_1904th/79633015.pdf", "79633015")</f>
        <v>79633015</v>
      </c>
      <c r="F1647" s="11" t="s">
        <v>4715</v>
      </c>
      <c r="G1647" s="11" t="s">
        <v>4716</v>
      </c>
      <c r="H1647" s="11" t="s">
        <v>4717</v>
      </c>
      <c r="I1647" s="11" t="s">
        <v>4601</v>
      </c>
    </row>
    <row r="1648" spans="1:9" x14ac:dyDescent="0.15">
      <c r="A1648" s="10">
        <v>1647</v>
      </c>
      <c r="B1648" s="11" t="s">
        <v>9</v>
      </c>
      <c r="C1648" s="11" t="s">
        <v>170</v>
      </c>
      <c r="D1648" s="11" t="s">
        <v>171</v>
      </c>
      <c r="E1648" s="9" t="str">
        <f>+HYPERLINK("http://trademark.i-assist.jp/data/china/image_1904th/79633711.pdf", "79633711")</f>
        <v>79633711</v>
      </c>
      <c r="F1648" s="11" t="s">
        <v>4718</v>
      </c>
      <c r="G1648" s="11" t="s">
        <v>4719</v>
      </c>
      <c r="H1648" s="11" t="s">
        <v>4720</v>
      </c>
      <c r="I1648" s="11" t="s">
        <v>4601</v>
      </c>
    </row>
    <row r="1649" spans="1:9" x14ac:dyDescent="0.15">
      <c r="A1649" s="10">
        <v>1648</v>
      </c>
      <c r="B1649" s="11" t="s">
        <v>9</v>
      </c>
      <c r="C1649" s="11" t="s">
        <v>170</v>
      </c>
      <c r="D1649" s="11" t="s">
        <v>171</v>
      </c>
      <c r="E1649" s="9" t="str">
        <f>+HYPERLINK("http://trademark.i-assist.jp/data/china/image_1904th/79633750.pdf", "79633750")</f>
        <v>79633750</v>
      </c>
      <c r="F1649" s="11" t="s">
        <v>4721</v>
      </c>
      <c r="G1649" s="11" t="s">
        <v>4722</v>
      </c>
      <c r="H1649" s="11" t="s">
        <v>4723</v>
      </c>
      <c r="I1649" s="11" t="s">
        <v>4601</v>
      </c>
    </row>
    <row r="1650" spans="1:9" x14ac:dyDescent="0.15">
      <c r="A1650" s="10">
        <v>1649</v>
      </c>
      <c r="B1650" s="11" t="s">
        <v>9</v>
      </c>
      <c r="C1650" s="11" t="s">
        <v>170</v>
      </c>
      <c r="D1650" s="11" t="s">
        <v>171</v>
      </c>
      <c r="E1650" s="9" t="str">
        <f>+HYPERLINK("http://trademark.i-assist.jp/data/china/image_1904th/79634013.pdf", "79634013")</f>
        <v>79634013</v>
      </c>
      <c r="F1650" s="11" t="s">
        <v>4724</v>
      </c>
      <c r="G1650" s="11" t="s">
        <v>4725</v>
      </c>
      <c r="H1650" s="11" t="s">
        <v>4726</v>
      </c>
      <c r="I1650" s="11" t="s">
        <v>4601</v>
      </c>
    </row>
    <row r="1651" spans="1:9" x14ac:dyDescent="0.15">
      <c r="A1651" s="10">
        <v>1650</v>
      </c>
      <c r="B1651" s="11" t="s">
        <v>9</v>
      </c>
      <c r="C1651" s="11" t="s">
        <v>170</v>
      </c>
      <c r="D1651" s="11" t="s">
        <v>171</v>
      </c>
      <c r="E1651" s="9" t="str">
        <f>+HYPERLINK("http://trademark.i-assist.jp/data/china/image_1904th/79634106.pdf", "79634106")</f>
        <v>79634106</v>
      </c>
      <c r="F1651" s="11" t="s">
        <v>4727</v>
      </c>
      <c r="G1651" s="11" t="s">
        <v>4665</v>
      </c>
      <c r="H1651" s="11" t="s">
        <v>4728</v>
      </c>
      <c r="I1651" s="11" t="s">
        <v>4601</v>
      </c>
    </row>
    <row r="1652" spans="1:9" x14ac:dyDescent="0.15">
      <c r="A1652" s="10">
        <v>1651</v>
      </c>
      <c r="B1652" s="11" t="s">
        <v>9</v>
      </c>
      <c r="C1652" s="11" t="s">
        <v>170</v>
      </c>
      <c r="D1652" s="11" t="s">
        <v>171</v>
      </c>
      <c r="E1652" s="9" t="str">
        <f>+HYPERLINK("http://trademark.i-assist.jp/data/china/image_1904th/79634376.pdf", "79634376")</f>
        <v>79634376</v>
      </c>
      <c r="F1652" s="11" t="s">
        <v>4729</v>
      </c>
      <c r="G1652" s="11" t="s">
        <v>4730</v>
      </c>
      <c r="H1652" s="11" t="s">
        <v>4731</v>
      </c>
      <c r="I1652" s="11" t="s">
        <v>4601</v>
      </c>
    </row>
    <row r="1653" spans="1:9" x14ac:dyDescent="0.15">
      <c r="A1653" s="10">
        <v>1652</v>
      </c>
      <c r="B1653" s="11" t="s">
        <v>9</v>
      </c>
      <c r="C1653" s="11" t="s">
        <v>170</v>
      </c>
      <c r="D1653" s="11" t="s">
        <v>171</v>
      </c>
      <c r="E1653" s="9" t="str">
        <f>+HYPERLINK("http://trademark.i-assist.jp/data/china/image_1904th/79634914.pdf", "79634914")</f>
        <v>79634914</v>
      </c>
      <c r="F1653" s="11" t="s">
        <v>4732</v>
      </c>
      <c r="G1653" s="11" t="s">
        <v>4599</v>
      </c>
      <c r="H1653" s="11" t="s">
        <v>4733</v>
      </c>
      <c r="I1653" s="11" t="s">
        <v>4601</v>
      </c>
    </row>
    <row r="1654" spans="1:9" x14ac:dyDescent="0.15">
      <c r="A1654" s="10">
        <v>1653</v>
      </c>
      <c r="B1654" s="11" t="s">
        <v>9</v>
      </c>
      <c r="C1654" s="11" t="s">
        <v>170</v>
      </c>
      <c r="D1654" s="11" t="s">
        <v>171</v>
      </c>
      <c r="E1654" s="9" t="str">
        <f>+HYPERLINK("http://trademark.i-assist.jp/data/china/image_1904th/79635337.pdf", "79635337")</f>
        <v>79635337</v>
      </c>
      <c r="F1654" s="11" t="s">
        <v>12</v>
      </c>
      <c r="G1654" s="11" t="s">
        <v>4734</v>
      </c>
      <c r="H1654" s="11" t="s">
        <v>4735</v>
      </c>
      <c r="I1654" s="11" t="s">
        <v>4601</v>
      </c>
    </row>
    <row r="1655" spans="1:9" x14ac:dyDescent="0.15">
      <c r="A1655" s="10">
        <v>1654</v>
      </c>
      <c r="B1655" s="11" t="s">
        <v>9</v>
      </c>
      <c r="C1655" s="11" t="s">
        <v>170</v>
      </c>
      <c r="D1655" s="11" t="s">
        <v>171</v>
      </c>
      <c r="E1655" s="9" t="str">
        <f>+HYPERLINK("http://trademark.i-assist.jp/data/china/image_1904th/79636317.pdf", "79636317")</f>
        <v>79636317</v>
      </c>
      <c r="F1655" s="11" t="s">
        <v>4736</v>
      </c>
      <c r="G1655" s="11" t="s">
        <v>4688</v>
      </c>
      <c r="H1655" s="11" t="s">
        <v>4737</v>
      </c>
      <c r="I1655" s="11" t="s">
        <v>4601</v>
      </c>
    </row>
    <row r="1656" spans="1:9" x14ac:dyDescent="0.15">
      <c r="A1656" s="10">
        <v>1655</v>
      </c>
      <c r="B1656" s="11" t="s">
        <v>9</v>
      </c>
      <c r="C1656" s="11" t="s">
        <v>170</v>
      </c>
      <c r="D1656" s="11" t="s">
        <v>171</v>
      </c>
      <c r="E1656" s="9" t="str">
        <f>+HYPERLINK("http://trademark.i-assist.jp/data/china/image_1904th/79636346.pdf", "79636346")</f>
        <v>79636346</v>
      </c>
      <c r="F1656" s="11" t="s">
        <v>4738</v>
      </c>
      <c r="G1656" s="11" t="s">
        <v>2125</v>
      </c>
      <c r="H1656" s="11" t="s">
        <v>4739</v>
      </c>
      <c r="I1656" s="11" t="s">
        <v>4601</v>
      </c>
    </row>
    <row r="1657" spans="1:9" x14ac:dyDescent="0.15">
      <c r="A1657" s="10">
        <v>1656</v>
      </c>
      <c r="B1657" s="11" t="s">
        <v>9</v>
      </c>
      <c r="C1657" s="11" t="s">
        <v>170</v>
      </c>
      <c r="D1657" s="11" t="s">
        <v>171</v>
      </c>
      <c r="E1657" s="9" t="str">
        <f>+HYPERLINK("http://trademark.i-assist.jp/data/china/image_1904th/79636788.pdf", "79636788")</f>
        <v>79636788</v>
      </c>
      <c r="F1657" s="11" t="s">
        <v>4740</v>
      </c>
      <c r="G1657" s="11" t="s">
        <v>4741</v>
      </c>
      <c r="H1657" s="11" t="s">
        <v>4742</v>
      </c>
      <c r="I1657" s="11" t="s">
        <v>4601</v>
      </c>
    </row>
    <row r="1658" spans="1:9" x14ac:dyDescent="0.15">
      <c r="A1658" s="10">
        <v>1657</v>
      </c>
      <c r="B1658" s="11" t="s">
        <v>9</v>
      </c>
      <c r="C1658" s="11" t="s">
        <v>170</v>
      </c>
      <c r="D1658" s="11" t="s">
        <v>171</v>
      </c>
      <c r="E1658" s="9" t="str">
        <f>+HYPERLINK("http://trademark.i-assist.jp/data/china/image_1904th/79637001.pdf", "79637001")</f>
        <v>79637001</v>
      </c>
      <c r="F1658" s="11" t="s">
        <v>4743</v>
      </c>
      <c r="G1658" s="11" t="s">
        <v>4744</v>
      </c>
      <c r="H1658" s="11" t="s">
        <v>4745</v>
      </c>
      <c r="I1658" s="11" t="s">
        <v>4601</v>
      </c>
    </row>
    <row r="1659" spans="1:9" x14ac:dyDescent="0.15">
      <c r="A1659" s="10">
        <v>1658</v>
      </c>
      <c r="B1659" s="11" t="s">
        <v>9</v>
      </c>
      <c r="C1659" s="11" t="s">
        <v>170</v>
      </c>
      <c r="D1659" s="11" t="s">
        <v>171</v>
      </c>
      <c r="E1659" s="9" t="str">
        <f>+HYPERLINK("http://trademark.i-assist.jp/data/china/image_1904th/79637610.pdf", "79637610")</f>
        <v>79637610</v>
      </c>
      <c r="F1659" s="11" t="s">
        <v>4746</v>
      </c>
      <c r="G1659" s="11" t="s">
        <v>4747</v>
      </c>
      <c r="H1659" s="11" t="s">
        <v>4748</v>
      </c>
      <c r="I1659" s="11" t="s">
        <v>4601</v>
      </c>
    </row>
    <row r="1660" spans="1:9" x14ac:dyDescent="0.15">
      <c r="A1660" s="10">
        <v>1659</v>
      </c>
      <c r="B1660" s="11" t="s">
        <v>9</v>
      </c>
      <c r="C1660" s="11" t="s">
        <v>170</v>
      </c>
      <c r="D1660" s="11" t="s">
        <v>171</v>
      </c>
      <c r="E1660" s="9" t="str">
        <f>+HYPERLINK("http://trademark.i-assist.jp/data/china/image_1904th/79638149.pdf", "79638149")</f>
        <v>79638149</v>
      </c>
      <c r="F1660" s="11" t="s">
        <v>4749</v>
      </c>
      <c r="G1660" s="11" t="s">
        <v>4750</v>
      </c>
      <c r="H1660" s="11" t="s">
        <v>4751</v>
      </c>
      <c r="I1660" s="11" t="s">
        <v>4601</v>
      </c>
    </row>
    <row r="1661" spans="1:9" x14ac:dyDescent="0.15">
      <c r="A1661" s="10">
        <v>1660</v>
      </c>
      <c r="B1661" s="11" t="s">
        <v>9</v>
      </c>
      <c r="C1661" s="11" t="s">
        <v>170</v>
      </c>
      <c r="D1661" s="11" t="s">
        <v>171</v>
      </c>
      <c r="E1661" s="9" t="str">
        <f>+HYPERLINK("http://trademark.i-assist.jp/data/china/image_1904th/79638315.pdf", "79638315")</f>
        <v>79638315</v>
      </c>
      <c r="F1661" s="11" t="s">
        <v>4752</v>
      </c>
      <c r="G1661" s="11" t="s">
        <v>4753</v>
      </c>
      <c r="H1661" s="11" t="s">
        <v>4754</v>
      </c>
      <c r="I1661" s="11" t="s">
        <v>4601</v>
      </c>
    </row>
    <row r="1662" spans="1:9" x14ac:dyDescent="0.15">
      <c r="A1662" s="10">
        <v>1661</v>
      </c>
      <c r="B1662" s="11" t="s">
        <v>9</v>
      </c>
      <c r="C1662" s="11" t="s">
        <v>170</v>
      </c>
      <c r="D1662" s="11" t="s">
        <v>171</v>
      </c>
      <c r="E1662" s="9" t="str">
        <f>+HYPERLINK("http://trademark.i-assist.jp/data/china/image_1904th/79639484.pdf", "79639484")</f>
        <v>79639484</v>
      </c>
      <c r="F1662" s="11" t="s">
        <v>4755</v>
      </c>
      <c r="G1662" s="11" t="s">
        <v>4756</v>
      </c>
      <c r="H1662" s="11" t="s">
        <v>4757</v>
      </c>
      <c r="I1662" s="11" t="s">
        <v>4601</v>
      </c>
    </row>
    <row r="1663" spans="1:9" x14ac:dyDescent="0.15">
      <c r="A1663" s="10">
        <v>1662</v>
      </c>
      <c r="B1663" s="11" t="s">
        <v>9</v>
      </c>
      <c r="C1663" s="11" t="s">
        <v>170</v>
      </c>
      <c r="D1663" s="11" t="s">
        <v>171</v>
      </c>
      <c r="E1663" s="9" t="str">
        <f>+HYPERLINK("http://trademark.i-assist.jp/data/china/image_1904th/79639680.pdf", "79639680")</f>
        <v>79639680</v>
      </c>
      <c r="F1663" s="11" t="s">
        <v>4758</v>
      </c>
      <c r="G1663" s="11" t="s">
        <v>4759</v>
      </c>
      <c r="H1663" s="11" t="s">
        <v>4760</v>
      </c>
      <c r="I1663" s="11" t="s">
        <v>4601</v>
      </c>
    </row>
    <row r="1664" spans="1:9" x14ac:dyDescent="0.15">
      <c r="A1664" s="10">
        <v>1663</v>
      </c>
      <c r="B1664" s="11" t="s">
        <v>9</v>
      </c>
      <c r="C1664" s="11" t="s">
        <v>170</v>
      </c>
      <c r="D1664" s="11" t="s">
        <v>171</v>
      </c>
      <c r="E1664" s="9" t="str">
        <f>+HYPERLINK("http://trademark.i-assist.jp/data/china/image_1904th/79639773.pdf", "79639773")</f>
        <v>79639773</v>
      </c>
      <c r="F1664" s="11" t="s">
        <v>4761</v>
      </c>
      <c r="G1664" s="11" t="s">
        <v>4762</v>
      </c>
      <c r="H1664" s="11" t="s">
        <v>4763</v>
      </c>
      <c r="I1664" s="11" t="s">
        <v>4601</v>
      </c>
    </row>
    <row r="1665" spans="1:9" x14ac:dyDescent="0.15">
      <c r="A1665" s="10">
        <v>1664</v>
      </c>
      <c r="B1665" s="11" t="s">
        <v>9</v>
      </c>
      <c r="C1665" s="11" t="s">
        <v>170</v>
      </c>
      <c r="D1665" s="11" t="s">
        <v>171</v>
      </c>
      <c r="E1665" s="9" t="str">
        <f>+HYPERLINK("http://trademark.i-assist.jp/data/china/image_1904th/79640160.pdf", "79640160")</f>
        <v>79640160</v>
      </c>
      <c r="F1665" s="11" t="s">
        <v>4764</v>
      </c>
      <c r="G1665" s="11" t="s">
        <v>4710</v>
      </c>
      <c r="H1665" s="11" t="s">
        <v>4765</v>
      </c>
      <c r="I1665" s="11" t="s">
        <v>4601</v>
      </c>
    </row>
    <row r="1666" spans="1:9" x14ac:dyDescent="0.15">
      <c r="A1666" s="10">
        <v>1665</v>
      </c>
      <c r="B1666" s="11" t="s">
        <v>9</v>
      </c>
      <c r="C1666" s="11" t="s">
        <v>170</v>
      </c>
      <c r="D1666" s="11" t="s">
        <v>171</v>
      </c>
      <c r="E1666" s="9" t="str">
        <f>+HYPERLINK("http://trademark.i-assist.jp/data/china/image_1904th/79640575.pdf", "79640575")</f>
        <v>79640575</v>
      </c>
      <c r="F1666" s="11" t="s">
        <v>4766</v>
      </c>
      <c r="G1666" s="11" t="s">
        <v>4767</v>
      </c>
      <c r="H1666" s="11" t="s">
        <v>4768</v>
      </c>
      <c r="I1666" s="11" t="s">
        <v>4601</v>
      </c>
    </row>
    <row r="1667" spans="1:9" x14ac:dyDescent="0.15">
      <c r="A1667" s="10">
        <v>1666</v>
      </c>
      <c r="B1667" s="11" t="s">
        <v>9</v>
      </c>
      <c r="C1667" s="11" t="s">
        <v>170</v>
      </c>
      <c r="D1667" s="11" t="s">
        <v>171</v>
      </c>
      <c r="E1667" s="9" t="str">
        <f>+HYPERLINK("http://trademark.i-assist.jp/data/china/image_1904th/79640817.pdf", "79640817")</f>
        <v>79640817</v>
      </c>
      <c r="F1667" s="11" t="s">
        <v>4769</v>
      </c>
      <c r="G1667" s="11" t="s">
        <v>4770</v>
      </c>
      <c r="H1667" s="11" t="s">
        <v>4771</v>
      </c>
      <c r="I1667" s="11" t="s">
        <v>4601</v>
      </c>
    </row>
    <row r="1668" spans="1:9" x14ac:dyDescent="0.15">
      <c r="A1668" s="10">
        <v>1667</v>
      </c>
      <c r="B1668" s="11" t="s">
        <v>9</v>
      </c>
      <c r="C1668" s="11" t="s">
        <v>170</v>
      </c>
      <c r="D1668" s="11" t="s">
        <v>171</v>
      </c>
      <c r="E1668" s="9" t="str">
        <f>+HYPERLINK("http://trademark.i-assist.jp/data/china/image_1904th/79641074.pdf", "79641074")</f>
        <v>79641074</v>
      </c>
      <c r="F1668" s="11" t="s">
        <v>4772</v>
      </c>
      <c r="G1668" s="11" t="s">
        <v>101</v>
      </c>
      <c r="H1668" s="11" t="s">
        <v>4773</v>
      </c>
      <c r="I1668" s="11" t="s">
        <v>4601</v>
      </c>
    </row>
    <row r="1669" spans="1:9" x14ac:dyDescent="0.15">
      <c r="A1669" s="10">
        <v>1668</v>
      </c>
      <c r="B1669" s="11" t="s">
        <v>9</v>
      </c>
      <c r="C1669" s="11" t="s">
        <v>170</v>
      </c>
      <c r="D1669" s="11" t="s">
        <v>171</v>
      </c>
      <c r="E1669" s="9" t="str">
        <f>+HYPERLINK("http://trademark.i-assist.jp/data/china/image_1904th/79641209.pdf", "79641209")</f>
        <v>79641209</v>
      </c>
      <c r="F1669" s="11" t="s">
        <v>4774</v>
      </c>
      <c r="G1669" s="11" t="s">
        <v>4775</v>
      </c>
      <c r="H1669" s="11" t="s">
        <v>4776</v>
      </c>
      <c r="I1669" s="11" t="s">
        <v>4601</v>
      </c>
    </row>
    <row r="1670" spans="1:9" x14ac:dyDescent="0.15">
      <c r="A1670" s="10">
        <v>1669</v>
      </c>
      <c r="B1670" s="11" t="s">
        <v>9</v>
      </c>
      <c r="C1670" s="11" t="s">
        <v>170</v>
      </c>
      <c r="D1670" s="11" t="s">
        <v>171</v>
      </c>
      <c r="E1670" s="9" t="str">
        <f>+HYPERLINK("http://trademark.i-assist.jp/data/china/image_1904th/79641246.pdf", "79641246")</f>
        <v>79641246</v>
      </c>
      <c r="F1670" s="11" t="s">
        <v>4777</v>
      </c>
      <c r="G1670" s="11" t="s">
        <v>4778</v>
      </c>
      <c r="H1670" s="11" t="s">
        <v>4779</v>
      </c>
      <c r="I1670" s="11" t="s">
        <v>4601</v>
      </c>
    </row>
    <row r="1671" spans="1:9" x14ac:dyDescent="0.15">
      <c r="A1671" s="10">
        <v>1670</v>
      </c>
      <c r="B1671" s="11" t="s">
        <v>9</v>
      </c>
      <c r="C1671" s="11" t="s">
        <v>170</v>
      </c>
      <c r="D1671" s="11" t="s">
        <v>171</v>
      </c>
      <c r="E1671" s="9" t="str">
        <f>+HYPERLINK("http://trademark.i-assist.jp/data/china/image_1904th/79641739.pdf", "79641739")</f>
        <v>79641739</v>
      </c>
      <c r="F1671" s="11" t="s">
        <v>4780</v>
      </c>
      <c r="G1671" s="11" t="s">
        <v>4781</v>
      </c>
      <c r="H1671" s="11" t="s">
        <v>4782</v>
      </c>
      <c r="I1671" s="11" t="s">
        <v>4601</v>
      </c>
    </row>
    <row r="1672" spans="1:9" x14ac:dyDescent="0.15">
      <c r="A1672" s="10">
        <v>1671</v>
      </c>
      <c r="B1672" s="11" t="s">
        <v>9</v>
      </c>
      <c r="C1672" s="11" t="s">
        <v>170</v>
      </c>
      <c r="D1672" s="11" t="s">
        <v>171</v>
      </c>
      <c r="E1672" s="9" t="str">
        <f>+HYPERLINK("http://trademark.i-assist.jp/data/china/image_1904th/79642379.pdf", "79642379")</f>
        <v>79642379</v>
      </c>
      <c r="F1672" s="11" t="s">
        <v>12</v>
      </c>
      <c r="G1672" s="11" t="s">
        <v>4783</v>
      </c>
      <c r="H1672" s="11" t="s">
        <v>4784</v>
      </c>
      <c r="I1672" s="11" t="s">
        <v>4601</v>
      </c>
    </row>
    <row r="1673" spans="1:9" x14ac:dyDescent="0.15">
      <c r="A1673" s="10">
        <v>1672</v>
      </c>
      <c r="B1673" s="11" t="s">
        <v>9</v>
      </c>
      <c r="C1673" s="11" t="s">
        <v>170</v>
      </c>
      <c r="D1673" s="11" t="s">
        <v>171</v>
      </c>
      <c r="E1673" s="9" t="str">
        <f>+HYPERLINK("http://trademark.i-assist.jp/data/china/image_1904th/79642433.pdf", "79642433")</f>
        <v>79642433</v>
      </c>
      <c r="F1673" s="11" t="s">
        <v>4785</v>
      </c>
      <c r="G1673" s="11" t="s">
        <v>4647</v>
      </c>
      <c r="H1673" s="11" t="s">
        <v>4786</v>
      </c>
      <c r="I1673" s="11" t="s">
        <v>4601</v>
      </c>
    </row>
    <row r="1674" spans="1:9" x14ac:dyDescent="0.15">
      <c r="A1674" s="10">
        <v>1673</v>
      </c>
      <c r="B1674" s="11" t="s">
        <v>9</v>
      </c>
      <c r="C1674" s="11" t="s">
        <v>170</v>
      </c>
      <c r="D1674" s="11" t="s">
        <v>171</v>
      </c>
      <c r="E1674" s="9" t="str">
        <f>+HYPERLINK("http://trademark.i-assist.jp/data/china/image_1904th/79644692.pdf", "79644692")</f>
        <v>79644692</v>
      </c>
      <c r="F1674" s="11" t="s">
        <v>4787</v>
      </c>
      <c r="G1674" s="11" t="s">
        <v>4767</v>
      </c>
      <c r="H1674" s="11" t="s">
        <v>4788</v>
      </c>
      <c r="I1674" s="11" t="s">
        <v>4601</v>
      </c>
    </row>
    <row r="1675" spans="1:9" x14ac:dyDescent="0.15">
      <c r="A1675" s="10">
        <v>1674</v>
      </c>
      <c r="B1675" s="11" t="s">
        <v>9</v>
      </c>
      <c r="C1675" s="11" t="s">
        <v>170</v>
      </c>
      <c r="D1675" s="11" t="s">
        <v>171</v>
      </c>
      <c r="E1675" s="9" t="str">
        <f>+HYPERLINK("http://trademark.i-assist.jp/data/china/image_1904th/79645145.pdf", "79645145")</f>
        <v>79645145</v>
      </c>
      <c r="F1675" s="11" t="s">
        <v>4789</v>
      </c>
      <c r="G1675" s="11" t="s">
        <v>4790</v>
      </c>
      <c r="H1675" s="11" t="s">
        <v>4791</v>
      </c>
      <c r="I1675" s="11" t="s">
        <v>4601</v>
      </c>
    </row>
    <row r="1676" spans="1:9" x14ac:dyDescent="0.15">
      <c r="A1676" s="10">
        <v>1675</v>
      </c>
      <c r="B1676" s="11" t="s">
        <v>9</v>
      </c>
      <c r="C1676" s="11" t="s">
        <v>170</v>
      </c>
      <c r="D1676" s="11" t="s">
        <v>171</v>
      </c>
      <c r="E1676" s="9" t="str">
        <f>+HYPERLINK("http://trademark.i-assist.jp/data/china/image_1904th/79646218.pdf", "79646218")</f>
        <v>79646218</v>
      </c>
      <c r="F1676" s="11" t="s">
        <v>4792</v>
      </c>
      <c r="G1676" s="11" t="s">
        <v>4793</v>
      </c>
      <c r="H1676" s="11" t="s">
        <v>4794</v>
      </c>
      <c r="I1676" s="11" t="s">
        <v>4601</v>
      </c>
    </row>
    <row r="1677" spans="1:9" x14ac:dyDescent="0.15">
      <c r="A1677" s="10">
        <v>1676</v>
      </c>
      <c r="B1677" s="11" t="s">
        <v>9</v>
      </c>
      <c r="C1677" s="11" t="s">
        <v>170</v>
      </c>
      <c r="D1677" s="11" t="s">
        <v>171</v>
      </c>
      <c r="E1677" s="9" t="str">
        <f>+HYPERLINK("http://trademark.i-assist.jp/data/china/image_1904th/79646831.pdf", "79646831")</f>
        <v>79646831</v>
      </c>
      <c r="F1677" s="11" t="s">
        <v>4795</v>
      </c>
      <c r="G1677" s="11" t="s">
        <v>4796</v>
      </c>
      <c r="H1677" s="11" t="s">
        <v>4797</v>
      </c>
      <c r="I1677" s="11" t="s">
        <v>4601</v>
      </c>
    </row>
    <row r="1678" spans="1:9" x14ac:dyDescent="0.15">
      <c r="A1678" s="10">
        <v>1677</v>
      </c>
      <c r="B1678" s="11" t="s">
        <v>9</v>
      </c>
      <c r="C1678" s="11" t="s">
        <v>170</v>
      </c>
      <c r="D1678" s="11" t="s">
        <v>171</v>
      </c>
      <c r="E1678" s="9" t="str">
        <f>+HYPERLINK("http://trademark.i-assist.jp/data/china/image_1904th/79647330.pdf", "79647330")</f>
        <v>79647330</v>
      </c>
      <c r="F1678" s="11" t="s">
        <v>12</v>
      </c>
      <c r="G1678" s="11" t="s">
        <v>4798</v>
      </c>
      <c r="H1678" s="11" t="s">
        <v>4799</v>
      </c>
      <c r="I1678" s="11" t="s">
        <v>4601</v>
      </c>
    </row>
    <row r="1679" spans="1:9" x14ac:dyDescent="0.15">
      <c r="A1679" s="10">
        <v>1678</v>
      </c>
      <c r="B1679" s="11" t="s">
        <v>9</v>
      </c>
      <c r="C1679" s="11" t="s">
        <v>170</v>
      </c>
      <c r="D1679" s="11" t="s">
        <v>171</v>
      </c>
      <c r="E1679" s="9" t="str">
        <f>+HYPERLINK("http://trademark.i-assist.jp/data/china/image_1904th/79647820.pdf", "79647820")</f>
        <v>79647820</v>
      </c>
      <c r="F1679" s="11" t="s">
        <v>4800</v>
      </c>
      <c r="G1679" s="11" t="s">
        <v>4801</v>
      </c>
      <c r="H1679" s="11" t="s">
        <v>4802</v>
      </c>
      <c r="I1679" s="11" t="s">
        <v>4803</v>
      </c>
    </row>
    <row r="1680" spans="1:9" x14ac:dyDescent="0.15">
      <c r="A1680" s="10">
        <v>1679</v>
      </c>
      <c r="B1680" s="11" t="s">
        <v>9</v>
      </c>
      <c r="C1680" s="11" t="s">
        <v>170</v>
      </c>
      <c r="D1680" s="11" t="s">
        <v>171</v>
      </c>
      <c r="E1680" s="9" t="str">
        <f>+HYPERLINK("http://trademark.i-assist.jp/data/china/image_1904th/79647844.pdf", "79647844")</f>
        <v>79647844</v>
      </c>
      <c r="F1680" s="11" t="s">
        <v>4804</v>
      </c>
      <c r="G1680" s="11" t="s">
        <v>4805</v>
      </c>
      <c r="H1680" s="11" t="s">
        <v>4806</v>
      </c>
      <c r="I1680" s="11" t="s">
        <v>4803</v>
      </c>
    </row>
    <row r="1681" spans="1:9" x14ac:dyDescent="0.15">
      <c r="A1681" s="10">
        <v>1680</v>
      </c>
      <c r="B1681" s="11" t="s">
        <v>9</v>
      </c>
      <c r="C1681" s="11" t="s">
        <v>170</v>
      </c>
      <c r="D1681" s="11" t="s">
        <v>171</v>
      </c>
      <c r="E1681" s="9" t="str">
        <f>+HYPERLINK("http://trademark.i-assist.jp/data/china/image_1904th/79648538.pdf", "79648538")</f>
        <v>79648538</v>
      </c>
      <c r="F1681" s="11" t="s">
        <v>4807</v>
      </c>
      <c r="G1681" s="11" t="s">
        <v>4808</v>
      </c>
      <c r="H1681" s="11" t="s">
        <v>4809</v>
      </c>
      <c r="I1681" s="11" t="s">
        <v>4803</v>
      </c>
    </row>
    <row r="1682" spans="1:9" x14ac:dyDescent="0.15">
      <c r="A1682" s="10">
        <v>1681</v>
      </c>
      <c r="B1682" s="11" t="s">
        <v>9</v>
      </c>
      <c r="C1682" s="11" t="s">
        <v>170</v>
      </c>
      <c r="D1682" s="11" t="s">
        <v>171</v>
      </c>
      <c r="E1682" s="9" t="str">
        <f>+HYPERLINK("http://trademark.i-assist.jp/data/china/image_1904th/79649649.pdf", "79649649")</f>
        <v>79649649</v>
      </c>
      <c r="F1682" s="11" t="s">
        <v>4810</v>
      </c>
      <c r="G1682" s="11" t="s">
        <v>4811</v>
      </c>
      <c r="H1682" s="11" t="s">
        <v>4812</v>
      </c>
      <c r="I1682" s="11" t="s">
        <v>4803</v>
      </c>
    </row>
    <row r="1683" spans="1:9" x14ac:dyDescent="0.15">
      <c r="A1683" s="10">
        <v>1682</v>
      </c>
      <c r="B1683" s="11" t="s">
        <v>9</v>
      </c>
      <c r="C1683" s="11" t="s">
        <v>170</v>
      </c>
      <c r="D1683" s="11" t="s">
        <v>171</v>
      </c>
      <c r="E1683" s="9" t="str">
        <f>+HYPERLINK("http://trademark.i-assist.jp/data/china/image_1904th/79649812.pdf", "79649812")</f>
        <v>79649812</v>
      </c>
      <c r="F1683" s="11" t="s">
        <v>12</v>
      </c>
      <c r="G1683" s="11" t="s">
        <v>4813</v>
      </c>
      <c r="H1683" s="11" t="s">
        <v>4814</v>
      </c>
      <c r="I1683" s="11" t="s">
        <v>4803</v>
      </c>
    </row>
    <row r="1684" spans="1:9" x14ac:dyDescent="0.15">
      <c r="A1684" s="10">
        <v>1683</v>
      </c>
      <c r="B1684" s="11" t="s">
        <v>9</v>
      </c>
      <c r="C1684" s="11" t="s">
        <v>170</v>
      </c>
      <c r="D1684" s="11" t="s">
        <v>171</v>
      </c>
      <c r="E1684" s="9" t="str">
        <f>+HYPERLINK("http://trademark.i-assist.jp/data/china/image_1904th/79650717.pdf", "79650717")</f>
        <v>79650717</v>
      </c>
      <c r="F1684" s="11" t="s">
        <v>4815</v>
      </c>
      <c r="G1684" s="11" t="s">
        <v>4816</v>
      </c>
      <c r="H1684" s="11" t="s">
        <v>4817</v>
      </c>
      <c r="I1684" s="11" t="s">
        <v>4803</v>
      </c>
    </row>
    <row r="1685" spans="1:9" x14ac:dyDescent="0.15">
      <c r="A1685" s="10">
        <v>1684</v>
      </c>
      <c r="B1685" s="11" t="s">
        <v>9</v>
      </c>
      <c r="C1685" s="11" t="s">
        <v>170</v>
      </c>
      <c r="D1685" s="11" t="s">
        <v>171</v>
      </c>
      <c r="E1685" s="9" t="str">
        <f>+HYPERLINK("http://trademark.i-assist.jp/data/china/image_1904th/79651017.pdf", "79651017")</f>
        <v>79651017</v>
      </c>
      <c r="F1685" s="11" t="s">
        <v>4818</v>
      </c>
      <c r="G1685" s="11" t="s">
        <v>4819</v>
      </c>
      <c r="H1685" s="11" t="s">
        <v>4820</v>
      </c>
      <c r="I1685" s="11" t="s">
        <v>4803</v>
      </c>
    </row>
    <row r="1686" spans="1:9" x14ac:dyDescent="0.15">
      <c r="A1686" s="10">
        <v>1685</v>
      </c>
      <c r="B1686" s="11" t="s">
        <v>9</v>
      </c>
      <c r="C1686" s="11" t="s">
        <v>170</v>
      </c>
      <c r="D1686" s="11" t="s">
        <v>171</v>
      </c>
      <c r="E1686" s="9" t="str">
        <f>+HYPERLINK("http://trademark.i-assist.jp/data/china/image_1904th/79651467.pdf", "79651467")</f>
        <v>79651467</v>
      </c>
      <c r="F1686" s="11" t="s">
        <v>4821</v>
      </c>
      <c r="G1686" s="11" t="s">
        <v>4822</v>
      </c>
      <c r="H1686" s="11" t="s">
        <v>4823</v>
      </c>
      <c r="I1686" s="11" t="s">
        <v>4803</v>
      </c>
    </row>
    <row r="1687" spans="1:9" x14ac:dyDescent="0.15">
      <c r="A1687" s="10">
        <v>1686</v>
      </c>
      <c r="B1687" s="11" t="s">
        <v>9</v>
      </c>
      <c r="C1687" s="11" t="s">
        <v>170</v>
      </c>
      <c r="D1687" s="11" t="s">
        <v>171</v>
      </c>
      <c r="E1687" s="9" t="str">
        <f>+HYPERLINK("http://trademark.i-assist.jp/data/china/image_1904th/79652212.pdf", "79652212")</f>
        <v>79652212</v>
      </c>
      <c r="F1687" s="11" t="s">
        <v>12</v>
      </c>
      <c r="G1687" s="11" t="s">
        <v>4824</v>
      </c>
      <c r="H1687" s="11" t="s">
        <v>4825</v>
      </c>
      <c r="I1687" s="11" t="s">
        <v>4803</v>
      </c>
    </row>
    <row r="1688" spans="1:9" x14ac:dyDescent="0.15">
      <c r="A1688" s="10">
        <v>1687</v>
      </c>
      <c r="B1688" s="11" t="s">
        <v>9</v>
      </c>
      <c r="C1688" s="11" t="s">
        <v>170</v>
      </c>
      <c r="D1688" s="11" t="s">
        <v>171</v>
      </c>
      <c r="E1688" s="9" t="str">
        <f>+HYPERLINK("http://trademark.i-assist.jp/data/china/image_1904th/79655259.pdf", "79655259")</f>
        <v>79655259</v>
      </c>
      <c r="F1688" s="11" t="s">
        <v>4826</v>
      </c>
      <c r="G1688" s="11" t="s">
        <v>4827</v>
      </c>
      <c r="H1688" s="11" t="s">
        <v>4828</v>
      </c>
      <c r="I1688" s="11" t="s">
        <v>4829</v>
      </c>
    </row>
    <row r="1689" spans="1:9" x14ac:dyDescent="0.15">
      <c r="A1689" s="10">
        <v>1688</v>
      </c>
      <c r="B1689" s="11" t="s">
        <v>9</v>
      </c>
      <c r="C1689" s="11" t="s">
        <v>170</v>
      </c>
      <c r="D1689" s="11" t="s">
        <v>171</v>
      </c>
      <c r="E1689" s="9" t="str">
        <f>+HYPERLINK("http://trademark.i-assist.jp/data/china/image_1904th/79655310.pdf", "79655310")</f>
        <v>79655310</v>
      </c>
      <c r="F1689" s="11" t="s">
        <v>4830</v>
      </c>
      <c r="G1689" s="11" t="s">
        <v>4831</v>
      </c>
      <c r="H1689" s="11" t="s">
        <v>4832</v>
      </c>
      <c r="I1689" s="11" t="s">
        <v>4829</v>
      </c>
    </row>
    <row r="1690" spans="1:9" x14ac:dyDescent="0.15">
      <c r="A1690" s="10">
        <v>1689</v>
      </c>
      <c r="B1690" s="11" t="s">
        <v>9</v>
      </c>
      <c r="C1690" s="11" t="s">
        <v>170</v>
      </c>
      <c r="D1690" s="11" t="s">
        <v>171</v>
      </c>
      <c r="E1690" s="9" t="str">
        <f>+HYPERLINK("http://trademark.i-assist.jp/data/china/image_1904th/79655372.pdf", "79655372")</f>
        <v>79655372</v>
      </c>
      <c r="F1690" s="11" t="s">
        <v>4833</v>
      </c>
      <c r="G1690" s="11" t="s">
        <v>4834</v>
      </c>
      <c r="H1690" s="11" t="s">
        <v>4835</v>
      </c>
      <c r="I1690" s="11" t="s">
        <v>4829</v>
      </c>
    </row>
    <row r="1691" spans="1:9" x14ac:dyDescent="0.15">
      <c r="A1691" s="10">
        <v>1690</v>
      </c>
      <c r="B1691" s="11" t="s">
        <v>9</v>
      </c>
      <c r="C1691" s="11" t="s">
        <v>170</v>
      </c>
      <c r="D1691" s="11" t="s">
        <v>171</v>
      </c>
      <c r="E1691" s="9" t="str">
        <f>+HYPERLINK("http://trademark.i-assist.jp/data/china/image_1904th/79655756.pdf", "79655756")</f>
        <v>79655756</v>
      </c>
      <c r="F1691" s="11" t="s">
        <v>4836</v>
      </c>
      <c r="G1691" s="11" t="s">
        <v>4827</v>
      </c>
      <c r="H1691" s="11" t="s">
        <v>4837</v>
      </c>
      <c r="I1691" s="11" t="s">
        <v>4829</v>
      </c>
    </row>
    <row r="1692" spans="1:9" x14ac:dyDescent="0.15">
      <c r="A1692" s="10">
        <v>1691</v>
      </c>
      <c r="B1692" s="11" t="s">
        <v>9</v>
      </c>
      <c r="C1692" s="11" t="s">
        <v>170</v>
      </c>
      <c r="D1692" s="11" t="s">
        <v>171</v>
      </c>
      <c r="E1692" s="9" t="str">
        <f>+HYPERLINK("http://trademark.i-assist.jp/data/china/image_1904th/79656424.pdf", "79656424")</f>
        <v>79656424</v>
      </c>
      <c r="F1692" s="11" t="s">
        <v>4838</v>
      </c>
      <c r="G1692" s="11" t="s">
        <v>4839</v>
      </c>
      <c r="H1692" s="11" t="s">
        <v>4840</v>
      </c>
      <c r="I1692" s="11" t="s">
        <v>4841</v>
      </c>
    </row>
    <row r="1693" spans="1:9" x14ac:dyDescent="0.15">
      <c r="A1693" s="10">
        <v>1692</v>
      </c>
      <c r="B1693" s="11" t="s">
        <v>9</v>
      </c>
      <c r="C1693" s="11" t="s">
        <v>170</v>
      </c>
      <c r="D1693" s="11" t="s">
        <v>171</v>
      </c>
      <c r="E1693" s="9" t="str">
        <f>+HYPERLINK("http://trademark.i-assist.jp/data/china/image_1904th/79656432.pdf", "79656432")</f>
        <v>79656432</v>
      </c>
      <c r="F1693" s="11" t="s">
        <v>12</v>
      </c>
      <c r="G1693" s="11" t="s">
        <v>1707</v>
      </c>
      <c r="H1693" s="11" t="s">
        <v>4842</v>
      </c>
      <c r="I1693" s="11" t="s">
        <v>4841</v>
      </c>
    </row>
    <row r="1694" spans="1:9" x14ac:dyDescent="0.15">
      <c r="A1694" s="10">
        <v>1693</v>
      </c>
      <c r="B1694" s="11" t="s">
        <v>9</v>
      </c>
      <c r="C1694" s="11" t="s">
        <v>170</v>
      </c>
      <c r="D1694" s="11" t="s">
        <v>171</v>
      </c>
      <c r="E1694" s="9" t="str">
        <f>+HYPERLINK("http://trademark.i-assist.jp/data/china/image_1904th/79656605.pdf", "79656605")</f>
        <v>79656605</v>
      </c>
      <c r="F1694" s="11" t="s">
        <v>4843</v>
      </c>
      <c r="G1694" s="11" t="s">
        <v>4844</v>
      </c>
      <c r="H1694" s="11" t="s">
        <v>4845</v>
      </c>
      <c r="I1694" s="11" t="s">
        <v>4841</v>
      </c>
    </row>
    <row r="1695" spans="1:9" x14ac:dyDescent="0.15">
      <c r="A1695" s="10">
        <v>1694</v>
      </c>
      <c r="B1695" s="11" t="s">
        <v>9</v>
      </c>
      <c r="C1695" s="11" t="s">
        <v>170</v>
      </c>
      <c r="D1695" s="11" t="s">
        <v>171</v>
      </c>
      <c r="E1695" s="9" t="str">
        <f>+HYPERLINK("http://trademark.i-assist.jp/data/china/image_1904th/79656829.pdf", "79656829")</f>
        <v>79656829</v>
      </c>
      <c r="F1695" s="11" t="s">
        <v>4846</v>
      </c>
      <c r="G1695" s="11" t="s">
        <v>4847</v>
      </c>
      <c r="H1695" s="11" t="s">
        <v>4848</v>
      </c>
      <c r="I1695" s="11" t="s">
        <v>4841</v>
      </c>
    </row>
    <row r="1696" spans="1:9" x14ac:dyDescent="0.15">
      <c r="A1696" s="10">
        <v>1695</v>
      </c>
      <c r="B1696" s="11" t="s">
        <v>9</v>
      </c>
      <c r="C1696" s="11" t="s">
        <v>170</v>
      </c>
      <c r="D1696" s="11" t="s">
        <v>171</v>
      </c>
      <c r="E1696" s="9" t="str">
        <f>+HYPERLINK("http://trademark.i-assist.jp/data/china/image_1904th/79657668.pdf", "79657668")</f>
        <v>79657668</v>
      </c>
      <c r="F1696" s="11" t="s">
        <v>4849</v>
      </c>
      <c r="G1696" s="11" t="s">
        <v>4850</v>
      </c>
      <c r="H1696" s="11" t="s">
        <v>4851</v>
      </c>
      <c r="I1696" s="11" t="s">
        <v>4841</v>
      </c>
    </row>
    <row r="1697" spans="1:9" x14ac:dyDescent="0.15">
      <c r="A1697" s="10">
        <v>1696</v>
      </c>
      <c r="B1697" s="11" t="s">
        <v>9</v>
      </c>
      <c r="C1697" s="11" t="s">
        <v>170</v>
      </c>
      <c r="D1697" s="11" t="s">
        <v>171</v>
      </c>
      <c r="E1697" s="9" t="str">
        <f>+HYPERLINK("http://trademark.i-assist.jp/data/china/image_1904th/79658611.pdf", "79658611")</f>
        <v>79658611</v>
      </c>
      <c r="F1697" s="11" t="s">
        <v>12</v>
      </c>
      <c r="G1697" s="11" t="s">
        <v>4852</v>
      </c>
      <c r="H1697" s="11" t="s">
        <v>4853</v>
      </c>
      <c r="I1697" s="11" t="s">
        <v>4841</v>
      </c>
    </row>
    <row r="1698" spans="1:9" x14ac:dyDescent="0.15">
      <c r="A1698" s="10">
        <v>1697</v>
      </c>
      <c r="B1698" s="11" t="s">
        <v>9</v>
      </c>
      <c r="C1698" s="11" t="s">
        <v>170</v>
      </c>
      <c r="D1698" s="11" t="s">
        <v>171</v>
      </c>
      <c r="E1698" s="9" t="str">
        <f>+HYPERLINK("http://trademark.i-assist.jp/data/china/image_1904th/79658830.pdf", "79658830")</f>
        <v>79658830</v>
      </c>
      <c r="F1698" s="11" t="s">
        <v>4854</v>
      </c>
      <c r="G1698" s="11" t="s">
        <v>4855</v>
      </c>
      <c r="H1698" s="11" t="s">
        <v>4856</v>
      </c>
      <c r="I1698" s="11" t="s">
        <v>4841</v>
      </c>
    </row>
    <row r="1699" spans="1:9" x14ac:dyDescent="0.15">
      <c r="A1699" s="10">
        <v>1698</v>
      </c>
      <c r="B1699" s="11" t="s">
        <v>9</v>
      </c>
      <c r="C1699" s="11" t="s">
        <v>170</v>
      </c>
      <c r="D1699" s="11" t="s">
        <v>171</v>
      </c>
      <c r="E1699" s="9" t="str">
        <f>+HYPERLINK("http://trademark.i-assist.jp/data/china/image_1904th/79659106.pdf", "79659106")</f>
        <v>79659106</v>
      </c>
      <c r="F1699" s="11" t="s">
        <v>4857</v>
      </c>
      <c r="G1699" s="11" t="s">
        <v>4858</v>
      </c>
      <c r="H1699" s="11" t="s">
        <v>4859</v>
      </c>
      <c r="I1699" s="11" t="s">
        <v>4841</v>
      </c>
    </row>
    <row r="1700" spans="1:9" x14ac:dyDescent="0.15">
      <c r="A1700" s="10">
        <v>1699</v>
      </c>
      <c r="B1700" s="11" t="s">
        <v>9</v>
      </c>
      <c r="C1700" s="11" t="s">
        <v>170</v>
      </c>
      <c r="D1700" s="11" t="s">
        <v>171</v>
      </c>
      <c r="E1700" s="9" t="str">
        <f>+HYPERLINK("http://trademark.i-assist.jp/data/china/image_1904th/79659377.pdf", "79659377")</f>
        <v>79659377</v>
      </c>
      <c r="F1700" s="11" t="s">
        <v>4860</v>
      </c>
      <c r="G1700" s="11" t="s">
        <v>25</v>
      </c>
      <c r="H1700" s="11" t="s">
        <v>4861</v>
      </c>
      <c r="I1700" s="11" t="s">
        <v>4841</v>
      </c>
    </row>
    <row r="1701" spans="1:9" x14ac:dyDescent="0.15">
      <c r="A1701" s="10">
        <v>1700</v>
      </c>
      <c r="B1701" s="11" t="s">
        <v>9</v>
      </c>
      <c r="C1701" s="11" t="s">
        <v>170</v>
      </c>
      <c r="D1701" s="11" t="s">
        <v>171</v>
      </c>
      <c r="E1701" s="9" t="str">
        <f>+HYPERLINK("http://trademark.i-assist.jp/data/china/image_1904th/79659952.pdf", "79659952")</f>
        <v>79659952</v>
      </c>
      <c r="F1701" s="11" t="s">
        <v>4862</v>
      </c>
      <c r="G1701" s="11" t="s">
        <v>4863</v>
      </c>
      <c r="H1701" s="11" t="s">
        <v>4864</v>
      </c>
      <c r="I1701" s="11" t="s">
        <v>4841</v>
      </c>
    </row>
    <row r="1702" spans="1:9" x14ac:dyDescent="0.15">
      <c r="A1702" s="10">
        <v>1701</v>
      </c>
      <c r="B1702" s="11" t="s">
        <v>9</v>
      </c>
      <c r="C1702" s="11" t="s">
        <v>170</v>
      </c>
      <c r="D1702" s="11" t="s">
        <v>171</v>
      </c>
      <c r="E1702" s="9" t="str">
        <f>+HYPERLINK("http://trademark.i-assist.jp/data/china/image_1904th/79660109.pdf", "79660109")</f>
        <v>79660109</v>
      </c>
      <c r="F1702" s="11" t="s">
        <v>4865</v>
      </c>
      <c r="G1702" s="11" t="s">
        <v>141</v>
      </c>
      <c r="H1702" s="11" t="s">
        <v>4866</v>
      </c>
      <c r="I1702" s="11" t="s">
        <v>4841</v>
      </c>
    </row>
    <row r="1703" spans="1:9" x14ac:dyDescent="0.15">
      <c r="A1703" s="10">
        <v>1702</v>
      </c>
      <c r="B1703" s="11" t="s">
        <v>9</v>
      </c>
      <c r="C1703" s="11" t="s">
        <v>170</v>
      </c>
      <c r="D1703" s="11" t="s">
        <v>171</v>
      </c>
      <c r="E1703" s="9" t="str">
        <f>+HYPERLINK("http://trademark.i-assist.jp/data/china/image_1904th/79660177.pdf", "79660177")</f>
        <v>79660177</v>
      </c>
      <c r="F1703" s="11" t="s">
        <v>4867</v>
      </c>
      <c r="G1703" s="11" t="s">
        <v>4868</v>
      </c>
      <c r="H1703" s="11" t="s">
        <v>4869</v>
      </c>
      <c r="I1703" s="11" t="s">
        <v>4841</v>
      </c>
    </row>
    <row r="1704" spans="1:9" x14ac:dyDescent="0.15">
      <c r="A1704" s="10">
        <v>1703</v>
      </c>
      <c r="B1704" s="11" t="s">
        <v>9</v>
      </c>
      <c r="C1704" s="11" t="s">
        <v>170</v>
      </c>
      <c r="D1704" s="11" t="s">
        <v>171</v>
      </c>
      <c r="E1704" s="9" t="str">
        <f>+HYPERLINK("http://trademark.i-assist.jp/data/china/image_1904th/79660217.pdf", "79660217")</f>
        <v>79660217</v>
      </c>
      <c r="F1704" s="11" t="s">
        <v>4870</v>
      </c>
      <c r="G1704" s="11" t="s">
        <v>4871</v>
      </c>
      <c r="H1704" s="11" t="s">
        <v>4872</v>
      </c>
      <c r="I1704" s="11" t="s">
        <v>4841</v>
      </c>
    </row>
    <row r="1705" spans="1:9" x14ac:dyDescent="0.15">
      <c r="A1705" s="10">
        <v>1704</v>
      </c>
      <c r="B1705" s="11" t="s">
        <v>9</v>
      </c>
      <c r="C1705" s="11" t="s">
        <v>170</v>
      </c>
      <c r="D1705" s="11" t="s">
        <v>171</v>
      </c>
      <c r="E1705" s="9" t="str">
        <f>+HYPERLINK("http://trademark.i-assist.jp/data/china/image_1904th/79660263.pdf", "79660263")</f>
        <v>79660263</v>
      </c>
      <c r="F1705" s="11" t="s">
        <v>4873</v>
      </c>
      <c r="G1705" s="11" t="s">
        <v>4874</v>
      </c>
      <c r="H1705" s="11" t="s">
        <v>4875</v>
      </c>
      <c r="I1705" s="11" t="s">
        <v>4841</v>
      </c>
    </row>
    <row r="1706" spans="1:9" x14ac:dyDescent="0.15">
      <c r="A1706" s="10">
        <v>1705</v>
      </c>
      <c r="B1706" s="11" t="s">
        <v>9</v>
      </c>
      <c r="C1706" s="11" t="s">
        <v>170</v>
      </c>
      <c r="D1706" s="11" t="s">
        <v>171</v>
      </c>
      <c r="E1706" s="9" t="str">
        <f>+HYPERLINK("http://trademark.i-assist.jp/data/china/image_1904th/79660267.pdf", "79660267")</f>
        <v>79660267</v>
      </c>
      <c r="F1706" s="11" t="s">
        <v>4876</v>
      </c>
      <c r="G1706" s="11" t="s">
        <v>4874</v>
      </c>
      <c r="H1706" s="11" t="s">
        <v>4877</v>
      </c>
      <c r="I1706" s="11" t="s">
        <v>4841</v>
      </c>
    </row>
    <row r="1707" spans="1:9" x14ac:dyDescent="0.15">
      <c r="A1707" s="10">
        <v>1706</v>
      </c>
      <c r="B1707" s="11" t="s">
        <v>9</v>
      </c>
      <c r="C1707" s="11" t="s">
        <v>170</v>
      </c>
      <c r="D1707" s="11" t="s">
        <v>171</v>
      </c>
      <c r="E1707" s="9" t="str">
        <f>+HYPERLINK("http://trademark.i-assist.jp/data/china/image_1904th/79660544.pdf", "79660544")</f>
        <v>79660544</v>
      </c>
      <c r="F1707" s="11" t="s">
        <v>4878</v>
      </c>
      <c r="G1707" s="11" t="s">
        <v>4879</v>
      </c>
      <c r="H1707" s="11" t="s">
        <v>4880</v>
      </c>
      <c r="I1707" s="11" t="s">
        <v>4841</v>
      </c>
    </row>
    <row r="1708" spans="1:9" x14ac:dyDescent="0.15">
      <c r="A1708" s="10">
        <v>1707</v>
      </c>
      <c r="B1708" s="11" t="s">
        <v>9</v>
      </c>
      <c r="C1708" s="11" t="s">
        <v>170</v>
      </c>
      <c r="D1708" s="11" t="s">
        <v>171</v>
      </c>
      <c r="E1708" s="9" t="str">
        <f>+HYPERLINK("http://trademark.i-assist.jp/data/china/image_1904th/79661476.pdf", "79661476")</f>
        <v>79661476</v>
      </c>
      <c r="F1708" s="11" t="s">
        <v>4881</v>
      </c>
      <c r="G1708" s="11" t="s">
        <v>4882</v>
      </c>
      <c r="H1708" s="11" t="s">
        <v>4883</v>
      </c>
      <c r="I1708" s="11" t="s">
        <v>4841</v>
      </c>
    </row>
    <row r="1709" spans="1:9" x14ac:dyDescent="0.15">
      <c r="A1709" s="10">
        <v>1708</v>
      </c>
      <c r="B1709" s="11" t="s">
        <v>9</v>
      </c>
      <c r="C1709" s="11" t="s">
        <v>170</v>
      </c>
      <c r="D1709" s="11" t="s">
        <v>171</v>
      </c>
      <c r="E1709" s="9" t="str">
        <f>+HYPERLINK("http://trademark.i-assist.jp/data/china/image_1904th/79661873.pdf", "79661873")</f>
        <v>79661873</v>
      </c>
      <c r="F1709" s="11" t="s">
        <v>4884</v>
      </c>
      <c r="G1709" s="11" t="s">
        <v>4885</v>
      </c>
      <c r="H1709" s="11" t="s">
        <v>4886</v>
      </c>
      <c r="I1709" s="11" t="s">
        <v>4841</v>
      </c>
    </row>
    <row r="1710" spans="1:9" x14ac:dyDescent="0.15">
      <c r="A1710" s="10">
        <v>1709</v>
      </c>
      <c r="B1710" s="11" t="s">
        <v>9</v>
      </c>
      <c r="C1710" s="11" t="s">
        <v>170</v>
      </c>
      <c r="D1710" s="11" t="s">
        <v>171</v>
      </c>
      <c r="E1710" s="9" t="str">
        <f>+HYPERLINK("http://trademark.i-assist.jp/data/china/image_1904th/79662097.pdf", "79662097")</f>
        <v>79662097</v>
      </c>
      <c r="F1710" s="11" t="s">
        <v>4887</v>
      </c>
      <c r="G1710" s="11" t="s">
        <v>4888</v>
      </c>
      <c r="H1710" s="11" t="s">
        <v>4889</v>
      </c>
      <c r="I1710" s="11" t="s">
        <v>4841</v>
      </c>
    </row>
    <row r="1711" spans="1:9" x14ac:dyDescent="0.15">
      <c r="A1711" s="10">
        <v>1710</v>
      </c>
      <c r="B1711" s="11" t="s">
        <v>9</v>
      </c>
      <c r="C1711" s="11" t="s">
        <v>170</v>
      </c>
      <c r="D1711" s="11" t="s">
        <v>171</v>
      </c>
      <c r="E1711" s="9" t="str">
        <f>+HYPERLINK("http://trademark.i-assist.jp/data/china/image_1904th/79662820.pdf", "79662820")</f>
        <v>79662820</v>
      </c>
      <c r="F1711" s="11" t="s">
        <v>12</v>
      </c>
      <c r="G1711" s="11" t="s">
        <v>4890</v>
      </c>
      <c r="H1711" s="11" t="s">
        <v>4891</v>
      </c>
      <c r="I1711" s="11" t="s">
        <v>4841</v>
      </c>
    </row>
    <row r="1712" spans="1:9" x14ac:dyDescent="0.15">
      <c r="A1712" s="10">
        <v>1711</v>
      </c>
      <c r="B1712" s="11" t="s">
        <v>9</v>
      </c>
      <c r="C1712" s="11" t="s">
        <v>170</v>
      </c>
      <c r="D1712" s="11" t="s">
        <v>171</v>
      </c>
      <c r="E1712" s="9" t="str">
        <f>+HYPERLINK("http://trademark.i-assist.jp/data/china/image_1904th/79664379.pdf", "79664379")</f>
        <v>79664379</v>
      </c>
      <c r="F1712" s="11" t="s">
        <v>4892</v>
      </c>
      <c r="G1712" s="11" t="s">
        <v>4893</v>
      </c>
      <c r="H1712" s="11" t="s">
        <v>4894</v>
      </c>
      <c r="I1712" s="11" t="s">
        <v>4841</v>
      </c>
    </row>
    <row r="1713" spans="1:9" x14ac:dyDescent="0.15">
      <c r="A1713" s="10">
        <v>1712</v>
      </c>
      <c r="B1713" s="11" t="s">
        <v>9</v>
      </c>
      <c r="C1713" s="11" t="s">
        <v>170</v>
      </c>
      <c r="D1713" s="11" t="s">
        <v>171</v>
      </c>
      <c r="E1713" s="9" t="str">
        <f>+HYPERLINK("http://trademark.i-assist.jp/data/china/image_1904th/79665018.pdf", "79665018")</f>
        <v>79665018</v>
      </c>
      <c r="F1713" s="11" t="s">
        <v>4895</v>
      </c>
      <c r="G1713" s="11" t="s">
        <v>4896</v>
      </c>
      <c r="H1713" s="11" t="s">
        <v>4897</v>
      </c>
      <c r="I1713" s="11" t="s">
        <v>4841</v>
      </c>
    </row>
    <row r="1714" spans="1:9" x14ac:dyDescent="0.15">
      <c r="A1714" s="10">
        <v>1713</v>
      </c>
      <c r="B1714" s="11" t="s">
        <v>9</v>
      </c>
      <c r="C1714" s="11" t="s">
        <v>170</v>
      </c>
      <c r="D1714" s="11" t="s">
        <v>171</v>
      </c>
      <c r="E1714" s="9" t="str">
        <f>+HYPERLINK("http://trademark.i-assist.jp/data/china/image_1904th/79665200.pdf", "79665200")</f>
        <v>79665200</v>
      </c>
      <c r="F1714" s="11" t="s">
        <v>4898</v>
      </c>
      <c r="G1714" s="11" t="s">
        <v>4899</v>
      </c>
      <c r="H1714" s="11" t="s">
        <v>4900</v>
      </c>
      <c r="I1714" s="11" t="s">
        <v>4841</v>
      </c>
    </row>
    <row r="1715" spans="1:9" x14ac:dyDescent="0.15">
      <c r="A1715" s="10">
        <v>1714</v>
      </c>
      <c r="B1715" s="11" t="s">
        <v>9</v>
      </c>
      <c r="C1715" s="11" t="s">
        <v>170</v>
      </c>
      <c r="D1715" s="11" t="s">
        <v>171</v>
      </c>
      <c r="E1715" s="9" t="str">
        <f>+HYPERLINK("http://trademark.i-assist.jp/data/china/image_1904th/79665441.pdf", "79665441")</f>
        <v>79665441</v>
      </c>
      <c r="F1715" s="11" t="s">
        <v>4901</v>
      </c>
      <c r="G1715" s="11" t="s">
        <v>4902</v>
      </c>
      <c r="H1715" s="11" t="s">
        <v>4903</v>
      </c>
      <c r="I1715" s="11" t="s">
        <v>4841</v>
      </c>
    </row>
    <row r="1716" spans="1:9" x14ac:dyDescent="0.15">
      <c r="A1716" s="10">
        <v>1715</v>
      </c>
      <c r="B1716" s="11" t="s">
        <v>9</v>
      </c>
      <c r="C1716" s="11" t="s">
        <v>170</v>
      </c>
      <c r="D1716" s="11" t="s">
        <v>171</v>
      </c>
      <c r="E1716" s="9" t="str">
        <f>+HYPERLINK("http://trademark.i-assist.jp/data/china/image_1904th/79667505.pdf", "79667505")</f>
        <v>79667505</v>
      </c>
      <c r="F1716" s="11" t="s">
        <v>4904</v>
      </c>
      <c r="G1716" s="11" t="s">
        <v>4905</v>
      </c>
      <c r="H1716" s="11" t="s">
        <v>4906</v>
      </c>
      <c r="I1716" s="11" t="s">
        <v>4841</v>
      </c>
    </row>
    <row r="1717" spans="1:9" x14ac:dyDescent="0.15">
      <c r="A1717" s="10">
        <v>1716</v>
      </c>
      <c r="B1717" s="11" t="s">
        <v>9</v>
      </c>
      <c r="C1717" s="11" t="s">
        <v>170</v>
      </c>
      <c r="D1717" s="11" t="s">
        <v>171</v>
      </c>
      <c r="E1717" s="9" t="str">
        <f>+HYPERLINK("http://trademark.i-assist.jp/data/china/image_1904th/79668535.pdf", "79668535")</f>
        <v>79668535</v>
      </c>
      <c r="F1717" s="11" t="s">
        <v>4907</v>
      </c>
      <c r="G1717" s="11" t="s">
        <v>4908</v>
      </c>
      <c r="H1717" s="11" t="s">
        <v>4909</v>
      </c>
      <c r="I1717" s="11" t="s">
        <v>4841</v>
      </c>
    </row>
    <row r="1718" spans="1:9" x14ac:dyDescent="0.15">
      <c r="A1718" s="10">
        <v>1717</v>
      </c>
      <c r="B1718" s="11" t="s">
        <v>9</v>
      </c>
      <c r="C1718" s="11" t="s">
        <v>170</v>
      </c>
      <c r="D1718" s="11" t="s">
        <v>171</v>
      </c>
      <c r="E1718" s="9" t="str">
        <f>+HYPERLINK("http://trademark.i-assist.jp/data/china/image_1904th/79668643.pdf", "79668643")</f>
        <v>79668643</v>
      </c>
      <c r="F1718" s="11" t="s">
        <v>4910</v>
      </c>
      <c r="G1718" s="11" t="s">
        <v>4911</v>
      </c>
      <c r="H1718" s="11" t="s">
        <v>4912</v>
      </c>
      <c r="I1718" s="11" t="s">
        <v>4841</v>
      </c>
    </row>
    <row r="1719" spans="1:9" x14ac:dyDescent="0.15">
      <c r="A1719" s="10">
        <v>1718</v>
      </c>
      <c r="B1719" s="11" t="s">
        <v>9</v>
      </c>
      <c r="C1719" s="11" t="s">
        <v>170</v>
      </c>
      <c r="D1719" s="11" t="s">
        <v>171</v>
      </c>
      <c r="E1719" s="9" t="str">
        <f>+HYPERLINK("http://trademark.i-assist.jp/data/china/image_1904th/79669383.pdf", "79669383")</f>
        <v>79669383</v>
      </c>
      <c r="F1719" s="11" t="s">
        <v>4913</v>
      </c>
      <c r="G1719" s="11" t="s">
        <v>4914</v>
      </c>
      <c r="H1719" s="11" t="s">
        <v>4915</v>
      </c>
      <c r="I1719" s="11" t="s">
        <v>4841</v>
      </c>
    </row>
    <row r="1720" spans="1:9" x14ac:dyDescent="0.15">
      <c r="A1720" s="10">
        <v>1719</v>
      </c>
      <c r="B1720" s="11" t="s">
        <v>9</v>
      </c>
      <c r="C1720" s="11" t="s">
        <v>170</v>
      </c>
      <c r="D1720" s="11" t="s">
        <v>171</v>
      </c>
      <c r="E1720" s="9" t="str">
        <f>+HYPERLINK("http://trademark.i-assist.jp/data/china/image_1904th/79669872.pdf", "79669872")</f>
        <v>79669872</v>
      </c>
      <c r="F1720" s="11" t="s">
        <v>4916</v>
      </c>
      <c r="G1720" s="11" t="s">
        <v>4917</v>
      </c>
      <c r="H1720" s="11" t="s">
        <v>4918</v>
      </c>
      <c r="I1720" s="11" t="s">
        <v>4841</v>
      </c>
    </row>
    <row r="1721" spans="1:9" x14ac:dyDescent="0.15">
      <c r="A1721" s="10">
        <v>1720</v>
      </c>
      <c r="B1721" s="11" t="s">
        <v>9</v>
      </c>
      <c r="C1721" s="11" t="s">
        <v>170</v>
      </c>
      <c r="D1721" s="11" t="s">
        <v>171</v>
      </c>
      <c r="E1721" s="9" t="str">
        <f>+HYPERLINK("http://trademark.i-assist.jp/data/china/image_1904th/79671020.pdf", "79671020")</f>
        <v>79671020</v>
      </c>
      <c r="F1721" s="11" t="s">
        <v>4919</v>
      </c>
      <c r="G1721" s="11" t="s">
        <v>4920</v>
      </c>
      <c r="H1721" s="11" t="s">
        <v>4921</v>
      </c>
      <c r="I1721" s="11" t="s">
        <v>4841</v>
      </c>
    </row>
    <row r="1722" spans="1:9" x14ac:dyDescent="0.15">
      <c r="A1722" s="10">
        <v>1721</v>
      </c>
      <c r="B1722" s="11" t="s">
        <v>9</v>
      </c>
      <c r="C1722" s="11" t="s">
        <v>170</v>
      </c>
      <c r="D1722" s="11" t="s">
        <v>171</v>
      </c>
      <c r="E1722" s="9" t="str">
        <f>+HYPERLINK("http://trademark.i-assist.jp/data/china/image_1904th/79671428.pdf", "79671428")</f>
        <v>79671428</v>
      </c>
      <c r="F1722" s="11" t="s">
        <v>4922</v>
      </c>
      <c r="G1722" s="11" t="s">
        <v>4923</v>
      </c>
      <c r="H1722" s="11" t="s">
        <v>4924</v>
      </c>
      <c r="I1722" s="11" t="s">
        <v>4841</v>
      </c>
    </row>
    <row r="1723" spans="1:9" x14ac:dyDescent="0.15">
      <c r="A1723" s="10">
        <v>1722</v>
      </c>
      <c r="B1723" s="11" t="s">
        <v>9</v>
      </c>
      <c r="C1723" s="11" t="s">
        <v>170</v>
      </c>
      <c r="D1723" s="11" t="s">
        <v>171</v>
      </c>
      <c r="E1723" s="9" t="str">
        <f>+HYPERLINK("http://trademark.i-assist.jp/data/china/image_1904th/79671483.pdf", "79671483")</f>
        <v>79671483</v>
      </c>
      <c r="F1723" s="11" t="s">
        <v>4849</v>
      </c>
      <c r="G1723" s="11" t="s">
        <v>4850</v>
      </c>
      <c r="H1723" s="11" t="s">
        <v>4925</v>
      </c>
      <c r="I1723" s="11" t="s">
        <v>4841</v>
      </c>
    </row>
    <row r="1724" spans="1:9" x14ac:dyDescent="0.15">
      <c r="A1724" s="10">
        <v>1723</v>
      </c>
      <c r="B1724" s="11" t="s">
        <v>9</v>
      </c>
      <c r="C1724" s="11" t="s">
        <v>170</v>
      </c>
      <c r="D1724" s="11" t="s">
        <v>171</v>
      </c>
      <c r="E1724" s="9" t="str">
        <f>+HYPERLINK("http://trademark.i-assist.jp/data/china/image_1904th/79672311.pdf", "79672311")</f>
        <v>79672311</v>
      </c>
      <c r="F1724" s="11" t="s">
        <v>4926</v>
      </c>
      <c r="G1724" s="11" t="s">
        <v>4927</v>
      </c>
      <c r="H1724" s="11" t="s">
        <v>4928</v>
      </c>
      <c r="I1724" s="11" t="s">
        <v>4841</v>
      </c>
    </row>
    <row r="1725" spans="1:9" x14ac:dyDescent="0.15">
      <c r="A1725" s="10">
        <v>1724</v>
      </c>
      <c r="B1725" s="11" t="s">
        <v>9</v>
      </c>
      <c r="C1725" s="11" t="s">
        <v>170</v>
      </c>
      <c r="D1725" s="11" t="s">
        <v>171</v>
      </c>
      <c r="E1725" s="9" t="str">
        <f>+HYPERLINK("http://trademark.i-assist.jp/data/china/image_1904th/79672466.pdf", "79672466")</f>
        <v>79672466</v>
      </c>
      <c r="F1725" s="11" t="s">
        <v>4929</v>
      </c>
      <c r="G1725" s="11" t="s">
        <v>4893</v>
      </c>
      <c r="H1725" s="11" t="s">
        <v>4930</v>
      </c>
      <c r="I1725" s="11" t="s">
        <v>4841</v>
      </c>
    </row>
    <row r="1726" spans="1:9" x14ac:dyDescent="0.15">
      <c r="A1726" s="10">
        <v>1725</v>
      </c>
      <c r="B1726" s="11" t="s">
        <v>9</v>
      </c>
      <c r="C1726" s="11" t="s">
        <v>170</v>
      </c>
      <c r="D1726" s="11" t="s">
        <v>171</v>
      </c>
      <c r="E1726" s="9" t="str">
        <f>+HYPERLINK("http://trademark.i-assist.jp/data/china/image_1904th/79673291.pdf", "79673291")</f>
        <v>79673291</v>
      </c>
      <c r="F1726" s="11" t="s">
        <v>4931</v>
      </c>
      <c r="G1726" s="11" t="s">
        <v>4932</v>
      </c>
      <c r="H1726" s="11" t="s">
        <v>4933</v>
      </c>
      <c r="I1726" s="11" t="s">
        <v>4841</v>
      </c>
    </row>
    <row r="1727" spans="1:9" x14ac:dyDescent="0.15">
      <c r="A1727" s="10">
        <v>1726</v>
      </c>
      <c r="B1727" s="11" t="s">
        <v>9</v>
      </c>
      <c r="C1727" s="11" t="s">
        <v>170</v>
      </c>
      <c r="D1727" s="11" t="s">
        <v>171</v>
      </c>
      <c r="E1727" s="9" t="str">
        <f>+HYPERLINK("http://trademark.i-assist.jp/data/china/image_1904th/79673529.pdf", "79673529")</f>
        <v>79673529</v>
      </c>
      <c r="F1727" s="11" t="s">
        <v>4934</v>
      </c>
      <c r="G1727" s="11" t="s">
        <v>4935</v>
      </c>
      <c r="H1727" s="11" t="s">
        <v>4936</v>
      </c>
      <c r="I1727" s="11" t="s">
        <v>4841</v>
      </c>
    </row>
    <row r="1728" spans="1:9" x14ac:dyDescent="0.15">
      <c r="A1728" s="10">
        <v>1727</v>
      </c>
      <c r="B1728" s="11" t="s">
        <v>9</v>
      </c>
      <c r="C1728" s="11" t="s">
        <v>170</v>
      </c>
      <c r="D1728" s="11" t="s">
        <v>171</v>
      </c>
      <c r="E1728" s="9" t="str">
        <f>+HYPERLINK("http://trademark.i-assist.jp/data/china/image_1904th/79674183.pdf", "79674183")</f>
        <v>79674183</v>
      </c>
      <c r="F1728" s="11" t="s">
        <v>4937</v>
      </c>
      <c r="G1728" s="11" t="s">
        <v>4938</v>
      </c>
      <c r="H1728" s="11" t="s">
        <v>4939</v>
      </c>
      <c r="I1728" s="11" t="s">
        <v>4841</v>
      </c>
    </row>
    <row r="1729" spans="1:9" x14ac:dyDescent="0.15">
      <c r="A1729" s="10">
        <v>1728</v>
      </c>
      <c r="B1729" s="11" t="s">
        <v>9</v>
      </c>
      <c r="C1729" s="11" t="s">
        <v>170</v>
      </c>
      <c r="D1729" s="11" t="s">
        <v>171</v>
      </c>
      <c r="E1729" s="9" t="str">
        <f>+HYPERLINK("http://trademark.i-assist.jp/data/china/image_1904th/79674958.pdf", "79674958")</f>
        <v>79674958</v>
      </c>
      <c r="F1729" s="11" t="s">
        <v>4940</v>
      </c>
      <c r="G1729" s="11" t="s">
        <v>4893</v>
      </c>
      <c r="H1729" s="11" t="s">
        <v>4941</v>
      </c>
      <c r="I1729" s="11" t="s">
        <v>4841</v>
      </c>
    </row>
    <row r="1730" spans="1:9" x14ac:dyDescent="0.15">
      <c r="A1730" s="10">
        <v>1729</v>
      </c>
      <c r="B1730" s="11" t="s">
        <v>9</v>
      </c>
      <c r="C1730" s="11" t="s">
        <v>170</v>
      </c>
      <c r="D1730" s="11" t="s">
        <v>171</v>
      </c>
      <c r="E1730" s="9" t="str">
        <f>+HYPERLINK("http://trademark.i-assist.jp/data/china/image_1904th/79676219.pdf", "79676219")</f>
        <v>79676219</v>
      </c>
      <c r="F1730" s="11" t="s">
        <v>4942</v>
      </c>
      <c r="G1730" s="11" t="s">
        <v>4943</v>
      </c>
      <c r="H1730" s="11" t="s">
        <v>4944</v>
      </c>
      <c r="I1730" s="11" t="s">
        <v>4841</v>
      </c>
    </row>
    <row r="1731" spans="1:9" x14ac:dyDescent="0.15">
      <c r="A1731" s="10">
        <v>1730</v>
      </c>
      <c r="B1731" s="11" t="s">
        <v>9</v>
      </c>
      <c r="C1731" s="11" t="s">
        <v>170</v>
      </c>
      <c r="D1731" s="11" t="s">
        <v>171</v>
      </c>
      <c r="E1731" s="9" t="str">
        <f>+HYPERLINK("http://trademark.i-assist.jp/data/china/image_1904th/79676975.pdf", "79676975")</f>
        <v>79676975</v>
      </c>
      <c r="F1731" s="11" t="s">
        <v>4945</v>
      </c>
      <c r="G1731" s="11" t="s">
        <v>4888</v>
      </c>
      <c r="H1731" s="11" t="s">
        <v>4946</v>
      </c>
      <c r="I1731" s="11" t="s">
        <v>4841</v>
      </c>
    </row>
    <row r="1732" spans="1:9" x14ac:dyDescent="0.15">
      <c r="A1732" s="10">
        <v>1731</v>
      </c>
      <c r="B1732" s="11" t="s">
        <v>9</v>
      </c>
      <c r="C1732" s="11" t="s">
        <v>170</v>
      </c>
      <c r="D1732" s="11" t="s">
        <v>171</v>
      </c>
      <c r="E1732" s="9" t="str">
        <f>+HYPERLINK("http://trademark.i-assist.jp/data/china/image_1904th/79677267.pdf", "79677267")</f>
        <v>79677267</v>
      </c>
      <c r="F1732" s="11" t="s">
        <v>4947</v>
      </c>
      <c r="G1732" s="11" t="s">
        <v>39</v>
      </c>
      <c r="H1732" s="11" t="s">
        <v>4948</v>
      </c>
      <c r="I1732" s="11" t="s">
        <v>4841</v>
      </c>
    </row>
    <row r="1733" spans="1:9" x14ac:dyDescent="0.15">
      <c r="A1733" s="10">
        <v>1732</v>
      </c>
      <c r="B1733" s="11" t="s">
        <v>9</v>
      </c>
      <c r="C1733" s="11" t="s">
        <v>170</v>
      </c>
      <c r="D1733" s="11" t="s">
        <v>171</v>
      </c>
      <c r="E1733" s="9" t="str">
        <f>+HYPERLINK("http://trademark.i-assist.jp/data/china/image_1904th/79677394.pdf", "79677394")</f>
        <v>79677394</v>
      </c>
      <c r="F1733" s="11" t="s">
        <v>4949</v>
      </c>
      <c r="G1733" s="11" t="s">
        <v>4950</v>
      </c>
      <c r="H1733" s="11" t="s">
        <v>4951</v>
      </c>
      <c r="I1733" s="11" t="s">
        <v>4841</v>
      </c>
    </row>
    <row r="1734" spans="1:9" x14ac:dyDescent="0.15">
      <c r="A1734" s="10">
        <v>1733</v>
      </c>
      <c r="B1734" s="11" t="s">
        <v>9</v>
      </c>
      <c r="C1734" s="11" t="s">
        <v>170</v>
      </c>
      <c r="D1734" s="11" t="s">
        <v>171</v>
      </c>
      <c r="E1734" s="9" t="str">
        <f>+HYPERLINK("http://trademark.i-assist.jp/data/china/image_1904th/79677730.pdf", "79677730")</f>
        <v>79677730</v>
      </c>
      <c r="F1734" s="11" t="s">
        <v>4952</v>
      </c>
      <c r="G1734" s="11" t="s">
        <v>39</v>
      </c>
      <c r="H1734" s="11" t="s">
        <v>4953</v>
      </c>
      <c r="I1734" s="11" t="s">
        <v>4841</v>
      </c>
    </row>
    <row r="1735" spans="1:9" x14ac:dyDescent="0.15">
      <c r="A1735" s="10">
        <v>1734</v>
      </c>
      <c r="B1735" s="11" t="s">
        <v>9</v>
      </c>
      <c r="C1735" s="11" t="s">
        <v>170</v>
      </c>
      <c r="D1735" s="11" t="s">
        <v>171</v>
      </c>
      <c r="E1735" s="9" t="str">
        <f>+HYPERLINK("http://trademark.i-assist.jp/data/china/image_1904th/79679725.pdf", "79679725")</f>
        <v>79679725</v>
      </c>
      <c r="F1735" s="11" t="s">
        <v>4954</v>
      </c>
      <c r="G1735" s="11" t="s">
        <v>4955</v>
      </c>
      <c r="H1735" s="11" t="s">
        <v>4956</v>
      </c>
      <c r="I1735" s="11" t="s">
        <v>4841</v>
      </c>
    </row>
    <row r="1736" spans="1:9" x14ac:dyDescent="0.15">
      <c r="A1736" s="10">
        <v>1735</v>
      </c>
      <c r="B1736" s="11" t="s">
        <v>9</v>
      </c>
      <c r="C1736" s="11" t="s">
        <v>170</v>
      </c>
      <c r="D1736" s="11" t="s">
        <v>171</v>
      </c>
      <c r="E1736" s="9" t="str">
        <f>+HYPERLINK("http://trademark.i-assist.jp/data/china/image_1904th/79680274.pdf", "79680274")</f>
        <v>79680274</v>
      </c>
      <c r="F1736" s="11" t="s">
        <v>12</v>
      </c>
      <c r="G1736" s="11" t="s">
        <v>4957</v>
      </c>
      <c r="H1736" s="11" t="s">
        <v>4958</v>
      </c>
      <c r="I1736" s="11" t="s">
        <v>4959</v>
      </c>
    </row>
    <row r="1737" spans="1:9" x14ac:dyDescent="0.15">
      <c r="A1737" s="10">
        <v>1736</v>
      </c>
      <c r="B1737" s="11" t="s">
        <v>9</v>
      </c>
      <c r="C1737" s="11" t="s">
        <v>170</v>
      </c>
      <c r="D1737" s="11" t="s">
        <v>171</v>
      </c>
      <c r="E1737" s="9" t="str">
        <f>+HYPERLINK("http://trademark.i-assist.jp/data/china/image_1904th/79681068.pdf", "79681068")</f>
        <v>79681068</v>
      </c>
      <c r="F1737" s="11" t="s">
        <v>4960</v>
      </c>
      <c r="G1737" s="11" t="s">
        <v>4961</v>
      </c>
      <c r="H1737" s="11" t="s">
        <v>4962</v>
      </c>
      <c r="I1737" s="11" t="s">
        <v>4959</v>
      </c>
    </row>
    <row r="1738" spans="1:9" x14ac:dyDescent="0.15">
      <c r="A1738" s="10">
        <v>1737</v>
      </c>
      <c r="B1738" s="11" t="s">
        <v>9</v>
      </c>
      <c r="C1738" s="11" t="s">
        <v>170</v>
      </c>
      <c r="D1738" s="11" t="s">
        <v>171</v>
      </c>
      <c r="E1738" s="9" t="str">
        <f>+HYPERLINK("http://trademark.i-assist.jp/data/china/image_1904th/79681408.pdf", "79681408")</f>
        <v>79681408</v>
      </c>
      <c r="F1738" s="11" t="s">
        <v>12</v>
      </c>
      <c r="G1738" s="11" t="s">
        <v>4963</v>
      </c>
      <c r="H1738" s="11" t="s">
        <v>4964</v>
      </c>
      <c r="I1738" s="11" t="s">
        <v>4959</v>
      </c>
    </row>
    <row r="1739" spans="1:9" x14ac:dyDescent="0.15">
      <c r="A1739" s="10">
        <v>1738</v>
      </c>
      <c r="B1739" s="11" t="s">
        <v>9</v>
      </c>
      <c r="C1739" s="11" t="s">
        <v>170</v>
      </c>
      <c r="D1739" s="11" t="s">
        <v>171</v>
      </c>
      <c r="E1739" s="9" t="str">
        <f>+HYPERLINK("http://trademark.i-assist.jp/data/china/image_1904th/79681597.pdf", "79681597")</f>
        <v>79681597</v>
      </c>
      <c r="F1739" s="11" t="s">
        <v>4965</v>
      </c>
      <c r="G1739" s="11" t="s">
        <v>4966</v>
      </c>
      <c r="H1739" s="11" t="s">
        <v>4967</v>
      </c>
      <c r="I1739" s="11" t="s">
        <v>4959</v>
      </c>
    </row>
    <row r="1740" spans="1:9" x14ac:dyDescent="0.15">
      <c r="A1740" s="10">
        <v>1739</v>
      </c>
      <c r="B1740" s="11" t="s">
        <v>9</v>
      </c>
      <c r="C1740" s="11" t="s">
        <v>170</v>
      </c>
      <c r="D1740" s="11" t="s">
        <v>171</v>
      </c>
      <c r="E1740" s="9" t="str">
        <f>+HYPERLINK("http://trademark.i-assist.jp/data/china/image_1904th/79681929.pdf", "79681929")</f>
        <v>79681929</v>
      </c>
      <c r="F1740" s="11" t="s">
        <v>4968</v>
      </c>
      <c r="G1740" s="11" t="s">
        <v>4969</v>
      </c>
      <c r="H1740" s="11" t="s">
        <v>4970</v>
      </c>
      <c r="I1740" s="11" t="s">
        <v>4959</v>
      </c>
    </row>
    <row r="1741" spans="1:9" x14ac:dyDescent="0.15">
      <c r="A1741" s="10">
        <v>1740</v>
      </c>
      <c r="B1741" s="11" t="s">
        <v>9</v>
      </c>
      <c r="C1741" s="11" t="s">
        <v>170</v>
      </c>
      <c r="D1741" s="11" t="s">
        <v>171</v>
      </c>
      <c r="E1741" s="9" t="str">
        <f>+HYPERLINK("http://trademark.i-assist.jp/data/china/image_1904th/79682466.pdf", "79682466")</f>
        <v>79682466</v>
      </c>
      <c r="F1741" s="11" t="s">
        <v>4971</v>
      </c>
      <c r="G1741" s="11" t="s">
        <v>4972</v>
      </c>
      <c r="H1741" s="11" t="s">
        <v>4973</v>
      </c>
      <c r="I1741" s="11" t="s">
        <v>4959</v>
      </c>
    </row>
    <row r="1742" spans="1:9" x14ac:dyDescent="0.15">
      <c r="A1742" s="10">
        <v>1741</v>
      </c>
      <c r="B1742" s="11" t="s">
        <v>9</v>
      </c>
      <c r="C1742" s="11" t="s">
        <v>170</v>
      </c>
      <c r="D1742" s="11" t="s">
        <v>171</v>
      </c>
      <c r="E1742" s="9" t="str">
        <f>+HYPERLINK("http://trademark.i-assist.jp/data/china/image_1904th/79683151.pdf", "79683151")</f>
        <v>79683151</v>
      </c>
      <c r="F1742" s="11" t="s">
        <v>4974</v>
      </c>
      <c r="G1742" s="11" t="s">
        <v>4975</v>
      </c>
      <c r="H1742" s="11" t="s">
        <v>4976</v>
      </c>
      <c r="I1742" s="11" t="s">
        <v>4959</v>
      </c>
    </row>
    <row r="1743" spans="1:9" x14ac:dyDescent="0.15">
      <c r="A1743" s="10">
        <v>1742</v>
      </c>
      <c r="B1743" s="11" t="s">
        <v>9</v>
      </c>
      <c r="C1743" s="11" t="s">
        <v>170</v>
      </c>
      <c r="D1743" s="11" t="s">
        <v>171</v>
      </c>
      <c r="E1743" s="9" t="str">
        <f>+HYPERLINK("http://trademark.i-assist.jp/data/china/image_1904th/79683455.pdf", "79683455")</f>
        <v>79683455</v>
      </c>
      <c r="F1743" s="11" t="s">
        <v>4977</v>
      </c>
      <c r="G1743" s="11" t="s">
        <v>4978</v>
      </c>
      <c r="H1743" s="11" t="s">
        <v>4979</v>
      </c>
      <c r="I1743" s="11" t="s">
        <v>4959</v>
      </c>
    </row>
    <row r="1744" spans="1:9" x14ac:dyDescent="0.15">
      <c r="A1744" s="10">
        <v>1743</v>
      </c>
      <c r="B1744" s="11" t="s">
        <v>9</v>
      </c>
      <c r="C1744" s="11" t="s">
        <v>170</v>
      </c>
      <c r="D1744" s="11" t="s">
        <v>171</v>
      </c>
      <c r="E1744" s="9" t="str">
        <f>+HYPERLINK("http://trademark.i-assist.jp/data/china/image_1904th/79683833.pdf", "79683833")</f>
        <v>79683833</v>
      </c>
      <c r="F1744" s="11" t="s">
        <v>4980</v>
      </c>
      <c r="G1744" s="11" t="s">
        <v>4981</v>
      </c>
      <c r="H1744" s="11" t="s">
        <v>4982</v>
      </c>
      <c r="I1744" s="11" t="s">
        <v>4959</v>
      </c>
    </row>
    <row r="1745" spans="1:9" x14ac:dyDescent="0.15">
      <c r="A1745" s="10">
        <v>1744</v>
      </c>
      <c r="B1745" s="11" t="s">
        <v>9</v>
      </c>
      <c r="C1745" s="11" t="s">
        <v>170</v>
      </c>
      <c r="D1745" s="11" t="s">
        <v>171</v>
      </c>
      <c r="E1745" s="9" t="str">
        <f>+HYPERLINK("http://trademark.i-assist.jp/data/china/image_1904th/79685392.pdf", "79685392")</f>
        <v>79685392</v>
      </c>
      <c r="F1745" s="11" t="s">
        <v>4983</v>
      </c>
      <c r="G1745" s="11" t="s">
        <v>4961</v>
      </c>
      <c r="H1745" s="11" t="s">
        <v>4984</v>
      </c>
      <c r="I1745" s="11" t="s">
        <v>4959</v>
      </c>
    </row>
    <row r="1746" spans="1:9" x14ac:dyDescent="0.15">
      <c r="A1746" s="10">
        <v>1745</v>
      </c>
      <c r="B1746" s="11" t="s">
        <v>9</v>
      </c>
      <c r="C1746" s="11" t="s">
        <v>170</v>
      </c>
      <c r="D1746" s="11" t="s">
        <v>171</v>
      </c>
      <c r="E1746" s="9" t="str">
        <f>+HYPERLINK("http://trademark.i-assist.jp/data/china/image_1904th/79686380.pdf", "79686380")</f>
        <v>79686380</v>
      </c>
      <c r="F1746" s="11" t="s">
        <v>4985</v>
      </c>
      <c r="G1746" s="11" t="s">
        <v>4986</v>
      </c>
      <c r="H1746" s="11" t="s">
        <v>4987</v>
      </c>
      <c r="I1746" s="11" t="s">
        <v>4959</v>
      </c>
    </row>
    <row r="1747" spans="1:9" x14ac:dyDescent="0.15">
      <c r="A1747" s="10">
        <v>1746</v>
      </c>
      <c r="B1747" s="11" t="s">
        <v>9</v>
      </c>
      <c r="C1747" s="11" t="s">
        <v>170</v>
      </c>
      <c r="D1747" s="11" t="s">
        <v>171</v>
      </c>
      <c r="E1747" s="9" t="str">
        <f>+HYPERLINK("http://trademark.i-assist.jp/data/china/image_1904th/79686507.pdf", "79686507")</f>
        <v>79686507</v>
      </c>
      <c r="F1747" s="11" t="s">
        <v>4988</v>
      </c>
      <c r="G1747" s="11" t="s">
        <v>4989</v>
      </c>
      <c r="H1747" s="11" t="s">
        <v>4990</v>
      </c>
      <c r="I1747" s="11" t="s">
        <v>4959</v>
      </c>
    </row>
    <row r="1748" spans="1:9" x14ac:dyDescent="0.15">
      <c r="A1748" s="10">
        <v>1747</v>
      </c>
      <c r="B1748" s="11" t="s">
        <v>9</v>
      </c>
      <c r="C1748" s="11" t="s">
        <v>170</v>
      </c>
      <c r="D1748" s="11" t="s">
        <v>171</v>
      </c>
      <c r="E1748" s="9" t="str">
        <f>+HYPERLINK("http://trademark.i-assist.jp/data/china/image_1904th/79686879.pdf", "79686879")</f>
        <v>79686879</v>
      </c>
      <c r="F1748" s="11" t="s">
        <v>4991</v>
      </c>
      <c r="G1748" s="11" t="s">
        <v>4992</v>
      </c>
      <c r="H1748" s="11" t="s">
        <v>4993</v>
      </c>
      <c r="I1748" s="11" t="s">
        <v>4959</v>
      </c>
    </row>
    <row r="1749" spans="1:9" x14ac:dyDescent="0.15">
      <c r="A1749" s="10">
        <v>1748</v>
      </c>
      <c r="B1749" s="11" t="s">
        <v>9</v>
      </c>
      <c r="C1749" s="11" t="s">
        <v>170</v>
      </c>
      <c r="D1749" s="11" t="s">
        <v>171</v>
      </c>
      <c r="E1749" s="9" t="str">
        <f>+HYPERLINK("http://trademark.i-assist.jp/data/china/image_1904th/79687802.pdf", "79687802")</f>
        <v>79687802</v>
      </c>
      <c r="F1749" s="11" t="s">
        <v>4994</v>
      </c>
      <c r="G1749" s="11" t="s">
        <v>4995</v>
      </c>
      <c r="H1749" s="11" t="s">
        <v>4996</v>
      </c>
      <c r="I1749" s="11" t="s">
        <v>4959</v>
      </c>
    </row>
    <row r="1750" spans="1:9" x14ac:dyDescent="0.15">
      <c r="A1750" s="10">
        <v>1749</v>
      </c>
      <c r="B1750" s="11" t="s">
        <v>9</v>
      </c>
      <c r="C1750" s="11" t="s">
        <v>170</v>
      </c>
      <c r="D1750" s="11" t="s">
        <v>171</v>
      </c>
      <c r="E1750" s="9" t="str">
        <f>+HYPERLINK("http://trademark.i-assist.jp/data/china/image_1904th/79687997.pdf", "79687997")</f>
        <v>79687997</v>
      </c>
      <c r="F1750" s="11" t="s">
        <v>4997</v>
      </c>
      <c r="G1750" s="11" t="s">
        <v>4998</v>
      </c>
      <c r="H1750" s="11" t="s">
        <v>4999</v>
      </c>
      <c r="I1750" s="11" t="s">
        <v>4959</v>
      </c>
    </row>
    <row r="1751" spans="1:9" x14ac:dyDescent="0.15">
      <c r="A1751" s="10">
        <v>1750</v>
      </c>
      <c r="B1751" s="11" t="s">
        <v>9</v>
      </c>
      <c r="C1751" s="11" t="s">
        <v>170</v>
      </c>
      <c r="D1751" s="11" t="s">
        <v>171</v>
      </c>
      <c r="E1751" s="9" t="str">
        <f>+HYPERLINK("http://trademark.i-assist.jp/data/china/image_1904th/79688121.pdf", "79688121")</f>
        <v>79688121</v>
      </c>
      <c r="F1751" s="11" t="s">
        <v>5000</v>
      </c>
      <c r="G1751" s="11" t="s">
        <v>5001</v>
      </c>
      <c r="H1751" s="11" t="s">
        <v>5002</v>
      </c>
      <c r="I1751" s="11" t="s">
        <v>4959</v>
      </c>
    </row>
    <row r="1752" spans="1:9" x14ac:dyDescent="0.15">
      <c r="A1752" s="10">
        <v>1751</v>
      </c>
      <c r="B1752" s="11" t="s">
        <v>9</v>
      </c>
      <c r="C1752" s="11" t="s">
        <v>170</v>
      </c>
      <c r="D1752" s="11" t="s">
        <v>171</v>
      </c>
      <c r="E1752" s="9" t="str">
        <f>+HYPERLINK("http://trademark.i-assist.jp/data/china/image_1904th/79690256.pdf", "79690256")</f>
        <v>79690256</v>
      </c>
      <c r="F1752" s="11" t="s">
        <v>5003</v>
      </c>
      <c r="G1752" s="11" t="s">
        <v>5004</v>
      </c>
      <c r="H1752" s="11" t="s">
        <v>5005</v>
      </c>
      <c r="I1752" s="11" t="s">
        <v>4959</v>
      </c>
    </row>
    <row r="1753" spans="1:9" x14ac:dyDescent="0.15">
      <c r="A1753" s="10">
        <v>1752</v>
      </c>
      <c r="B1753" s="11" t="s">
        <v>9</v>
      </c>
      <c r="C1753" s="11" t="s">
        <v>170</v>
      </c>
      <c r="D1753" s="11" t="s">
        <v>171</v>
      </c>
      <c r="E1753" s="9" t="str">
        <f>+HYPERLINK("http://trademark.i-assist.jp/data/china/image_1904th/79692124.pdf", "79692124")</f>
        <v>79692124</v>
      </c>
      <c r="F1753" s="11" t="s">
        <v>5006</v>
      </c>
      <c r="G1753" s="11" t="s">
        <v>5007</v>
      </c>
      <c r="H1753" s="11" t="s">
        <v>5008</v>
      </c>
      <c r="I1753" s="11" t="s">
        <v>4959</v>
      </c>
    </row>
    <row r="1754" spans="1:9" x14ac:dyDescent="0.15">
      <c r="A1754" s="10">
        <v>1753</v>
      </c>
      <c r="B1754" s="11" t="s">
        <v>9</v>
      </c>
      <c r="C1754" s="11" t="s">
        <v>170</v>
      </c>
      <c r="D1754" s="11" t="s">
        <v>171</v>
      </c>
      <c r="E1754" s="9" t="str">
        <f>+HYPERLINK("http://trademark.i-assist.jp/data/china/image_1904th/79694587.pdf", "79694587")</f>
        <v>79694587</v>
      </c>
      <c r="F1754" s="11" t="s">
        <v>5009</v>
      </c>
      <c r="G1754" s="11" t="s">
        <v>5010</v>
      </c>
      <c r="H1754" s="11" t="s">
        <v>5011</v>
      </c>
      <c r="I1754" s="11" t="s">
        <v>4959</v>
      </c>
    </row>
    <row r="1755" spans="1:9" x14ac:dyDescent="0.15">
      <c r="A1755" s="10">
        <v>1754</v>
      </c>
      <c r="B1755" s="11" t="s">
        <v>9</v>
      </c>
      <c r="C1755" s="11" t="s">
        <v>170</v>
      </c>
      <c r="D1755" s="11" t="s">
        <v>171</v>
      </c>
      <c r="E1755" s="9" t="str">
        <f>+HYPERLINK("http://trademark.i-assist.jp/data/china/image_1904th/79695378.pdf", "79695378")</f>
        <v>79695378</v>
      </c>
      <c r="F1755" s="11" t="s">
        <v>5012</v>
      </c>
      <c r="G1755" s="11" t="s">
        <v>5013</v>
      </c>
      <c r="H1755" s="11" t="s">
        <v>5014</v>
      </c>
      <c r="I1755" s="11" t="s">
        <v>4959</v>
      </c>
    </row>
    <row r="1756" spans="1:9" x14ac:dyDescent="0.15">
      <c r="A1756" s="10">
        <v>1755</v>
      </c>
      <c r="B1756" s="11" t="s">
        <v>9</v>
      </c>
      <c r="C1756" s="11" t="s">
        <v>170</v>
      </c>
      <c r="D1756" s="11" t="s">
        <v>171</v>
      </c>
      <c r="E1756" s="9" t="str">
        <f>+HYPERLINK("http://trademark.i-assist.jp/data/china/image_1904th/79696499.pdf", "79696499")</f>
        <v>79696499</v>
      </c>
      <c r="F1756" s="11" t="s">
        <v>5015</v>
      </c>
      <c r="G1756" s="11" t="s">
        <v>5016</v>
      </c>
      <c r="H1756" s="11" t="s">
        <v>5017</v>
      </c>
      <c r="I1756" s="11" t="s">
        <v>4959</v>
      </c>
    </row>
    <row r="1757" spans="1:9" x14ac:dyDescent="0.15">
      <c r="A1757" s="10">
        <v>1756</v>
      </c>
      <c r="B1757" s="11" t="s">
        <v>9</v>
      </c>
      <c r="C1757" s="11" t="s">
        <v>170</v>
      </c>
      <c r="D1757" s="11" t="s">
        <v>171</v>
      </c>
      <c r="E1757" s="9" t="str">
        <f>+HYPERLINK("http://trademark.i-assist.jp/data/china/image_1904th/79697535.pdf", "79697535")</f>
        <v>79697535</v>
      </c>
      <c r="F1757" s="11" t="s">
        <v>5018</v>
      </c>
      <c r="G1757" s="11" t="s">
        <v>5019</v>
      </c>
      <c r="H1757" s="11" t="s">
        <v>5020</v>
      </c>
      <c r="I1757" s="11" t="s">
        <v>4959</v>
      </c>
    </row>
    <row r="1758" spans="1:9" x14ac:dyDescent="0.15">
      <c r="A1758" s="10">
        <v>1757</v>
      </c>
      <c r="B1758" s="11" t="s">
        <v>9</v>
      </c>
      <c r="C1758" s="11" t="s">
        <v>170</v>
      </c>
      <c r="D1758" s="11" t="s">
        <v>171</v>
      </c>
      <c r="E1758" s="9" t="str">
        <f>+HYPERLINK("http://trademark.i-assist.jp/data/china/image_1904th/79697577.pdf", "79697577")</f>
        <v>79697577</v>
      </c>
      <c r="F1758" s="11" t="s">
        <v>5021</v>
      </c>
      <c r="G1758" s="11" t="s">
        <v>5022</v>
      </c>
      <c r="H1758" s="11" t="s">
        <v>5023</v>
      </c>
      <c r="I1758" s="11" t="s">
        <v>4959</v>
      </c>
    </row>
    <row r="1759" spans="1:9" x14ac:dyDescent="0.15">
      <c r="A1759" s="10">
        <v>1758</v>
      </c>
      <c r="B1759" s="11" t="s">
        <v>9</v>
      </c>
      <c r="C1759" s="11" t="s">
        <v>170</v>
      </c>
      <c r="D1759" s="11" t="s">
        <v>171</v>
      </c>
      <c r="E1759" s="9" t="str">
        <f>+HYPERLINK("http://trademark.i-assist.jp/data/china/image_1904th/79697996.pdf", "79697996")</f>
        <v>79697996</v>
      </c>
      <c r="F1759" s="11" t="s">
        <v>12</v>
      </c>
      <c r="G1759" s="11" t="s">
        <v>5024</v>
      </c>
      <c r="H1759" s="11" t="s">
        <v>5025</v>
      </c>
      <c r="I1759" s="11" t="s">
        <v>4959</v>
      </c>
    </row>
    <row r="1760" spans="1:9" x14ac:dyDescent="0.15">
      <c r="A1760" s="10">
        <v>1759</v>
      </c>
      <c r="B1760" s="11" t="s">
        <v>9</v>
      </c>
      <c r="C1760" s="11" t="s">
        <v>170</v>
      </c>
      <c r="D1760" s="11" t="s">
        <v>171</v>
      </c>
      <c r="E1760" s="9" t="str">
        <f>+HYPERLINK("http://trademark.i-assist.jp/data/china/image_1904th/79698100.pdf", "79698100")</f>
        <v>79698100</v>
      </c>
      <c r="F1760" s="11" t="s">
        <v>5026</v>
      </c>
      <c r="G1760" s="11" t="s">
        <v>5027</v>
      </c>
      <c r="H1760" s="11" t="s">
        <v>5028</v>
      </c>
      <c r="I1760" s="11" t="s">
        <v>4959</v>
      </c>
    </row>
    <row r="1761" spans="1:9" x14ac:dyDescent="0.15">
      <c r="A1761" s="10">
        <v>1760</v>
      </c>
      <c r="B1761" s="11" t="s">
        <v>9</v>
      </c>
      <c r="C1761" s="11" t="s">
        <v>170</v>
      </c>
      <c r="D1761" s="11" t="s">
        <v>171</v>
      </c>
      <c r="E1761" s="9" t="str">
        <f>+HYPERLINK("http://trademark.i-assist.jp/data/china/image_1904th/79700199.pdf", "79700199")</f>
        <v>79700199</v>
      </c>
      <c r="F1761" s="11" t="s">
        <v>5029</v>
      </c>
      <c r="G1761" s="11" t="s">
        <v>5030</v>
      </c>
      <c r="H1761" s="11" t="s">
        <v>5031</v>
      </c>
      <c r="I1761" s="11" t="s">
        <v>4959</v>
      </c>
    </row>
    <row r="1762" spans="1:9" x14ac:dyDescent="0.15">
      <c r="A1762" s="10">
        <v>1761</v>
      </c>
      <c r="B1762" s="11" t="s">
        <v>9</v>
      </c>
      <c r="C1762" s="11" t="s">
        <v>170</v>
      </c>
      <c r="D1762" s="11" t="s">
        <v>171</v>
      </c>
      <c r="E1762" s="9" t="str">
        <f>+HYPERLINK("http://trademark.i-assist.jp/data/china/image_1904th/79701178.pdf", "79701178")</f>
        <v>79701178</v>
      </c>
      <c r="F1762" s="11" t="s">
        <v>5032</v>
      </c>
      <c r="G1762" s="11" t="s">
        <v>5033</v>
      </c>
      <c r="H1762" s="11" t="s">
        <v>5034</v>
      </c>
      <c r="I1762" s="11" t="s">
        <v>4959</v>
      </c>
    </row>
    <row r="1763" spans="1:9" x14ac:dyDescent="0.15">
      <c r="A1763" s="10">
        <v>1762</v>
      </c>
      <c r="B1763" s="11" t="s">
        <v>9</v>
      </c>
      <c r="C1763" s="11" t="s">
        <v>170</v>
      </c>
      <c r="D1763" s="11" t="s">
        <v>171</v>
      </c>
      <c r="E1763" s="9" t="str">
        <f>+HYPERLINK("http://trademark.i-assist.jp/data/china/image_1904th/79701931.pdf", "79701931")</f>
        <v>79701931</v>
      </c>
      <c r="F1763" s="11" t="s">
        <v>5035</v>
      </c>
      <c r="G1763" s="11" t="s">
        <v>5036</v>
      </c>
      <c r="H1763" s="11" t="s">
        <v>5037</v>
      </c>
      <c r="I1763" s="11" t="s">
        <v>4959</v>
      </c>
    </row>
    <row r="1764" spans="1:9" x14ac:dyDescent="0.15">
      <c r="A1764" s="10">
        <v>1763</v>
      </c>
      <c r="B1764" s="11" t="s">
        <v>9</v>
      </c>
      <c r="C1764" s="11" t="s">
        <v>170</v>
      </c>
      <c r="D1764" s="11" t="s">
        <v>171</v>
      </c>
      <c r="E1764" s="9" t="str">
        <f>+HYPERLINK("http://trademark.i-assist.jp/data/china/image_1904th/79704977.pdf", "79704977")</f>
        <v>79704977</v>
      </c>
      <c r="F1764" s="11" t="s">
        <v>5038</v>
      </c>
      <c r="G1764" s="11" t="s">
        <v>5039</v>
      </c>
      <c r="H1764" s="11" t="s">
        <v>5040</v>
      </c>
      <c r="I1764" s="11" t="s">
        <v>5041</v>
      </c>
    </row>
    <row r="1765" spans="1:9" x14ac:dyDescent="0.15">
      <c r="A1765" s="10">
        <v>1764</v>
      </c>
      <c r="B1765" s="11" t="s">
        <v>9</v>
      </c>
      <c r="C1765" s="11" t="s">
        <v>170</v>
      </c>
      <c r="D1765" s="11" t="s">
        <v>171</v>
      </c>
      <c r="E1765" s="9" t="str">
        <f>+HYPERLINK("http://trademark.i-assist.jp/data/china/image_1904th/79705068.pdf", "79705068")</f>
        <v>79705068</v>
      </c>
      <c r="F1765" s="11" t="s">
        <v>5042</v>
      </c>
      <c r="G1765" s="11" t="s">
        <v>5043</v>
      </c>
      <c r="H1765" s="11" t="s">
        <v>5044</v>
      </c>
      <c r="I1765" s="11" t="s">
        <v>5041</v>
      </c>
    </row>
    <row r="1766" spans="1:9" x14ac:dyDescent="0.15">
      <c r="A1766" s="10">
        <v>1765</v>
      </c>
      <c r="B1766" s="11" t="s">
        <v>9</v>
      </c>
      <c r="C1766" s="11" t="s">
        <v>170</v>
      </c>
      <c r="D1766" s="11" t="s">
        <v>171</v>
      </c>
      <c r="E1766" s="9" t="str">
        <f>+HYPERLINK("http://trademark.i-assist.jp/data/china/image_1904th/79705123.pdf", "79705123")</f>
        <v>79705123</v>
      </c>
      <c r="F1766" s="11" t="s">
        <v>5045</v>
      </c>
      <c r="G1766" s="11" t="s">
        <v>5046</v>
      </c>
      <c r="H1766" s="11" t="s">
        <v>5047</v>
      </c>
      <c r="I1766" s="11" t="s">
        <v>5041</v>
      </c>
    </row>
    <row r="1767" spans="1:9" x14ac:dyDescent="0.15">
      <c r="A1767" s="10">
        <v>1766</v>
      </c>
      <c r="B1767" s="11" t="s">
        <v>9</v>
      </c>
      <c r="C1767" s="11" t="s">
        <v>170</v>
      </c>
      <c r="D1767" s="11" t="s">
        <v>171</v>
      </c>
      <c r="E1767" s="9" t="str">
        <f>+HYPERLINK("http://trademark.i-assist.jp/data/china/image_1904th/79705201.pdf", "79705201")</f>
        <v>79705201</v>
      </c>
      <c r="F1767" s="11" t="s">
        <v>5048</v>
      </c>
      <c r="G1767" s="11" t="s">
        <v>5043</v>
      </c>
      <c r="H1767" s="11" t="s">
        <v>5049</v>
      </c>
      <c r="I1767" s="11" t="s">
        <v>5041</v>
      </c>
    </row>
    <row r="1768" spans="1:9" x14ac:dyDescent="0.15">
      <c r="A1768" s="10">
        <v>1767</v>
      </c>
      <c r="B1768" s="11" t="s">
        <v>9</v>
      </c>
      <c r="C1768" s="11" t="s">
        <v>170</v>
      </c>
      <c r="D1768" s="11" t="s">
        <v>171</v>
      </c>
      <c r="E1768" s="9" t="str">
        <f>+HYPERLINK("http://trademark.i-assist.jp/data/china/image_1904th/79705615.pdf", "79705615")</f>
        <v>79705615</v>
      </c>
      <c r="F1768" s="11" t="s">
        <v>5050</v>
      </c>
      <c r="G1768" s="11" t="s">
        <v>5051</v>
      </c>
      <c r="H1768" s="11" t="s">
        <v>5052</v>
      </c>
      <c r="I1768" s="11" t="s">
        <v>5041</v>
      </c>
    </row>
    <row r="1769" spans="1:9" x14ac:dyDescent="0.15">
      <c r="A1769" s="10">
        <v>1768</v>
      </c>
      <c r="B1769" s="11" t="s">
        <v>9</v>
      </c>
      <c r="C1769" s="11" t="s">
        <v>170</v>
      </c>
      <c r="D1769" s="11" t="s">
        <v>171</v>
      </c>
      <c r="E1769" s="9" t="str">
        <f>+HYPERLINK("http://trademark.i-assist.jp/data/china/image_1904th/79705993.pdf", "79705993")</f>
        <v>79705993</v>
      </c>
      <c r="F1769" s="11" t="s">
        <v>5053</v>
      </c>
      <c r="G1769" s="11" t="s">
        <v>5054</v>
      </c>
      <c r="H1769" s="11" t="s">
        <v>5055</v>
      </c>
      <c r="I1769" s="11" t="s">
        <v>5041</v>
      </c>
    </row>
    <row r="1770" spans="1:9" x14ac:dyDescent="0.15">
      <c r="A1770" s="10">
        <v>1769</v>
      </c>
      <c r="B1770" s="11" t="s">
        <v>9</v>
      </c>
      <c r="C1770" s="11" t="s">
        <v>170</v>
      </c>
      <c r="D1770" s="11" t="s">
        <v>171</v>
      </c>
      <c r="E1770" s="9" t="str">
        <f>+HYPERLINK("http://trademark.i-assist.jp/data/china/image_1904th/79706000.pdf", "79706000")</f>
        <v>79706000</v>
      </c>
      <c r="F1770" s="11" t="s">
        <v>5056</v>
      </c>
      <c r="G1770" s="11" t="s">
        <v>5054</v>
      </c>
      <c r="H1770" s="11" t="s">
        <v>5057</v>
      </c>
      <c r="I1770" s="11" t="s">
        <v>5041</v>
      </c>
    </row>
    <row r="1771" spans="1:9" x14ac:dyDescent="0.15">
      <c r="A1771" s="10">
        <v>1770</v>
      </c>
      <c r="B1771" s="11" t="s">
        <v>9</v>
      </c>
      <c r="C1771" s="11" t="s">
        <v>170</v>
      </c>
      <c r="D1771" s="11" t="s">
        <v>171</v>
      </c>
      <c r="E1771" s="9" t="str">
        <f>+HYPERLINK("http://trademark.i-assist.jp/data/china/image_1904th/79706313.pdf", "79706313")</f>
        <v>79706313</v>
      </c>
      <c r="F1771" s="11" t="s">
        <v>5058</v>
      </c>
      <c r="G1771" s="11" t="s">
        <v>5059</v>
      </c>
      <c r="H1771" s="11" t="s">
        <v>5060</v>
      </c>
      <c r="I1771" s="11" t="s">
        <v>5041</v>
      </c>
    </row>
    <row r="1772" spans="1:9" x14ac:dyDescent="0.15">
      <c r="A1772" s="10">
        <v>1771</v>
      </c>
      <c r="B1772" s="11" t="s">
        <v>9</v>
      </c>
      <c r="C1772" s="11" t="s">
        <v>170</v>
      </c>
      <c r="D1772" s="11" t="s">
        <v>171</v>
      </c>
      <c r="E1772" s="9" t="str">
        <f>+HYPERLINK("http://trademark.i-assist.jp/data/china/image_1904th/79706806.pdf", "79706806")</f>
        <v>79706806</v>
      </c>
      <c r="F1772" s="11" t="s">
        <v>5061</v>
      </c>
      <c r="G1772" s="11" t="s">
        <v>5062</v>
      </c>
      <c r="H1772" s="11" t="s">
        <v>5063</v>
      </c>
      <c r="I1772" s="11" t="s">
        <v>5041</v>
      </c>
    </row>
    <row r="1773" spans="1:9" x14ac:dyDescent="0.15">
      <c r="A1773" s="10">
        <v>1772</v>
      </c>
      <c r="B1773" s="11" t="s">
        <v>9</v>
      </c>
      <c r="C1773" s="11" t="s">
        <v>170</v>
      </c>
      <c r="D1773" s="11" t="s">
        <v>171</v>
      </c>
      <c r="E1773" s="9" t="str">
        <f>+HYPERLINK("http://trademark.i-assist.jp/data/china/image_1904th/79706955.pdf", "79706955")</f>
        <v>79706955</v>
      </c>
      <c r="F1773" s="11" t="s">
        <v>5064</v>
      </c>
      <c r="G1773" s="11" t="s">
        <v>5065</v>
      </c>
      <c r="H1773" s="11" t="s">
        <v>5066</v>
      </c>
      <c r="I1773" s="11" t="s">
        <v>5041</v>
      </c>
    </row>
    <row r="1774" spans="1:9" x14ac:dyDescent="0.15">
      <c r="A1774" s="10">
        <v>1773</v>
      </c>
      <c r="B1774" s="11" t="s">
        <v>9</v>
      </c>
      <c r="C1774" s="11" t="s">
        <v>170</v>
      </c>
      <c r="D1774" s="11" t="s">
        <v>171</v>
      </c>
      <c r="E1774" s="9" t="str">
        <f>+HYPERLINK("http://trademark.i-assist.jp/data/china/image_1904th/79707608.pdf", "79707608")</f>
        <v>79707608</v>
      </c>
      <c r="F1774" s="11" t="s">
        <v>5067</v>
      </c>
      <c r="G1774" s="11" t="s">
        <v>5068</v>
      </c>
      <c r="H1774" s="11" t="s">
        <v>5069</v>
      </c>
      <c r="I1774" s="11" t="s">
        <v>5041</v>
      </c>
    </row>
    <row r="1775" spans="1:9" x14ac:dyDescent="0.15">
      <c r="A1775" s="10">
        <v>1774</v>
      </c>
      <c r="B1775" s="11" t="s">
        <v>9</v>
      </c>
      <c r="C1775" s="11" t="s">
        <v>170</v>
      </c>
      <c r="D1775" s="11" t="s">
        <v>171</v>
      </c>
      <c r="E1775" s="9" t="str">
        <f>+HYPERLINK("http://trademark.i-assist.jp/data/china/image_1904th/79707658.pdf", "79707658")</f>
        <v>79707658</v>
      </c>
      <c r="F1775" s="11" t="s">
        <v>5070</v>
      </c>
      <c r="G1775" s="11" t="s">
        <v>5071</v>
      </c>
      <c r="H1775" s="11" t="s">
        <v>5072</v>
      </c>
      <c r="I1775" s="11" t="s">
        <v>5041</v>
      </c>
    </row>
    <row r="1776" spans="1:9" x14ac:dyDescent="0.15">
      <c r="A1776" s="10">
        <v>1775</v>
      </c>
      <c r="B1776" s="11" t="s">
        <v>9</v>
      </c>
      <c r="C1776" s="11" t="s">
        <v>170</v>
      </c>
      <c r="D1776" s="11" t="s">
        <v>171</v>
      </c>
      <c r="E1776" s="9" t="str">
        <f>+HYPERLINK("http://trademark.i-assist.jp/data/china/image_1904th/79708597.pdf", "79708597")</f>
        <v>79708597</v>
      </c>
      <c r="F1776" s="11" t="s">
        <v>5073</v>
      </c>
      <c r="G1776" s="11" t="s">
        <v>3787</v>
      </c>
      <c r="H1776" s="11" t="s">
        <v>5074</v>
      </c>
      <c r="I1776" s="11" t="s">
        <v>5041</v>
      </c>
    </row>
    <row r="1777" spans="1:9" x14ac:dyDescent="0.15">
      <c r="A1777" s="10">
        <v>1776</v>
      </c>
      <c r="B1777" s="11" t="s">
        <v>9</v>
      </c>
      <c r="C1777" s="11" t="s">
        <v>170</v>
      </c>
      <c r="D1777" s="11" t="s">
        <v>171</v>
      </c>
      <c r="E1777" s="9" t="str">
        <f>+HYPERLINK("http://trademark.i-assist.jp/data/china/image_1904th/79709327.pdf", "79709327")</f>
        <v>79709327</v>
      </c>
      <c r="F1777" s="11" t="s">
        <v>5075</v>
      </c>
      <c r="G1777" s="11" t="s">
        <v>5076</v>
      </c>
      <c r="H1777" s="11" t="s">
        <v>5077</v>
      </c>
      <c r="I1777" s="11" t="s">
        <v>5041</v>
      </c>
    </row>
    <row r="1778" spans="1:9" x14ac:dyDescent="0.15">
      <c r="A1778" s="10">
        <v>1777</v>
      </c>
      <c r="B1778" s="11" t="s">
        <v>9</v>
      </c>
      <c r="C1778" s="11" t="s">
        <v>170</v>
      </c>
      <c r="D1778" s="11" t="s">
        <v>171</v>
      </c>
      <c r="E1778" s="9" t="str">
        <f>+HYPERLINK("http://trademark.i-assist.jp/data/china/image_1904th/79710386.pdf", "79710386")</f>
        <v>79710386</v>
      </c>
      <c r="F1778" s="11" t="s">
        <v>5078</v>
      </c>
      <c r="G1778" s="11" t="s">
        <v>5054</v>
      </c>
      <c r="H1778" s="11" t="s">
        <v>5079</v>
      </c>
      <c r="I1778" s="11" t="s">
        <v>5041</v>
      </c>
    </row>
    <row r="1779" spans="1:9" x14ac:dyDescent="0.15">
      <c r="A1779" s="10">
        <v>1778</v>
      </c>
      <c r="B1779" s="11" t="s">
        <v>9</v>
      </c>
      <c r="C1779" s="11" t="s">
        <v>170</v>
      </c>
      <c r="D1779" s="11" t="s">
        <v>171</v>
      </c>
      <c r="E1779" s="9" t="str">
        <f>+HYPERLINK("http://trademark.i-assist.jp/data/china/image_1904th/79711701.pdf", "79711701")</f>
        <v>79711701</v>
      </c>
      <c r="F1779" s="11" t="s">
        <v>12</v>
      </c>
      <c r="G1779" s="11" t="s">
        <v>5080</v>
      </c>
      <c r="H1779" s="11" t="s">
        <v>5081</v>
      </c>
      <c r="I1779" s="11" t="s">
        <v>5041</v>
      </c>
    </row>
    <row r="1780" spans="1:9" x14ac:dyDescent="0.15">
      <c r="A1780" s="10">
        <v>1779</v>
      </c>
      <c r="B1780" s="11" t="s">
        <v>9</v>
      </c>
      <c r="C1780" s="11" t="s">
        <v>170</v>
      </c>
      <c r="D1780" s="11" t="s">
        <v>171</v>
      </c>
      <c r="E1780" s="9" t="str">
        <f>+HYPERLINK("http://trademark.i-assist.jp/data/china/image_1904th/79712463.pdf", "79712463")</f>
        <v>79712463</v>
      </c>
      <c r="F1780" s="11" t="s">
        <v>5082</v>
      </c>
      <c r="G1780" s="11" t="s">
        <v>5054</v>
      </c>
      <c r="H1780" s="11" t="s">
        <v>5083</v>
      </c>
      <c r="I1780" s="11" t="s">
        <v>5041</v>
      </c>
    </row>
    <row r="1781" spans="1:9" x14ac:dyDescent="0.15">
      <c r="A1781" s="10">
        <v>1780</v>
      </c>
      <c r="B1781" s="11" t="s">
        <v>9</v>
      </c>
      <c r="C1781" s="11" t="s">
        <v>170</v>
      </c>
      <c r="D1781" s="11" t="s">
        <v>171</v>
      </c>
      <c r="E1781" s="9" t="str">
        <f>+HYPERLINK("http://trademark.i-assist.jp/data/china/image_1904th/79712709.pdf", "79712709")</f>
        <v>79712709</v>
      </c>
      <c r="F1781" s="11" t="s">
        <v>5084</v>
      </c>
      <c r="G1781" s="11" t="s">
        <v>5085</v>
      </c>
      <c r="H1781" s="11" t="s">
        <v>5086</v>
      </c>
      <c r="I1781" s="11" t="s">
        <v>5041</v>
      </c>
    </row>
    <row r="1782" spans="1:9" x14ac:dyDescent="0.15">
      <c r="A1782" s="10">
        <v>1781</v>
      </c>
      <c r="B1782" s="11" t="s">
        <v>9</v>
      </c>
      <c r="C1782" s="11" t="s">
        <v>170</v>
      </c>
      <c r="D1782" s="11" t="s">
        <v>171</v>
      </c>
      <c r="E1782" s="9" t="str">
        <f>+HYPERLINK("http://trademark.i-assist.jp/data/china/image_1904th/79712962.pdf", "79712962")</f>
        <v>79712962</v>
      </c>
      <c r="F1782" s="11" t="s">
        <v>5087</v>
      </c>
      <c r="G1782" s="11" t="s">
        <v>5088</v>
      </c>
      <c r="H1782" s="11" t="s">
        <v>5089</v>
      </c>
      <c r="I1782" s="11" t="s">
        <v>5041</v>
      </c>
    </row>
    <row r="1783" spans="1:9" x14ac:dyDescent="0.15">
      <c r="A1783" s="10">
        <v>1782</v>
      </c>
      <c r="B1783" s="11" t="s">
        <v>9</v>
      </c>
      <c r="C1783" s="11" t="s">
        <v>170</v>
      </c>
      <c r="D1783" s="11" t="s">
        <v>171</v>
      </c>
      <c r="E1783" s="9" t="str">
        <f>+HYPERLINK("http://trademark.i-assist.jp/data/china/image_1904th/79713054.pdf", "79713054")</f>
        <v>79713054</v>
      </c>
      <c r="F1783" s="11" t="s">
        <v>5090</v>
      </c>
      <c r="G1783" s="11" t="s">
        <v>5091</v>
      </c>
      <c r="H1783" s="11" t="s">
        <v>5092</v>
      </c>
      <c r="I1783" s="11" t="s">
        <v>5041</v>
      </c>
    </row>
    <row r="1784" spans="1:9" x14ac:dyDescent="0.15">
      <c r="A1784" s="10">
        <v>1783</v>
      </c>
      <c r="B1784" s="11" t="s">
        <v>9</v>
      </c>
      <c r="C1784" s="11" t="s">
        <v>170</v>
      </c>
      <c r="D1784" s="11" t="s">
        <v>171</v>
      </c>
      <c r="E1784" s="9" t="str">
        <f>+HYPERLINK("http://trademark.i-assist.jp/data/china/image_1904th/79714317.pdf", "79714317")</f>
        <v>79714317</v>
      </c>
      <c r="F1784" s="11" t="s">
        <v>5093</v>
      </c>
      <c r="G1784" s="11" t="s">
        <v>5054</v>
      </c>
      <c r="H1784" s="11" t="s">
        <v>5094</v>
      </c>
      <c r="I1784" s="11" t="s">
        <v>5041</v>
      </c>
    </row>
    <row r="1785" spans="1:9" x14ac:dyDescent="0.15">
      <c r="A1785" s="10">
        <v>1784</v>
      </c>
      <c r="B1785" s="11" t="s">
        <v>9</v>
      </c>
      <c r="C1785" s="11" t="s">
        <v>170</v>
      </c>
      <c r="D1785" s="11" t="s">
        <v>171</v>
      </c>
      <c r="E1785" s="9" t="str">
        <f>+HYPERLINK("http://trademark.i-assist.jp/data/china/image_1904th/79714608.pdf", "79714608")</f>
        <v>79714608</v>
      </c>
      <c r="F1785" s="11" t="s">
        <v>5095</v>
      </c>
      <c r="G1785" s="11" t="s">
        <v>5062</v>
      </c>
      <c r="H1785" s="11" t="s">
        <v>5096</v>
      </c>
      <c r="I1785" s="11" t="s">
        <v>5041</v>
      </c>
    </row>
    <row r="1786" spans="1:9" x14ac:dyDescent="0.15">
      <c r="A1786" s="10">
        <v>1785</v>
      </c>
      <c r="B1786" s="11" t="s">
        <v>9</v>
      </c>
      <c r="C1786" s="11" t="s">
        <v>170</v>
      </c>
      <c r="D1786" s="11" t="s">
        <v>171</v>
      </c>
      <c r="E1786" s="9" t="str">
        <f>+HYPERLINK("http://trademark.i-assist.jp/data/china/image_1904th/79714950.pdf", "79714950")</f>
        <v>79714950</v>
      </c>
      <c r="F1786" s="11" t="s">
        <v>5097</v>
      </c>
      <c r="G1786" s="11" t="s">
        <v>5098</v>
      </c>
      <c r="H1786" s="11" t="s">
        <v>5099</v>
      </c>
      <c r="I1786" s="11" t="s">
        <v>5041</v>
      </c>
    </row>
    <row r="1787" spans="1:9" x14ac:dyDescent="0.15">
      <c r="A1787" s="10">
        <v>1786</v>
      </c>
      <c r="B1787" s="11" t="s">
        <v>9</v>
      </c>
      <c r="C1787" s="11" t="s">
        <v>170</v>
      </c>
      <c r="D1787" s="11" t="s">
        <v>171</v>
      </c>
      <c r="E1787" s="9" t="str">
        <f>+HYPERLINK("http://trademark.i-assist.jp/data/china/image_1904th/79715739.pdf", "79715739")</f>
        <v>79715739</v>
      </c>
      <c r="F1787" s="11" t="s">
        <v>5100</v>
      </c>
      <c r="G1787" s="11" t="s">
        <v>5101</v>
      </c>
      <c r="H1787" s="11" t="s">
        <v>5102</v>
      </c>
      <c r="I1787" s="11" t="s">
        <v>5041</v>
      </c>
    </row>
    <row r="1788" spans="1:9" x14ac:dyDescent="0.15">
      <c r="A1788" s="10">
        <v>1787</v>
      </c>
      <c r="B1788" s="11" t="s">
        <v>9</v>
      </c>
      <c r="C1788" s="11" t="s">
        <v>170</v>
      </c>
      <c r="D1788" s="11" t="s">
        <v>171</v>
      </c>
      <c r="E1788" s="9" t="str">
        <f>+HYPERLINK("http://trademark.i-assist.jp/data/china/image_1904th/79715801.pdf", "79715801")</f>
        <v>79715801</v>
      </c>
      <c r="F1788" s="11" t="s">
        <v>5103</v>
      </c>
      <c r="G1788" s="11" t="s">
        <v>3736</v>
      </c>
      <c r="H1788" s="11" t="s">
        <v>5104</v>
      </c>
      <c r="I1788" s="11" t="s">
        <v>5041</v>
      </c>
    </row>
    <row r="1789" spans="1:9" x14ac:dyDescent="0.15">
      <c r="A1789" s="10">
        <v>1788</v>
      </c>
      <c r="B1789" s="11" t="s">
        <v>9</v>
      </c>
      <c r="C1789" s="11" t="s">
        <v>170</v>
      </c>
      <c r="D1789" s="11" t="s">
        <v>171</v>
      </c>
      <c r="E1789" s="9" t="str">
        <f>+HYPERLINK("http://trademark.i-assist.jp/data/china/image_1904th/79716024.pdf", "79716024")</f>
        <v>79716024</v>
      </c>
      <c r="F1789" s="11" t="s">
        <v>5105</v>
      </c>
      <c r="G1789" s="11" t="s">
        <v>5106</v>
      </c>
      <c r="H1789" s="11" t="s">
        <v>5107</v>
      </c>
      <c r="I1789" s="11" t="s">
        <v>5041</v>
      </c>
    </row>
    <row r="1790" spans="1:9" x14ac:dyDescent="0.15">
      <c r="A1790" s="10">
        <v>1789</v>
      </c>
      <c r="B1790" s="11" t="s">
        <v>9</v>
      </c>
      <c r="C1790" s="11" t="s">
        <v>170</v>
      </c>
      <c r="D1790" s="11" t="s">
        <v>171</v>
      </c>
      <c r="E1790" s="9" t="str">
        <f>+HYPERLINK("http://trademark.i-assist.jp/data/china/image_1904th/79716037.pdf", "79716037")</f>
        <v>79716037</v>
      </c>
      <c r="F1790" s="11" t="s">
        <v>5108</v>
      </c>
      <c r="G1790" s="11" t="s">
        <v>5109</v>
      </c>
      <c r="H1790" s="11" t="s">
        <v>5110</v>
      </c>
      <c r="I1790" s="11" t="s">
        <v>5041</v>
      </c>
    </row>
    <row r="1791" spans="1:9" x14ac:dyDescent="0.15">
      <c r="A1791" s="10">
        <v>1790</v>
      </c>
      <c r="B1791" s="11" t="s">
        <v>9</v>
      </c>
      <c r="C1791" s="11" t="s">
        <v>170</v>
      </c>
      <c r="D1791" s="11" t="s">
        <v>171</v>
      </c>
      <c r="E1791" s="9" t="str">
        <f>+HYPERLINK("http://trademark.i-assist.jp/data/china/image_1904th/79716088.pdf", "79716088")</f>
        <v>79716088</v>
      </c>
      <c r="F1791" s="11" t="s">
        <v>5111</v>
      </c>
      <c r="G1791" s="11" t="s">
        <v>5112</v>
      </c>
      <c r="H1791" s="11" t="s">
        <v>5113</v>
      </c>
      <c r="I1791" s="11" t="s">
        <v>5041</v>
      </c>
    </row>
    <row r="1792" spans="1:9" x14ac:dyDescent="0.15">
      <c r="A1792" s="10">
        <v>1791</v>
      </c>
      <c r="B1792" s="11" t="s">
        <v>9</v>
      </c>
      <c r="C1792" s="11" t="s">
        <v>170</v>
      </c>
      <c r="D1792" s="11" t="s">
        <v>171</v>
      </c>
      <c r="E1792" s="9" t="str">
        <f>+HYPERLINK("http://trademark.i-assist.jp/data/china/image_1904th/79717049.pdf", "79717049")</f>
        <v>79717049</v>
      </c>
      <c r="F1792" s="11" t="s">
        <v>5114</v>
      </c>
      <c r="G1792" s="11" t="s">
        <v>5054</v>
      </c>
      <c r="H1792" s="11" t="s">
        <v>5115</v>
      </c>
      <c r="I1792" s="11" t="s">
        <v>5041</v>
      </c>
    </row>
    <row r="1793" spans="1:9" x14ac:dyDescent="0.15">
      <c r="A1793" s="10">
        <v>1792</v>
      </c>
      <c r="B1793" s="11" t="s">
        <v>9</v>
      </c>
      <c r="C1793" s="11" t="s">
        <v>170</v>
      </c>
      <c r="D1793" s="11" t="s">
        <v>171</v>
      </c>
      <c r="E1793" s="9" t="str">
        <f>+HYPERLINK("http://trademark.i-assist.jp/data/china/image_1904th/79717743.pdf", "79717743")</f>
        <v>79717743</v>
      </c>
      <c r="F1793" s="11" t="s">
        <v>5116</v>
      </c>
      <c r="G1793" s="11" t="s">
        <v>5117</v>
      </c>
      <c r="H1793" s="11" t="s">
        <v>5118</v>
      </c>
      <c r="I1793" s="11" t="s">
        <v>5041</v>
      </c>
    </row>
    <row r="1794" spans="1:9" x14ac:dyDescent="0.15">
      <c r="A1794" s="10">
        <v>1793</v>
      </c>
      <c r="B1794" s="11" t="s">
        <v>9</v>
      </c>
      <c r="C1794" s="11" t="s">
        <v>170</v>
      </c>
      <c r="D1794" s="11" t="s">
        <v>171</v>
      </c>
      <c r="E1794" s="9" t="str">
        <f>+HYPERLINK("http://trademark.i-assist.jp/data/china/image_1904th/79719409.pdf", "79719409")</f>
        <v>79719409</v>
      </c>
      <c r="F1794" s="11" t="s">
        <v>5119</v>
      </c>
      <c r="G1794" s="11" t="s">
        <v>5117</v>
      </c>
      <c r="H1794" s="11" t="s">
        <v>5120</v>
      </c>
      <c r="I1794" s="11" t="s">
        <v>5041</v>
      </c>
    </row>
    <row r="1795" spans="1:9" x14ac:dyDescent="0.15">
      <c r="A1795" s="10">
        <v>1794</v>
      </c>
      <c r="B1795" s="11" t="s">
        <v>9</v>
      </c>
      <c r="C1795" s="11" t="s">
        <v>170</v>
      </c>
      <c r="D1795" s="11" t="s">
        <v>171</v>
      </c>
      <c r="E1795" s="9" t="str">
        <f>+HYPERLINK("http://trademark.i-assist.jp/data/china/image_1904th/79719803.pdf", "79719803")</f>
        <v>79719803</v>
      </c>
      <c r="F1795" s="11" t="s">
        <v>5121</v>
      </c>
      <c r="G1795" s="11" t="s">
        <v>91</v>
      </c>
      <c r="H1795" s="11" t="s">
        <v>5122</v>
      </c>
      <c r="I1795" s="11" t="s">
        <v>5041</v>
      </c>
    </row>
    <row r="1796" spans="1:9" x14ac:dyDescent="0.15">
      <c r="A1796" s="10">
        <v>1795</v>
      </c>
      <c r="B1796" s="11" t="s">
        <v>9</v>
      </c>
      <c r="C1796" s="11" t="s">
        <v>170</v>
      </c>
      <c r="D1796" s="11" t="s">
        <v>171</v>
      </c>
      <c r="E1796" s="9" t="str">
        <f>+HYPERLINK("http://trademark.i-assist.jp/data/china/image_1904th/79721005.pdf", "79721005")</f>
        <v>79721005</v>
      </c>
      <c r="F1796" s="11" t="s">
        <v>5123</v>
      </c>
      <c r="G1796" s="11" t="s">
        <v>5124</v>
      </c>
      <c r="H1796" s="11" t="s">
        <v>5125</v>
      </c>
      <c r="I1796" s="11" t="s">
        <v>5041</v>
      </c>
    </row>
    <row r="1797" spans="1:9" x14ac:dyDescent="0.15">
      <c r="A1797" s="10">
        <v>1796</v>
      </c>
      <c r="B1797" s="11" t="s">
        <v>9</v>
      </c>
      <c r="C1797" s="11" t="s">
        <v>170</v>
      </c>
      <c r="D1797" s="11" t="s">
        <v>171</v>
      </c>
      <c r="E1797" s="9" t="str">
        <f>+HYPERLINK("http://trademark.i-assist.jp/data/china/image_1904th/79721829.pdf", "79721829")</f>
        <v>79721829</v>
      </c>
      <c r="F1797" s="11" t="s">
        <v>5126</v>
      </c>
      <c r="G1797" s="11" t="s">
        <v>5127</v>
      </c>
      <c r="H1797" s="11" t="s">
        <v>5128</v>
      </c>
      <c r="I1797" s="11" t="s">
        <v>5041</v>
      </c>
    </row>
    <row r="1798" spans="1:9" x14ac:dyDescent="0.15">
      <c r="A1798" s="10">
        <v>1797</v>
      </c>
      <c r="B1798" s="11" t="s">
        <v>9</v>
      </c>
      <c r="C1798" s="11" t="s">
        <v>170</v>
      </c>
      <c r="D1798" s="11" t="s">
        <v>171</v>
      </c>
      <c r="E1798" s="9" t="str">
        <f>+HYPERLINK("http://trademark.i-assist.jp/data/china/image_1904th/79721934.pdf", "79721934")</f>
        <v>79721934</v>
      </c>
      <c r="F1798" s="11" t="s">
        <v>5129</v>
      </c>
      <c r="G1798" s="11" t="s">
        <v>5088</v>
      </c>
      <c r="H1798" s="11" t="s">
        <v>5130</v>
      </c>
      <c r="I1798" s="11" t="s">
        <v>5041</v>
      </c>
    </row>
    <row r="1799" spans="1:9" x14ac:dyDescent="0.15">
      <c r="A1799" s="10">
        <v>1798</v>
      </c>
      <c r="B1799" s="11" t="s">
        <v>9</v>
      </c>
      <c r="C1799" s="11" t="s">
        <v>170</v>
      </c>
      <c r="D1799" s="11" t="s">
        <v>171</v>
      </c>
      <c r="E1799" s="9" t="str">
        <f>+HYPERLINK("http://trademark.i-assist.jp/data/china/image_1904th/79721952.pdf", "79721952")</f>
        <v>79721952</v>
      </c>
      <c r="F1799" s="11" t="s">
        <v>12</v>
      </c>
      <c r="G1799" s="11" t="s">
        <v>5088</v>
      </c>
      <c r="H1799" s="11" t="s">
        <v>5131</v>
      </c>
      <c r="I1799" s="11" t="s">
        <v>5041</v>
      </c>
    </row>
    <row r="1800" spans="1:9" x14ac:dyDescent="0.15">
      <c r="A1800" s="10">
        <v>1799</v>
      </c>
      <c r="B1800" s="11" t="s">
        <v>9</v>
      </c>
      <c r="C1800" s="11" t="s">
        <v>170</v>
      </c>
      <c r="D1800" s="11" t="s">
        <v>171</v>
      </c>
      <c r="E1800" s="9" t="str">
        <f>+HYPERLINK("http://trademark.i-assist.jp/data/china/image_1904th/79721970.pdf", "79721970")</f>
        <v>79721970</v>
      </c>
      <c r="F1800" s="11" t="s">
        <v>5132</v>
      </c>
      <c r="G1800" s="11" t="s">
        <v>5133</v>
      </c>
      <c r="H1800" s="11" t="s">
        <v>5134</v>
      </c>
      <c r="I1800" s="11" t="s">
        <v>5041</v>
      </c>
    </row>
    <row r="1801" spans="1:9" x14ac:dyDescent="0.15">
      <c r="A1801" s="10">
        <v>1800</v>
      </c>
      <c r="B1801" s="11" t="s">
        <v>9</v>
      </c>
      <c r="C1801" s="11" t="s">
        <v>170</v>
      </c>
      <c r="D1801" s="11" t="s">
        <v>171</v>
      </c>
      <c r="E1801" s="9" t="str">
        <f>+HYPERLINK("http://trademark.i-assist.jp/data/china/image_1904th/79722790.pdf", "79722790")</f>
        <v>79722790</v>
      </c>
      <c r="F1801" s="11" t="s">
        <v>5135</v>
      </c>
      <c r="G1801" s="11" t="s">
        <v>5136</v>
      </c>
      <c r="H1801" s="11" t="s">
        <v>5137</v>
      </c>
      <c r="I1801" s="11" t="s">
        <v>5041</v>
      </c>
    </row>
    <row r="1802" spans="1:9" x14ac:dyDescent="0.15">
      <c r="A1802" s="10">
        <v>1801</v>
      </c>
      <c r="B1802" s="11" t="s">
        <v>9</v>
      </c>
      <c r="C1802" s="11" t="s">
        <v>170</v>
      </c>
      <c r="D1802" s="11" t="s">
        <v>171</v>
      </c>
      <c r="E1802" s="9" t="str">
        <f>+HYPERLINK("http://trademark.i-assist.jp/data/china/image_1904th/79724110.pdf", "79724110")</f>
        <v>79724110</v>
      </c>
      <c r="F1802" s="11" t="s">
        <v>5138</v>
      </c>
      <c r="G1802" s="11" t="s">
        <v>5139</v>
      </c>
      <c r="H1802" s="11" t="s">
        <v>5140</v>
      </c>
      <c r="I1802" s="11" t="s">
        <v>5041</v>
      </c>
    </row>
    <row r="1803" spans="1:9" x14ac:dyDescent="0.15">
      <c r="A1803" s="10">
        <v>1802</v>
      </c>
      <c r="B1803" s="11" t="s">
        <v>9</v>
      </c>
      <c r="C1803" s="11" t="s">
        <v>170</v>
      </c>
      <c r="D1803" s="11" t="s">
        <v>171</v>
      </c>
      <c r="E1803" s="9" t="str">
        <f>+HYPERLINK("http://trademark.i-assist.jp/data/china/image_1904th/79724321.pdf", "79724321")</f>
        <v>79724321</v>
      </c>
      <c r="F1803" s="11" t="s">
        <v>5141</v>
      </c>
      <c r="G1803" s="11" t="s">
        <v>91</v>
      </c>
      <c r="H1803" s="11" t="s">
        <v>5142</v>
      </c>
      <c r="I1803" s="11" t="s">
        <v>5041</v>
      </c>
    </row>
    <row r="1804" spans="1:9" x14ac:dyDescent="0.15">
      <c r="A1804" s="10">
        <v>1803</v>
      </c>
      <c r="B1804" s="11" t="s">
        <v>9</v>
      </c>
      <c r="C1804" s="11" t="s">
        <v>170</v>
      </c>
      <c r="D1804" s="11" t="s">
        <v>171</v>
      </c>
      <c r="E1804" s="9" t="str">
        <f>+HYPERLINK("http://trademark.i-assist.jp/data/china/image_1904th/79724448.pdf", "79724448")</f>
        <v>79724448</v>
      </c>
      <c r="F1804" s="11" t="s">
        <v>5143</v>
      </c>
      <c r="G1804" s="11" t="s">
        <v>5101</v>
      </c>
      <c r="H1804" s="11" t="s">
        <v>5144</v>
      </c>
      <c r="I1804" s="11" t="s">
        <v>5041</v>
      </c>
    </row>
    <row r="1805" spans="1:9" x14ac:dyDescent="0.15">
      <c r="A1805" s="10">
        <v>1804</v>
      </c>
      <c r="B1805" s="11" t="s">
        <v>9</v>
      </c>
      <c r="C1805" s="11" t="s">
        <v>170</v>
      </c>
      <c r="D1805" s="11" t="s">
        <v>171</v>
      </c>
      <c r="E1805" s="9" t="str">
        <f>+HYPERLINK("http://trademark.i-assist.jp/data/china/image_1904th/79724958.pdf", "79724958")</f>
        <v>79724958</v>
      </c>
      <c r="F1805" s="11" t="s">
        <v>5145</v>
      </c>
      <c r="G1805" s="11" t="s">
        <v>5059</v>
      </c>
      <c r="H1805" s="11" t="s">
        <v>5146</v>
      </c>
      <c r="I1805" s="11" t="s">
        <v>5041</v>
      </c>
    </row>
    <row r="1806" spans="1:9" x14ac:dyDescent="0.15">
      <c r="A1806" s="10">
        <v>1805</v>
      </c>
      <c r="B1806" s="11" t="s">
        <v>9</v>
      </c>
      <c r="C1806" s="11" t="s">
        <v>170</v>
      </c>
      <c r="D1806" s="11" t="s">
        <v>171</v>
      </c>
      <c r="E1806" s="9" t="str">
        <f>+HYPERLINK("http://trademark.i-assist.jp/data/china/image_1904th/79726411.pdf", "79726411")</f>
        <v>79726411</v>
      </c>
      <c r="F1806" s="11" t="s">
        <v>5147</v>
      </c>
      <c r="G1806" s="11" t="s">
        <v>5085</v>
      </c>
      <c r="H1806" s="11" t="s">
        <v>5148</v>
      </c>
      <c r="I1806" s="11" t="s">
        <v>5041</v>
      </c>
    </row>
    <row r="1807" spans="1:9" x14ac:dyDescent="0.15">
      <c r="A1807" s="10">
        <v>1806</v>
      </c>
      <c r="B1807" s="11" t="s">
        <v>9</v>
      </c>
      <c r="C1807" s="11" t="s">
        <v>170</v>
      </c>
      <c r="D1807" s="11" t="s">
        <v>171</v>
      </c>
      <c r="E1807" s="9" t="str">
        <f>+HYPERLINK("http://trademark.i-assist.jp/data/china/image_1904th/79726699.pdf", "79726699")</f>
        <v>79726699</v>
      </c>
      <c r="F1807" s="11" t="s">
        <v>5149</v>
      </c>
      <c r="G1807" s="11" t="s">
        <v>5150</v>
      </c>
      <c r="H1807" s="11" t="s">
        <v>5151</v>
      </c>
      <c r="I1807" s="11" t="s">
        <v>5041</v>
      </c>
    </row>
    <row r="1808" spans="1:9" x14ac:dyDescent="0.15">
      <c r="A1808" s="10">
        <v>1807</v>
      </c>
      <c r="B1808" s="11" t="s">
        <v>9</v>
      </c>
      <c r="C1808" s="11" t="s">
        <v>170</v>
      </c>
      <c r="D1808" s="11" t="s">
        <v>171</v>
      </c>
      <c r="E1808" s="9" t="str">
        <f>+HYPERLINK("http://trademark.i-assist.jp/data/china/image_1904th/79727969.pdf", "79727969")</f>
        <v>79727969</v>
      </c>
      <c r="F1808" s="11" t="s">
        <v>5152</v>
      </c>
      <c r="G1808" s="11" t="s">
        <v>39</v>
      </c>
      <c r="H1808" s="11" t="s">
        <v>5153</v>
      </c>
      <c r="I1808" s="11" t="s">
        <v>5041</v>
      </c>
    </row>
    <row r="1809" spans="1:9" x14ac:dyDescent="0.15">
      <c r="A1809" s="10">
        <v>1808</v>
      </c>
      <c r="B1809" s="11" t="s">
        <v>9</v>
      </c>
      <c r="C1809" s="11" t="s">
        <v>170</v>
      </c>
      <c r="D1809" s="11" t="s">
        <v>171</v>
      </c>
      <c r="E1809" s="9" t="str">
        <f>+HYPERLINK("http://trademark.i-assist.jp/data/china/image_1904th/79728024.pdf", "79728024")</f>
        <v>79728024</v>
      </c>
      <c r="F1809" s="11" t="s">
        <v>5154</v>
      </c>
      <c r="G1809" s="11" t="s">
        <v>5054</v>
      </c>
      <c r="H1809" s="11" t="s">
        <v>5155</v>
      </c>
      <c r="I1809" s="11" t="s">
        <v>5041</v>
      </c>
    </row>
    <row r="1810" spans="1:9" x14ac:dyDescent="0.15">
      <c r="A1810" s="10">
        <v>1809</v>
      </c>
      <c r="B1810" s="11" t="s">
        <v>9</v>
      </c>
      <c r="C1810" s="11" t="s">
        <v>170</v>
      </c>
      <c r="D1810" s="11" t="s">
        <v>171</v>
      </c>
      <c r="E1810" s="9" t="str">
        <f>+HYPERLINK("http://trademark.i-assist.jp/data/china/image_1904th/79730290.pdf", "79730290")</f>
        <v>79730290</v>
      </c>
      <c r="F1810" s="11" t="s">
        <v>5156</v>
      </c>
      <c r="G1810" s="11" t="s">
        <v>5157</v>
      </c>
      <c r="H1810" s="11" t="s">
        <v>5158</v>
      </c>
      <c r="I1810" s="11" t="s">
        <v>5159</v>
      </c>
    </row>
    <row r="1811" spans="1:9" x14ac:dyDescent="0.15">
      <c r="A1811" s="10">
        <v>1810</v>
      </c>
      <c r="B1811" s="11" t="s">
        <v>9</v>
      </c>
      <c r="C1811" s="11" t="s">
        <v>170</v>
      </c>
      <c r="D1811" s="11" t="s">
        <v>171</v>
      </c>
      <c r="E1811" s="9" t="str">
        <f>+HYPERLINK("http://trademark.i-assist.jp/data/china/image_1904th/79730458.pdf", "79730458")</f>
        <v>79730458</v>
      </c>
      <c r="F1811" s="11" t="s">
        <v>5160</v>
      </c>
      <c r="G1811" s="11" t="s">
        <v>5161</v>
      </c>
      <c r="H1811" s="11" t="s">
        <v>5162</v>
      </c>
      <c r="I1811" s="11" t="s">
        <v>5159</v>
      </c>
    </row>
    <row r="1812" spans="1:9" x14ac:dyDescent="0.15">
      <c r="A1812" s="10">
        <v>1811</v>
      </c>
      <c r="B1812" s="11" t="s">
        <v>9</v>
      </c>
      <c r="C1812" s="11" t="s">
        <v>170</v>
      </c>
      <c r="D1812" s="11" t="s">
        <v>171</v>
      </c>
      <c r="E1812" s="9" t="str">
        <f>+HYPERLINK("http://trademark.i-assist.jp/data/china/image_1904th/79731439.pdf", "79731439")</f>
        <v>79731439</v>
      </c>
      <c r="F1812" s="11" t="s">
        <v>5163</v>
      </c>
      <c r="G1812" s="11" t="s">
        <v>5164</v>
      </c>
      <c r="H1812" s="11" t="s">
        <v>5165</v>
      </c>
      <c r="I1812" s="11" t="s">
        <v>5159</v>
      </c>
    </row>
    <row r="1813" spans="1:9" x14ac:dyDescent="0.15">
      <c r="A1813" s="10">
        <v>1812</v>
      </c>
      <c r="B1813" s="11" t="s">
        <v>9</v>
      </c>
      <c r="C1813" s="11" t="s">
        <v>170</v>
      </c>
      <c r="D1813" s="11" t="s">
        <v>171</v>
      </c>
      <c r="E1813" s="9" t="str">
        <f>+HYPERLINK("http://trademark.i-assist.jp/data/china/image_1904th/79732072.pdf", "79732072")</f>
        <v>79732072</v>
      </c>
      <c r="F1813" s="11" t="s">
        <v>5166</v>
      </c>
      <c r="G1813" s="11" t="s">
        <v>5167</v>
      </c>
      <c r="H1813" s="11" t="s">
        <v>5168</v>
      </c>
      <c r="I1813" s="11" t="s">
        <v>5159</v>
      </c>
    </row>
    <row r="1814" spans="1:9" x14ac:dyDescent="0.15">
      <c r="A1814" s="10">
        <v>1813</v>
      </c>
      <c r="B1814" s="11" t="s">
        <v>9</v>
      </c>
      <c r="C1814" s="11" t="s">
        <v>170</v>
      </c>
      <c r="D1814" s="11" t="s">
        <v>171</v>
      </c>
      <c r="E1814" s="9" t="str">
        <f>+HYPERLINK("http://trademark.i-assist.jp/data/china/image_1904th/79732190.pdf", "79732190")</f>
        <v>79732190</v>
      </c>
      <c r="F1814" s="11" t="s">
        <v>5169</v>
      </c>
      <c r="G1814" s="11" t="s">
        <v>5157</v>
      </c>
      <c r="H1814" s="11" t="s">
        <v>5170</v>
      </c>
      <c r="I1814" s="11" t="s">
        <v>5159</v>
      </c>
    </row>
    <row r="1815" spans="1:9" x14ac:dyDescent="0.15">
      <c r="A1815" s="10">
        <v>1814</v>
      </c>
      <c r="B1815" s="11" t="s">
        <v>9</v>
      </c>
      <c r="C1815" s="11" t="s">
        <v>170</v>
      </c>
      <c r="D1815" s="11" t="s">
        <v>171</v>
      </c>
      <c r="E1815" s="9" t="str">
        <f>+HYPERLINK("http://trademark.i-assist.jp/data/china/image_1904th/79732830.pdf", "79732830")</f>
        <v>79732830</v>
      </c>
      <c r="F1815" s="11" t="s">
        <v>5171</v>
      </c>
      <c r="G1815" s="11" t="s">
        <v>5172</v>
      </c>
      <c r="H1815" s="11" t="s">
        <v>5173</v>
      </c>
      <c r="I1815" s="11" t="s">
        <v>5159</v>
      </c>
    </row>
    <row r="1816" spans="1:9" x14ac:dyDescent="0.15">
      <c r="A1816" s="10">
        <v>1815</v>
      </c>
      <c r="B1816" s="11" t="s">
        <v>9</v>
      </c>
      <c r="C1816" s="11" t="s">
        <v>170</v>
      </c>
      <c r="D1816" s="11" t="s">
        <v>171</v>
      </c>
      <c r="E1816" s="9" t="str">
        <f>+HYPERLINK("http://trademark.i-assist.jp/data/china/image_1904th/79733075.pdf", "79733075")</f>
        <v>79733075</v>
      </c>
      <c r="F1816" s="11" t="s">
        <v>5174</v>
      </c>
      <c r="G1816" s="11" t="s">
        <v>5175</v>
      </c>
      <c r="H1816" s="11" t="s">
        <v>5176</v>
      </c>
      <c r="I1816" s="11" t="s">
        <v>5159</v>
      </c>
    </row>
    <row r="1817" spans="1:9" x14ac:dyDescent="0.15">
      <c r="A1817" s="10">
        <v>1816</v>
      </c>
      <c r="B1817" s="11" t="s">
        <v>9</v>
      </c>
      <c r="C1817" s="11" t="s">
        <v>170</v>
      </c>
      <c r="D1817" s="11" t="s">
        <v>171</v>
      </c>
      <c r="E1817" s="9" t="str">
        <f>+HYPERLINK("http://trademark.i-assist.jp/data/china/image_1904th/79733618.pdf", "79733618")</f>
        <v>79733618</v>
      </c>
      <c r="F1817" s="11" t="s">
        <v>5177</v>
      </c>
      <c r="G1817" s="11" t="s">
        <v>5178</v>
      </c>
      <c r="H1817" s="11" t="s">
        <v>5179</v>
      </c>
      <c r="I1817" s="11" t="s">
        <v>5159</v>
      </c>
    </row>
    <row r="1818" spans="1:9" x14ac:dyDescent="0.15">
      <c r="A1818" s="10">
        <v>1817</v>
      </c>
      <c r="B1818" s="11" t="s">
        <v>9</v>
      </c>
      <c r="C1818" s="11" t="s">
        <v>170</v>
      </c>
      <c r="D1818" s="11" t="s">
        <v>171</v>
      </c>
      <c r="E1818" s="9" t="str">
        <f>+HYPERLINK("http://trademark.i-assist.jp/data/china/image_1904th/79734196.pdf", "79734196")</f>
        <v>79734196</v>
      </c>
      <c r="F1818" s="11" t="s">
        <v>5180</v>
      </c>
      <c r="G1818" s="11" t="s">
        <v>5181</v>
      </c>
      <c r="H1818" s="11" t="s">
        <v>5182</v>
      </c>
      <c r="I1818" s="11" t="s">
        <v>5159</v>
      </c>
    </row>
    <row r="1819" spans="1:9" x14ac:dyDescent="0.15">
      <c r="A1819" s="10">
        <v>1818</v>
      </c>
      <c r="B1819" s="11" t="s">
        <v>9</v>
      </c>
      <c r="C1819" s="11" t="s">
        <v>170</v>
      </c>
      <c r="D1819" s="11" t="s">
        <v>171</v>
      </c>
      <c r="E1819" s="9" t="str">
        <f>+HYPERLINK("http://trademark.i-assist.jp/data/china/image_1904th/79736328.pdf", "79736328")</f>
        <v>79736328</v>
      </c>
      <c r="F1819" s="11" t="s">
        <v>5183</v>
      </c>
      <c r="G1819" s="11" t="s">
        <v>5184</v>
      </c>
      <c r="H1819" s="11" t="s">
        <v>5185</v>
      </c>
      <c r="I1819" s="11" t="s">
        <v>5159</v>
      </c>
    </row>
    <row r="1820" spans="1:9" x14ac:dyDescent="0.15">
      <c r="A1820" s="10">
        <v>1819</v>
      </c>
      <c r="B1820" s="11" t="s">
        <v>9</v>
      </c>
      <c r="C1820" s="11" t="s">
        <v>170</v>
      </c>
      <c r="D1820" s="11" t="s">
        <v>171</v>
      </c>
      <c r="E1820" s="9" t="str">
        <f>+HYPERLINK("http://trademark.i-assist.jp/data/china/image_1904th/79736763.pdf", "79736763")</f>
        <v>79736763</v>
      </c>
      <c r="F1820" s="11" t="s">
        <v>5186</v>
      </c>
      <c r="G1820" s="11" t="s">
        <v>5187</v>
      </c>
      <c r="H1820" s="11" t="s">
        <v>5188</v>
      </c>
      <c r="I1820" s="11" t="s">
        <v>5159</v>
      </c>
    </row>
    <row r="1821" spans="1:9" x14ac:dyDescent="0.15">
      <c r="A1821" s="10">
        <v>1820</v>
      </c>
      <c r="B1821" s="11" t="s">
        <v>9</v>
      </c>
      <c r="C1821" s="11" t="s">
        <v>170</v>
      </c>
      <c r="D1821" s="11" t="s">
        <v>171</v>
      </c>
      <c r="E1821" s="9" t="str">
        <f>+HYPERLINK("http://trademark.i-assist.jp/data/china/image_1904th/79737186.pdf", "79737186")</f>
        <v>79737186</v>
      </c>
      <c r="F1821" s="11" t="s">
        <v>5189</v>
      </c>
      <c r="G1821" s="11" t="s">
        <v>5161</v>
      </c>
      <c r="H1821" s="11" t="s">
        <v>5190</v>
      </c>
      <c r="I1821" s="11" t="s">
        <v>5159</v>
      </c>
    </row>
    <row r="1822" spans="1:9" x14ac:dyDescent="0.15">
      <c r="A1822" s="10">
        <v>1821</v>
      </c>
      <c r="B1822" s="11" t="s">
        <v>9</v>
      </c>
      <c r="C1822" s="11" t="s">
        <v>170</v>
      </c>
      <c r="D1822" s="11" t="s">
        <v>171</v>
      </c>
      <c r="E1822" s="9" t="str">
        <f>+HYPERLINK("http://trademark.i-assist.jp/data/china/image_1904th/79737243.pdf", "79737243")</f>
        <v>79737243</v>
      </c>
      <c r="F1822" s="11" t="s">
        <v>5191</v>
      </c>
      <c r="G1822" s="11" t="s">
        <v>5192</v>
      </c>
      <c r="H1822" s="11" t="s">
        <v>5193</v>
      </c>
      <c r="I1822" s="11" t="s">
        <v>5159</v>
      </c>
    </row>
    <row r="1823" spans="1:9" x14ac:dyDescent="0.15">
      <c r="A1823" s="10">
        <v>1822</v>
      </c>
      <c r="B1823" s="11" t="s">
        <v>9</v>
      </c>
      <c r="C1823" s="11" t="s">
        <v>170</v>
      </c>
      <c r="D1823" s="11" t="s">
        <v>171</v>
      </c>
      <c r="E1823" s="9" t="str">
        <f>+HYPERLINK("http://trademark.i-assist.jp/data/china/image_1904th/79737818.pdf", "79737818")</f>
        <v>79737818</v>
      </c>
      <c r="F1823" s="11" t="s">
        <v>5194</v>
      </c>
      <c r="G1823" s="11" t="s">
        <v>5195</v>
      </c>
      <c r="H1823" s="11" t="s">
        <v>5196</v>
      </c>
      <c r="I1823" s="11" t="s">
        <v>5159</v>
      </c>
    </row>
    <row r="1824" spans="1:9" x14ac:dyDescent="0.15">
      <c r="A1824" s="10">
        <v>1823</v>
      </c>
      <c r="B1824" s="11" t="s">
        <v>9</v>
      </c>
      <c r="C1824" s="11" t="s">
        <v>170</v>
      </c>
      <c r="D1824" s="11" t="s">
        <v>171</v>
      </c>
      <c r="E1824" s="9" t="str">
        <f>+HYPERLINK("http://trademark.i-assist.jp/data/china/image_1904th/79738208.pdf", "79738208")</f>
        <v>79738208</v>
      </c>
      <c r="F1824" s="11" t="s">
        <v>5197</v>
      </c>
      <c r="G1824" s="11" t="s">
        <v>5198</v>
      </c>
      <c r="H1824" s="11" t="s">
        <v>5199</v>
      </c>
      <c r="I1824" s="11" t="s">
        <v>5159</v>
      </c>
    </row>
    <row r="1825" spans="1:9" x14ac:dyDescent="0.15">
      <c r="A1825" s="10">
        <v>1824</v>
      </c>
      <c r="B1825" s="11" t="s">
        <v>9</v>
      </c>
      <c r="C1825" s="11" t="s">
        <v>170</v>
      </c>
      <c r="D1825" s="11" t="s">
        <v>171</v>
      </c>
      <c r="E1825" s="9" t="str">
        <f>+HYPERLINK("http://trademark.i-assist.jp/data/china/image_1904th/79738449.pdf", "79738449")</f>
        <v>79738449</v>
      </c>
      <c r="F1825" s="11" t="s">
        <v>5200</v>
      </c>
      <c r="G1825" s="11" t="s">
        <v>5201</v>
      </c>
      <c r="H1825" s="11" t="s">
        <v>5202</v>
      </c>
      <c r="I1825" s="11" t="s">
        <v>5159</v>
      </c>
    </row>
    <row r="1826" spans="1:9" x14ac:dyDescent="0.15">
      <c r="A1826" s="10">
        <v>1825</v>
      </c>
      <c r="B1826" s="11" t="s">
        <v>9</v>
      </c>
      <c r="C1826" s="11" t="s">
        <v>170</v>
      </c>
      <c r="D1826" s="11" t="s">
        <v>171</v>
      </c>
      <c r="E1826" s="9" t="str">
        <f>+HYPERLINK("http://trademark.i-assist.jp/data/china/image_1904th/79738740.pdf", "79738740")</f>
        <v>79738740</v>
      </c>
      <c r="F1826" s="11" t="s">
        <v>5203</v>
      </c>
      <c r="G1826" s="11" t="s">
        <v>5204</v>
      </c>
      <c r="H1826" s="11" t="s">
        <v>5205</v>
      </c>
      <c r="I1826" s="11" t="s">
        <v>5159</v>
      </c>
    </row>
    <row r="1827" spans="1:9" x14ac:dyDescent="0.15">
      <c r="A1827" s="10">
        <v>1826</v>
      </c>
      <c r="B1827" s="11" t="s">
        <v>9</v>
      </c>
      <c r="C1827" s="11" t="s">
        <v>170</v>
      </c>
      <c r="D1827" s="11" t="s">
        <v>171</v>
      </c>
      <c r="E1827" s="9" t="str">
        <f>+HYPERLINK("http://trademark.i-assist.jp/data/china/image_1904th/79738922.pdf", "79738922")</f>
        <v>79738922</v>
      </c>
      <c r="F1827" s="11" t="s">
        <v>5206</v>
      </c>
      <c r="G1827" s="11" t="s">
        <v>5207</v>
      </c>
      <c r="H1827" s="11" t="s">
        <v>5208</v>
      </c>
      <c r="I1827" s="11" t="s">
        <v>5159</v>
      </c>
    </row>
    <row r="1828" spans="1:9" x14ac:dyDescent="0.15">
      <c r="A1828" s="10">
        <v>1827</v>
      </c>
      <c r="B1828" s="11" t="s">
        <v>9</v>
      </c>
      <c r="C1828" s="11" t="s">
        <v>170</v>
      </c>
      <c r="D1828" s="11" t="s">
        <v>171</v>
      </c>
      <c r="E1828" s="9" t="str">
        <f>+HYPERLINK("http://trademark.i-assist.jp/data/china/image_1904th/79739453.pdf", "79739453")</f>
        <v>79739453</v>
      </c>
      <c r="F1828" s="11" t="s">
        <v>5209</v>
      </c>
      <c r="G1828" s="11" t="s">
        <v>5210</v>
      </c>
      <c r="H1828" s="11" t="s">
        <v>5211</v>
      </c>
      <c r="I1828" s="11" t="s">
        <v>5159</v>
      </c>
    </row>
    <row r="1829" spans="1:9" x14ac:dyDescent="0.15">
      <c r="A1829" s="10">
        <v>1828</v>
      </c>
      <c r="B1829" s="11" t="s">
        <v>9</v>
      </c>
      <c r="C1829" s="11" t="s">
        <v>170</v>
      </c>
      <c r="D1829" s="11" t="s">
        <v>171</v>
      </c>
      <c r="E1829" s="9" t="str">
        <f>+HYPERLINK("http://trademark.i-assist.jp/data/china/image_1904th/79739918.pdf", "79739918")</f>
        <v>79739918</v>
      </c>
      <c r="F1829" s="11" t="s">
        <v>5212</v>
      </c>
      <c r="G1829" s="11" t="s">
        <v>5213</v>
      </c>
      <c r="H1829" s="11" t="s">
        <v>5214</v>
      </c>
      <c r="I1829" s="11" t="s">
        <v>5159</v>
      </c>
    </row>
    <row r="1830" spans="1:9" x14ac:dyDescent="0.15">
      <c r="A1830" s="10">
        <v>1829</v>
      </c>
      <c r="B1830" s="11" t="s">
        <v>9</v>
      </c>
      <c r="C1830" s="11" t="s">
        <v>170</v>
      </c>
      <c r="D1830" s="11" t="s">
        <v>171</v>
      </c>
      <c r="E1830" s="9" t="str">
        <f>+HYPERLINK("http://trademark.i-assist.jp/data/china/image_1904th/79740556.pdf", "79740556")</f>
        <v>79740556</v>
      </c>
      <c r="F1830" s="11" t="s">
        <v>5215</v>
      </c>
      <c r="G1830" s="11" t="s">
        <v>5161</v>
      </c>
      <c r="H1830" s="11" t="s">
        <v>5216</v>
      </c>
      <c r="I1830" s="11" t="s">
        <v>5159</v>
      </c>
    </row>
    <row r="1831" spans="1:9" x14ac:dyDescent="0.15">
      <c r="A1831" s="10">
        <v>1830</v>
      </c>
      <c r="B1831" s="11" t="s">
        <v>9</v>
      </c>
      <c r="C1831" s="11" t="s">
        <v>170</v>
      </c>
      <c r="D1831" s="11" t="s">
        <v>171</v>
      </c>
      <c r="E1831" s="9" t="str">
        <f>+HYPERLINK("http://trademark.i-assist.jp/data/china/image_1904th/79741205.pdf", "79741205")</f>
        <v>79741205</v>
      </c>
      <c r="F1831" s="11" t="s">
        <v>5217</v>
      </c>
      <c r="G1831" s="11" t="s">
        <v>5161</v>
      </c>
      <c r="H1831" s="11" t="s">
        <v>5218</v>
      </c>
      <c r="I1831" s="11" t="s">
        <v>5159</v>
      </c>
    </row>
    <row r="1832" spans="1:9" x14ac:dyDescent="0.15">
      <c r="A1832" s="10">
        <v>1831</v>
      </c>
      <c r="B1832" s="11" t="s">
        <v>9</v>
      </c>
      <c r="C1832" s="11" t="s">
        <v>170</v>
      </c>
      <c r="D1832" s="11" t="s">
        <v>171</v>
      </c>
      <c r="E1832" s="9" t="str">
        <f>+HYPERLINK("http://trademark.i-assist.jp/data/china/image_1904th/79741218.pdf", "79741218")</f>
        <v>79741218</v>
      </c>
      <c r="F1832" s="11" t="s">
        <v>5219</v>
      </c>
      <c r="G1832" s="11" t="s">
        <v>5220</v>
      </c>
      <c r="H1832" s="11" t="s">
        <v>5221</v>
      </c>
      <c r="I1832" s="11" t="s">
        <v>5159</v>
      </c>
    </row>
    <row r="1833" spans="1:9" x14ac:dyDescent="0.15">
      <c r="A1833" s="10">
        <v>1832</v>
      </c>
      <c r="B1833" s="11" t="s">
        <v>9</v>
      </c>
      <c r="C1833" s="11" t="s">
        <v>170</v>
      </c>
      <c r="D1833" s="11" t="s">
        <v>171</v>
      </c>
      <c r="E1833" s="9" t="str">
        <f>+HYPERLINK("http://trademark.i-assist.jp/data/china/image_1904th/79741741.pdf", "79741741")</f>
        <v>79741741</v>
      </c>
      <c r="F1833" s="11" t="s">
        <v>5222</v>
      </c>
      <c r="G1833" s="11" t="s">
        <v>5223</v>
      </c>
      <c r="H1833" s="11" t="s">
        <v>5224</v>
      </c>
      <c r="I1833" s="11" t="s">
        <v>5159</v>
      </c>
    </row>
    <row r="1834" spans="1:9" x14ac:dyDescent="0.15">
      <c r="A1834" s="10">
        <v>1833</v>
      </c>
      <c r="B1834" s="11" t="s">
        <v>9</v>
      </c>
      <c r="C1834" s="11" t="s">
        <v>170</v>
      </c>
      <c r="D1834" s="11" t="s">
        <v>171</v>
      </c>
      <c r="E1834" s="9" t="str">
        <f>+HYPERLINK("http://trademark.i-assist.jp/data/china/image_1904th/79744802.pdf", "79744802")</f>
        <v>79744802</v>
      </c>
      <c r="F1834" s="11" t="s">
        <v>12</v>
      </c>
      <c r="G1834" s="11" t="s">
        <v>5225</v>
      </c>
      <c r="H1834" s="11" t="s">
        <v>5226</v>
      </c>
      <c r="I1834" s="11" t="s">
        <v>5159</v>
      </c>
    </row>
    <row r="1835" spans="1:9" x14ac:dyDescent="0.15">
      <c r="A1835" s="10">
        <v>1834</v>
      </c>
      <c r="B1835" s="11" t="s">
        <v>9</v>
      </c>
      <c r="C1835" s="11" t="s">
        <v>170</v>
      </c>
      <c r="D1835" s="11" t="s">
        <v>171</v>
      </c>
      <c r="E1835" s="9" t="str">
        <f>+HYPERLINK("http://trademark.i-assist.jp/data/china/image_1904th/79745007.pdf", "79745007")</f>
        <v>79745007</v>
      </c>
      <c r="F1835" s="11" t="s">
        <v>5227</v>
      </c>
      <c r="G1835" s="11" t="s">
        <v>5228</v>
      </c>
      <c r="H1835" s="11" t="s">
        <v>5229</v>
      </c>
      <c r="I1835" s="11" t="s">
        <v>5159</v>
      </c>
    </row>
    <row r="1836" spans="1:9" x14ac:dyDescent="0.15">
      <c r="A1836" s="10">
        <v>1835</v>
      </c>
      <c r="B1836" s="11" t="s">
        <v>9</v>
      </c>
      <c r="C1836" s="11" t="s">
        <v>170</v>
      </c>
      <c r="D1836" s="11" t="s">
        <v>171</v>
      </c>
      <c r="E1836" s="9" t="str">
        <f>+HYPERLINK("http://trademark.i-assist.jp/data/china/image_1904th/79745125.pdf", "79745125")</f>
        <v>79745125</v>
      </c>
      <c r="F1836" s="11" t="s">
        <v>5230</v>
      </c>
      <c r="G1836" s="11" t="s">
        <v>5213</v>
      </c>
      <c r="H1836" s="11" t="s">
        <v>5231</v>
      </c>
      <c r="I1836" s="11" t="s">
        <v>5159</v>
      </c>
    </row>
    <row r="1837" spans="1:9" x14ac:dyDescent="0.15">
      <c r="A1837" s="10">
        <v>1836</v>
      </c>
      <c r="B1837" s="11" t="s">
        <v>9</v>
      </c>
      <c r="C1837" s="11" t="s">
        <v>170</v>
      </c>
      <c r="D1837" s="11" t="s">
        <v>171</v>
      </c>
      <c r="E1837" s="9" t="str">
        <f>+HYPERLINK("http://trademark.i-assist.jp/data/china/image_1904th/79746317.pdf", "79746317")</f>
        <v>79746317</v>
      </c>
      <c r="F1837" s="11" t="s">
        <v>5232</v>
      </c>
      <c r="G1837" s="11" t="s">
        <v>5210</v>
      </c>
      <c r="H1837" s="11" t="s">
        <v>5233</v>
      </c>
      <c r="I1837" s="11" t="s">
        <v>5159</v>
      </c>
    </row>
    <row r="1838" spans="1:9" x14ac:dyDescent="0.15">
      <c r="A1838" s="10">
        <v>1837</v>
      </c>
      <c r="B1838" s="11" t="s">
        <v>9</v>
      </c>
      <c r="C1838" s="11" t="s">
        <v>170</v>
      </c>
      <c r="D1838" s="11" t="s">
        <v>171</v>
      </c>
      <c r="E1838" s="9" t="str">
        <f>+HYPERLINK("http://trademark.i-assist.jp/data/china/image_1904th/79748292.pdf", "79748292")</f>
        <v>79748292</v>
      </c>
      <c r="F1838" s="11" t="s">
        <v>5234</v>
      </c>
      <c r="G1838" s="11" t="s">
        <v>5133</v>
      </c>
      <c r="H1838" s="11" t="s">
        <v>5235</v>
      </c>
      <c r="I1838" s="11" t="s">
        <v>5159</v>
      </c>
    </row>
    <row r="1839" spans="1:9" x14ac:dyDescent="0.15">
      <c r="A1839" s="10">
        <v>1838</v>
      </c>
      <c r="B1839" s="11" t="s">
        <v>9</v>
      </c>
      <c r="C1839" s="11" t="s">
        <v>170</v>
      </c>
      <c r="D1839" s="11" t="s">
        <v>171</v>
      </c>
      <c r="E1839" s="9" t="str">
        <f>+HYPERLINK("http://trademark.i-assist.jp/data/china/image_1904th/79749950.pdf", "79749950")</f>
        <v>79749950</v>
      </c>
      <c r="F1839" s="11" t="s">
        <v>5236</v>
      </c>
      <c r="G1839" s="11" t="s">
        <v>5237</v>
      </c>
      <c r="H1839" s="11" t="s">
        <v>4962</v>
      </c>
      <c r="I1839" s="11" t="s">
        <v>5159</v>
      </c>
    </row>
    <row r="1840" spans="1:9" x14ac:dyDescent="0.15">
      <c r="A1840" s="10">
        <v>1839</v>
      </c>
      <c r="B1840" s="11" t="s">
        <v>9</v>
      </c>
      <c r="C1840" s="11" t="s">
        <v>170</v>
      </c>
      <c r="D1840" s="11" t="s">
        <v>171</v>
      </c>
      <c r="E1840" s="9" t="str">
        <f>+HYPERLINK("http://trademark.i-assist.jp/data/china/image_1904th/79750645.pdf", "79750645")</f>
        <v>79750645</v>
      </c>
      <c r="F1840" s="11" t="s">
        <v>5238</v>
      </c>
      <c r="G1840" s="11" t="s">
        <v>5239</v>
      </c>
      <c r="H1840" s="11" t="s">
        <v>5240</v>
      </c>
      <c r="I1840" s="11" t="s">
        <v>5159</v>
      </c>
    </row>
    <row r="1841" spans="1:9" x14ac:dyDescent="0.15">
      <c r="A1841" s="10">
        <v>1840</v>
      </c>
      <c r="B1841" s="11" t="s">
        <v>9</v>
      </c>
      <c r="C1841" s="11" t="s">
        <v>170</v>
      </c>
      <c r="D1841" s="11" t="s">
        <v>171</v>
      </c>
      <c r="E1841" s="9" t="str">
        <f>+HYPERLINK("http://trademark.i-assist.jp/data/china/image_1904th/79750734.pdf", "79750734")</f>
        <v>79750734</v>
      </c>
      <c r="F1841" s="11" t="s">
        <v>5241</v>
      </c>
      <c r="G1841" s="11" t="s">
        <v>5242</v>
      </c>
      <c r="H1841" s="11" t="s">
        <v>5243</v>
      </c>
      <c r="I1841" s="11" t="s">
        <v>5159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1904th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2025-03-05T05:32:37Z</dcterms:modified>
</cp:coreProperties>
</file>