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"/>
    </mc:Choice>
  </mc:AlternateContent>
  <xr:revisionPtr revIDLastSave="0" documentId="13_ncr:1_{994A6543-67CF-45E1-BBB3-B6FA29A9CDBE}" xr6:coauthVersionLast="47" xr6:coauthVersionMax="47" xr10:uidLastSave="{00000000-0000-0000-0000-000000000000}"/>
  <bookViews>
    <workbookView xWindow="-420" yWindow="4365" windowWidth="21600" windowHeight="11295" xr2:uid="{00000000-000D-0000-FFFF-FFFF00000000}"/>
  </bookViews>
  <sheets>
    <sheet name="1903th" sheetId="2" r:id="rId1"/>
  </sheets>
  <definedNames>
    <definedName name="_xlnm._FilterDatabase" localSheetId="0" hidden="1">'1903th'!$A$1:$I$1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</calcChain>
</file>

<file path=xl/sharedStrings.xml><?xml version="1.0" encoding="utf-8"?>
<sst xmlns="http://schemas.openxmlformats.org/spreadsheetml/2006/main" count="18272" uniqueCount="7360">
  <si>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</si>
  <si>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</si>
  <si>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</si>
  <si>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</si>
  <si>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</si>
  <si>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</si>
  <si>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</si>
  <si>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</si>
  <si>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</si>
  <si>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</si>
  <si>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贵州情景最藏酒业有限公司</t>
  </si>
  <si>
    <t>果酒（含酒精）;蒸馏饮料;葡萄酒;酒精饮料（啤酒除外）;⽩酒;预先混合的酒精饮料（以啤酒为主的除外）;汽酒;⻩酒;烧酒;⽶酒</t>
  </si>
  <si>
    <t>图形</t>
  </si>
  <si>
    <t>2023/05/19</t>
  </si>
  <si>
    <t>酒精饮料（啤酒除外）</t>
  </si>
  <si>
    <t>2023/06/05</t>
  </si>
  <si>
    <t/>
  </si>
  <si>
    <t>2023/09/08</t>
  </si>
  <si>
    <t>2023/09/13</t>
  </si>
  <si>
    <t>2023/10/09</t>
  </si>
  <si>
    <t>⽩酒</t>
  </si>
  <si>
    <t>2024/03/11</t>
  </si>
  <si>
    <t>2024/03/21</t>
  </si>
  <si>
    <t>2024/04/01</t>
  </si>
  <si>
    <t>2024/04/03</t>
  </si>
  <si>
    <t>上海茅董酱酒文化发展有限公司</t>
  </si>
  <si>
    <t>2024/04/08</t>
  </si>
  <si>
    <t>2024/04/10</t>
  </si>
  <si>
    <t>贵州京谭酒业有限责任公司</t>
  </si>
  <si>
    <t>2024/04/11</t>
  </si>
  <si>
    <t>2024/04/12</t>
  </si>
  <si>
    <t>亳州伯坛酒业有限公司</t>
  </si>
  <si>
    <t>2024/04/15</t>
  </si>
  <si>
    <t>吴晓林</t>
  </si>
  <si>
    <t>2024/04/16</t>
  </si>
  <si>
    <t>2024/04/17</t>
  </si>
  <si>
    <t>2024/04/18</t>
  </si>
  <si>
    <t>2024/04/23</t>
  </si>
  <si>
    <t>张军</t>
  </si>
  <si>
    <t>2024/04/25</t>
  </si>
  <si>
    <t>2024/04/26</t>
  </si>
  <si>
    <t>2024/04/28</t>
  </si>
  <si>
    <t>2024/04/29</t>
  </si>
  <si>
    <t>葡萄酒</t>
  </si>
  <si>
    <t>2024/05/06</t>
  </si>
  <si>
    <t>贵州省仁怀市茅台镇衡昌烧坊酿酒有限公司</t>
  </si>
  <si>
    <t>2024/05/07</t>
  </si>
  <si>
    <t>纪庆坤</t>
  </si>
  <si>
    <t>赣州秒店多项目管理有限公司</t>
  </si>
  <si>
    <t>2024/05/08</t>
  </si>
  <si>
    <t>美集美嘉(青岛)国际供应链有限公司</t>
  </si>
  <si>
    <t>2024/05/09</t>
  </si>
  <si>
    <t>汪加豪</t>
  </si>
  <si>
    <t>2024/05/10</t>
  </si>
  <si>
    <t>顾玉红</t>
  </si>
  <si>
    <t>2024/05/11</t>
  </si>
  <si>
    <t>山东百脉泉酒业股份有限公司</t>
  </si>
  <si>
    <t>刘中原</t>
  </si>
  <si>
    <t>2024/05/12</t>
  </si>
  <si>
    <t>2024/05/13</t>
  </si>
  <si>
    <t>汤瑞如</t>
  </si>
  <si>
    <t>贵州涟江酿酒有限责任公司</t>
  </si>
  <si>
    <t>2024/05/14</t>
  </si>
  <si>
    <t>陈晓利</t>
  </si>
  <si>
    <t>釜阳春酒业有限公司</t>
  </si>
  <si>
    <t>2024/05/15</t>
  </si>
  <si>
    <t>湖南云犇电子科技有限公司</t>
  </si>
  <si>
    <t>2024/05/28</t>
  </si>
  <si>
    <t>2022/11/18</t>
  </si>
  <si>
    <t>2023/05/09</t>
  </si>
  <si>
    <t>2023/05/10</t>
  </si>
  <si>
    <t>陈超</t>
  </si>
  <si>
    <t>2023/05/27</t>
  </si>
  <si>
    <t>广州美台酒业有限公司</t>
  </si>
  <si>
    <t>2023/07/03</t>
  </si>
  <si>
    <t>2023/07/28</t>
  </si>
  <si>
    <t>2023/08/04</t>
  </si>
  <si>
    <t>2023/08/10</t>
  </si>
  <si>
    <t>酒精饮料（啤酒除外）;葡萄酒</t>
  </si>
  <si>
    <t>2023/08/23</t>
  </si>
  <si>
    <t>2023/08/25</t>
  </si>
  <si>
    <t>2023/08/29</t>
  </si>
  <si>
    <t>2023/09/07</t>
  </si>
  <si>
    <t>2023/09/21</t>
  </si>
  <si>
    <t>2023/09/25</t>
  </si>
  <si>
    <t>2023/09/26</t>
  </si>
  <si>
    <t>2023/09/27</t>
  </si>
  <si>
    <t>2023/10/12</t>
  </si>
  <si>
    <t>2023/10/25</t>
  </si>
  <si>
    <t>2023/10/29</t>
  </si>
  <si>
    <t>2024/03/22</t>
  </si>
  <si>
    <t>查银桃</t>
  </si>
  <si>
    <t>黔王</t>
  </si>
  <si>
    <t>贵州黔王匠王台酿酒有限公司</t>
  </si>
  <si>
    <t>袁龙</t>
  </si>
  <si>
    <t>日照伊阁鲁商贸有限责任公司</t>
  </si>
  <si>
    <t>河南花花牛乳业集团股份有限公司</t>
  </si>
  <si>
    <t>廉要昌</t>
  </si>
  <si>
    <t>云科医药生物科技（深圳）有限公司</t>
  </si>
  <si>
    <t>许瑞波</t>
  </si>
  <si>
    <t>上海华湘贸易发展有限公司</t>
  </si>
  <si>
    <t>蔡永锋</t>
  </si>
  <si>
    <t>先乐百货（广东）有限公司</t>
  </si>
  <si>
    <t>贵州手艺人酒业有限公司</t>
  </si>
  <si>
    <t>2024/05/16</t>
  </si>
  <si>
    <t>蔺瑞华</t>
  </si>
  <si>
    <t>陕西绿浪环保科技有限公司</t>
  </si>
  <si>
    <t>贵州邹旺酒业（集团）有限公司</t>
  </si>
  <si>
    <t>2024/05/17</t>
  </si>
  <si>
    <t>郑广菊</t>
  </si>
  <si>
    <t>2024/05/18</t>
  </si>
  <si>
    <t>2024/05/20</t>
  </si>
  <si>
    <t>迁安市栗吉发财商贸有限公司</t>
  </si>
  <si>
    <t>2024/05/21</t>
  </si>
  <si>
    <t>2024/05/22</t>
  </si>
  <si>
    <t>海南中安科技有限公司</t>
  </si>
  <si>
    <t>贵州省仁怀市红粮谷酒庄有限公司</t>
  </si>
  <si>
    <t>2024/05/23</t>
  </si>
  <si>
    <t>亲水河</t>
  </si>
  <si>
    <t>王坤</t>
  </si>
  <si>
    <t>福建佰见酒业集团有限公司</t>
  </si>
  <si>
    <t>贵阳凤雅坊食品有限公司</t>
  </si>
  <si>
    <t>2024/05/24</t>
  </si>
  <si>
    <t>上海特洛特国际贸易有限公司</t>
  </si>
  <si>
    <t>孟村回族自治县壹牌酒业有限公司</t>
  </si>
  <si>
    <t>2024/05/25</t>
  </si>
  <si>
    <t>聂修磊</t>
  </si>
  <si>
    <t>2024/05/26</t>
  </si>
  <si>
    <t>逸夫科技（集团）有限公司</t>
  </si>
  <si>
    <t>2024/05/27</t>
  </si>
  <si>
    <t>刘鹏</t>
  </si>
  <si>
    <t>贵州壹生实业有限公司</t>
  </si>
  <si>
    <t>李雪晴</t>
  </si>
  <si>
    <t>冯伟</t>
  </si>
  <si>
    <t>广东石湾酒厂集团有限公司</t>
  </si>
  <si>
    <t>贵州省仁怀市程润陈香酒业有限公司</t>
  </si>
  <si>
    <t>丰泽区宽亚百货商行</t>
  </si>
  <si>
    <t>环球佳酿酒业集团有限公司</t>
  </si>
  <si>
    <t>贵州酋长酒业有限公司</t>
  </si>
  <si>
    <t>金提</t>
  </si>
  <si>
    <t>2024/05/29</t>
  </si>
  <si>
    <t>张程茗</t>
  </si>
  <si>
    <t>天幕(香港)国际酒业有限公司</t>
  </si>
  <si>
    <t>贵州董酒股份有限公司</t>
  </si>
  <si>
    <t>徐华民</t>
  </si>
  <si>
    <t>2024/05/30</t>
  </si>
  <si>
    <t>玉罗</t>
  </si>
  <si>
    <t>黛尔吉奥苏格兰有限公司</t>
  </si>
  <si>
    <t>威⼠忌;酒精饮料（啤酒除外）</t>
  </si>
  <si>
    <t>林志伟</t>
  </si>
  <si>
    <t>贵州省仁怀市遵建红铁坊酒业有限公司</t>
  </si>
  <si>
    <t>严向华</t>
  </si>
  <si>
    <t>石狮展顺名飞贸易有限公司</t>
  </si>
  <si>
    <t>南非昌隆贸易有限公司</t>
  </si>
  <si>
    <t>彭诗学</t>
  </si>
  <si>
    <t>王亚伟</t>
  </si>
  <si>
    <t>2024/05/31</t>
  </si>
  <si>
    <t>任浩东</t>
  </si>
  <si>
    <t>汪海红</t>
  </si>
  <si>
    <t>林倩伶</t>
  </si>
  <si>
    <t>吴琪</t>
  </si>
  <si>
    <t>佘锦亮</t>
  </si>
  <si>
    <t>王文华</t>
  </si>
  <si>
    <t>赵明敏</t>
  </si>
  <si>
    <t>四川地方印象文化发展有限公司</t>
  </si>
  <si>
    <t>陈志彬</t>
  </si>
  <si>
    <t>山东运河酒庄集团有限公司</t>
  </si>
  <si>
    <t>雅世涵舍文化（北京）有限公司</t>
  </si>
  <si>
    <t>北京仁华教育科技有限公司</t>
  </si>
  <si>
    <t>2024/06/01</t>
  </si>
  <si>
    <t>2024/06/02</t>
  </si>
  <si>
    <t>2024/06/03</t>
  </si>
  <si>
    <t>江门天道企业管理有限公司</t>
  </si>
  <si>
    <t>陈旭英</t>
  </si>
  <si>
    <t>史凤兰</t>
  </si>
  <si>
    <t>中酒银河科技（郑州）有限公司</t>
  </si>
  <si>
    <t>河南省宋河酒业股份有限公司</t>
  </si>
  <si>
    <t>北京青年能量科技有限公司</t>
  </si>
  <si>
    <t>2024/06/04</t>
  </si>
  <si>
    <t>李刚</t>
  </si>
  <si>
    <t>乔春桃</t>
  </si>
  <si>
    <t>贾庆龙</t>
  </si>
  <si>
    <t>四川郎酒股份有限公司</t>
  </si>
  <si>
    <t>泰安市岱岳区盛旺酒水商贸中心</t>
  </si>
  <si>
    <t>方耐凤</t>
  </si>
  <si>
    <t>2024/06/05</t>
  </si>
  <si>
    <t>吴婵</t>
  </si>
  <si>
    <t>深圳市姜子牙酒业有限公司</t>
  </si>
  <si>
    <t>许誉</t>
  </si>
  <si>
    <t>李欢欢</t>
  </si>
  <si>
    <t>杨菊香</t>
  </si>
  <si>
    <t>陈伟杰</t>
  </si>
  <si>
    <t>贵州名优酱酒供应链有限公司</t>
  </si>
  <si>
    <t>贾景峰</t>
  </si>
  <si>
    <t>孙旭</t>
  </si>
  <si>
    <t>亳州中支酒业有限公司</t>
  </si>
  <si>
    <t>2024/06/06</t>
  </si>
  <si>
    <t>张柏川</t>
  </si>
  <si>
    <t>山东汉将成龙酒业有限公司</t>
  </si>
  <si>
    <t>姬慧兵</t>
  </si>
  <si>
    <t>山东济川生物科技有限公司</t>
  </si>
  <si>
    <t>沈阳晟睿酒业有限公司</t>
  </si>
  <si>
    <t>2024/06/07</t>
  </si>
  <si>
    <t>四川增元品牌管理有限责任公司</t>
  </si>
  <si>
    <t>张奕君</t>
  </si>
  <si>
    <t>陈冲</t>
  </si>
  <si>
    <t>单东萍</t>
  </si>
  <si>
    <t>泸州酒博士电子商务有限公司</t>
  </si>
  <si>
    <t>德惠市久久盈门酿酒厂</t>
  </si>
  <si>
    <t>贵州贵陶坊酿酒有限公司</t>
  </si>
  <si>
    <t>翟思瑞62222********4502X</t>
  </si>
  <si>
    <t>黄旭升</t>
  </si>
  <si>
    <t>曾春英</t>
  </si>
  <si>
    <t>2024/06/08</t>
  </si>
  <si>
    <t>山西众妙健康服务平台有限公司</t>
  </si>
  <si>
    <t>四川邮约酒类销售有限公司</t>
  </si>
  <si>
    <t>2024/06/09</t>
  </si>
  <si>
    <t>深圳市宾临门科技有限公司</t>
  </si>
  <si>
    <t>2024/06/10</t>
  </si>
  <si>
    <t>2024/06/11</t>
  </si>
  <si>
    <t>刘小可</t>
  </si>
  <si>
    <t>张利培</t>
  </si>
  <si>
    <t>康宇</t>
  </si>
  <si>
    <t>欧杨</t>
  </si>
  <si>
    <t>黄静娴</t>
  </si>
  <si>
    <t>谢可恩</t>
  </si>
  <si>
    <t>魏丰登</t>
  </si>
  <si>
    <t>中酒投企业管理（贵州）有限公司</t>
  </si>
  <si>
    <t>叶孝敏</t>
  </si>
  <si>
    <t>赵耀煜</t>
  </si>
  <si>
    <t>2024/06/12</t>
  </si>
  <si>
    <t>邵石磙</t>
  </si>
  <si>
    <t>山西甲客传媒有限公司</t>
  </si>
  <si>
    <t>郭庆花</t>
  </si>
  <si>
    <t>汪帅</t>
  </si>
  <si>
    <t>老家中原</t>
  </si>
  <si>
    <t>郑州酒中粹酒业有限公司</t>
  </si>
  <si>
    <t>尹猛</t>
  </si>
  <si>
    <t>遵义市汇川区莲花山商业运营管理有限公司</t>
  </si>
  <si>
    <t>刘莉</t>
  </si>
  <si>
    <t>王涛</t>
  </si>
  <si>
    <t>2024/06/13</t>
  </si>
  <si>
    <t>海口秀英奶小欢食品经营部（个体工商户）</t>
  </si>
  <si>
    <t>2024/06/14</t>
  </si>
  <si>
    <t>2024/06/15</t>
  </si>
  <si>
    <t>杨倩</t>
  </si>
  <si>
    <t>2024/06/16</t>
  </si>
  <si>
    <t>2024/06/17</t>
  </si>
  <si>
    <t>李真辉</t>
  </si>
  <si>
    <t>2024/06/18</t>
  </si>
  <si>
    <t>2024/06/19</t>
  </si>
  <si>
    <t>2024/06/20</t>
  </si>
  <si>
    <t>刘海欢</t>
  </si>
  <si>
    <t>1903</t>
  </si>
  <si>
    <t>2024/9/13</t>
  </si>
  <si>
    <t>偈盛烧坊</t>
  </si>
  <si>
    <t>贵州省仁怀市偈盛烧坊酒业集团有限公司</t>
  </si>
  <si>
    <t>⽩酒;⾷⽤酒精;开胃酒;蒸馏饮料;⽶酒;烈酒（饮料）;酒精饮料浓缩汁;酒精饮料（啤酒除外）;含⽔果酒精饮料;葡萄酒</t>
  </si>
  <si>
    <t>2019/04/18</t>
  </si>
  <si>
    <t>⽩酒;⾷⽤酒精;开胃酒;蒸馏饮料;⽶酒;烧酒（烈酒）;含⽔果酒精饮料;酒精饮料浓缩汁;酒精饮料（啤酒除外）;葡萄酒</t>
  </si>
  <si>
    <t>2020/08/28</t>
  </si>
  <si>
    <t>雪山雄鹰</t>
  </si>
  <si>
    <t>四川省雪域雄鹰酒业有限责任公司</t>
  </si>
  <si>
    <t>含⽔果酒精饮料;⽩酒;汽酒;威⼠忌;酒精饮料（啤酒除外）;蒸馏饮料;烧酒;鸡尾酒;葡萄酒;果酒（含酒精）</t>
  </si>
  <si>
    <t>2020/10/15</t>
  </si>
  <si>
    <t>刘</t>
  </si>
  <si>
    <t>姜红</t>
  </si>
  <si>
    <t>葡萄酒;烈酒（饮料）;威⼠忌;伏特加酒;⾷⽤酒精;果酒（含酒精）;朗姆酒;⻩酒;⽩酒;⽩兰地</t>
  </si>
  <si>
    <t>2020/12/30</t>
  </si>
  <si>
    <t>厚</t>
  </si>
  <si>
    <t>烈酒（饮料）;果酒（含酒精）;⽩兰地;⻩酒;伏特加酒;⾷⽤酒精;威⼠忌;葡萄酒;朗姆酒;⽩酒</t>
  </si>
  <si>
    <t>2021/07/02</t>
  </si>
  <si>
    <t>海天之梦</t>
  </si>
  <si>
    <t>佛山市海天调味食品股份有限公司</t>
  </si>
  <si>
    <t>⽶酒;⻩酒;酒精饮料（啤酒除外）;果酒（含酒精）;烈酒（饮料）;清酒（⽇本⽶酒）;葡萄酒;⾷⽤酒精;⽩酒;含⽔果酒精饮料</t>
  </si>
  <si>
    <t>2021/10/13</t>
  </si>
  <si>
    <t>玉象</t>
  </si>
  <si>
    <t>茉莉花食品股份有限公司</t>
  </si>
  <si>
    <t>⻩酒;果酒（含酒精）;⽩酒;⾷⽤酒精;葡萄酒;⽶酒;开胃酒;酒精饮料浓缩汁;酒精饮料（啤酒除外）;烧酒</t>
  </si>
  <si>
    <t>2021/11/22</t>
  </si>
  <si>
    <t>厚酒庄园</t>
  </si>
  <si>
    <t>⻩酒;⽩酒;⾷⽤酒精;威⼠忌;⽩兰地;朗姆酒;伏特加酒;烈酒（饮料）;果酒（含酒精）;葡萄酒</t>
  </si>
  <si>
    <t>2021/12/09</t>
  </si>
  <si>
    <t>江南西道</t>
  </si>
  <si>
    <t>深圳市安多福消毒高科技股份有限公司</t>
  </si>
  <si>
    <t>果酒（含酒精）;蒸煮提取物（利⼝酒和烈酒）;葡萄酒;蜂蜜酒;烧酒;酒精饮料（啤酒除外）;⽶酒;清酒;⻩酒;⽩兰地</t>
  </si>
  <si>
    <t>2022/05/18</t>
  </si>
  <si>
    <t>美颂</t>
  </si>
  <si>
    <t>美颂实业（深圳）有限公司</t>
  </si>
  <si>
    <t>酒精饮料（啤酒除外）;⽩酒;开胃酒;果酒（含酒精）;⽩兰地;清酒（⽇本⽶酒）;汽酒;烧酒;⾷⽤酒精;葡萄酒</t>
  </si>
  <si>
    <t>2022/07/19</t>
  </si>
  <si>
    <t>安萨克酒庄公司</t>
  </si>
  <si>
    <t>⽩兰地;酒精饮料（啤酒除外）;威⼠忌;烈酒;利⼝酒;葡萄酒</t>
  </si>
  <si>
    <t>2022/08/10</t>
  </si>
  <si>
    <t>一品冠群芳</t>
  </si>
  <si>
    <t>山东花冠酒业有限公司</t>
  </si>
  <si>
    <t>烈酒（饮料）;葡萄酒;⽩酒;果酒（含酒精）;烧酒;鸡尾酒;酒精饮料（啤酒除外）;酒精饮料原汁;⽶酒;苹果酒</t>
  </si>
  <si>
    <t>2022/08/22</t>
  </si>
  <si>
    <t>雅兴阁</t>
  </si>
  <si>
    <t>雅兴阁云南商贸有限公司</t>
  </si>
  <si>
    <t>果酒;鸡尾酒;⽶酒;⻘稞酒;苹果酒;烈酒;⽩酒;⻩酒;红葡萄酒;甜果酒</t>
  </si>
  <si>
    <t>2022/09/15</t>
  </si>
  <si>
    <t>积盛和</t>
  </si>
  <si>
    <t>吉林积盛和药业有限公司</t>
  </si>
  <si>
    <t>果酒（含酒精）;鸡尾酒;葡萄酒;烈酒（饮料）;⽩酒;酒精饮料（啤酒除外）;含⽔果酒精饮料;⽶酒;烧酒;清酒（⽇本⽶酒）</t>
  </si>
  <si>
    <t>2022/10/14</t>
  </si>
  <si>
    <t>年藏岁</t>
  </si>
  <si>
    <t>北京王子老酱酒业有限公司</t>
  </si>
  <si>
    <t>薄荷酒;果酒（含酒精）;鸡尾酒;⽩兰地;开胃酒;⻩酒;⽩酒;烧酒;葡萄酒;⽶酒</t>
  </si>
  <si>
    <t>2022/12/16</t>
  </si>
  <si>
    <t>STAUNING</t>
  </si>
  <si>
    <t>斯陶宁威士忌股份有限公司</t>
  </si>
  <si>
    <t>蒸馏饮料;烈酒（饮料）;葡萄酒;威⼠忌;⾕物制蒸馏酒精饮料;酒精饮料原汁;酒精饮料浓缩汁;含⽔果酒精饮料;预先混合的酒精饮料（以啤酒为主的除外）;酒精饮料（啤酒除外）</t>
  </si>
  <si>
    <t>2022/12/22</t>
  </si>
  <si>
    <t>临江白</t>
  </si>
  <si>
    <t>临江市五阳泉天然饮品有限公司</t>
  </si>
  <si>
    <t>果酒;酒精饮料（啤酒除外）;葡萄酒;鸡尾酒;汽酒;开胃酒;烧酒;⽩酒;利⼝酒;朗姆酒</t>
  </si>
  <si>
    <t>2022/12/28</t>
  </si>
  <si>
    <t>万户侯</t>
  </si>
  <si>
    <t>上海昱宗网络科技有限公司</t>
  </si>
  <si>
    <t>⽶酒;鸡尾酒;⽩酒;⻩酒;果酒（含酒精）;汽酒;⽩兰地;威⼠忌;烈酒;⻘稞酒</t>
  </si>
  <si>
    <t>2023/01/03</t>
  </si>
  <si>
    <t>KYT</t>
  </si>
  <si>
    <t>科园信海（北京）医疗用品贸易有限公司</t>
  </si>
  <si>
    <t>酒精饮料（啤酒除外）;⽶酒;朗姆酒;伏特加酒;葡萄酒;⽩酒;果酒（含酒精）;开胃酒;威⼠忌;烧酒</t>
  </si>
  <si>
    <t>2023/02/01</t>
  </si>
  <si>
    <t>大江南北</t>
  </si>
  <si>
    <t>盖州市沙岗镇华成酒坊</t>
  </si>
  <si>
    <t>开胃酒;汽酒;清酒;烧酒;酒精饮料（啤酒除外）;⽶酒;葡萄酒;蜂蜜酒;果酒（含酒精）;⽩酒</t>
  </si>
  <si>
    <t>2023/02/13</t>
  </si>
  <si>
    <t>涔酒</t>
  </si>
  <si>
    <t>汾阳市西林杏园生态酒业有限公司</t>
  </si>
  <si>
    <t>果酒（含酒精）;烈酒（饮料）;⽩酒;葡萄酒;⻩酒;清酒（⽇本⽶酒）;烧酒;⽶酒;酒精饮料（啤酒除外）;鸡尾酒</t>
  </si>
  <si>
    <t>2023/02/20</t>
  </si>
  <si>
    <t>驯酒师</t>
  </si>
  <si>
    <t>四川省成都市川霸酒厂</t>
  </si>
  <si>
    <t>果酒（含酒精）;开胃酒;鸡尾酒;葡萄酒;⽩酒;梨酒;清酒（⽇本⽶酒）;威⼠忌;烧酒;烈酒（饮料）</t>
  </si>
  <si>
    <t>2023/03/07</t>
  </si>
  <si>
    <t>贵州省仁怀市茅台镇鼎丰酒业有限公司</t>
  </si>
  <si>
    <t>烈酒（饮料）;烧酒;含酒精的充⽓饮料（啤酒除外）;⽶酒;⽩酒;⻩酒;酒精饮料（啤酒除外）;⾷⽤酒精;酒精饮料浓缩汁;清酒（⽇本⽶酒）</t>
  </si>
  <si>
    <t>2023/03/09</t>
  </si>
  <si>
    <t>蝶王</t>
  </si>
  <si>
    <t>河南蝶王神酒业有限公司</t>
  </si>
  <si>
    <t>⽩酒;⻩酒;烧酒;⽶酒;葡萄酒;酒精饮料（啤酒除外）;开胃酒;蒸馏饮料;⾷⽤酒精;果酒（含酒精）</t>
  </si>
  <si>
    <t>2023/03/13</t>
  </si>
  <si>
    <t>VIOW</t>
  </si>
  <si>
    <t>维沃移动通信有限公司</t>
  </si>
  <si>
    <t>预先混合的酒精饮料（以啤酒为主的除外）;⾷⽤酒精;葡萄酒;⻩酒;⽩酒;鸡尾酒;朗姆酒;蒸馏饮料;酒精饮料（啤酒除外）;果酒（含酒精）</t>
  </si>
  <si>
    <t>2023/03/30</t>
  </si>
  <si>
    <t>IVOV</t>
  </si>
  <si>
    <t>⽩酒;蒸馏饮料;预先混合的酒精饮料（以啤酒为主的除外）;⾷⽤酒精;葡萄酒;朗姆酒;果酒（含酒精）;鸡尾酒;⻩酒;酒精饮料（啤酒除外）</t>
  </si>
  <si>
    <t>2023/04/20</t>
  </si>
  <si>
    <t>海域名浆</t>
  </si>
  <si>
    <t>深圳海域科技集团有限公司</t>
  </si>
  <si>
    <t>苹果酒;烈酒（饮料）;⽩酒;果酒（含酒精）;酸酒（低等葡萄酒）;开胃酒;鸡尾酒;汽酒;烧酒;葡萄酒</t>
  </si>
  <si>
    <t>2023/04/24</t>
  </si>
  <si>
    <t>RED CROWN CHOOK</t>
  </si>
  <si>
    <t>广州市嘉朋企业管理服务有限公司</t>
  </si>
  <si>
    <t>蒸煮提取物（利⼝酒和烈酒）;起泡⽩葡萄酒;⻩酒;⽩酒;葡萄酒;⽶酒;甜酒;酒精饮料（啤酒除外）;威⼠忌;果酒</t>
  </si>
  <si>
    <t>2023/05/04</t>
  </si>
  <si>
    <t>光样</t>
  </si>
  <si>
    <t>西安有神创意营销策划有限公司</t>
  </si>
  <si>
    <t>烧酒;⽶酒;果酒（含酒精）;由⾕物蒸馏的⽩酒;清酒（⽇本⽶酒）;⾼粱酒;⽼酒（中国蒸馏烈酒）;利⼝酒;⽩酒;烈酒（饮料）</t>
  </si>
  <si>
    <t>RISEWELL 瑞思威尔</t>
  </si>
  <si>
    <t>安徽瑞思威尔科技有限公司</t>
  </si>
  <si>
    <t>朗姆酒;⽶酒;鸡尾酒;威⼠忌;⽩酒;烧酒;酒精饮料（啤酒除外）;⻩酒;葡萄酒;果酒（含酒精）</t>
  </si>
  <si>
    <t>楼上</t>
  </si>
  <si>
    <t>香江砺剑（深圳）实业有限公司</t>
  </si>
  <si>
    <t>蒸煮提取物（利⼝酒和烈酒）;果酒（含酒精）;苹果酒;烧酒;⽶酒;开胃酒;葡萄酒;酒精饮料（啤酒除外）;⽩酒;⻩酒</t>
  </si>
  <si>
    <t>好彩</t>
  </si>
  <si>
    <t>福建泰景供应链管理有限公司</t>
  </si>
  <si>
    <t>⻩酒;⽼酒（中国蒸馏烈酒）;烈酒;葡萄酒;果酒;⽶酒;⽩酒;⽩兰地;威⼠忌;酒精饮料（啤酒除外）</t>
  </si>
  <si>
    <t>2023/05/12</t>
  </si>
  <si>
    <t>台临</t>
  </si>
  <si>
    <t>义乌市衍尚电子商务商行</t>
  </si>
  <si>
    <t>果酒（含酒精）;烧酒;⽩⼲酒（中国⽩酒）;烈酒（饮料）;⽼酒（中国蒸馏烈酒）;葡萄酒;酒精饮料（啤酒除外）;⽶酒;⾷⽤酒精;⽩酒</t>
  </si>
  <si>
    <t>句龙</t>
  </si>
  <si>
    <t>义乌市鹤楷电子商务商行</t>
  </si>
  <si>
    <t>葡萄酒;烧酒;⽼酒（中国蒸馏烈酒）;酒精饮料（啤酒除外）;果酒（含酒精）;烈酒（饮料）;⽩酒;⾷⽤酒精;⽶酒;⽩⼲酒（中国⽩酒）</t>
  </si>
  <si>
    <t>富玺</t>
  </si>
  <si>
    <t>何飞</t>
  </si>
  <si>
    <t>酒精饮料（啤酒除外）;⾷⽤酒精;葡萄酒;⽶酒;⽩⼲酒（中国⽩酒）;⽼酒（中国蒸馏烈酒）;果酒（含酒精）;鸡尾酒;⽩酒;烧酒</t>
  </si>
  <si>
    <t>一舍</t>
  </si>
  <si>
    <t>昆山开发区茶投赏百货商场店</t>
  </si>
  <si>
    <t>⽶酒;果酒（含酒精）;蒸馏饮料;⻩酒;汽酒;⽩酒;葡萄酒;酒精饮料（啤酒除外）;预先混合的酒精饮料（以啤酒为主的除外）;烧酒</t>
  </si>
  <si>
    <t>2023/05/29</t>
  </si>
  <si>
    <t>浙鳢鱼头皇</t>
  </si>
  <si>
    <t>沭阳沭匠酒业有限公司</t>
  </si>
  <si>
    <t>蒸馏饮料;鸡尾酒;⽩酒;葡萄酒;果酒（含酒精）;⾷⽤酒精;烧酒;酒精饮料（啤酒除外）;⻘稞酒;⽶酒</t>
  </si>
  <si>
    <t>2023/05/30</t>
  </si>
  <si>
    <t>清花台</t>
  </si>
  <si>
    <t>山西醉仙翁酒业有限公司</t>
  </si>
  <si>
    <t>蒸馏饮料;⽶酒;⽩酒;果酒（含酒精）;⻩酒;酒精饮料（啤酒除外）;烧酒;⾷⽤酒精;葡萄酒;⻘稞酒</t>
  </si>
  <si>
    <t>2023/06/04</t>
  </si>
  <si>
    <t>蓝兔</t>
  </si>
  <si>
    <t>广东蓝兔酒业有限公司</t>
  </si>
  <si>
    <t>果酒（含酒精）;⽶酒;烧酒（烈酒）;开胃酒;烈酒;酒精饮料（啤酒除外）;⽩兰地;葡萄酒;朗姆酒（酒精饮料）;含⽔果酒精饮料</t>
  </si>
  <si>
    <t>滚石气泡酒</t>
  </si>
  <si>
    <t>上海鸿晗投资管理有限公司</t>
  </si>
  <si>
    <t>汽酒;酒精饮料（啤酒除外）;含⽔果酒精饮料;鸡尾酒;果酒（含酒精）;预先混合的酒精饮料（以啤酒为主的除外）</t>
  </si>
  <si>
    <t>2023/06/08</t>
  </si>
  <si>
    <t>汾</t>
  </si>
  <si>
    <t>山西杏花村汾酒厂股份有限公司</t>
  </si>
  <si>
    <t>鸡尾酒;蒸馏饮料;⽩酒;烧酒;蒸煮提取物（利⼝酒和烈酒）;果酒（含酒精）;葡萄酒;酒精饮料（啤酒除外）;含⽔果酒精饮料;⽩兰地</t>
  </si>
  <si>
    <t>2023/06/14</t>
  </si>
  <si>
    <t>汾牌</t>
  </si>
  <si>
    <t>鸡尾酒;⽩酒;蒸煮提取物（利⼝酒和烈酒）;烧酒;含⽔果酒精饮料;酒精饮料（啤酒除外）;蒸馏饮料;葡萄酒;⽩兰地;果酒（含酒精）</t>
  </si>
  <si>
    <t>义勒力特</t>
  </si>
  <si>
    <t>乌兰浩特市明武水稻种植专业合作社</t>
  </si>
  <si>
    <t>以葡萄酒为主的饮料;樱桃酒;⽩酒;开胃酒;⻩酒;蜂蜜酒;梨酒;⽶酒;果酒（含酒精）;葡萄酒</t>
  </si>
  <si>
    <t>2023/06/25</t>
  </si>
  <si>
    <t>贵荷</t>
  </si>
  <si>
    <t>李奇</t>
  </si>
  <si>
    <t>利⼝酒;酒精饮料（啤酒除外）;酸酒（低等葡萄酒）;果酒（含酒精）;⻩酒;葡萄酒;⽩酒;蒸煮提取物（利⼝酒和烈酒）;酒精饮料原汁;烧酒</t>
  </si>
  <si>
    <t>2023/06/28</t>
  </si>
  <si>
    <t>洞子坊</t>
  </si>
  <si>
    <t>四川洞子坊品牌管理有限公司</t>
  </si>
  <si>
    <t>含酒精的饮料（啤酒除外）;鸡尾酒;苹果酒;⽶酒;⽩酒;伏特加酒;葡萄酒;烧酒;蒸馏饮料;果酒（含酒精）</t>
  </si>
  <si>
    <t>2023/06/30</t>
  </si>
  <si>
    <t>虹乡</t>
  </si>
  <si>
    <t>魏建</t>
  </si>
  <si>
    <t>葡萄酒;酒精饮料（啤酒除外）;⻩酒;⽩酒;伏特加酒;⽶酒;威⼠忌;含⽔果酒精饮料;果酒（含酒精）;⻘稞酒</t>
  </si>
  <si>
    <t>王相岩</t>
  </si>
  <si>
    <t>河南省高家台写生基地服务有限公司</t>
  </si>
  <si>
    <t>预先混合的酒精饮料（以啤酒为主的除外）;烈酒（饮料）;汽酒;葡萄酒;含⽔果酒精饮料;烧酒;蒸煮提取物（利⼝酒和烈酒）;开胃酒;酒精饮料（啤酒除外）;利⼝酒;⽩酒;果酒（含酒精）</t>
  </si>
  <si>
    <t>CHAGEE</t>
  </si>
  <si>
    <t>北京茶姬餐饮管理有限公司</t>
  </si>
  <si>
    <t>⽩兰地;果酒（含酒精）;烈酒（饮料）;酒精饮料（啤酒除外）;蒸馏饮料;葡萄酒;威⼠忌;⻩酒;⾷⽤酒精;⽩酒</t>
  </si>
  <si>
    <t>2023/07/18</t>
  </si>
  <si>
    <t>唐久</t>
  </si>
  <si>
    <t>山西省太原唐久超市有限公司</t>
  </si>
  <si>
    <t>鸡尾酒;⻘稞酒;清酒;果酒（含酒精）;⽩酒;烈酒（饮料）;⽩兰地;汽酒;含⽔果酒精饮料;葡萄酒</t>
  </si>
  <si>
    <t>2023/07/24</t>
  </si>
  <si>
    <t>清凉月</t>
  </si>
  <si>
    <t>广州三月天酒业有限公司</t>
  </si>
  <si>
    <t>⽩酒;薄荷酒;果酒（含酒精）;⽶酒;开胃酒;烧酒;烈酒;清酒;苹果酒;含⽔果酒精饮料</t>
  </si>
  <si>
    <t>2023/07/26</t>
  </si>
  <si>
    <t>CC</t>
  </si>
  <si>
    <t>烈酒（饮料）;烧酒;⽩酒;⽩⼲酒（中国⽩酒）;⽼酒（中国蒸馏烈酒）;酒精饮料（啤酒除外）;果酒（含酒精）;威⼠忌;⽶酒;葡萄酒</t>
  </si>
  <si>
    <t>2023/07/27</t>
  </si>
  <si>
    <t>甑之酿</t>
  </si>
  <si>
    <t>宜宾酒虫商贸有限公司</t>
  </si>
  <si>
    <t>酒精饮料（啤酒除外）;果酒;开胃酒;清酒（⽇本⽶酒）;烧酒;⽶酒;葡萄酒;蒸煮提取物（利⼝酒和烈酒）;⽩酒;⻩酒</t>
  </si>
  <si>
    <t>瀛洲台</t>
  </si>
  <si>
    <t>上海原味横沙农业发展有限公司</t>
  </si>
  <si>
    <t>葡萄酒;开胃酒;⽩酒;烈酒（饮料）;蜂蜜酒;果酒;⾷⽤酒精;樱桃酒;⽶酒;鸡尾酒</t>
  </si>
  <si>
    <t>2023/07/31</t>
  </si>
  <si>
    <t>AALDERING</t>
  </si>
  <si>
    <t>奥德琳葡萄园和葡萄酒（私人）有限公司</t>
  </si>
  <si>
    <t>朗姆酒;⽩兰地;威⼠忌;⽶酒;鸡尾酒;葡萄酒;酒精饮料（啤酒除外）;伏特加酒;果酒（含酒精）;以葡萄酒为主的饮料</t>
  </si>
  <si>
    <t>2023/08/02</t>
  </si>
  <si>
    <t>中贵酒庄</t>
  </si>
  <si>
    <t>贵州秦度酒业销售有限公司</t>
  </si>
  <si>
    <t>⽩酒;⻘稞酒;⽶酒;酒精饮料（啤酒除外）;烧酒;酒精饮料原汁;酒精饮料浓缩汁;⻩酒;⾷⽤酒精;含⽔果酒精饮料</t>
  </si>
  <si>
    <t>北国之村</t>
  </si>
  <si>
    <t>沈惠娟330425********1221</t>
  </si>
  <si>
    <t>开胃酒;柑⾹酒;葡萄酒;⽶酒;⻩酒;烧酒;⻘稞酒;酒精饮料（啤酒除外）;⽩酒;果酒（含酒精）</t>
  </si>
  <si>
    <t>2023/08/09</t>
  </si>
  <si>
    <t>天子驾六</t>
  </si>
  <si>
    <t>河南双连壶酒业有限公司</t>
  </si>
  <si>
    <t>果酒（含酒精）;酒精饮料（啤酒除外）;预先混合的酒精饮料（以啤酒为主的除外）;蒸馏饮料;餐后酒（利⼝酒和烈酒）;含⽔果酒精饮料;烧酒;汽酒;⽩酒;⾕物制蒸馏酒精饮料</t>
  </si>
  <si>
    <t>2023/08/11</t>
  </si>
  <si>
    <t>宫宫酒</t>
  </si>
  <si>
    <t>大冶市养心殿餐饮馆</t>
  </si>
  <si>
    <t>果酒;酒精饮料（啤酒除外）;⻩酒;葡萄酒;汽酒;预先混合的酒精饮料（以啤酒为主的除外）;烧酒;⽩酒;蒸馏饮料;⽶酒</t>
  </si>
  <si>
    <t>重心</t>
  </si>
  <si>
    <t>潘辉</t>
  </si>
  <si>
    <t>⽩⼲酒（中国⽩酒）;果酒;含酒精的饮料（啤酒除外）;⽼酒（中国蒸馏烈酒）;⾼粱酒;已调味的蒸馏酒;烧酒（烈酒）;酒精饮料（啤酒除外）;⽩酒;由⾕物蒸馏的⽩酒</t>
  </si>
  <si>
    <t>2023/08/15</t>
  </si>
  <si>
    <t>FALLENTIMBER MEADERY EST.2010</t>
  </si>
  <si>
    <t>上海思之陆国际贸易有限公司</t>
  </si>
  <si>
    <t>含⽔果酒精饮料;酒精饮料（啤酒除外）;果酒（含酒精）;预先混合的酒精饮料（以啤酒为主的除外）;鸡尾酒;烈酒（饮料）;汽酒;威⼠忌;蜂蜜酒;葡萄酒</t>
  </si>
  <si>
    <t>2023/08/18</t>
  </si>
  <si>
    <t>圣安尼斯</t>
  </si>
  <si>
    <t>A.D.&amp;S.M.麦肯琳私人有限公司</t>
  </si>
  <si>
    <t>葡萄酒;汽酒;果酒（含酒精）;酒精饮料（啤酒除外）;⽩兰地;威⼠忌;⽩酒;鸡尾酒;烈酒（饮料）;含⽔果酒精饮料</t>
  </si>
  <si>
    <t>九方宣润界</t>
  </si>
  <si>
    <t>天津市乐林堂生物科技有限公司</t>
  </si>
  <si>
    <t>鸡尾酒;预先混合的酒精饮料（以啤酒为主的除外）;酒精饮料（啤酒除外）;果酒;⽶酒;烧酒;汽酒;⽩酒;蒸煮提取物（利⼝酒和烈酒）;⻩酒</t>
  </si>
  <si>
    <t>湘善天下</t>
  </si>
  <si>
    <t>何炼</t>
  </si>
  <si>
    <t>⽩酒;⽶酒;⻩酒;鸡尾酒;利⼝酒;烈酒（饮料）;开胃酒;烧酒;葡萄酒;含⽔果酒精饮料</t>
  </si>
  <si>
    <t>豫颂</t>
  </si>
  <si>
    <t>徐俊伟</t>
  </si>
  <si>
    <t>⽶酒;烧酒;⻘稞酒;葡萄酒;⽩酒</t>
  </si>
  <si>
    <t>2023/08/28</t>
  </si>
  <si>
    <t>滇颂</t>
  </si>
  <si>
    <t>⻩酒;露酒;清酒;梅酒;烧酒;⽶酒;⽩酒;葡萄酒</t>
  </si>
  <si>
    <t>妙韵天成</t>
  </si>
  <si>
    <t>张瀛旗</t>
  </si>
  <si>
    <t>葡萄酒;酒精饮料（啤酒除外）;⻩酒;⽶酒;鸡尾酒;果酒（含酒精）;烈酒（饮料）;清酒（⽇本⽶酒）;烧酒;⽩酒</t>
  </si>
  <si>
    <t>元斛YUANHOO贡</t>
  </si>
  <si>
    <t>云南品斛堂生物科技有限公司</t>
  </si>
  <si>
    <t>果酒（含酒精）;预先混合的酒精饮料（以啤酒为主的除外）;⽩兰地;清酒（⽇本⽶酒）;利⼝酒;烧酒;葡萄酒;含⽔果酒精饮料;⽩酒;酒精饮料（啤酒除外）</t>
  </si>
  <si>
    <t>贵州醴泉古酿酒业有限公司</t>
  </si>
  <si>
    <t>⽩⼲酒（中国⽩酒）;葡萄酒;酒精饮料（啤酒除外）;⾼粱酒;⽩酒;果酒;⽼酒（中国蒸馏烈酒）;烈酒;烈酒（饮料）;鸡尾酒</t>
  </si>
  <si>
    <t>2023/08/30</t>
  </si>
  <si>
    <t>德沃庄园</t>
  </si>
  <si>
    <t>宁夏德沃酒庄有限公司</t>
  </si>
  <si>
    <t>烧酒;葡萄酒;苹果酒;⽶酒;烈酒;果酒（含酒精）;薄荷酒;⽩酒;清酒;含⽔果酒精饮料</t>
  </si>
  <si>
    <t>2023/09/06</t>
  </si>
  <si>
    <t>杨闯321324********0053</t>
  </si>
  <si>
    <t>⽩酒;葡萄酒;含⽔果酒精饮料;果酒（含酒精）;⻩酒;蜂蜜酒;朗姆酒;烈酒（饮料）;清酒;威⼠忌</t>
  </si>
  <si>
    <t>喜品福</t>
  </si>
  <si>
    <t>张秀娟</t>
  </si>
  <si>
    <t>⾷⽤酒精;威⼠忌;果酒（含酒精）;清酒（⽇本⽶酒）;烈酒（饮料）;⽩酒;葡萄酒;酒精饮料（啤酒除外）;酒精饮料浓缩汁;⽩兰地</t>
  </si>
  <si>
    <t>边界</t>
  </si>
  <si>
    <t>贵州仁怀边界影视文化传媒有限公司</t>
  </si>
  <si>
    <t>酒精饮料（啤酒除外）;⽩酒;起泡红葡萄酒;蒸馏饮料;果酒（含酒精）;⾷⽤酒精;苦荞酒;⾼粱酒;⻩酒;⽶酒</t>
  </si>
  <si>
    <t>2023/09/12</t>
  </si>
  <si>
    <t>润泽汇</t>
  </si>
  <si>
    <t>贵州润泽壹号酒业有限公司</t>
  </si>
  <si>
    <t>⽩酒;⽶酒;鸡尾酒;威⼠忌;烧酒;开胃酒;葡萄酒;蜂蜜酒;⻩酒;果酒（含酒精）</t>
  </si>
  <si>
    <t>小吟仙</t>
  </si>
  <si>
    <t>山西皇城相府酒业有限公司</t>
  </si>
  <si>
    <t>葡萄酒;清酒（⽇本⽶酒）;果酒（含酒精）;⻘稞酒;酒精饮料（啤酒除外）;⻩酒;⽩酒;伏特加酒;烧酒;⽶酒</t>
  </si>
  <si>
    <t>昌实</t>
  </si>
  <si>
    <t>广西百年龙山酒业有限公司</t>
  </si>
  <si>
    <t>汽酒;含⽔果酒精饮料;烧酒;威⼠忌;蒸馏饮料;鸡尾酒;烈酒;葡萄酒;⽶酒;⻩酒</t>
  </si>
  <si>
    <t>2023/09/14</t>
  </si>
  <si>
    <t>香特露城堡</t>
  </si>
  <si>
    <t>马爹利股份有限公司</t>
  </si>
  <si>
    <t>2023/09/15</t>
  </si>
  <si>
    <t>鹿忆秋 春牧</t>
  </si>
  <si>
    <t>秦皇岛鹿忆秋参茸有限公司</t>
  </si>
  <si>
    <t>⽩酒;威⼠忌;果酒（含酒精）;烧酒;葡萄酒;酒精饮料原汁;⽶酒;⽼酒（中国蒸馏烈酒）;⻩酒;蝮蛇酒</t>
  </si>
  <si>
    <t>2023/09/18</t>
  </si>
  <si>
    <t>旧味坊</t>
  </si>
  <si>
    <t>贵州省仁怀市九云娇子酒业有限公司</t>
  </si>
  <si>
    <t>⾼粱酒;⽩酒;⽶酒;露酒;⽩兰地;烧酒;烈酒;梅酒;酒精饮料（啤酒除外）;葡萄酒</t>
  </si>
  <si>
    <t>阜</t>
  </si>
  <si>
    <t>阜酒（江苏）商业运营管理有限公司</t>
  </si>
  <si>
    <t>葡萄酒;酒精饮料（啤酒除外）;⾷⽤酒精;烧酒;⻩酒;果酒;⽩酒;⾼粱酒;烈酒;酒精饮料原汁</t>
  </si>
  <si>
    <t>传奇河</t>
  </si>
  <si>
    <t>贵州省遵义市赤水传奇河酒业有限公司</t>
  </si>
  <si>
    <t>烈酒（饮料）;餐后酒（利⼝酒和烈酒）;葡萄酒;露酒;⽶酒;果酒（含酒精）;苹果酒;⽩酒;蒸馏饮料;⾕物制蒸馏酒精饮料</t>
  </si>
  <si>
    <t>江山金遵</t>
  </si>
  <si>
    <t>楚云强</t>
  </si>
  <si>
    <t>⻩酒;⽩酒;⾼粱酒;烧酒;清酒;⽼酒（中国蒸馏烈酒）;⽩⼲酒（中国⽩酒）;果酒（含酒精）;⽶酒;果酒</t>
  </si>
  <si>
    <t>2023/09/22</t>
  </si>
  <si>
    <t>圳公馆</t>
  </si>
  <si>
    <t>张伟生</t>
  </si>
  <si>
    <t>酒精饮料（啤酒除外）;⽶酒;含⽔果酒精饮料;⻩酒;蒸馏饮料;烧酒;⽩酒;烈酒;葡萄酒;清酒</t>
  </si>
  <si>
    <t>吕家烧锅</t>
  </si>
  <si>
    <t>黑龙江吕家烧锅酒业有限公司</t>
  </si>
  <si>
    <t>已调味的蒸馏酒;⽩酒;⻩酒;⽼酒（中国蒸馏烈酒）;预先混合的酒精饮料（以啤酒为主的除外）;果酒（含酒精）;烧酒;葡萄酒;蜂蜜酒;⽩⼲酒（中国⽩酒）</t>
  </si>
  <si>
    <t>琏酒</t>
  </si>
  <si>
    <t>贵州研牌酒业有限公司</t>
  </si>
  <si>
    <t>果酒（含酒精）;蒸馏饮料;预先混合的酒精饮料（以啤酒为主的除外）;葡萄酒;汽酒;酒精饮料（啤酒除外）;⻩酒;烧酒;⽩酒;⽶酒</t>
  </si>
  <si>
    <t>晋通天下</t>
  </si>
  <si>
    <t>张景芬</t>
  </si>
  <si>
    <t>由⾕物蒸馏的⽩酒;葡萄酒;⽶酒;烈酒;⻩酒;含⽔果酒精饮料;⽩酒;果酒（含酒精）;酒精饮料（啤酒除外）;预先混合的酒精饮料（以啤酒为主的除外）</t>
  </si>
  <si>
    <t>晋叙</t>
  </si>
  <si>
    <t>京益堂(北京)品牌管理有限公司</t>
  </si>
  <si>
    <t>⾼粱酒;⽼酒（中国蒸馏烈酒）;葡萄酒;清酒;烈酒;⻩酒;⽶酒;烧酒;⽩酒;果酒（含酒精）</t>
  </si>
  <si>
    <t>丰新</t>
  </si>
  <si>
    <t>上海福禄寿喜文化发展有限公司</t>
  </si>
  <si>
    <t>酒精饮料（啤酒除外）;果酒（含酒精）;葡萄酒;⽩酒;鸡尾酒;烈酒（饮料）;蒸煮提取物（利⼝酒和烈酒）;威⼠忌;⽶酒;清酒（⽇本⽶酒）</t>
  </si>
  <si>
    <t>2023/10/10</t>
  </si>
  <si>
    <t>水晶钻</t>
  </si>
  <si>
    <t>葡萄酒;果酒;酒精饮料（啤酒除外）;烧酒;含⽔果酒精饮料;⽩酒;⽩⼲酒（中国⽩酒）;⽶酒;⻘稞酒;⻩酒</t>
  </si>
  <si>
    <t>柚乡</t>
  </si>
  <si>
    <t>梁平县淘鑫畜禽养殖专业合作社</t>
  </si>
  <si>
    <t>⾕物制蒸馏酒精饮料;⽩⼲酒（中国⽩酒）;含酒精⽔果饮料;⽼酒（中国蒸馏烈酒）;⽶酒;烧酒（烈酒）;⾷⽤酒精;⽩酒;⾼粱酒;果酒（含酒精）</t>
  </si>
  <si>
    <t>GRANDS VOYAGEURS</t>
  </si>
  <si>
    <t>玛丽安娜酿酒厂股份有限公司</t>
  </si>
  <si>
    <t>含酒精的鸡尾酒混合饮品;⻨芽威⼠忌;威⼠忌;利⼝酒;混合威⼠忌酒;酒精饮料（啤酒除外）;鸡尾酒</t>
  </si>
  <si>
    <t>2023/10/13</t>
  </si>
  <si>
    <t>上古千醇</t>
  </si>
  <si>
    <t>四川上古商贸有限责任公司</t>
  </si>
  <si>
    <t>利⼝酒;⽶酒;果酒（含酒精）;葡萄酒;鸡尾酒;朗姆酒;⽩酒;烧酒;⾷⽤酒精;威⼠忌</t>
  </si>
  <si>
    <t>2023/10/15</t>
  </si>
  <si>
    <t>GZMZJYJT YXGS</t>
  </si>
  <si>
    <t>贵州明珠酒业(集团)有限公司</t>
  </si>
  <si>
    <t>清酒;烧酒;⻩酒;⾼粱酒;⽩酒;⽶酒;果酒;烈酒;葡萄酒;酒精饮料原汁</t>
  </si>
  <si>
    <t>2023/10/16</t>
  </si>
  <si>
    <t>LTJY</t>
  </si>
  <si>
    <t>重庆龙腾酒业有限公司</t>
  </si>
  <si>
    <t>⽶酒;果酒（含酒精）;⾕物制蒸馏酒精饮料;⻩酒;开胃酒;酒精饮料原汁;葡萄酒;⽩酒;烈酒;酒精饮料（啤酒除外）</t>
  </si>
  <si>
    <t>2023/10/23</t>
  </si>
  <si>
    <t>御坛仙</t>
  </si>
  <si>
    <t>陈德红</t>
  </si>
  <si>
    <t>开胃酒;葡萄酒;⽩酒;果酒（含酒精）;⽶酒;清酒（⽇本⽶酒）;烧酒;⽩兰地;⻩酒;⻘稞酒</t>
  </si>
  <si>
    <t>方旺圆</t>
  </si>
  <si>
    <t>方帆</t>
  </si>
  <si>
    <t>酒精饮料（啤酒除外）;含⽔果酒精饮料;烧酒;⻩酒;开胃酒;⽩酒;果酒（含酒精）;⽶酒;以葡萄酒为主的饮料;⾷⽤酒精</t>
  </si>
  <si>
    <t>2023/10/27</t>
  </si>
  <si>
    <t>果粹</t>
  </si>
  <si>
    <t>顾卫峰</t>
  </si>
  <si>
    <t>⽼酒（中国蒸馏烈酒）;⽩⼲酒（中国⽩酒）;果酒（含酒精）;酒精饮料（啤酒除外）;⻩酒;葡萄酒;烈酒（饮料）;⽶酒;烧酒;⽩酒</t>
  </si>
  <si>
    <t>摩飞</t>
  </si>
  <si>
    <t>宗海芳</t>
  </si>
  <si>
    <t>鸡尾酒;酒精饮料（啤酒除外）;烈酒;含酒精的饮料（啤酒除外）;⽶酒;开胃酒;葡萄酒;烧酒;蒸馏饮料;⽩酒</t>
  </si>
  <si>
    <t>2023/10/31</t>
  </si>
  <si>
    <t>老京台</t>
  </si>
  <si>
    <t>贵州老吴公酒业有限公司</t>
  </si>
  <si>
    <t>清酒;⽩酒;含⽔果酒精饮料;烧酒;烈酒;预先混合的酒精饮料（以啤酒为主的除外）;⽶酒;开胃酒;蒸煮提取物（利⼝酒和烈酒）;蜂蜜酒</t>
  </si>
  <si>
    <t>2023/11/06</t>
  </si>
  <si>
    <t>西红氏联盟</t>
  </si>
  <si>
    <t>浙江西红氏文化传媒有限公司</t>
  </si>
  <si>
    <t>鸡尾酒;⽩酒;朗姆酒;⽶酒;威⼠忌;葡萄酒;开胃酒;清酒（⽇本⽶酒）;含⽔果酒精饮料;⽩兰地</t>
  </si>
  <si>
    <t>2023/11/09</t>
  </si>
  <si>
    <t>珍泽堂</t>
  </si>
  <si>
    <t>朱怡力</t>
  </si>
  <si>
    <t>鸡尾酒;清酒（⽇本⽶酒）;利⼝酒;⻘稞酒;葡萄酒;⽶酒;烈酒（饮料）;⽩酒;⻩酒;果酒（含酒精）</t>
  </si>
  <si>
    <t>剑龙山</t>
  </si>
  <si>
    <t>天等县旅游投资有限责任公司</t>
  </si>
  <si>
    <t>果酒（含酒精）;开胃酒;苦味酒;⻩酒;⽶酒;葡萄酒;烧酒;⻘稞酒;薄荷酒;⽩酒</t>
  </si>
  <si>
    <t>2023/11/13</t>
  </si>
  <si>
    <t>喜九天</t>
  </si>
  <si>
    <t>千秋宏图（河北雄安）酒业有限公司</t>
  </si>
  <si>
    <t>⽶酒;烈酒（饮料）;鸡尾酒;⽢蔗制烈酒;酒精饮料（啤酒除外）;烧酒;⻩酒;⽩酒;葡萄酒;果酒（含酒精）</t>
  </si>
  <si>
    <t>2023/11/14</t>
  </si>
  <si>
    <t>CLOS LA COUTALE</t>
  </si>
  <si>
    <t>广州康珞丝贸易有限公司</t>
  </si>
  <si>
    <t>清酒（⽇本⽶酒）;⽶酒;⽩酒;果酒（含酒精）;酒精饮料（啤酒除外）;烈酒（饮料）;⻩酒;烧酒;葡萄酒;鸡尾酒</t>
  </si>
  <si>
    <t>2023/11/15</t>
  </si>
  <si>
    <t>上海晓熊甄选科技服务有限公司</t>
  </si>
  <si>
    <t>鸡尾酒;葡萄酒;含⽔果酒精饮料;⽩酒;烈酒（饮料）;苹果酒;威⼠忌;果酒（含酒精）;预先混合的酒精饮料（以啤酒为主的除外）;蜂蜜酒</t>
  </si>
  <si>
    <t>2023/11/16</t>
  </si>
  <si>
    <t>喜逢台</t>
  </si>
  <si>
    <t>贵州省仁怀市麦粱魂商贸有限公司</t>
  </si>
  <si>
    <t>果酒（含酒精）;露酒;餐后酒（利⼝酒和烈酒）;葡萄酒;⾕物制蒸馏酒精饮料;蒸馏饮料;⽶酒;⽩酒;苹果酒;烈酒（饮料）</t>
  </si>
  <si>
    <t>2023/11/17</t>
  </si>
  <si>
    <t>酒精饮料原汁;酒精饮料浓缩汁;预先混合的酒精饮料（以啤酒为主的除外）;葡萄酒;烈酒（饮料）;含⽔果酒精饮料;⾕物制蒸馏酒精饮料;蒸馏饮料;酒精饮料（啤酒除外）;威⼠忌</t>
  </si>
  <si>
    <t>2023/11/24</t>
  </si>
  <si>
    <t>赖世美</t>
  </si>
  <si>
    <t>丁敏</t>
  </si>
  <si>
    <t>⽩酒;鸡尾酒;⻘稞酒;果酒;伏特加酒;苹果酒;清酒;⽼酒（中国蒸馏烈酒）;朗姆酒;开胃酒</t>
  </si>
  <si>
    <t>2023/12/04</t>
  </si>
  <si>
    <t>天地佳</t>
  </si>
  <si>
    <t>⽩酒;鸡尾酒;伏特加酒;果酒;苹果酒;清酒;开胃酒;朗姆酒;⻘稞酒;⽼酒（中国蒸馏烈酒）</t>
  </si>
  <si>
    <t>三峡白酒</t>
  </si>
  <si>
    <t>湖北三峡酒业有限公司</t>
  </si>
  <si>
    <t>烧酒;⽩酒;⽶酒;烈酒（饮料）;酒精饮料原汁;⻩酒;果酒（含酒精）;葡萄酒;威⼠忌;鸡尾酒</t>
  </si>
  <si>
    <t>2023/12/13</t>
  </si>
  <si>
    <t>⽩酒;果酒（含酒精）;葡萄酒;⻩酒;⾷⽤酒精;酒精饮料（啤酒除外）;朗姆酒;蒸馏饮料;鸡尾酒;预先混合的酒精饮料（以啤酒为主的除外）</t>
  </si>
  <si>
    <t>ARIRA</t>
  </si>
  <si>
    <t>夏河县博拉乡利塔永安中药材种植牧民专业合作社</t>
  </si>
  <si>
    <t>⻘稞酒;⽩酒</t>
  </si>
  <si>
    <t>2023/12/25</t>
  </si>
  <si>
    <t>尔尔滨滨</t>
  </si>
  <si>
    <t>哈尔滨马迭尔文化旅游投资集团有限公司</t>
  </si>
  <si>
    <t>果酒（含酒精）;开胃酒;鸡尾酒;葡萄酒;烧酒;酒精饮料（啤酒除外）;汽酒;⽶酒;⽩酒;利⼝酒</t>
  </si>
  <si>
    <t>2024/01/29</t>
  </si>
  <si>
    <t>JJY ARCHITECTURE</t>
  </si>
  <si>
    <t>北京京津源建筑工程有限公司</t>
  </si>
  <si>
    <t>2024/03/05</t>
  </si>
  <si>
    <t>莘记黄酒馆</t>
  </si>
  <si>
    <t>莘振环</t>
  </si>
  <si>
    <t>酒精饮料（啤酒除外）;蒸馏饮料;烈酒（饮料）;⽶酒;鸡尾酒;含⽔果酒精饮料;果酒（含酒精）;⻩酒;威⼠忌;酒精饮料原汁</t>
  </si>
  <si>
    <t>2024/03/07</t>
  </si>
  <si>
    <t>SENORITAS SECRET</t>
  </si>
  <si>
    <t>广东正洋生物科技有限公司</t>
  </si>
  <si>
    <t>朗姆酒;葡萄酒;⽩兰地;伏特加酒;威⼠忌;⽩酒;⾷⽤酒精;果酒（含酒精）;烈酒（饮料）;⻩酒</t>
  </si>
  <si>
    <t>非常敢想队</t>
  </si>
  <si>
    <t>腾讯科技（深圳）有限公司</t>
  </si>
  <si>
    <t>含⽔果酒精饮料;除啤酒外的酒精饮料;葡萄酒;威⼠忌;朗姆酒;含酒精的⽔果鸡尾酒饮料;⾼粱酒;⽶酒;⽩⼲酒（中国⽩酒）;鸡尾酒</t>
  </si>
  <si>
    <t>2024/03/12</t>
  </si>
  <si>
    <t>微信</t>
  </si>
  <si>
    <t>⽩兰地;含⽔果酒精饮料;鸡尾酒;酒精饮料（啤酒除外）;⻩酒;⻘稞酒;果酒（含酒精）;开胃酒;清酒（⽇本⽶酒）;朗姆酒</t>
  </si>
  <si>
    <t>2024/03/20</t>
  </si>
  <si>
    <t>玲姐家米酒</t>
  </si>
  <si>
    <t>陈小玲440823********4920</t>
  </si>
  <si>
    <t>⽶酒;葡萄酒;酒精饮料（啤酒除外）;⽩酒;⻩酒;含⽔果酒精饮料;果酒（含酒精）;清酒;烧酒;⾷⽤酒精</t>
  </si>
  <si>
    <t>TKWINESTORE</t>
  </si>
  <si>
    <t>东莞市天恺进出口有限公司</t>
  </si>
  <si>
    <t>葡萄酒;以葡萄酒为主的饮料;含酒精的充⽓饮料（啤酒除外）;⽩兰地;威⼠忌;含酒精的饮料（啤酒除外）</t>
  </si>
  <si>
    <t>猫选星球（青岛）创新科技有限公司</t>
  </si>
  <si>
    <t>⽶酒;朗姆酒;伏特加酒;⻩酒;⽩兰地;鸡尾酒;烧酒;果酒;威⼠忌;⽩酒</t>
  </si>
  <si>
    <t>2024/03/25</t>
  </si>
  <si>
    <t>贵州城亨文化发展有限公司</t>
  </si>
  <si>
    <t>⽶酒</t>
  </si>
  <si>
    <t>望岳巴富洛苹果</t>
  </si>
  <si>
    <t>山东巴富洛酒庄有限公司</t>
  </si>
  <si>
    <t>葡萄酒;以葡萄酒为主的饮料;樱桃酒;威⼠忌;鸡尾酒;⽩兰地;烈酒（饮料）;果酒（含酒精）;苹果酒;餐后酒（利⼝酒和烈酒）</t>
  </si>
  <si>
    <t>2024/03/27</t>
  </si>
  <si>
    <t>浓</t>
  </si>
  <si>
    <t>北京世纪广茂国际影视文化发展有限公司</t>
  </si>
  <si>
    <t>鸡尾酒;酒精饮料（啤酒除外）;威⼠忌;果酒（含酒精）;茴⾹酒（利⼝酒）;⽩酒;⽩兰地;酒精饮料原汁;烈酒（饮料）;葡萄酒</t>
  </si>
  <si>
    <t>WINELANSCAPE</t>
  </si>
  <si>
    <t>酒巷图供应链股份有限公司</t>
  </si>
  <si>
    <t>烈酒（饮料）;酒精饮料（啤酒除外）;⽩酒;葡萄酒;果酒（含酒精）;烧酒;开胃酒;⽶酒;预先混合的酒精饮料（以啤酒为主的除外）;鸡尾酒</t>
  </si>
  <si>
    <t>2024/03/31</t>
  </si>
  <si>
    <t>清酒（⽇本⽶酒）;⽩酒;酒精饮料（啤酒除外）;烧酒;含⽔果酒精饮料;蜂蜜酒;⻩酒;烈酒;葡萄酒;⽼酒（中国蒸馏烈酒）</t>
  </si>
  <si>
    <t>主人乐</t>
  </si>
  <si>
    <t>安徽省晟源生物科技有限公司</t>
  </si>
  <si>
    <t>果酒（含酒精）;蒸馏饮料</t>
  </si>
  <si>
    <t>鲢冠</t>
  </si>
  <si>
    <t>杭州鲢冠新材料科技有限公司</t>
  </si>
  <si>
    <t>薄荷酒;果酒（含酒精）;蒸馏饮料;葡萄酒;⽶酒;⽩酒;⻩酒;清酒（⽇本⽶酒）;烧酒;烈酒（饮料）;伏特加酒</t>
  </si>
  <si>
    <t>马栏河</t>
  </si>
  <si>
    <t>陕西马栏嘉瑞生物科技有限公司</t>
  </si>
  <si>
    <t>利⼝酒;烧酒;酒精饮料（啤酒除外）;烈酒;⽶酒;清酒;⽩酒;葡萄酒;⻩酒;果酒（含酒精）</t>
  </si>
  <si>
    <t>苗乡米</t>
  </si>
  <si>
    <t>泸州道地中药研究院</t>
  </si>
  <si>
    <t>⽶酒;露酒;⽩酒;清酒;汽酒;⻩酒;梅酒;⾼粱酒;果酒;酒精饮料（啤酒除外）</t>
  </si>
  <si>
    <t>2024/04/04</t>
  </si>
  <si>
    <t>南丐</t>
  </si>
  <si>
    <t>开胃酒;蒸馏饮料;含⽔果酒精饮料;⽶酒;汽酒;餐后酒（利⼝酒和烈酒）;烧酒;⻩酒;⽩酒;果酒（含酒精）</t>
  </si>
  <si>
    <t>大皓</t>
  </si>
  <si>
    <t>探熊（上海）贸易有限公司</t>
  </si>
  <si>
    <t>汽酒;⾷⽤酒精;伏特加酒;威⼠忌;葡萄酒;⻩酒;果酒（含酒精）;鸡尾酒;酒精饮料原汁;⽩酒</t>
  </si>
  <si>
    <t>禄师龙舌</t>
  </si>
  <si>
    <t>洛斯洛可斯龙舌兰酒（私人）有限公司</t>
  </si>
  <si>
    <t>开胃酒;蒸馏饮料;酒精饮料（啤酒除外）;烈酒（饮料）;利⼝酒;果酒（含酒精）;龙⾆兰酒</t>
  </si>
  <si>
    <t>封禁山</t>
  </si>
  <si>
    <t>江西溪流谷农产品有限公司</t>
  </si>
  <si>
    <t>酒精饮料（啤酒除外）;⽩酒;鸡尾酒;果酒;⻩酒;烈酒（饮料）;⾷⽤酒精;含酒精的⽓泡⽔;⾼粱酒;清酒</t>
  </si>
  <si>
    <t>2024/04/09</t>
  </si>
  <si>
    <t>梦山高粱</t>
  </si>
  <si>
    <t>南昌荞涌酒业有限公司</t>
  </si>
  <si>
    <t>鸡尾酒;⽶酒;⾼粱酒;烧酒;蜂蜜酒;⽩酒;果酒（含酒精）;⻩酒;苦味酒;⻘稞酒</t>
  </si>
  <si>
    <t>沂鲁红</t>
  </si>
  <si>
    <t>赵成兵</t>
  </si>
  <si>
    <t>果酒（含酒精）;除啤酒外的酒精饮料;鸡尾酒;⽶酒;含酒精的饮料（啤酒除外）;⻩酒;葡萄酒;清酒;烧酒</t>
  </si>
  <si>
    <t>行走中原</t>
  </si>
  <si>
    <t>河南互能信息科技有限公司</t>
  </si>
  <si>
    <t>果酒（含酒精）;清酒（⽇本⽶酒）;⽶酒;⽩酒;葡萄酒</t>
  </si>
  <si>
    <t>奔富珍藏 BIN22A</t>
  </si>
  <si>
    <t>南社布兰兹有限公司</t>
  </si>
  <si>
    <t>烈酒（饮料）;⽩酒;餐后酒（利⼝酒和烈酒）;葡萄酒;葡萄汽酒;起泡⽩葡萄酒;⽩兰地;酒精饮料（啤酒除外）;加烈葡萄酒;起泡红葡萄酒</t>
  </si>
  <si>
    <t>山西九井亭酒业有限公司</t>
  </si>
  <si>
    <t>⾷⽤酒精;由⾕物蒸馏的⽩酒;⽩酒</t>
  </si>
  <si>
    <t>王屋隆艾</t>
  </si>
  <si>
    <t>河南省欧瑞医美有限公司</t>
  </si>
  <si>
    <t>含酒精的饮料（啤酒除外）;葡萄酒;⽩酒;⾷⽤酒精;烧酒;鸡尾酒;酒精饮料原汁;开胃酒;果酒（含酒精）;苦艾酒</t>
  </si>
  <si>
    <t>博林天下</t>
  </si>
  <si>
    <t>赵县灵博共振保健按摩店</t>
  </si>
  <si>
    <t>酒精饮料（啤酒除外）;⽩酒;⽶酒;⻩酒;⾕物制蒸馏酒精饮料;⽼酒（中国蒸馏烈酒）;含酒精的饮料（啤酒除外）;烈酒（饮料）;葡萄酒;果酒（含酒精）</t>
  </si>
  <si>
    <t>鲜小娘</t>
  </si>
  <si>
    <t>孙继明</t>
  </si>
  <si>
    <t>果酒（含酒精）;烧酒;苹果酒;⽶酒;⽩酒;伏特加酒;开胃酒;朗姆酒;已调味的⻨芽酿制的酒精饮料（啤酒除外）;⻩酒</t>
  </si>
  <si>
    <t>爱泽雨林</t>
  </si>
  <si>
    <t>上海恒奢商贸有限公司</t>
  </si>
  <si>
    <t>清酒;含⽔果酒精饮料;⽩⼲酒（中国⽩酒）;果酒（含酒精）;⽩葡萄酒;烧酒;红葡萄酒;酒精饮料（啤酒除外）;⽩酒;清酒（⽇本⽶酒）</t>
  </si>
  <si>
    <t>京音二锅头</t>
  </si>
  <si>
    <t>东莞市广胜食品有限公司</t>
  </si>
  <si>
    <t>葡萄酒;⽶酒;开胃酒;鸡尾酒;含⽔果酒精饮料;⻩酒;果酒（含酒精）;酒精饮料（啤酒除外）;蒸馏饮料;⽩酒</t>
  </si>
  <si>
    <t>锦淮天下</t>
  </si>
  <si>
    <t>君呈浩鑫商贸（北京）有限公司</t>
  </si>
  <si>
    <t>⽩兰地;⻩酒;由⾕物蒸馏的⽩酒;薄荷酒;果酒（含酒精）;⾷⽤酒精;⾕物制蒸馏酒精饮料;⽩酒;⽩⼲酒（中国⽩酒）;酒精饮料（啤酒除外）</t>
  </si>
  <si>
    <t>花彝朵小乔</t>
  </si>
  <si>
    <t>尹立仁</t>
  </si>
  <si>
    <t>蒸馏饮料;葡萄酒;果酒（含酒精）;⽩酒;酒精饮料（啤酒除外）;苦味酒;烈酒（饮料）;⾕物制蒸馏酒精饮料;烧酒;利⼝酒</t>
  </si>
  <si>
    <t>锦福伴</t>
  </si>
  <si>
    <t>河南冒团餐饮管理有限公司</t>
  </si>
  <si>
    <t>威⼠忌;⽶酒;除啤酒外的酒精饮料;含酒精⽔果饮料;⾷⽤酒精;果酒;含酒精的充⽓饮料（啤酒除外）;⽩酒;蒸馏饮料;含酒精的饮料（啤酒除外）</t>
  </si>
  <si>
    <t>京喜门二锅头</t>
  </si>
  <si>
    <t>⻩酒;开胃酒;葡萄酒;酒精饮料（啤酒除外）;⽶酒;⽩酒;果酒（含酒精）;蒸馏饮料;鸡尾酒;含⽔果酒精饮料</t>
  </si>
  <si>
    <t>五斗星二锅头</t>
  </si>
  <si>
    <t>开胃酒;葡萄酒;蒸馏饮料;⽩酒;含⽔果酒精饮料;⻩酒;鸡尾酒;酒精饮料（啤酒除外）;果酒（含酒精）;⽶酒</t>
  </si>
  <si>
    <t>花彝朵大乔</t>
  </si>
  <si>
    <t>蒸馏饮料;酒精饮料（啤酒除外）;⽩酒;苦味酒;⾕物制蒸馏酒精饮料;烧酒;果酒（含酒精）;葡萄酒;利⼝酒;烈酒（饮料）</t>
  </si>
  <si>
    <t>京甸二锅头</t>
  </si>
  <si>
    <t>⻩酒;蒸馏饮料;开胃酒;鸡尾酒;含⽔果酒精饮料;果酒（含酒精）;葡萄酒;酒精饮料（啤酒除外）;⽶酒;⽩酒</t>
  </si>
  <si>
    <t>PAPER PRESENTED</t>
  </si>
  <si>
    <t>苏州叠纸网络科技股份有限公司</t>
  </si>
  <si>
    <t>鸡尾酒;葡萄酒;⽩酒;⾷⽤酒精;清酒（⽇本⽶酒）;蒸馏饮料;烈酒（饮料）;威⼠忌;酒精饮料（啤酒除外）;果酒（含酒精）</t>
  </si>
  <si>
    <t>百川乐</t>
  </si>
  <si>
    <t>远知实业（广东）有限公司</t>
  </si>
  <si>
    <t>开胃酒;烧酒;⽩酒;起泡⽩葡萄酒;朗姆酒（酒精饮料）;威⼠忌;蒸馏⽶酒（泡盛酒）;红葡萄酒;杨梅酒;鸡尾酒</t>
  </si>
  <si>
    <t>西安镐金实业有限公司</t>
  </si>
  <si>
    <t>鸡尾酒;葡萄酒;⽩酒;⽶酒;开胃酒;利⼝酒;果酒（含酒精）;⻩酒;酒精饮料（啤酒除外）;威⼠忌</t>
  </si>
  <si>
    <t>苦荞仔仔</t>
  </si>
  <si>
    <t>王建华</t>
  </si>
  <si>
    <t>烈酒;清酒;苦荞酒;含酒精⽔果饮料;⽩酒;甜酒;由⾕物蒸馏的⽩酒;果酒;⻩酒;含酒精的饮料（啤酒除外）</t>
  </si>
  <si>
    <t>2024/04/19</t>
  </si>
  <si>
    <t>吴韵小雅</t>
  </si>
  <si>
    <t>南京林涧雅集餐饮管理有限公司</t>
  </si>
  <si>
    <t>⽶酒;⻘稞酒;⾷⽤酒精;蒸馏饮料;⻩酒;酒精饮料（啤酒除外）;果酒（含酒精）;开胃酒;葡萄酒;⽩酒</t>
  </si>
  <si>
    <t>2024/04/22</t>
  </si>
  <si>
    <t>适野</t>
  </si>
  <si>
    <t>王一爽</t>
  </si>
  <si>
    <t>威⼠忌;果酒（含酒精）;葡萄酒;鸡尾酒;蒸馏饮料;⽩酒;⻩酒;⾷⽤酒精;酒精饮料（啤酒除外）;餐后酒（利⼝酒和烈酒）</t>
  </si>
  <si>
    <t>泾城米酒</t>
  </si>
  <si>
    <t>曹卫国</t>
  </si>
  <si>
    <t>含⽔果酒精饮料;⾕物制蒸馏酒精饮料;果酒（含酒精）;⽶酒;蒸馏饮料;酒精饮料（啤酒除外）;茴芹酒（利⼝酒）</t>
  </si>
  <si>
    <t>世界台  WORLD TAI</t>
  </si>
  <si>
    <t>贵州世界台酒业有限公司</t>
  </si>
  <si>
    <t>伏特加酒;鸡尾酒;酒精饮料原汁;葡萄酒;⽩酒;烈酒（饮料）;酒精饮料（啤酒除外）;⽶酒;蒸煮提取物（利⼝酒和烈酒）;果酒（含酒精）</t>
  </si>
  <si>
    <t>邹六福百龄</t>
  </si>
  <si>
    <t>果酒;⻩酒;⽶酒;⽩酒;烈酒;蜂蜜酒;烧酒;酸酒（低等葡萄酒）;⻘稞酒;葡萄酒</t>
  </si>
  <si>
    <t>铁清酒庄</t>
  </si>
  <si>
    <t>宜宾三桂酒业有限公司</t>
  </si>
  <si>
    <t>烧酒;⽩兰地;⽶酒;伏特加酒;⻩酒;果酒;烈酒（饮料）;葡萄酒;酒精饮料原汁;开胃酒</t>
  </si>
  <si>
    <t>华墅希巢</t>
  </si>
  <si>
    <t>陕西华墅希巢工贸有限公司</t>
  </si>
  <si>
    <t>葡萄酒;酒精饮料（啤酒除外）;烧酒;⻩酒;苹果酒;⽶酒;⽩酒;果酒（含酒精）;蒸馏饮料</t>
  </si>
  <si>
    <t>雨荷家酿</t>
  </si>
  <si>
    <t>济南慧聪商贸有限公司</t>
  </si>
  <si>
    <t>⽶酒;烈酒;⻩酒;果酒（含酒精）;⽼酒（中国蒸馏烈酒）;⽩酒;甜酒;梅酒;烧酒（烈酒）;葡萄酒</t>
  </si>
  <si>
    <t>烈酒;⽼酒（中国蒸馏烈酒）;⽩酒;甜酒;梅酒;⽶酒;烧酒（烈酒）;葡萄酒;⻩酒;果酒（含酒精）</t>
  </si>
  <si>
    <t>藏誉</t>
  </si>
  <si>
    <t>周桂芳</t>
  </si>
  <si>
    <t>⻘稞酒;葡萄酒;⽩酒;⾼粱酒;烧酒;⽶酒</t>
  </si>
  <si>
    <t>2024/04/24</t>
  </si>
  <si>
    <t>GOLDEN HAMMER</t>
  </si>
  <si>
    <t>温彦国</t>
  </si>
  <si>
    <t>⽩酒;⽩兰地;威⼠忌;伏特加酒;⽶酒;鸡尾酒;酒精饮料（啤酒除外）;⻩酒;果酒（含酒精）;葡萄酒</t>
  </si>
  <si>
    <t>满福源</t>
  </si>
  <si>
    <t>果酒（含酒精）;烧酒;⽩酒;⾼粱酒;露酒;餐后酒（利⼝酒和烈酒）;葡萄酒;⽶酒;⻩酒;烈酒</t>
  </si>
  <si>
    <t>美如春</t>
  </si>
  <si>
    <t>⽩酒;⻩酒;果酒（含酒精）;葡萄酒;烈酒;⾼粱酒;露酒;餐后酒（利⼝酒和烈酒）;⽶酒;烧酒</t>
  </si>
  <si>
    <t>福祷</t>
  </si>
  <si>
    <t>葡萄酒;⽶酒;⾼粱酒;餐后酒（利⼝酒和烈酒）;露酒;果酒（含酒精）;烧酒;⻩酒;⽩酒;烈酒</t>
  </si>
  <si>
    <t>醉老王</t>
  </si>
  <si>
    <t>果酒（含酒精）;⽶酒;露酒;烈酒;餐后酒（利⼝酒和烈酒）;⾼粱酒;葡萄酒;⻩酒;⽩酒;烧酒</t>
  </si>
  <si>
    <t>年富</t>
  </si>
  <si>
    <t>烧酒;⻩酒;⾼粱酒;餐后酒（利⼝酒和烈酒）;葡萄酒;⽶酒;露酒;⽩酒;烈酒;果酒（含酒精）</t>
  </si>
  <si>
    <t>ALTUN ARAL 金阿热乐</t>
  </si>
  <si>
    <t>艾尼瓦尔•阿布都克然木</t>
  </si>
  <si>
    <t>花花牛</t>
  </si>
  <si>
    <t>含⽔果酒精饮料;⻩酒;蒸馏饮料;烧酒;利⼝酒;酒精饮料（啤酒除外）;汽酒;清酒;⾷⽤酒精;⽩酒</t>
  </si>
  <si>
    <t>湖仙老</t>
  </si>
  <si>
    <t>黔傲</t>
  </si>
  <si>
    <t>许继超</t>
  </si>
  <si>
    <t>⻩酒;葡萄酒;清酒;烧酒;果酒（含酒精）;烈酒（饮料）;⽩酒;酒精饮料（啤酒除外）;鸡尾酒;⽶酒</t>
  </si>
  <si>
    <t>姊妹</t>
  </si>
  <si>
    <t>烧酒;葡萄酒;⽶酒;⾼粱酒;⽩酒;烈酒;露酒;果酒（含酒精）;⻩酒;蒸馏饮料</t>
  </si>
  <si>
    <t>龙稳坐</t>
  </si>
  <si>
    <t>陈江滨</t>
  </si>
  <si>
    <t>果酒（含酒精）;⻘稞酒;⽶酒;⻩酒;葡萄酒;烧酒;清酒（⽇本⽶酒）;⽩酒;⽩兰地;威⼠忌</t>
  </si>
  <si>
    <t>侨创传奇</t>
  </si>
  <si>
    <t>皇狮投资管理（上海）有限公司</t>
  </si>
  <si>
    <t>酒精饮料（啤酒除外）;威⼠忌;果酒（含酒精）;⽶酒;⽩酒;葡萄酒;鸡尾酒;烈酒（饮料）;⻩酒;⽩兰地</t>
  </si>
  <si>
    <t>明花坊</t>
  </si>
  <si>
    <t>兴韵酒业</t>
  </si>
  <si>
    <t>贵州丑小鸭商贸有限公司</t>
  </si>
  <si>
    <t>伏特加酒;开胃酒;清酒（⽇本⽶酒）;茴芹酒（利⼝酒）;烧酒;⽩酒;⾷⽤酒精;酒精饮料（啤酒除外）;预先混合的酒精饮料（以啤酒为主的除外）;烈酒（饮料）</t>
  </si>
  <si>
    <t>2024/04/27</t>
  </si>
  <si>
    <t>汉廷</t>
  </si>
  <si>
    <t>贵州省仁怀市汉廷酒厂</t>
  </si>
  <si>
    <t>葡萄酒;⽩酒;果酒;⽶酒;⽼酒（中国蒸馏烈酒）;⾼粱酒;烧酒;酒精饮料（啤酒除外）;⻩酒;烈酒</t>
  </si>
  <si>
    <t>汉庭</t>
  </si>
  <si>
    <t>钻誉</t>
  </si>
  <si>
    <t>王健</t>
  </si>
  <si>
    <t>景泰尊</t>
  </si>
  <si>
    <t>李世兵</t>
  </si>
  <si>
    <t>⽶酒;⻩酒;烈酒（饮料）;⾼粱酒;酒精饮料（啤酒除外）;鸡尾酒;⽩酒;葡萄酒;果酒（含酒精）;烧酒</t>
  </si>
  <si>
    <t>妙小财</t>
  </si>
  <si>
    <t>深圳市妙工坊工艺礼品有限公司</t>
  </si>
  <si>
    <t>葡萄酒;⻩酒;⾷⽤酒精;酒精饮料（啤酒除外）;果酒（含酒精）;⽩酒;蒸馏饮料;⽩兰地;威⼠忌;⽶酒</t>
  </si>
  <si>
    <t>舍粮</t>
  </si>
  <si>
    <t>河南德信诚商贸有限公司</t>
  </si>
  <si>
    <t>烧酒;蒸煮提取物（利⼝酒和烈酒）;果酒（含酒精）;⻩酒;⽶酒;⽩酒;酒精饮料（啤酒除外）;开胃酒;葡萄酒;⾷⽤酒精</t>
  </si>
  <si>
    <t>十个手印</t>
  </si>
  <si>
    <t>贵州祥康酒业（集团）有限公司</t>
  </si>
  <si>
    <t>⻩酒;果酒（含酒精）;⽩兰地;⽶酒;汽酒;⽩酒;烈酒（饮料）;鸡尾酒;酒精饮料（啤酒除外）;烧酒</t>
  </si>
  <si>
    <t>FR FRNEO RMC</t>
  </si>
  <si>
    <t>海口秀英尊耶贸易商行（个体工商户）</t>
  </si>
  <si>
    <t>果酒（含酒精）;汽酒;⽩酒;鸡尾酒;⾷⽤酒精;威⼠忌;含⽔果酒精饮料;葡萄酒;梨酒;清酒（⽇本⽶酒）</t>
  </si>
  <si>
    <t>酒精饮料（啤酒除外）;⻩酒;烈酒（饮料）;⽩兰地;⽩酒;汽酒;烧酒;⽶酒;果酒（含酒精）;鸡尾酒</t>
  </si>
  <si>
    <t>悟者无界</t>
  </si>
  <si>
    <t>果酒（含酒精）;清酒（⽇本⽶酒）;⻘稞酒;葡萄酒;⽩酒;威⼠忌;⽶酒;⻩酒;⽩兰地;烧酒</t>
  </si>
  <si>
    <t>功炮</t>
  </si>
  <si>
    <t>朋礼加</t>
  </si>
  <si>
    <t>葡萄酒;烧酒;果酒（含酒精）;蒸馏饮料;⾼粱酒;⻩酒;⽶酒;⽩酒;露酒;烈酒</t>
  </si>
  <si>
    <t>刘洪都</t>
  </si>
  <si>
    <t>黄秋云</t>
  </si>
  <si>
    <t>清酒;⾷⽤酒精;葡萄酒;蒸馏饮料;⽩酒;果酒;酒精饮料原汁;⽶酒;预先混合的酒精饮料（以啤酒为主的除外）;开胃酒</t>
  </si>
  <si>
    <t>梨酷</t>
  </si>
  <si>
    <t>酒精饮料浓缩汁;苹果酒;⽶酒;蜂蜜酒;含⽔果酒精饮料;⽩酒;梨酒;果酒（含酒精）;樱桃酒;开胃酒</t>
  </si>
  <si>
    <t>谷祖</t>
  </si>
  <si>
    <t>贵州古镇恒昌烧坊酒业有限责任公司</t>
  </si>
  <si>
    <t>烧酒;葡萄酒;烈酒（饮料）;⽶酒;清酒（⽇本⽶酒）;⻩酒;⽩酒;果酒（含酒精）;鸡尾酒;酒精饮料（啤酒除外）</t>
  </si>
  <si>
    <t>蜀福仙</t>
  </si>
  <si>
    <t>葡萄酒;烈酒;鸡尾酒;⻘稞酒;⾼粱酒;⻩酒;果酒;⽶酒;烧酒;⽩酒</t>
  </si>
  <si>
    <t>独山岛</t>
  </si>
  <si>
    <t>山东卓高新材料有限公司</t>
  </si>
  <si>
    <t>⽩酒;蜂蜜酒;葡萄酒;利⼝酒;苹果酒;含⽔果酒精饮料;开胃酒;果酒（含酒精）;⽶酒;清酒（⽇本⽶酒）</t>
  </si>
  <si>
    <t>雅活瑰</t>
  </si>
  <si>
    <t>四川芳润酒业有限公司</t>
  </si>
  <si>
    <t>⻩酒;⻘稞酒;酒精饮料（啤酒除外）;烈酒（饮料）;烧酒;⽶酒;鸡尾酒;果酒（含酒精）;葡萄酒;⽩酒</t>
  </si>
  <si>
    <t>APPLAUSE 此欢</t>
  </si>
  <si>
    <t>上海蜜糖甜心食品有限公司</t>
  </si>
  <si>
    <t>⽶酒;⻩酒;葡萄酒;酒精饮料（啤酒除外）;⽩酒;蒸馏饮料;烧酒;果酒（含酒精）;烈酒（饮料）;清酒</t>
  </si>
  <si>
    <t>联众投</t>
  </si>
  <si>
    <t>福麟祥（深圳）国际贸易商行（个人独资）</t>
  </si>
  <si>
    <t>葡萄酒;威⼠忌;清酒;⽶酒;⾷⽤酒精;蒸馏饮料;酒精饮料（啤酒除外）;⽩酒;开胃酒;果酒（含酒精）</t>
  </si>
  <si>
    <t>润景芝</t>
  </si>
  <si>
    <t>山东润景酒业有限公司</t>
  </si>
  <si>
    <t>烧酒;⻩酒;⽶酒;餐后酒（利⼝酒和烈酒）;预先混合的酒精饮料（以啤酒为主的除外）;酒精饮料原汁;⽩酒;⽩兰地;果酒（含酒精）;烈酒（饮料）</t>
  </si>
  <si>
    <t>赢养多</t>
  </si>
  <si>
    <t>南许明</t>
  </si>
  <si>
    <t>开胃酒;⽩酒;葡萄酒;⾷⽤酒精;⽶酒;清酒;甜酒;果酒;汽酒;⻩酒</t>
  </si>
  <si>
    <t>三充公社</t>
  </si>
  <si>
    <t>蒋菲菲</t>
  </si>
  <si>
    <t>葡萄酒;⽶酒;⾷⽤酒精;烈酒（饮料）;⻩酒;烧酒;⽩酒;酒精饮料（啤酒除外）</t>
  </si>
  <si>
    <t>LI DONG</t>
  </si>
  <si>
    <t>陈满利</t>
  </si>
  <si>
    <t>⽩兰地;混合威⼠忌酒;⻩酒;葡萄酒;蒸煮提取物（利⼝酒和烈酒）;烧酒;伏特加酒;⽶酒;烧酒（烈酒）;已调味的蒸馏酒</t>
  </si>
  <si>
    <t>君裕</t>
  </si>
  <si>
    <t>许灵章</t>
  </si>
  <si>
    <t>⽩酒;葡萄酒;果酒;鸡尾酒;⾼粱酒;⻩酒;烈酒;烧酒;⽶酒;⻘稞酒</t>
  </si>
  <si>
    <t>罗义堂养元酒</t>
  </si>
  <si>
    <t>四川米老头食品工业集团股份有限公司</t>
  </si>
  <si>
    <t>伏特加酒;⽩酒;⽶酒;葡萄酒;烧酒;⽩兰地;果酒（含酒精）;烈酒（饮料）;蜂蜜酒;鸡尾酒</t>
  </si>
  <si>
    <t>绒布峰针</t>
  </si>
  <si>
    <t>西藏龙布藏药有限公司</t>
  </si>
  <si>
    <t>开胃酒;⽩酒;威⼠忌;酒精饮料（啤酒除外）;⽶酒;果酒（含酒精）;⻩酒;葡萄酒;⾷⽤酒精;烧酒</t>
  </si>
  <si>
    <t>文中贡</t>
  </si>
  <si>
    <t>贵州省仁怀市茅台镇文中酒业有限公司</t>
  </si>
  <si>
    <t>汽酒;⻘稞酒;由⾕物蒸馏的⽩酒;蒸馏饮料;果酒;酒精饮料（啤酒除外）;⽶酒;⽩酒;⽩⼲酒（中国⽩酒）;⻩酒</t>
  </si>
  <si>
    <t>土城名</t>
  </si>
  <si>
    <t>中国美酒河集团有限公司</t>
  </si>
  <si>
    <t>利⼝酒;葡萄酒;⽶酒;烈酒;烧酒（烈酒）;⽩酒;⽼酒（中国蒸馏烈酒）;烧酒;烈性⼲酒;⽩⼲酒（中国⽩酒）</t>
  </si>
  <si>
    <t>冠群芳佳酿</t>
  </si>
  <si>
    <t>烈酒（饮料）;酒精饮料原汁;酒精饮料（啤酒除外）;果酒（含酒精）;葡萄酒;⽶酒;烧酒;苹果酒;鸡尾酒;⽩酒</t>
  </si>
  <si>
    <t>力动</t>
  </si>
  <si>
    <t>⽩兰地;葡萄酒;烧酒（烈酒）;混合威⼠忌酒;蒸煮提取物（利⼝酒和烈酒）;已调味的蒸馏酒;烧酒;⻩酒;⽶酒;伏特加酒</t>
  </si>
  <si>
    <t>文中传奇</t>
  </si>
  <si>
    <t>⽩⼲酒（中国⽩酒）;果酒;⻘稞酒;蒸馏饮料;酒精饮料（啤酒除外）;⽶酒;⽩酒;由⾕物蒸馏的⽩酒;⻩酒;汽酒</t>
  </si>
  <si>
    <t>BAN GUO</t>
  </si>
  <si>
    <t>⾷⽤酒精;⽩酒;⽶酒;蒸煮提取物（利⼝酒和烈酒）;烈酒（饮料）;鸡尾酒;葡萄酒;酒精饮料（啤酒除外）;蒸馏饮料;薄荷酒</t>
  </si>
  <si>
    <t>宋玛</t>
  </si>
  <si>
    <t>宿迁国香酒业有限公司</t>
  </si>
  <si>
    <t>果酒（含酒精）;蒸煮提取物（利⼝酒和烈酒）;酒精饮料（啤酒除外）;葡萄酒;⽶酒;汽酒;⻩酒;⾷⽤酒精;烧酒;⽩酒</t>
  </si>
  <si>
    <t>尺糕娘</t>
  </si>
  <si>
    <t>嘉兴市南湖区智农农业开发投资有限公司</t>
  </si>
  <si>
    <t>鸡尾酒;葡萄酒;烈酒（饮料）;⽩酒;开胃酒;酒精饮料（啤酒除外）;⾷⽤酒精;⽶酒;⻩酒;果酒（含酒精）</t>
  </si>
  <si>
    <t>固漳祖母魏妈</t>
  </si>
  <si>
    <t>太仓市属天化纤织造有限公司</t>
  </si>
  <si>
    <t>清酒;佐餐酒;烧酒;葡萄酒;⾕物制蒸馏酒精饮料;⻩酒;⽼酒（中国蒸馏烈酒）;⽩酒;果酒（含酒精）;⽶酒</t>
  </si>
  <si>
    <t>李白说敬亭山</t>
  </si>
  <si>
    <t>贵州省仁怀市李唐酒业有限公司</t>
  </si>
  <si>
    <t>蒸馏饮料;蒸煮提取物（利⼝酒和烈酒）;果酒（含酒精）;⽩酒;⽶酒;葡萄酒;⻘稞酒;烈酒（饮料）;朗姆酒;⻩酒</t>
  </si>
  <si>
    <t>佬柏年</t>
  </si>
  <si>
    <t>王艺颖</t>
  </si>
  <si>
    <t>威⼠忌;果酒（含酒精）;烈酒;葡萄酒;⻩酒;清酒（⽇本⽶酒）;开胃酒;⽩酒;鸡尾酒;酒精饮料（啤酒除外）</t>
  </si>
  <si>
    <t>贵州东恒数字产业有限公司</t>
  </si>
  <si>
    <t>伏特加酒;⽶酒;朗姆酒;⽩酒;⻘稞酒;⽩兰地;烈酒（饮料）;利⼝酒;威⼠忌;葡萄酒</t>
  </si>
  <si>
    <t>三道坡</t>
  </si>
  <si>
    <t>李旭亮</t>
  </si>
  <si>
    <t>⾷⽤酒精;⽩酒;蒸馏饮料;⽶酒;⻘稞酒;果酒（含酒精）;葡萄酒;酒精饮料（啤酒除外）;烧酒;⻩酒</t>
  </si>
  <si>
    <t>红井坊江山如画</t>
  </si>
  <si>
    <t>安徽红井坊酒业有限责任公司</t>
  </si>
  <si>
    <t>⽶酒;⽼酒（中国蒸馏烈酒）;鸡尾酒;⻩酒;⽩酒;烈酒（饮料）;清酒（⽇本⽶酒）;酒精饮料（啤酒除外）;烧酒;果酒（含酒精）</t>
  </si>
  <si>
    <t>曲中求财</t>
  </si>
  <si>
    <t>王海永</t>
  </si>
  <si>
    <t>露酒;⾼粱酒;⽶酒;⽩酒;烈酒（饮料）;烧酒;烈酒</t>
  </si>
  <si>
    <t>明道诚礼</t>
  </si>
  <si>
    <t>张二秀</t>
  </si>
  <si>
    <t>烈酒（饮料）;开胃酒;⻩酒;⽩酒;⽶酒;果酒（含酒精）;烧酒;酒精饮料（啤酒除外）;⻘稞酒;葡萄酒</t>
  </si>
  <si>
    <t>悍康</t>
  </si>
  <si>
    <t>徐坛</t>
  </si>
  <si>
    <t>⽶酒;烧酒;葡萄酒;⽩酒;⾼粱酒;⻘稞酒</t>
  </si>
  <si>
    <t>余靓</t>
  </si>
  <si>
    <t>乙大巴（德化）网络科技有限公司</t>
  </si>
  <si>
    <t>威⼠忌;含⽔果酒精饮料;⽶酒;烈酒（饮料）;葡萄酒;清酒（⽇本⽶酒）;酒精饮料（啤酒除外）;⽩酒;鸡尾酒;⽩兰地</t>
  </si>
  <si>
    <t>探险人</t>
  </si>
  <si>
    <t>浦江县梦佳怡贸易有限公司</t>
  </si>
  <si>
    <t>酒精饮料（啤酒除外）;烧酒;⽩酒;苦艾酒;⾼粱酒;烈酒;⻩酒;⽩⼲酒（中国⽩酒）;⽶酒;⽼酒（中国蒸馏烈酒）</t>
  </si>
  <si>
    <t>古酿山</t>
  </si>
  <si>
    <t>高苗苗</t>
  </si>
  <si>
    <t>烈酒（饮料）;烧酒;⾼粱酒;清酒（⽇本⽶酒）;⽼酒（中国蒸馏烈酒）;⽩酒;⽶酒;酒精饮料（啤酒除外）;果酒;⻩酒</t>
  </si>
  <si>
    <t>中境酒庄</t>
  </si>
  <si>
    <t>贵州鱼鳅寨农业科技有限公司</t>
  </si>
  <si>
    <t>开胃酒;鸡尾酒;伏特加酒;威⼠忌;⽶酒;果酒（含酒精）;葡萄酒;⽩酒;⻩酒;⽩兰地</t>
  </si>
  <si>
    <t>绿浪长安</t>
  </si>
  <si>
    <t>⽩酒;⽶酒;⾷⽤酒精;烧酒;果酒（含酒精）;⻩酒;利⼝酒;烈酒;葡萄酒;⽩兰地</t>
  </si>
  <si>
    <t>林雄雕</t>
  </si>
  <si>
    <t>⽩酒;烈酒（饮料）;⽩兰地;果酒（含酒精）;烧酒;葡萄酒;⻩酒;酒精饮料（啤酒除外）;含酒精⽔果饮料;⽶酒</t>
  </si>
  <si>
    <t>东方发 DONG FANG FA JIU</t>
  </si>
  <si>
    <t>郝庆</t>
  </si>
  <si>
    <t>⽩酒;酒精饮料（啤酒除外）;⻘稞酒;烧酒;鸡尾酒;果酒（含酒精）;⽶酒;葡萄酒;开胃酒;⻩酒</t>
  </si>
  <si>
    <t>稼艶</t>
  </si>
  <si>
    <t>姜奕丞</t>
  </si>
  <si>
    <t>⽩酒;⽼酒（中国蒸馏烈酒）;果酒;露酒;⽩兰地;⽶酒;烧酒;酒精饮料（啤酒除外）;葡萄酒;⻩酒</t>
  </si>
  <si>
    <t>BROCCATO</t>
  </si>
  <si>
    <t>维纳康佳阿拖拉公司</t>
  </si>
  <si>
    <t>葡萄酒;起泡葡萄酒;汽酒</t>
  </si>
  <si>
    <t>灵魂之约</t>
  </si>
  <si>
    <t>蔡明刚</t>
  </si>
  <si>
    <t>⻩酒;朗姆酒;果酒;烈酒;葡萄酒;⻘稞酒;⽶酒;⽩酒;鸡尾酒;酒精饮料原汁</t>
  </si>
  <si>
    <t>彩红老巷情</t>
  </si>
  <si>
    <t>互助县老巷子酩馏酒作坊</t>
  </si>
  <si>
    <t>苹果酒;⻩酒;开胃酒;⽶酒;烈酒;⻘稞酒;烧酒;⽼酒（中国蒸馏烈酒）;酒精饮料（啤酒除外）;⽩酒</t>
  </si>
  <si>
    <t>迁栗兴</t>
  </si>
  <si>
    <t>唐山智栗兴酒业有限公司</t>
  </si>
  <si>
    <t>烈酒（饮料）;酒精饮料（啤酒除外）;⽩⼲酒（中国⽩酒）;葡萄酒;威⼠忌;⽩酒;⻩酒;⽼酒（中国蒸馏烈酒）;果酒（含酒精）;⽩兰地</t>
  </si>
  <si>
    <t>SAINTE NEIGE</t>
  </si>
  <si>
    <t>佛山市百星奇贸易有限公司</t>
  </si>
  <si>
    <t>清酒（⽇本⽶酒）;⽶酒;⾕物制蒸馏酒精饮料;以葡萄酒为主的饮料;果酒（含酒精）;葡萄酒;⽩兰地;威⼠忌;含⽔果酒精饮料;朗姆酒;伏特加酒;⽇本松针酒;⽇本梅⼦酒;鸡尾酒;杜松⼦酒;酒精饮料（啤酒除外）</t>
  </si>
  <si>
    <t>贡令元</t>
  </si>
  <si>
    <t>汤贤才</t>
  </si>
  <si>
    <t>烈酒（饮料）;酒精饮料（啤酒除外）;烧酒;葡萄酒;⽩酒;⻩酒;果酒（含酒精）;威⼠忌;⽶酒;鸡尾酒</t>
  </si>
  <si>
    <t>寻股清枫</t>
  </si>
  <si>
    <t>安徽青芝堂生物科技有限公司</t>
  </si>
  <si>
    <t>鸡尾酒;酒精饮料（啤酒除外）;苹果酒;葡萄酒;烧酒;果酒（含酒精）;开胃酒;威⼠忌;⽩酒;⻘稞酒</t>
  </si>
  <si>
    <t>徽稻</t>
  </si>
  <si>
    <t>罗慈英</t>
  </si>
  <si>
    <t>果酒（含酒精）;葡萄酒;⽩酒;开胃酒;⻩酒;酒精饮料（啤酒除外）;烈酒;清酒（⽇本⽶酒）;威⼠忌;鸡尾酒</t>
  </si>
  <si>
    <t>LUSHLOVELIFE</t>
  </si>
  <si>
    <t>青岛凯伊曼商贸有限公司</t>
  </si>
  <si>
    <t>威⼠忌;朗姆酒;杜松⼦酒;伏特加酒;鸡尾酒;烧酒;⽩兰地;⽩酒;⻩酒;果酒（含酒精）</t>
  </si>
  <si>
    <t>DAKEYA</t>
  </si>
  <si>
    <t>东莞市凯亚达商贸有限公司</t>
  </si>
  <si>
    <t>AQUAVINE</t>
  </si>
  <si>
    <t>果酒（含酒精）;⻩酒;朗姆酒;鸡尾酒;⽩酒;杜松⼦酒;⽩兰地;威⼠忌;烧酒;伏特加酒</t>
  </si>
  <si>
    <t>萃丰孙思邈</t>
  </si>
  <si>
    <t>山西萃丰鹿业有限公司</t>
  </si>
  <si>
    <t>BING SHUANG YI XIA</t>
  </si>
  <si>
    <t>陈贤民</t>
  </si>
  <si>
    <t>苹果酒;酒精饮料原汁;含⽔果酒精饮料;蜂蜜酒;⽶酒;烧酒;⻩酒;⽩酒;葡萄酒;梨酒</t>
  </si>
  <si>
    <t>炎黄汇</t>
  </si>
  <si>
    <t>酒之选有限公司</t>
  </si>
  <si>
    <t>红旗虹采</t>
  </si>
  <si>
    <t>江西红源锶泉贸易有限公司</t>
  </si>
  <si>
    <t>果酒;葡萄酒;⽩⼲酒（中国⽩酒）;⻩酒;烧酒;⽩兰地;⽶酒;⽩酒;含酒精的饮料（啤酒除外）;⽼酒（中国蒸馏烈酒）</t>
  </si>
  <si>
    <t>手艺人涂滨</t>
  </si>
  <si>
    <t>蒸馏饮料;⾕物制蒸馏酒精饮料;苹果酒;葡萄酒;⽩酒;⽶酒;果酒（含酒精）;餐后酒（利⼝酒和烈酒）;露酒;烈酒（饮料）</t>
  </si>
  <si>
    <t>老牌凤</t>
  </si>
  <si>
    <t>屈小峰</t>
  </si>
  <si>
    <t>威⼠忌;开胃酒;⽩酒;伏特加酒;鸡尾酒;酒精饮料（啤酒除外）;⻘稞酒;清酒;烧酒;葡萄酒</t>
  </si>
  <si>
    <t>酒精饮料（啤酒除外）;烧酒;清酒;葡萄酒;⻘稞酒;伏特加酒;鸡尾酒;⽩酒;威⼠忌;开胃酒</t>
  </si>
  <si>
    <t>常熟卝石服饰有限公司</t>
  </si>
  <si>
    <t>酒精饮料浓缩汁;⽩酒;开胃酒;利⼝酒;⻩酒;烧酒;葡萄酒;蜂蜜酒;烈酒（饮料）;果酒（含酒精）</t>
  </si>
  <si>
    <t>延琼玉液</t>
  </si>
  <si>
    <t>山东华恒酒业有限公司</t>
  </si>
  <si>
    <t>⻩酒;蒸馏饮料;果酒;含酒精的饮料（啤酒除外）;⽶酒;葡萄酒;⽩酒;烧酒;烈酒（饮料）;果酒（含酒精）</t>
  </si>
  <si>
    <t>红旗瑞翼</t>
  </si>
  <si>
    <t>⽩兰地;⽩酒;含酒精的饮料（啤酒除外）;⽩⼲酒（中国⽩酒）;葡萄酒;果酒;烧酒;⻩酒;⽼酒（中国蒸馏烈酒）;⽶酒</t>
  </si>
  <si>
    <t>怀图贵宾</t>
  </si>
  <si>
    <t>贵州飞瀑酒业有限公司</t>
  </si>
  <si>
    <t>蒸馏饮料;⽶酒;餐后酒（利⼝酒和烈酒）;苹果酒;⽩酒;烈酒（饮料）;果酒（含酒精）;⾕物制蒸馏酒精饮料;露酒;葡萄酒</t>
  </si>
  <si>
    <t>红旗御风</t>
  </si>
  <si>
    <t>⽩⼲酒（中国⽩酒）;⽩兰地;⽼酒（中国蒸馏烈酒）;果酒;⽶酒;葡萄酒;⽩酒;含酒精的饮料（啤酒除外）;烧酒;⻩酒</t>
  </si>
  <si>
    <t>MAN XIAO ZHUO</t>
  </si>
  <si>
    <t>贵州饮驴广告传媒有限公司</t>
  </si>
  <si>
    <t>烧酒;⽩酒;⻩酒;果酒;葡萄酒;⽶酒;酒精饮料（啤酒除外）;⽼酒（中国蒸馏烈酒）;烈酒;⾼粱酒</t>
  </si>
  <si>
    <t>常银甄选 家庭省钱好帮手</t>
  </si>
  <si>
    <t>江苏常熟农村商业银行股份有限公司</t>
  </si>
  <si>
    <t>烧酒;⽶酒;果酒（含酒精）;葡萄酒;⽩酒;鸡尾酒;酒精饮料（啤酒除外）;烈酒（饮料）;⻩酒;开胃酒</t>
  </si>
  <si>
    <t>黔醉·家族兴旺</t>
  </si>
  <si>
    <t>贵州黔醉酒业（集团）有限公司</t>
  </si>
  <si>
    <t>⽶酒;⾕物制蒸馏酒精饮料;果酒（含酒精）;烈酒（饮料）;蒸馏饮料;露酒;⽩酒;苹果酒;葡萄酒;餐后酒（利⼝酒和烈酒）</t>
  </si>
  <si>
    <t>炎黄辞</t>
  </si>
  <si>
    <t>⻘稞酒;利⼝酒;烈酒（饮料）;⽶酒;葡萄酒;⻩酒;果酒（含酒精）;清酒（⽇本⽶酒）;⽩酒;鸡尾酒</t>
  </si>
  <si>
    <t>劝仙醉</t>
  </si>
  <si>
    <t>程玲凤</t>
  </si>
  <si>
    <t>酒精饮料（啤酒除外）;果酒（含酒精）;⽩⼲酒（中国⽩酒）;⽶酒;⽩酒;烧酒;鸡尾酒;⻩酒;葡萄酒;烈酒</t>
  </si>
  <si>
    <t>VINORICO</t>
  </si>
  <si>
    <t>艾瑞森城堡有限责任公司</t>
  </si>
  <si>
    <t>佟</t>
  </si>
  <si>
    <t>江苏尊恩国际贸易有限公司</t>
  </si>
  <si>
    <t>酒精饮料（啤酒除外）;葡萄酒;果酒（含酒精）;⽩兰地;⾷⽤酒精;威⼠忌;酒精饮料浓缩汁;清酒（⽇本⽶酒）;⽩酒;烈酒（饮料）</t>
  </si>
  <si>
    <t>悟方圆</t>
  </si>
  <si>
    <t>北京胡同印象酒业有限公司</t>
  </si>
  <si>
    <t>果酒（含酒精）;鸡尾酒;开胃酒;⽩酒;酒精饮料（啤酒除外）;⽶酒;清酒（⽇本⽶酒）;烧酒;葡萄酒;⻘稞酒</t>
  </si>
  <si>
    <t>Y</t>
  </si>
  <si>
    <t>海南国佳旺贸易有限公司</t>
  </si>
  <si>
    <t>⽩酒;伏特加酒;苹果酒;烈酒（饮料）;清酒（⽇本⽶酒）;烧酒;薄荷酒;威⼠忌;鸡尾酒;⽩兰地</t>
  </si>
  <si>
    <t>铸养</t>
  </si>
  <si>
    <t>陈琦</t>
  </si>
  <si>
    <t>⽩酒;⻩酒;烧酒;⽶酒;鸡尾酒;果酒（含酒精）;酒精饮料（啤酒除外）;汽酒;⻘稞酒;开胃酒</t>
  </si>
  <si>
    <t>CHATEAU LOS BOLDOS LA CAMPANA</t>
  </si>
  <si>
    <t>罗布度葡萄酒有限公司</t>
  </si>
  <si>
    <t>酒精饮料（啤酒除外）;葡萄酒;酒精饮料原汁</t>
  </si>
  <si>
    <t>杏弘藏</t>
  </si>
  <si>
    <t>穆晓乐</t>
  </si>
  <si>
    <t>⽩酒;⽶酒;含酒精的⽔果鸡尾酒饮料;果酒（含酒精）;⾷⽤酒精;葡萄酒;开胃酒;甜酒;⻩酒;烧酒</t>
  </si>
  <si>
    <t>寒山几度</t>
  </si>
  <si>
    <t>京之徽（重庆）餐饮管理有限公司</t>
  </si>
  <si>
    <t>鸡尾酒;⽩酒;烧酒;葡萄酒;汽酒;⽶酒;酒精饮料（啤酒除外）;果酒（含酒精）;樱桃酒;烈酒（饮料）</t>
  </si>
  <si>
    <t>宫钦</t>
  </si>
  <si>
    <t>宿迁市洋河镇信天酒业有限公司</t>
  </si>
  <si>
    <t>果酒（含酒精）;葡萄酒;酒精饮料原汁;酒精饮料（啤酒除外）;⽩酒;⾷⽤酒精;烧酒;鸡尾酒;⻩酒;⽶酒</t>
  </si>
  <si>
    <t>DINIANGMEI</t>
  </si>
  <si>
    <t>程华琴</t>
  </si>
  <si>
    <t>蒸馏饮料;⽶酒;葡萄酒;烈酒（饮料）;⽩酒;⾕物制蒸馏酒精饮料;果酒（含酒精）;苹果酒;露酒;餐后酒（利⼝酒和烈酒）</t>
  </si>
  <si>
    <t>荀你千百度</t>
  </si>
  <si>
    <t>荀公酒业有限公司</t>
  </si>
  <si>
    <t>⽩兰地;⽩酒;薄荷酒;苦味酒;亚⼒酒;开胃酒;果酒;茴芹酒（利⼝酒）;酒精饮料（啤酒除外）;葡萄酒</t>
  </si>
  <si>
    <t>青山几度</t>
  </si>
  <si>
    <t>葡萄酒;⽶酒;果酒（含酒精）;烈酒（饮料）;汽酒;⽩酒;烧酒;酒精饮料（啤酒除外）;鸡尾酒;樱桃酒</t>
  </si>
  <si>
    <t>论语传承</t>
  </si>
  <si>
    <t>酒精饮料（啤酒除外）;含⽔果酒精饮料;葡萄酒;威⼠忌;烈酒;⽶酒;清酒（⽇本⽶酒）;⽩兰地;鸡尾酒;⽩酒</t>
  </si>
  <si>
    <t>六表妹 土酒</t>
  </si>
  <si>
    <t>广州晶刚餐饮管理服务有限公司</t>
  </si>
  <si>
    <t>果酒（含酒精）;酒精饮料（啤酒除外）;蜂蜜酒;含⽔果酒精饮料;⽩酒;烧酒;⽩兰地;开胃酒;葡萄酒;鸡尾酒</t>
  </si>
  <si>
    <t>SUPER ELECTROACOUSTIC</t>
  </si>
  <si>
    <t>青岛金钻啤酒有限公司</t>
  </si>
  <si>
    <t>鸡尾酒;⽩兰地;⽔果汽酒;果酒（含酒精）;预调甜酒;⾷⽤酒精;葡萄酒;含酒精⽔果饮料;以朗姆酒为主的饮料;预先混合的酒精饮料（以啤酒为主的除外）</t>
  </si>
  <si>
    <t>心双喜</t>
  </si>
  <si>
    <t>济南航诚商贸有限公司</t>
  </si>
  <si>
    <t>果酒（含酒精）;⽶酒;鸡尾酒;威⼠忌;酒精饮料（啤酒除外）;⻩酒;清酒（⽇本⽶酒）;⽩酒;⽩兰地;⾷⽤酒精</t>
  </si>
  <si>
    <t>春湾</t>
  </si>
  <si>
    <t>广东春湾酒业有限公司</t>
  </si>
  <si>
    <t>⽶酒;⽩兰地;清酒;开胃酒;⻩酒;⽩酒;烧酒;果酒（含酒精）;⽼酒（中国蒸馏烈酒）;酒精饮料（啤酒除外）</t>
  </si>
  <si>
    <t>大汗王</t>
  </si>
  <si>
    <t>呼伦贝尔手工坊酿酒有限责任公司</t>
  </si>
  <si>
    <t>果酒（含酒精）;酒精饮料（啤酒除外）;鸡尾酒;⽩酒;⻩酒;葡萄酒;⻘稞酒;烧酒;已调味的蒸馏酒;⽶酒</t>
  </si>
  <si>
    <t>山河豪迈</t>
  </si>
  <si>
    <t>段秀娜</t>
  </si>
  <si>
    <t>开胃酒;果酒;烧酒;⽩酒;鸡尾酒;葡萄酒;酒精饮料（啤酒除外）;⻩酒;烈酒;⽶酒</t>
  </si>
  <si>
    <t>荀你</t>
  </si>
  <si>
    <t>酒精饮料（啤酒除外）;葡萄酒;⽩兰地;亚⼒酒;薄荷酒;⽩酒;果酒;茴芹酒（利⼝酒）;开胃酒;苦味酒</t>
  </si>
  <si>
    <t>尚上化学</t>
  </si>
  <si>
    <t>贵州尚上教育科技有限公司</t>
  </si>
  <si>
    <t>烈酒（饮料）;酒精饮料原汁;葡萄酒;清酒（⽇本⽶酒）;⽶酒;⽩酒;⻩酒;鸡尾酒;烧酒;果酒（含酒精）</t>
  </si>
  <si>
    <t>WANCAOYI+</t>
  </si>
  <si>
    <t>上海菀草壹服饰有限公司</t>
  </si>
  <si>
    <t>薄荷酒;葡萄酒;⽩兰地;⽩酒;烧酒;朗姆酒;鸡尾酒;果酒（含酒精）;威⼠忌;酒精饮料（啤酒除外）</t>
  </si>
  <si>
    <t>恒烽顺</t>
  </si>
  <si>
    <t>深圳市恒烽顺包装科技有限公司</t>
  </si>
  <si>
    <t>开胃酒;烈酒（饮料）;酒精饮料（啤酒除外）;果酒（含酒精）;⻩酒;烧酒;⽩酒;葡萄酒;⽶酒;利⼝酒</t>
  </si>
  <si>
    <t>菀草壹</t>
  </si>
  <si>
    <t>烧酒;果酒（含酒精）;酒精饮料（啤酒除外）;⽩兰地;朗姆酒;威⼠忌;⽩酒;薄荷酒;葡萄酒;鸡尾酒</t>
  </si>
  <si>
    <t>金钻天鸿九</t>
  </si>
  <si>
    <t>石强</t>
  </si>
  <si>
    <t>⻩酒;酒精饮料原汁;葡萄酒;烈酒（饮料）;⾷⽤酒精;烧酒;⽶酒;⽩酒;果酒（含酒精）;酒精饮料（啤酒除外）</t>
  </si>
  <si>
    <t>勺嘴鹬</t>
  </si>
  <si>
    <t>盐城市优质农产品品牌营销协会</t>
  </si>
  <si>
    <t>酒精饮料（啤酒除外）;⻩酒;杨梅酒;⽩酒;果酒（含酒精）;鸡尾酒;酒精饮料原汁;葡萄酒;⽶酒;汽酒</t>
  </si>
  <si>
    <t>橘生南</t>
  </si>
  <si>
    <t>安徽旭咚食品科技有限公司</t>
  </si>
  <si>
    <t>预先混合的酒精饮料（以啤酒为主的除外）;烈酒（饮料）;甜酒;葡萄酒;⻩酒;⽶酒;果酒;⽩酒;酒精饮料（啤酒除外）;烧酒</t>
  </si>
  <si>
    <t>绿缘村</t>
  </si>
  <si>
    <t>赵继贤</t>
  </si>
  <si>
    <t>⽩酒;葡萄酒;烧酒;清酒;⾼粱酒;⽶酒;⻩酒;果酒;烈酒;⽼酒（中国蒸馏烈酒）</t>
  </si>
  <si>
    <t>少葙</t>
  </si>
  <si>
    <t>樱桃酒;⻩酒;葡萄酒;果酒（含酒精）;露酒;鸡尾酒;含⽔果酒精饮料;⽩酒;⽶酒;柑⾹酒</t>
  </si>
  <si>
    <t>书</t>
  </si>
  <si>
    <t>仁义礼智信文化传播有限公司</t>
  </si>
  <si>
    <t>严氏华酒</t>
  </si>
  <si>
    <t>贵州严师酒业有限公司</t>
  </si>
  <si>
    <t>瑞京红鲤</t>
  </si>
  <si>
    <t>江西瑞京红礼文旅发展有限公司</t>
  </si>
  <si>
    <t>果酒（含酒精）;⽩兰地;鸡尾酒;⾷⽤酒精;⽶酒;⽩酒;酒精饮料（啤酒除外）;⻩酒;威⼠忌;清酒（⽇本⽶酒）</t>
  </si>
  <si>
    <t>京皇宫二锅头</t>
  </si>
  <si>
    <t>高楠</t>
  </si>
  <si>
    <t>⽩酒;烧酒</t>
  </si>
  <si>
    <t>贵州仁怀醉茅酒业有限公司</t>
  </si>
  <si>
    <t>葡萄酒;⽩酒;果酒（含酒精）;烈酒（饮料）;鸡尾酒;烧酒;⽶酒;开胃酒;⻩酒;蒸馏饮料</t>
  </si>
  <si>
    <t>向云丹映三红</t>
  </si>
  <si>
    <t>萍乡映三红农业科技开发有限公司</t>
  </si>
  <si>
    <t>葡萄酒;⾕物制蒸馏酒精饮料;酒精饮料（啤酒除外）;已调味的⻨芽酿制的酒精饮料（啤酒除外）;果酒（含酒精）;⽩酒;苹果酒;蜂蜜酒;⻩酒;⽶酒</t>
  </si>
  <si>
    <t>嫩香客</t>
  </si>
  <si>
    <t>卢德伟</t>
  </si>
  <si>
    <t>鸡尾酒;⽶酒;⻩酒;⽩酒;⾷⽤酒精;汽酒;烈酒;葡萄酒;伏特加酒;果酒（含酒精）</t>
  </si>
  <si>
    <t>VALDISOLE</t>
  </si>
  <si>
    <t>葡萄源记（上海）酒业有限公司</t>
  </si>
  <si>
    <t>开胃酒;葡萄酒;⽩兰地;含⽔果酒精饮料;鸡尾酒;酒精饮料（啤酒除外）;汽酒;果酒（含酒精）;蒸馏饮料;清酒（⽇本⽶酒）</t>
  </si>
  <si>
    <t>PHORM</t>
  </si>
  <si>
    <t>酒精饮料（啤酒除外）;朗姆酒;鸡尾酒;烧酒;威⼠忌;果酒（含酒精）;⽩兰地;⽩酒;葡萄酒;薄荷酒</t>
  </si>
  <si>
    <t>庆魂</t>
  </si>
  <si>
    <t>吉俄沙布</t>
  </si>
  <si>
    <t>餐后酒（利⼝酒和烈酒）;葡萄酒;酒精饮料原汁;酒精饮料（啤酒除外）;⻩酒;烧酒;⽩酒;果酒（含酒精）;⽶酒;烈酒（饮料）</t>
  </si>
  <si>
    <t>CHAVOST</t>
  </si>
  <si>
    <t>开胃酒;果酒（含酒精）;蒸馏饮料;含⽔果酒精饮料;汽酒;清酒（⽇本⽶酒）;鸡尾酒;⽩兰地;酒精饮料（啤酒除外）;葡萄酒</t>
  </si>
  <si>
    <t>塞酒</t>
  </si>
  <si>
    <t>甘肃塞乡酒业食品有限责任公司</t>
  </si>
  <si>
    <t>烧酒;蒸馏饮料;酒精饮料原汁;酒精饮料浓缩汁;⽶酒;汽酒;含⽔果酒精饮料;⽩酒;果酒（含酒精）;酒精饮料（啤酒除外）</t>
  </si>
  <si>
    <t>ARNAUD LAMBERT</t>
  </si>
  <si>
    <t>清酒（⽇本⽶酒）;开胃酒;鸡尾酒;蒸馏饮料;汽酒;⽩兰地;含⽔果酒精饮料;果酒（含酒精）;酒精饮料（啤酒除外）;葡萄酒</t>
  </si>
  <si>
    <t>CREATION RARE</t>
  </si>
  <si>
    <t>金钻民</t>
  </si>
  <si>
    <t>谭应波</t>
  </si>
  <si>
    <t>⽩酒;烧酒;酒精饮料（啤酒除外）;⽼酒（中国蒸馏烈酒）;烈酒;⻩酒;⽶酒;果酒;葡萄酒;⾼粱酒</t>
  </si>
  <si>
    <t>VANGOGH STARRY NIGHT 梵高夜空</t>
  </si>
  <si>
    <t>省利哆（厦门）进出口贸易有限公司</t>
  </si>
  <si>
    <t>威⼠忌;果酒（含酒精）;餐后酒（利⼝酒和烈酒）;烈酒（饮料）;酒精饮料（啤酒除外）;⽶酒;⽩酒;开胃酒;⽩兰地;葡萄酒</t>
  </si>
  <si>
    <t>LA STOPPA</t>
  </si>
  <si>
    <t>蒸馏饮料;葡萄酒;酒精饮料（啤酒除外）;⽩兰地;果酒（含酒精）;汽酒;开胃酒;鸡尾酒;清酒（⽇本⽶酒）;含⽔果酒精饮料</t>
  </si>
  <si>
    <t>喆鼎</t>
  </si>
  <si>
    <t>延边清泉酒业有限责任公司</t>
  </si>
  <si>
    <t>金盛文</t>
  </si>
  <si>
    <t>王秀文</t>
  </si>
  <si>
    <t>⾕物制蒸馏酒精饮料;⾷⽤酒精;⻩酒;酒精饮料（啤酒除外）;⽩酒;鸡尾酒;葡萄酒;含⽔果酒精饮料;⽶酒;以葡萄酒为主的饮料</t>
  </si>
  <si>
    <t>瑶王盘</t>
  </si>
  <si>
    <t>铱锘财税企业管理（韶关）有限公司</t>
  </si>
  <si>
    <t>开胃酒;利⼝酒;⽶酒;果酒（含酒精）;烧酒;⻘稞酒;⽩酒;餐后酒（利⼝酒和烈酒）;苦味酒;⻩酒</t>
  </si>
  <si>
    <t>梦回大唐曹妃情</t>
  </si>
  <si>
    <t>唐山市曹妃甸区曹娴酒业有限公司</t>
  </si>
  <si>
    <t>清酒（⽇本⽶酒）;⽶酒;开胃酒;⽩兰地;酒精饮料原汁;⻩酒;葡萄酒;⽩酒;果酒（含酒精）;烈酒（饮料）</t>
  </si>
  <si>
    <t>马言华</t>
  </si>
  <si>
    <t>⽩⼲酒（中国⽩酒）;⾼粱酒;由⾕物蒸馏的⽩酒;烧酒（烈酒）;⽼酒（中国蒸馏烈酒）;酒精饮料（啤酒除外）;⻩酒;⽶酒;⽩酒;果酒</t>
  </si>
  <si>
    <t>柔情浓</t>
  </si>
  <si>
    <t>通江县向善文化传播有限公司</t>
  </si>
  <si>
    <t>果酒;⽶酒;⻩酒;清酒（⽇本⽶酒）;含酒精的饮料（啤酒除外）;⾼粱酒;露酒;果酒（含酒精）;⽩酒;葡萄酒</t>
  </si>
  <si>
    <t>勾漏令</t>
  </si>
  <si>
    <t>广西天露生物科技有限公司</t>
  </si>
  <si>
    <t>烧酒;蒸馏⽶酒（泡盛酒）;果酒;⽩酒;预先混合的酒精饮料（以啤酒为主的除外）;⽶酒;蝮蛇酒;蜂蜜酒;露酒;甜酒</t>
  </si>
  <si>
    <t>柔情兼</t>
  </si>
  <si>
    <t>果酒;⾼粱酒;葡萄酒;⽶酒;露酒;清酒（⽇本⽶酒）;果酒（含酒精）;⽩酒;含酒精的饮料（啤酒除外）;⻩酒</t>
  </si>
  <si>
    <t>LA CABRA ORO DELASUERTE 幸运大金羊</t>
  </si>
  <si>
    <t>凯马传奇（福建）酒业有限公司</t>
  </si>
  <si>
    <t>葡萄酒;含酒精的饮料（啤酒除外）;杜松⼦酒;⽩兰地;起泡⽩葡萄酒;伏特加酒;起泡红葡萄酒;酒精饮料（啤酒除外）;已调味的⻨芽酿制的酒精饮料（啤酒除外）;朗姆酒</t>
  </si>
  <si>
    <t>四点底</t>
  </si>
  <si>
    <t>肖琬琦</t>
  </si>
  <si>
    <t>鸡尾酒;果酒;梅酒;⽶酒;⻩酒;烈酒;⾼粱酒;葡萄酒;⽩酒;烧酒</t>
  </si>
  <si>
    <t>裴家家训</t>
  </si>
  <si>
    <t>⾷⽤酒精;果酒（含酒精）;⽩酒;⽶酒;烈酒（饮料）;烧酒;蒸煮提取物（利⼝酒和烈酒）;葡萄酒;酒精饮料（啤酒除外）;⻩酒</t>
  </si>
  <si>
    <t>HENRYRUITOZE</t>
  </si>
  <si>
    <t>邵金波</t>
  </si>
  <si>
    <t>果酒（含酒精）;起泡⽩葡萄酒;起泡红葡萄酒;威⼠忌;⽩葡萄酒;鸡尾酒;利⼝酒;⽩兰地;葡萄酒;红葡萄酒</t>
  </si>
  <si>
    <t>凯萨米娅 CAESAR MIYA</t>
  </si>
  <si>
    <t>果酒;鸡尾酒;葡萄酒;威⼠忌;以葡萄酒为主的饮料;烈酒;露酒;除啤酒外的酒精饮料;⽩兰地;含酒精⽔果饮料</t>
  </si>
  <si>
    <t>凯萨帝韵 CAESAR DIYUN</t>
  </si>
  <si>
    <t>以葡萄酒为主的饮料;含酒精⽔果饮料;除啤酒外的酒精饮料;葡萄酒;露酒;威⼠忌;烈酒;⽩兰地;果酒;鸡尾酒</t>
  </si>
  <si>
    <t>天骄凯萨 TIANJIAO CAESAR</t>
  </si>
  <si>
    <t>鸡尾酒;威⼠忌;果酒;以葡萄酒为主的饮料;除啤酒外的酒精饮料;葡萄酒;⽩兰地;露酒;含酒精⽔果饮料;烈酒</t>
  </si>
  <si>
    <t>澳诺特 AUNOUTER</t>
  </si>
  <si>
    <t>葡萄酒;以葡萄酒为主的饮料;果酒;除啤酒外的酒精饮料;露酒;威⼠忌;⽩兰地;含酒精⽔果饮料;烈酒;鸡尾酒</t>
  </si>
  <si>
    <t>澳米娜</t>
  </si>
  <si>
    <t>鸡尾酒;葡萄酒;烈酒;除啤酒外的酒精饮料;露酒;以葡萄酒为主的饮料;⽩兰地;威⼠忌;果酒;含酒精⽔果饮料</t>
  </si>
  <si>
    <t>凯萨当歌 CAESAR DANGGE</t>
  </si>
  <si>
    <t>以葡萄酒为主的饮料;果酒;含酒精⽔果饮料;露酒;烈酒;鸡尾酒;葡萄酒;⽩兰地;威⼠忌;除啤酒外的酒精饮料</t>
  </si>
  <si>
    <t>愚公之乡沙石峪</t>
  </si>
  <si>
    <t>闫国兰</t>
  </si>
  <si>
    <t>红葡萄酒;⽩⼲酒（中国⽩酒）;烈酒（饮料）;⽼酒（中国蒸馏烈酒）;清酒（⽇本⽶酒）;烧酒（烈酒）;果酒;烈酒;⽩酒;以葡萄酒为主的饮料</t>
  </si>
  <si>
    <t>秋渠</t>
  </si>
  <si>
    <t>钱念东</t>
  </si>
  <si>
    <t>鸡尾酒;葡萄酒;⻩酒;⽩酒;⾷⽤酒精;开胃酒;⻘稞酒;⽶酒;烈酒（饮料）;利⼝酒</t>
  </si>
  <si>
    <t>杨中宁</t>
  </si>
  <si>
    <t>⾕物制蒸馏酒精饮料;含⽔果酒精饮料;⽩酒;蒸馏饮料;⻩酒;⽶酒;⾷⽤酒精;果酒（含酒精）;以葡萄酒为主的饮料;鸡尾酒</t>
  </si>
  <si>
    <t>众贰叁肆</t>
  </si>
  <si>
    <t>宜宾贰拾叁号酒业有限责任公司</t>
  </si>
  <si>
    <t>酒精饮料原汁;⽩酒;汽酒;含⽔果酒精饮料;⽶酒;鸡尾酒;葡萄酒;威⼠忌;含酒精的⽓泡⽔;利⼝酒</t>
  </si>
  <si>
    <t>壹生庆寿</t>
  </si>
  <si>
    <t>⽼酒（中国蒸馏烈酒）;葡萄酒;蒸煮提取物（利⼝酒和烈酒）;由⾕物蒸馏的⽩酒;烧酒;果酒;烧酒（烈酒）;⽩酒;果酒（含酒精）;以蒸馏酒为主的开胃酒</t>
  </si>
  <si>
    <t>黄志雄</t>
  </si>
  <si>
    <t>酒精饮料（啤酒除外）;开胃酒;鸡尾酒;⽩酒;⻩酒;葡萄酒;果酒;⽩兰地;威⼠忌;清酒</t>
  </si>
  <si>
    <t>响华怀酒</t>
  </si>
  <si>
    <t>贵州中洲酒业（集团）有限公司</t>
  </si>
  <si>
    <t>鸡尾酒;酒精饮料（啤酒除外）;葡萄酒;开胃酒;烈酒（饮料）;含⽔果酒精饮料;⽩酒;烧酒;⻘稞酒;蜂蜜酒</t>
  </si>
  <si>
    <t>BOLDLY CULTIVATING</t>
  </si>
  <si>
    <t>富豪葡萄酒产业澳大利亚有限公司</t>
  </si>
  <si>
    <t>酒精饮料（啤酒除外）;起泡⽩葡萄酒;烈酒（饮料）;起泡红葡萄酒;葡萄酒;餐后酒（利⼝酒和烈酒）;加烈葡萄酒;⽩兰地;葡萄汽酒;⽩酒</t>
  </si>
  <si>
    <t>首昌烧㤃</t>
  </si>
  <si>
    <t>陈恳</t>
  </si>
  <si>
    <t>⽩酒;烧酒;⻩酒;⻘稞酒;⽶酒;酸酒（低等葡萄酒）;苹果酒;甜果酒;清酒（⽇本⽶酒）;朗姆酒</t>
  </si>
  <si>
    <t>PTYEJBQWS  飘台·1298754</t>
  </si>
  <si>
    <t>贵州飘台酒业销售有限公司</t>
  </si>
  <si>
    <t>烧酒;⽩兰地;蒸煮提取物（利⼝酒和烈酒）;开胃酒;果酒（含酒精）;酒精饮料（啤酒除外）;葡萄酒;⻩酒;鸡尾酒;⽩酒</t>
  </si>
  <si>
    <t>那伽力 NUTCREEK</t>
  </si>
  <si>
    <t>秦皇岛江洋康达食品科技有限公司</t>
  </si>
  <si>
    <t>⻩酒;烧酒;酒精饮料原汁;烈酒（饮料）;蒸馏饮料;果酒（含酒精）;含⽔果酒精饮料;葡萄酒;⽩酒;开胃酒</t>
  </si>
  <si>
    <t>蒸馏饮料;⾕物制蒸馏酒精饮料;果酒（含酒精）;鸡尾酒;⾷⽤酒精;⻩酒;⽶酒;⽩酒;以葡萄酒为主的饮料;含⽔果酒精饮料</t>
  </si>
  <si>
    <t>塄</t>
  </si>
  <si>
    <t>内蒙古世纪呼白酒业有限责任公司</t>
  </si>
  <si>
    <t>烈酒（饮料）;⻩酒;开胃酒;烧酒;⽩酒;⻘稞酒;酒精饮料（啤酒除外）;⽶酒;果酒（含酒精）;蒸馏饮料</t>
  </si>
  <si>
    <t>壹生吉禄</t>
  </si>
  <si>
    <t>葡萄酒;⽩酒;烧酒;由⾕物蒸馏的⽩酒;果酒（含酒精）;以蒸馏酒为主的开胃酒;果酒;蒸煮提取物（利⼝酒和烈酒）;烧酒（烈酒）;⽼酒（中国蒸馏烈酒）</t>
  </si>
  <si>
    <t>招财藤</t>
  </si>
  <si>
    <t>宁波保税区西恩福贸易有限公司</t>
  </si>
  <si>
    <t>葡萄酒;预先混合的酒精饮料（以啤酒为主的除外）;清酒;果酒（含酒精）;⽩酒;酒精饮料原汁;含酒精的⽓泡⽔;鸡尾酒;含⽔果酒精饮料;酒精饮料（啤酒除外）</t>
  </si>
  <si>
    <t>盛乐云中川</t>
  </si>
  <si>
    <t>果酒（含酒精）;开胃酒;烈酒（饮料）;烧酒;⻘稞酒;蒸馏饮料;⻩酒;⽩酒;⽶酒;酒精饮料（啤酒除外）</t>
  </si>
  <si>
    <t>柴堡</t>
  </si>
  <si>
    <t>袁邯生</t>
  </si>
  <si>
    <t>鸡尾酒;蜂蜜酒;樱桃酒;含⽔果酒精饮料;苦艾酒;⽩酒;酒精饮料原汁;⽶酒;⾷⽤酒精;苹果酒</t>
  </si>
  <si>
    <t>粮王侯</t>
  </si>
  <si>
    <t>郝孝峰</t>
  </si>
  <si>
    <t>⻩酒;烧酒;⽩酒;果酒;⻘稞酒;鸡尾酒;⽶酒;⾼粱酒;烈酒;葡萄酒</t>
  </si>
  <si>
    <t>杏之巅</t>
  </si>
  <si>
    <t>果酒;烈酒;鸡尾酒;葡萄酒;⻘稞酒;⾼粱酒;烧酒;⽩酒;⻩酒;⽶酒</t>
  </si>
  <si>
    <t>HAUX XUD 酒</t>
  </si>
  <si>
    <t>威⼠忌;⽩兰地;⽶酒;果酒（含酒精）;⻩酒;⽩酒;葡萄酒;烈酒（饮料）;蒸馏饮料;酒精饮料（啤酒除外）</t>
  </si>
  <si>
    <t>桂业香</t>
  </si>
  <si>
    <t>黎树锦</t>
  </si>
  <si>
    <t>⻩酒;烈酒（饮料）;酒精饮料原汁;葡萄酒;⽢蔗制酒精饮料;⾷⽤酒精;⽩酒;⽼酒（中国蒸馏烈酒）;⽶酒;果酒（含酒精）</t>
  </si>
  <si>
    <t>CHATEAU LESTRUELLE</t>
  </si>
  <si>
    <t>宝悦世家简易股份有限公司</t>
  </si>
  <si>
    <t>迎酒令</t>
  </si>
  <si>
    <t>烧酒;烈酒;葡萄酒;果酒;⾼粱酒;⻘稞酒;⽶酒;⽩酒;⻩酒;鸡尾酒</t>
  </si>
  <si>
    <t>长拖</t>
  </si>
  <si>
    <t>吉林省五个小圆圈电商服务有限公司</t>
  </si>
  <si>
    <t>烈酒（饮料）;⽩酒;葡萄酒;果酒（含酒精）;⽩兰地;⻩酒;威⼠忌;朗姆酒;伏特加酒;⾷⽤酒精</t>
  </si>
  <si>
    <t>古年藤</t>
  </si>
  <si>
    <t>含⽔果酒精饮料;果酒（含酒精）;汽酒;葡萄酒;酒精饮料原汁;蒸煮提取物（利⼝酒和烈酒）;开胃酒;⽩兰地;清酒（⽇本⽶酒）;酒精饮料浓缩汁</t>
  </si>
  <si>
    <t>千年渡</t>
  </si>
  <si>
    <t>江西李渡酒业有限公司</t>
  </si>
  <si>
    <t>⽩酒;利⼝酒;果酒（含酒精）;葡萄酒;预先混合的酒精饮料（以啤酒为主的除外）;⽶酒;威⼠忌;酒精饮料（啤酒除外）;⻩酒;烈酒（饮料）</t>
  </si>
  <si>
    <t>泛品堂</t>
  </si>
  <si>
    <t>云南泛茶茶业有限公司</t>
  </si>
  <si>
    <t>茴芹酒（利⼝酒）;开胃酒;苹果酒;薄荷酒;鸡尾酒;⽩酒;苦味酒;葡萄酒;亚⼒酒;蒸馏饮料</t>
  </si>
  <si>
    <t>阿哈人</t>
  </si>
  <si>
    <t>贵州阿哈人旅游服务有限公司</t>
  </si>
  <si>
    <t>⽩⼲酒（中国⽩酒）;⽶酒;含酒精的饮料（啤酒除外）;蒸馏⽶酒（泡盛酒）;烧酒（烈酒）;果酒;⽩酒;⽼酒（中国蒸馏烈酒）;烈酒;⾼粱酒</t>
  </si>
  <si>
    <t>帝逸</t>
  </si>
  <si>
    <t>徐少华</t>
  </si>
  <si>
    <t>⽶酒;烧酒;⻩酒;葡萄酒;⽩酒;⾼粱酒;⻘稞酒</t>
  </si>
  <si>
    <t>拉芙特圣山</t>
  </si>
  <si>
    <t>醇运供应链管理（上海）有限公司</t>
  </si>
  <si>
    <t>清酒;⻩酒;⽼酒（中国蒸馏烈酒）;⽶酒;威⼠忌;蒸煮提取物（利⼝酒和烈酒）;果酒;⽩兰地;葡萄酒;⽩酒</t>
  </si>
  <si>
    <t>陕住</t>
  </si>
  <si>
    <t>新华住（北京）农贸有限公司</t>
  </si>
  <si>
    <t>威⼠忌;鸡尾酒;葡萄酒;⽶酒;果酒;酒精饮料（啤酒除外）;甜酒;烈酒（饮料）;⽩酒;含酒精的饮料（啤酒除外）</t>
  </si>
  <si>
    <t>汉风亚龙东方佳酿</t>
  </si>
  <si>
    <t>贵州将相思酒业有限责任公司</t>
  </si>
  <si>
    <t>果酒（含酒精）;烈酒（饮料）;⽩酒;⾕物制蒸馏酒精饮料;⽶酒;葡萄酒;露酒;餐后酒（利⼝酒和烈酒）;蒸馏饮料;苹果酒</t>
  </si>
  <si>
    <t>TSERETELIWINERY</t>
  </si>
  <si>
    <t>上海晁光国际贸易有限公司</t>
  </si>
  <si>
    <t>果酒（含酒精）;蒸煮提取物（利⼝酒和烈酒）;⾷⽤酒精;⽩酒;开胃酒;⻩酒;葡萄酒;酒精饮料（啤酒除外）;⽩兰地;⽶酒</t>
  </si>
  <si>
    <t>⽶酒;酒精饮料（啤酒除外）;开胃酒;⽩酒;烧酒;蒸煮提取物（利⼝酒和烈酒）;⾷⽤酒精;葡萄酒;果酒（含酒精）;⻩酒</t>
  </si>
  <si>
    <t>珍品溪有</t>
  </si>
  <si>
    <t>重庆市涪陵区珍溪镇农业服务中心</t>
  </si>
  <si>
    <t>果酒（含酒精）;葡萄酒;⻩酒;烧酒;薄荷酒;⽶酒;⽩酒</t>
  </si>
  <si>
    <t>杏义清祥</t>
  </si>
  <si>
    <t>汾阳市晋清居酒业有限公司</t>
  </si>
  <si>
    <t>⽩酒;酒精饮料（啤酒除外）;鸡尾酒;清酒;⽶酒;蒸煮提取物（利⼝酒和烈酒）;烈酒（饮料）;威⼠忌;果酒（含酒精）;葡萄酒</t>
  </si>
  <si>
    <t>MUTOUR-LARGUIS</t>
  </si>
  <si>
    <t>南京锋彩国际贸易有限公司</t>
  </si>
  <si>
    <t>果酒（含酒精）;⽩酒;葡萄酒;⻩酒;含⽔果酒精饮料;烈酒（饮料）;⽶酒;开胃酒;茴⾹酒（利⼝酒）;鸡尾酒</t>
  </si>
  <si>
    <t>菩医典通</t>
  </si>
  <si>
    <t>河北菩典网络科技有限公司</t>
  </si>
  <si>
    <t>葡萄酒;⻩酒;⽩酒;果酒（含酒精）;含⽔果酒精饮料;薄荷酒;蒸馏饮料;威⼠忌;酒精饮料（啤酒除外）;开胃酒</t>
  </si>
  <si>
    <t>森燚鑫㴳 锦煌</t>
  </si>
  <si>
    <t>杭州锦煌科技有限公司</t>
  </si>
  <si>
    <t>烈酒;酒精饮料（啤酒除外）;含⽔果酒精饮料;葡萄酒;果酒（含酒精）;预先混合的酒精饮料（以啤酒为主的除外）;烧酒;⽶酒;⾷⽤酒精;⽩酒</t>
  </si>
  <si>
    <t>十帮</t>
  </si>
  <si>
    <t>深圳清大方略管理咨询有限公司</t>
  </si>
  <si>
    <t>威⼠忌;⽶酒;开胃酒;鸡尾酒;预先混合的酒精饮料（以啤酒为主的除外）;汽酒;⽩酒;⻩酒;葡萄酒;果酒（含酒精）</t>
  </si>
  <si>
    <t>馋叽叽</t>
  </si>
  <si>
    <t>安徽达心诺餐饮管理有限公司</t>
  </si>
  <si>
    <t>⽩兰地;⻩酒;⽶酒;⾕物制蒸馏酒精饮料;鸡尾酒;开胃酒;葡萄酒;烧酒;果酒（含酒精）;⽩酒</t>
  </si>
  <si>
    <t>觅酒趣</t>
  </si>
  <si>
    <t>⽶酒;⽩酒;蒸煮提取物（利⼝酒和烈酒）;⻩酒;⽩兰地;清酒;威⼠忌;葡萄酒;⽼酒（中国蒸馏烈酒）;果酒</t>
  </si>
  <si>
    <t>王少章珍品</t>
  </si>
  <si>
    <t>贵州叁茅品牌管理有限公司</t>
  </si>
  <si>
    <t>鸡尾酒;含⽔果酒精饮料;葡萄酒;利⼝酒;蒸煮提取物（利⼝酒和烈酒）;烈酒（饮料）;⽩酒;⾷⽤酒精;烧酒;果酒（含酒精）</t>
  </si>
  <si>
    <t>壶仓</t>
  </si>
  <si>
    <t>河南工美文化科技有限公司</t>
  </si>
  <si>
    <t>果酒;以葡萄酒为主的饮料;梅酒;葡萄酒;汽酒;⽶酒;酒精饮料（啤酒除外）;⻩酒;清酒;⽩酒</t>
  </si>
  <si>
    <t>巨蟹龙</t>
  </si>
  <si>
    <t>重庆凰巢实业有限公司</t>
  </si>
  <si>
    <t>果酒（含酒精）;清酒;甜酒;⽶酒;果酒;⽩酒;⻩酒;梅酒;烈酒;⾕物制蒸馏酒精饮料</t>
  </si>
  <si>
    <t>德赢食品（常州）有限公司</t>
  </si>
  <si>
    <t>⾼粱酒;酒精饮料（啤酒除外）;⽩酒;清酒（⽇本⽶酒）;葡萄酒;含⽔果酒精饮料;鸡尾酒;果酒;⽶酒;⻩酒</t>
  </si>
  <si>
    <t>丰沛大帝</t>
  </si>
  <si>
    <t>尤旭</t>
  </si>
  <si>
    <t>葡萄酒;鸡尾酒;烧酒;烈酒（饮料）;伏特加酒;果酒（含酒精）;酒精饮料（啤酒除外）;以葡萄酒为主的饮料;⽶酒</t>
  </si>
  <si>
    <t>粮感</t>
  </si>
  <si>
    <t>⽩兰地;⽶酒;⽩酒;果酒（含酒精）;⾷⽤酒精;蒸馏饮料;鸡尾酒;葡萄酒;威⼠忌;烈酒（饮料）</t>
  </si>
  <si>
    <t>澜楠之源</t>
  </si>
  <si>
    <t>四川泓盛鑫成商贸有限公司</t>
  </si>
  <si>
    <t>果酒;⽩酒;⽶酒</t>
  </si>
  <si>
    <t>北垦牛</t>
  </si>
  <si>
    <t>黑龙江老北丰酒业有限公司</t>
  </si>
  <si>
    <t>烧酒;⽩酒;酒精饮料（啤酒除外）;烈酒（饮料）;鸡尾酒;⻘稞酒;⽶酒;蜂蜜酒;葡萄酒;果酒（含酒精）</t>
  </si>
  <si>
    <t>鸡鸣三省</t>
  </si>
  <si>
    <t>贵州佳沃品牌运营有限公司</t>
  </si>
  <si>
    <t>⽩酒;果酒（含酒精）;薄荷酒;葡萄酒;威⼠忌;蒸馏饮料;酒精饮料（啤酒除外）;开胃酒;⻩酒;含⽔果酒精饮料</t>
  </si>
  <si>
    <t>莘贤</t>
  </si>
  <si>
    <t>莘县鹏瑞商贸有限公司</t>
  </si>
  <si>
    <t>果酒;利⼝酒;葡萄酒;酒精饮料（啤酒除外）;烧酒;⽩酒;⽶酒;烈酒;含⽔果酒精饮料;⻩酒</t>
  </si>
  <si>
    <t>太原稷云贸易有限公司</t>
  </si>
  <si>
    <t>⾷⽤酒精;葡萄酒;⽼酒（中国蒸馏烈酒）;甜酒;⻩酒;开胃酒;⽩酒;威⼠忌;以葡萄酒为主的饮料;⽶酒</t>
  </si>
  <si>
    <t>林栖 36</t>
  </si>
  <si>
    <t>浙江东阳林栖文化传播有限公司</t>
  </si>
  <si>
    <t>⾕物制蒸馏酒精饮料;酒精饮料浓缩汁;酒精饮料（啤酒除外）;⻩酒;⽩酒;果酒（含酒精）;葡萄酒;含⽔果酒精饮料;⽶酒;蒸馏饮料</t>
  </si>
  <si>
    <t>窖名仁</t>
  </si>
  <si>
    <t>烈酒;鸡尾酒;⽶酒;⾼粱酒;威⼠忌;果酒;⻩酒;⽩酒;⾷⽤酒精;利⼝酒</t>
  </si>
  <si>
    <t>鹅谣十二道</t>
  </si>
  <si>
    <t>黑龙江鹅香久餐饮管理服务有限公司</t>
  </si>
  <si>
    <t>烧酒;⽩葡萄酒;⽩酒;红葡萄酒;⽶酒;⽩⼲酒（中国⽩酒）;果酒;调制好的葡萄酒鸡尾酒;由⾕物蒸馏的⽩酒;以葡萄酒为主的开胃酒</t>
  </si>
  <si>
    <t>太公志 太公归来</t>
  </si>
  <si>
    <t>清酒;⾷⽤酒精;⽩酒;酒精饮料（啤酒除外）;⻩酒;⽶酒;果酒（含酒精）;甜酒;⽩兰地;葡萄酒</t>
  </si>
  <si>
    <t>大境小界</t>
  </si>
  <si>
    <t>清酒（⽇本⽶酒）;⽶酒;⽩酒;⻩酒;威⼠忌;葡萄酒;烧酒;果酒（含酒精）;⻘稞酒;酒精饮料（啤酒除外）</t>
  </si>
  <si>
    <t>OKVR</t>
  </si>
  <si>
    <t>昆明刚想百货商行（个人独资）</t>
  </si>
  <si>
    <t>葡萄酒;烈酒;⻩酒;开胃酒;烧酒;⽼酒（中国蒸馏烈酒）;⽶酒;⽩酒;⽩⼲酒（中国⽩酒）;鸡尾酒</t>
  </si>
  <si>
    <t>狮山琼小闲</t>
  </si>
  <si>
    <t>云南坤畅农业科技有限公司</t>
  </si>
  <si>
    <t>⽩⼲酒（中国⽩酒）;烧酒（烈酒）;含酒精的充⽓饮料（啤酒除外）;葡萄酒;⽩酒;⾼粱酒;露酒;⽼酒（中国蒸馏烈酒）;烈酒（饮料）;果酒</t>
  </si>
  <si>
    <t>山里顺口</t>
  </si>
  <si>
    <t>魏自国</t>
  </si>
  <si>
    <t>葡萄酒;⾷⽤酒精;伏特加酒;果酒;⽶酒;烈酒;烧酒;酒精饮料原汁;⽩酒;鸡尾酒</t>
  </si>
  <si>
    <t>从都</t>
  </si>
  <si>
    <t>顺风带（广州）信息科技有限公司</t>
  </si>
  <si>
    <t>蒸馏饮料;果酒（含酒精）;鸡尾酒;蒸煮提取物（利⼝酒和烈酒）;开胃酒;伏特加酒;⽩酒;⽩兰地;威⼠忌;葡萄酒</t>
  </si>
  <si>
    <t>倔匠师</t>
  </si>
  <si>
    <t>果酒（含酒精）;⽩酒;⻘稞酒;威⼠忌;烧酒;⽶酒;⽩兰地;葡萄酒;⻩酒;清酒（⽇本⽶酒）</t>
  </si>
  <si>
    <t>宜水坊老酒坊</t>
  </si>
  <si>
    <t>泸州古潭坊酒业有限公司</t>
  </si>
  <si>
    <t>⽩酒;葡萄酒;⻩酒;烧酒;汽酒;果酒（含酒精）;开胃酒;清酒;烈酒（饮料）;利⼝酒</t>
  </si>
  <si>
    <t>皇朝盛氏</t>
  </si>
  <si>
    <t>郑建锐</t>
  </si>
  <si>
    <t>葡萄酒;利⼝酒;威⼠忌;⽶酒;⻩酒;果酒（含酒精）;烈酒（饮料）;⽩酒;烧酒;预先混合的酒精饮料（以啤酒为主的除外）</t>
  </si>
  <si>
    <t>滇小满</t>
  </si>
  <si>
    <t>云南元泰食品有限公司</t>
  </si>
  <si>
    <t>⽶酒;⻘稞酒;⽩酒;烧酒;⾼粱酒;葡萄酒;⻘梅酒;甜酒;果酒;露酒</t>
  </si>
  <si>
    <t>暖风素愫</t>
  </si>
  <si>
    <t>北京享耳星空健康科技有限公司</t>
  </si>
  <si>
    <t>烈酒（饮料）;酒精饮料（啤酒除外）;⽩酒;⽶酒;含⽔果酒精饮料;苹果酒;果酒（含酒精）;鸡尾酒;葡萄酒;预先混合的酒精饮料（以啤酒为主的除外）</t>
  </si>
  <si>
    <t>孔记王家白</t>
  </si>
  <si>
    <t>尹春波</t>
  </si>
  <si>
    <t>⾕物制蒸馏酒精饮料;已调味的⻨芽酿制的酒精饮料（啤酒除外）;烧酒;⻩酒;⽼酒（中国蒸馏烈酒）;⽶酒;⽩酒;清酒;果酒;⾼粱酒</t>
  </si>
  <si>
    <t>花田谷 3256</t>
  </si>
  <si>
    <t>滑学锋</t>
  </si>
  <si>
    <t>果酒（含酒精）;烧酒;烈酒（饮料）;酒精饮料浓缩汁;鸡尾酒;⽩酒;蒸煮提取物（利⼝酒和烈酒）;酒精饮料原汁;葡萄酒;蒸馏饮料</t>
  </si>
  <si>
    <t>沁馜</t>
  </si>
  <si>
    <t>果酒;桃红葡萄酒;红葡萄酒;葡萄酒;卡沙萨酒;⽇本梅⼦酒;⽩酒;⽶酒;⽼酒（中国蒸馏烈酒）;⽩葡萄酒</t>
  </si>
  <si>
    <t>吉节兴</t>
  </si>
  <si>
    <t>云南粮曲酒业经营有限公司</t>
  </si>
  <si>
    <t>果酒（含酒精）;烧酒;葡萄酒;含⽔果酒精饮料;预先混合的酒精饮料（以啤酒为主的除外）;⽩兰地;⽶酒;⽩酒;鸡尾酒;⻩酒</t>
  </si>
  <si>
    <t>皇帝匠氿</t>
  </si>
  <si>
    <t>黄丽珠</t>
  </si>
  <si>
    <t>⻘稞酒;葡萄酒;果酒（含酒精）;开胃酒;酒精饮料（啤酒除外）;⽶酒;烧酒;鸡尾酒;⻩酒;⽩酒</t>
  </si>
  <si>
    <t>渣渣侠</t>
  </si>
  <si>
    <t>刘克强</t>
  </si>
  <si>
    <t>⽩酒;烈酒;葡萄酒;⽼酒（中国蒸馏烈酒）;果酒（含酒精）;除啤酒外的酒精饮料;开胃酒;烧酒（烈酒）;甜酒;⽶酒</t>
  </si>
  <si>
    <t>一品木兰</t>
  </si>
  <si>
    <t>湖北木兰韵酒业有限公司</t>
  </si>
  <si>
    <t>⽩兰地;⻩酒;葡萄酒;果酒（含酒精）;⾕物制蒸馏酒精饮料;苦味酒;⽩酒;烧酒;酒精饮料（啤酒除外）;⽶酒</t>
  </si>
  <si>
    <t>浆中樽</t>
  </si>
  <si>
    <t>果酒（含酒精）;⽩酒;⻩酒;⽩兰地;葡萄酒;酒精饮料（啤酒除外）;烧酒;⽶酒;威⼠忌;⻘稞酒</t>
  </si>
  <si>
    <t>蒙骏闷倒马</t>
  </si>
  <si>
    <t>杨敏娜</t>
  </si>
  <si>
    <t>酒精饮料（啤酒除外）;果酒（含酒精）;开胃酒;⾷⽤酒精;⽶酒;⽩酒;威⼠忌;葡萄酒;⻩酒;烧酒</t>
  </si>
  <si>
    <t>江角醇厚坊</t>
  </si>
  <si>
    <t>沈玉政</t>
  </si>
  <si>
    <t>除啤酒外的酒精饮料;烧酒;茴⾹酒（利⼝酒）;蒸煮提取物（利⼝酒和烈酒）;葡萄酒;烈酒;⽩酒;利⼝酒;⽶酒;清酒（⽇本⽶酒）</t>
  </si>
  <si>
    <t>金壶醉老春</t>
  </si>
  <si>
    <t>马庆君</t>
  </si>
  <si>
    <t>果酒;甜酒;⻩酒;含⽔果酒精饮料;葡萄酒;清酒;烧酒;以葡萄酒为主的饮料;鸡尾酒;⽩兰地</t>
  </si>
  <si>
    <t>臻满意</t>
  </si>
  <si>
    <t>满兰先</t>
  </si>
  <si>
    <t>葡萄酒;果酒（含酒精）;蒸馏饮料;⻩酒;⻘稞酒;⾕物制蒸馏酒精饮料;鸡尾酒;烧酒;⽩酒;⽶酒</t>
  </si>
  <si>
    <t>草典华方</t>
  </si>
  <si>
    <t>国药药材（河南）中原药谷产业研究院管理有限公司</t>
  </si>
  <si>
    <t>⽩酒;酒精饮料原汁;烧酒;果酒（含酒精）;⾕物制蒸馏酒精饮料;酒精饮料（啤酒除外）;汽酒;开胃酒;蜂蜜酒</t>
  </si>
  <si>
    <t>步步锦程</t>
  </si>
  <si>
    <t>黄佳浩</t>
  </si>
  <si>
    <t>果酒（含酒精）;鸡尾酒;威⼠忌;⽩兰地;葡萄酒;⽩酒;⻩酒;烧酒;⽶酒;⾷⽤酒精</t>
  </si>
  <si>
    <t>引笑</t>
  </si>
  <si>
    <t>湖南高界设计有限公司</t>
  </si>
  <si>
    <t>烈酒（饮料）;威⼠忌;烈酒;⻩酒;葡萄酒;酒精饮料（啤酒除外）;⽩酒;烧酒;果酒（含酒精）;鸡尾酒</t>
  </si>
  <si>
    <t>贵悦福</t>
  </si>
  <si>
    <t>钟山区君悦福酒业经营部</t>
  </si>
  <si>
    <t>⽩酒;鸡尾酒;⾷⽤酒精;葡萄酒;⽶酒;开胃酒;酒精饮料（啤酒除外）;伏特加酒;烧酒;果酒</t>
  </si>
  <si>
    <t>铁司将享</t>
  </si>
  <si>
    <t>⻩酒;果酒;⾷⽤酒精;酒精饮料原汁;葡萄酒;汽酒;烧酒;⽩酒;烈酒（饮料）;含⽔果酒精饮料</t>
  </si>
  <si>
    <t>现道</t>
  </si>
  <si>
    <t>卿建辉</t>
  </si>
  <si>
    <t>鸡尾酒;⽩兰地;⽶酒;⽩酒;葡萄酒;蒸馏饮料;蜂蜜酒;威⼠忌;含⽔果酒精饮料;果酒（含酒精）</t>
  </si>
  <si>
    <t>库图契</t>
  </si>
  <si>
    <t>逊克县霍岔布旅游开发有限公司</t>
  </si>
  <si>
    <t>⽶酒;果酒（含酒精）;开胃酒;蒸馏饮料;酒精饮料（啤酒除外）;⽩酒;烧酒;汽酒;蒸煮提取物（利⼝酒和烈酒）;⾷⽤酒精</t>
  </si>
  <si>
    <t>节吉</t>
  </si>
  <si>
    <t>⽩酒;果酒（含酒精）;鸡尾酒;⽶酒;预先混合的酒精饮料（以啤酒为主的除外）;葡萄酒;⽩兰地;含⽔果酒精饮料;⻩酒;烧酒</t>
  </si>
  <si>
    <t>金戍龙</t>
  </si>
  <si>
    <t>陆丰市龙亨酒业有限公司</t>
  </si>
  <si>
    <t>⽶酒;⽩兰地;⻩酒;⽩酒;果酒（含酒精）;⾕物制蒸馏酒精饮料;清酒;威⼠忌;葡萄酒;烧酒（烈酒）</t>
  </si>
  <si>
    <t>YAN LIANG LOU</t>
  </si>
  <si>
    <t>北京漕粮酒业有限公司</t>
  </si>
  <si>
    <t>清酒（⽇本⽶酒）;葡萄酒;汽酒;⽶酒;酒精饮料原汁;含⽔果酒精饮料;⻩酒;酒精饮料（啤酒除外）;⽩酒;烧酒</t>
  </si>
  <si>
    <t>陵川县民宿文化协会</t>
  </si>
  <si>
    <t>⻩酒;果酒（含酒精）;含⽔果酒精饮料;以葡萄酒为主的饮料;鸡尾酒;⽩酒;蜂蜜酒;酒精饮料（啤酒除外）;烧酒;⽶酒</t>
  </si>
  <si>
    <t>MONQUE RAPE</t>
  </si>
  <si>
    <t>李旼炯</t>
  </si>
  <si>
    <t>朗姆酒;⽩兰地;杜松⼦酒;威⼠忌;葡萄酒;烧酒;⽩⼲酒（中国⽩酒）;清酒（⽇本⽶酒）;伏特加酒;起泡⽩葡萄酒</t>
  </si>
  <si>
    <t>辉耀龙腾</t>
  </si>
  <si>
    <t>⽩酒;鸡尾酒;⻩酒;葡萄酒;⾼粱酒;果酒（含酒精）;烈酒（饮料）;酒精饮料（啤酒除外）;烧酒;⽶酒</t>
  </si>
  <si>
    <t>东方水密码</t>
  </si>
  <si>
    <t>贵州迎鉴酒业有限公司</t>
  </si>
  <si>
    <t>⽩酒;葡萄酒;酒精饮料（啤酒除外）;含⽔果酒精饮料;蒸馏饮料;鸡尾酒;蒸煮提取物（利⼝酒和烈酒）;酒精饮料原汁;⽶酒;开胃酒</t>
  </si>
  <si>
    <t>万物融合</t>
  </si>
  <si>
    <t>阿克苏万物融合供应链管理有限公司</t>
  </si>
  <si>
    <t>果酒;⽶酒;⽩酒;葡萄酒;含⽔果酒精饮料;蒸煮提取物（利⼝酒和烈酒）;酒精饮料原汁;烧酒;酒精饮料浓缩汁;清酒（⽇本⽶酒）</t>
  </si>
  <si>
    <t>华赣梦</t>
  </si>
  <si>
    <t>江西赣典酒业有限公司</t>
  </si>
  <si>
    <t>⻘稞酒;汽酒;利⼝酒;开胃酒;⽩兰地;威⼠忌;酒精饮料（啤酒除外）;葡萄酒;果酒（含酒精）;⽩酒</t>
  </si>
  <si>
    <t>FARREN DIAGRAM 法伦图</t>
  </si>
  <si>
    <t>鸡尾酒;酒精饮料（啤酒除外）;⽩酒;⽩兰地;葡萄酒;烧酒;⽶酒;果酒（含酒精）;烈酒（饮料）;威⼠忌</t>
  </si>
  <si>
    <t>REWILD</t>
  </si>
  <si>
    <t>达克斯顿葡萄园管理公司</t>
  </si>
  <si>
    <t>以葡萄酒为主的饮料;⽩葡萄酒;加烈葡萄酒;起泡红葡萄酒;葡萄酒;起泡⽩葡萄酒;红葡萄酒;甜酒</t>
  </si>
  <si>
    <t>三秦华筵</t>
  </si>
  <si>
    <t>陕西华筵酒业有限公司</t>
  </si>
  <si>
    <t>薄荷酒;鸡尾酒;烧酒;⽩兰地;⻩酒;⽶酒;⽩酒;葡萄酒;开胃酒;果酒（含酒精）</t>
  </si>
  <si>
    <t>醉杏丰</t>
  </si>
  <si>
    <t>董建茵</t>
  </si>
  <si>
    <t>烧酒;葡萄酒;⻩酒;⽶酒;鸡尾酒;除啤酒外的酒精饮料;清酒;烈酒;⽩酒;果酒</t>
  </si>
  <si>
    <t>古粮友</t>
  </si>
  <si>
    <t>蜂蜜酒;清酒（⽇本⽶酒）;酒精饮料（啤酒除外）;⽩酒;烧酒;鸡尾酒;⽩兰地;含⽔果酒精饮料;⽶酒;果酒（含酒精）</t>
  </si>
  <si>
    <t>拓增</t>
  </si>
  <si>
    <t>昆明扬所成商贸有限公司</t>
  </si>
  <si>
    <t>葡萄酒;烈酒;烧酒;⻩酒;⽩酒;酒精饮料（啤酒除外）;含⽔果酒精饮料;果酒（含酒精）;⽶酒;甜酒</t>
  </si>
  <si>
    <t>人生如故 龙嫂</t>
  </si>
  <si>
    <t>宿迁市忍德酒业有限公司</t>
  </si>
  <si>
    <t>葡萄酒;预先混合的酒精饮料（以啤酒为主的除外）;⽩酒;⽶酒;蒸馏饮料;蒸煮提取物（利⼝酒和烈酒）;含⽔果酒精饮料;⻩酒;果酒（含酒精）;烧酒</t>
  </si>
  <si>
    <t>晚当王</t>
  </si>
  <si>
    <t>朱小英</t>
  </si>
  <si>
    <t>⽶酒;⻩酒;⽩兰地;酒精饮料（啤酒除外）;⽩酒;⻘稞酒;葡萄酒;果酒（含酒精）;清酒（⽇本⽶酒）;威⼠忌</t>
  </si>
  <si>
    <t>晶瓮品藏</t>
  </si>
  <si>
    <t>山西瓮藏酒业有限公司</t>
  </si>
  <si>
    <t>葡萄酒;⻩酒;⽩酒;⽶酒;开胃酒;烧酒;⾷⽤酒精;酒精饮料（啤酒除外）;果酒;蒸馏饮料</t>
  </si>
  <si>
    <t>芸坊主</t>
  </si>
  <si>
    <t>重庆芸享科技有限公司</t>
  </si>
  <si>
    <t>果酒（含酒精）;葡萄酒;⻘稞酒;⾼粱酒;清酒;含⽔果酒精饮料;⽩酒;⽶酒;烈酒;烈酒（饮料）</t>
  </si>
  <si>
    <t>疆万家</t>
  </si>
  <si>
    <t>襄阳大巨商贸有限公司</t>
  </si>
  <si>
    <t>蜂蜜酒;⽶酒;⽩酒;⻘稞酒;葡萄酒;果酒（含酒精）;酒精饮料（啤酒除外）;⻩酒;鸡尾酒;⾕物制蒸馏酒精饮料</t>
  </si>
  <si>
    <t>泱喜</t>
  </si>
  <si>
    <t>智涵义</t>
  </si>
  <si>
    <t>清酒（⽇本⽶酒）;酒精饮料（啤酒除外）;葡萄酒;⻩酒;果酒（含酒精）;烈酒;⽩酒;威⼠忌;鸡尾酒;开胃酒</t>
  </si>
  <si>
    <t>能隐</t>
  </si>
  <si>
    <t>张冰冰</t>
  </si>
  <si>
    <t>果酒;⽩酒;⾼粱酒;鸡尾酒;蜂蜜酒;烧酒;⻩酒;葡萄酒;⾷⽤酒精;⽶酒</t>
  </si>
  <si>
    <t>天惠集梦</t>
  </si>
  <si>
    <t>陕西天惠科技（集团）有限责任公司</t>
  </si>
  <si>
    <t>果酒;含酒精⽔果饮料;樱桃酒;汽酒;⽩酒;烧酒;酒精饮料（啤酒除外）;⽶酒;葡萄酒;⻩酒</t>
  </si>
  <si>
    <t>青香脉</t>
  </si>
  <si>
    <t>董翠红</t>
  </si>
  <si>
    <t>⻩酒;果酒（含酒精）;鸡尾酒;⽩酒;威⼠忌;酒精饮料（啤酒除外）;葡萄酒;⽶酒;清酒;烧酒</t>
  </si>
  <si>
    <t>宴客尊</t>
  </si>
  <si>
    <t>朱弘志</t>
  </si>
  <si>
    <t>果酒（含酒精）;烧酒;酒精饮料（啤酒除外）;⽶酒;蒸馏⽶酒（泡盛酒）;⾼粱酒;朝鲜族⽶酒;⻩酒;杨梅酒;伏特加酒</t>
  </si>
  <si>
    <t>泰顺利</t>
  </si>
  <si>
    <t>曹娜</t>
  </si>
  <si>
    <t>开胃酒;苹果酒;⾼粱酒;烧酒;⽶酒;烈酒;葡萄酒;⽩酒;茴⾹酒;苦艾酒</t>
  </si>
  <si>
    <t>井嫂烧坊</t>
  </si>
  <si>
    <t>鸡尾酒;酒精饮料（啤酒除外）;威⼠忌;葡萄酒;果酒（含酒精）;⽩酒;开胃酒;清酒（⽇本⽶酒）;烈酒;⻩酒</t>
  </si>
  <si>
    <t>誉义</t>
  </si>
  <si>
    <t>贵州誉义烧坊酒业有限公司</t>
  </si>
  <si>
    <t>⽶酒;露酒;鸡尾酒;果酒;杨梅酒;酒精饮料（啤酒除外）;清酒（⽇本⽶酒）;⽩酒;⽩葡萄酒;烈酒</t>
  </si>
  <si>
    <t>海安金凯文化传播工作室（个体工商户）</t>
  </si>
  <si>
    <t>⽶酒;松叶酒;天然汽酒;果酒（含酒精）;酒精饮料原汁;含⽔果酒精饮料;含酒精的充⽓饮料（啤酒除外）;酒精饮料（啤酒除外）;清酒;⾕物制蒸馏酒精饮料</t>
  </si>
  <si>
    <t>曲遇清花</t>
  </si>
  <si>
    <t>烧酒;⽩酒;葡萄酒;烈酒（饮料）;鸡尾酒;⽶酒;利⼝酒;果酒（含酒精）;清酒（⽇本⽶酒）;⽩兰地</t>
  </si>
  <si>
    <t>皇津花扁壶</t>
  </si>
  <si>
    <t>王德芳</t>
  </si>
  <si>
    <t>⽩酒;汽酒;⻩酒;烧酒;⽶酒;果酒（含酒精）;利⼝酒;清酒;⽩兰地;葡萄酒</t>
  </si>
  <si>
    <t>风起时问风</t>
  </si>
  <si>
    <t>湖北风起时酒业有限公司</t>
  </si>
  <si>
    <t>果酒（含酒精）;开胃酒;蒸馏饮料;酒精饮料（啤酒除外）;杨梅酒;烈酒（饮料）;含⽔果酒精饮料;⻘梅酒;露酒;含酒精的饮料（啤酒除外）</t>
  </si>
  <si>
    <t>延旅味道</t>
  </si>
  <si>
    <t>延安旅游（集团）有限公司</t>
  </si>
  <si>
    <t>苹果酒;含⽔果酒精饮料;烧酒;⻩酒;⼲型苹果酒;⽩酒;⽼酒（中国蒸馏烈酒）;蜂蜜酒;⾼粱酒;果酒（含酒精）</t>
  </si>
  <si>
    <t>青香印</t>
  </si>
  <si>
    <t>闵斌</t>
  </si>
  <si>
    <t>威⼠忌;⽶酒;葡萄酒;⻩酒;烈酒;酒精饮料（啤酒除外）;烧酒;⽩酒;果酒（含酒精）;⾷⽤酒精</t>
  </si>
  <si>
    <t>蛤蟆黔</t>
  </si>
  <si>
    <t>杨大明</t>
  </si>
  <si>
    <t>⻩酒;⽶酒;葡萄酒;烧酒;伏特加酒;果酒（含酒精）;⻘稞酒;⽩兰地;酒精饮料（啤酒除外）;⽩酒</t>
  </si>
  <si>
    <t>琼浆诺丽香酒</t>
  </si>
  <si>
    <t>万宁联兴种养专业合作社</t>
  </si>
  <si>
    <t>酒精饮料（啤酒除外）;⽶酒;⽩酒;⻩酒;⽩兰地;含⽔果酒精饮料;开胃酒;葡萄酒;⻘稞酒;蜂蜜酒</t>
  </si>
  <si>
    <t>集贤清花</t>
  </si>
  <si>
    <t>⾼粱酒;果酒（含酒精）;⽩酒;烧酒（烈酒）;烧酒;⽩⼲酒（中国⽩酒）;⽼酒（中国蒸馏烈酒）;露酒;烈酒（饮料）;由⾕物蒸馏的⽩酒</t>
  </si>
  <si>
    <t>卓玛皇后</t>
  </si>
  <si>
    <t>郑佛明</t>
  </si>
  <si>
    <t>酒精饮料（啤酒除外）;⽩酒;⽶酒;⻘稞酒;鸡尾酒;果酒（含酒精）;葡萄酒;⻩酒;蜂蜜酒;威⼠忌</t>
  </si>
  <si>
    <t>青纷花樽</t>
  </si>
  <si>
    <t>山西青花汾樽酒业有限公司</t>
  </si>
  <si>
    <t>蒸煮提取物（利⼝酒和烈酒）;酒精饮料（啤酒除外）;果酒（含酒精）;⽩酒;烧酒;利⼝酒;⾷⽤酒精;鸡尾酒;开胃酒;苹果酒</t>
  </si>
  <si>
    <t>镹爱五十二</t>
  </si>
  <si>
    <t>安徽焦陂酒业有限责任公司</t>
  </si>
  <si>
    <t>果酒;烈酒;烧酒;⽶酒;酒精饮料浓缩汁;⻩酒;葡萄酒;酒精饮料（啤酒除外）;鸡尾酒;⽩酒</t>
  </si>
  <si>
    <t>乐呵仔</t>
  </si>
  <si>
    <t>韦利兵</t>
  </si>
  <si>
    <t>蜂蜜酒;烧酒;⽩酒;红葡萄酒;⽶酒;果酒;开胃酒;⻩酒;葡萄酒;⾼粱酒</t>
  </si>
  <si>
    <t>米记酒庄</t>
  </si>
  <si>
    <t>米真辉</t>
  </si>
  <si>
    <t>果酒;蜂蜜酒;酒精饮料（啤酒除外）;⽶酒;⾼粱酒;⻩酒;⽩酒;⽼酒（中国蒸馏烈酒）;葡萄酒;⻘稞酒</t>
  </si>
  <si>
    <t>梦之语大师  DREAMDASHI</t>
  </si>
  <si>
    <t>青州市华威酒业有限公司</t>
  </si>
  <si>
    <t>果酒（含酒精）;蒸馏饮料;威⼠忌;酒精饮料（啤酒除外）;⽩兰地;含⽔果酒精饮料;预先混合的酒精饮料（以啤酒为主的除外）;朗姆酒;伏特加酒;葡萄酒</t>
  </si>
  <si>
    <t>山稻田 MRF MOUNTAIN RICE FIELD</t>
  </si>
  <si>
    <t>山稻田国际控股（深圳）有限公司</t>
  </si>
  <si>
    <t>⽩兰地;烧酒;⽩酒;鸡尾酒;葡萄酒;威⼠忌;⽶酒;果酒（含酒精）;开胃酒;烈酒（饮料）</t>
  </si>
  <si>
    <t>MAMBO.</t>
  </si>
  <si>
    <t>深圳市曼播餐饮管理有限公司</t>
  </si>
  <si>
    <t>果酒（含酒精）;酒精饮料（啤酒除外）;⽶酒;⽩兰地;威⼠忌;⽩酒;清酒（⽇本⽶酒）;鸡尾酒;葡萄酒;汽酒</t>
  </si>
  <si>
    <t>爱光</t>
  </si>
  <si>
    <t>江苏中香酒业商贸有限公司</t>
  </si>
  <si>
    <t>⻩酒;葡萄酒;果酒（含酒精）;烈酒（饮料）;⾼粱酒;⽩酒;清酒（⽇本⽶酒）;烧酒;蒸煮提取物（利⼝酒和烈酒）;酒精饮料（啤酒除外）;⽶酒</t>
  </si>
  <si>
    <t>星岛八八纯原 升级版</t>
  </si>
  <si>
    <t>温祖义</t>
  </si>
  <si>
    <t>⽩酒;蒸煮提取物（利⼝酒和烈酒）;薄荷酒;威⼠忌;⽩兰地;葡萄酒;蒸馏饮料;酒精饮料（啤酒除外）;鸡尾酒;烧酒</t>
  </si>
  <si>
    <t>薯梁王</t>
  </si>
  <si>
    <t>临沂沐青商贸有限公司</t>
  </si>
  <si>
    <t>鸡尾酒;含酒精的⽓泡⽔;烧酒;已调味的蒸馏酒;⽩酒;蒸馏饮料;⽶酒;⾼粱酒;含酒精⽔果饮料;果酒（含酒精）</t>
  </si>
  <si>
    <t>皇域</t>
  </si>
  <si>
    <t>⻘稞酒;⾼粱酒;⽩酒;清酒;⻩酒;⽩兰地;⽶酒;烧酒;葡萄酒</t>
  </si>
  <si>
    <t>ABHAINN DEARG</t>
  </si>
  <si>
    <t>深圳亿僔投资有限公司</t>
  </si>
  <si>
    <t>伏特加酒;烈酒;朗姆酒;⽩兰地;起泡⽩葡萄酒;⽩酒;葡萄潘趣酒;烈酒浓缩汁;鸡尾酒;葡萄酒</t>
  </si>
  <si>
    <t>猛马神将</t>
  </si>
  <si>
    <t>果酒;葡萄酒;⻘稞酒;开胃酒;⾷⽤酒精;酒精饮料（啤酒除外）;烧酒;汽酒;⽩酒;⻩酒</t>
  </si>
  <si>
    <t>肆拾玖坊金酿</t>
  </si>
  <si>
    <t>肆拾玖坊（天津）电子商务有限公司</t>
  </si>
  <si>
    <t>鸡尾酒;樱桃酒;甜果酒;葡萄酒;汽酒;果酒（含酒精）;⽩酒;⽶酒;开胃酒;⻩酒</t>
  </si>
  <si>
    <t>BURN O'BENNIE</t>
  </si>
  <si>
    <t>伏特加酒;朗姆酒;葡萄潘趣酒;烈酒浓缩汁;烈酒;葡萄酒;⽩酒;⽩兰地;起泡⽩葡萄酒;鸡尾酒</t>
  </si>
  <si>
    <t>DUNPHAIL</t>
  </si>
  <si>
    <t>烈酒;⽩酒;鸡尾酒;伏特加酒;葡萄酒;起泡⽩葡萄酒;朗姆酒;烈酒浓缩汁;葡萄潘趣酒;⽩兰地</t>
  </si>
  <si>
    <t>大漠葡园</t>
  </si>
  <si>
    <t>银川市兴庆区多来聚商行</t>
  </si>
  <si>
    <t>威⼠忌;果酒（含酒精）;⽶酒;苹果酒;利⼝酒;⽩兰地;葡萄酒;含⽔果酒精饮料;烈酒（饮料）;酒精饮料（啤酒除外）</t>
  </si>
  <si>
    <t>YF 宜</t>
  </si>
  <si>
    <t>四川诚君信赢国际贸易有限责任公司</t>
  </si>
  <si>
    <t>酒精饮料（啤酒除外）;⽩酒;葡萄酒;烈酒（饮料）;烧酒;预先混合的酒精饮料（以啤酒为主的除外）;⻩酒;鸡尾酒;⽶酒;果酒（含酒精）</t>
  </si>
  <si>
    <t>美卿</t>
  </si>
  <si>
    <t>汽酒;⻩酒;果酒;葡萄酒;⽩酒;⾷⽤酒精;开胃酒;烧酒;⻘稞酒;酒精饮料（啤酒除外）</t>
  </si>
  <si>
    <t>关樽烈</t>
  </si>
  <si>
    <t>果酒（含酒精）;⽶酒;⾷⽤酒精;蒸煮提取物（利⼝酒和烈酒）;⽩酒;烧酒;酒精饮料浓缩汁;酒精饮料（啤酒除外）;葡萄酒;烧酒（烈酒）</t>
  </si>
  <si>
    <t>维客多胜利者一号</t>
  </si>
  <si>
    <t>葡萄酒;伏特加酒;蒸馏饮料;鸡尾酒;⽩酒;⽩兰地;清酒（⽇本⽶酒）;威⼠忌;酒精饮料（啤酒除外）;烈酒（饮料）</t>
  </si>
  <si>
    <t>维林阜</t>
  </si>
  <si>
    <t>广西壮族自治区国有维都林场</t>
  </si>
  <si>
    <t>酒精饮料（啤酒除外）;果酒（含酒精）;含⽔果酒精饮料;葡萄酒;⽩酒;开胃酒;蒸馏饮料;威⼠忌;薄荷酒;⻩酒</t>
  </si>
  <si>
    <t>萄堡</t>
  </si>
  <si>
    <t>鼎龙国际葡萄酒业有限公司</t>
  </si>
  <si>
    <t>葡萄酒;汽酒;⽔果汽酒;酒精饮料原汁;朗姆酒;含酒精⽔果饮料;酒精饮料（啤酒除外）;果酒（含酒精）;伏特加酒;⽩酒</t>
  </si>
  <si>
    <t>飒王子</t>
  </si>
  <si>
    <t>肖梦威</t>
  </si>
  <si>
    <t>果酒（含酒精）;葡萄酒;烈酒（饮料）;烧酒;⽩酒;酒精饮料（啤酒除外）;鸡尾酒;⻩酒;清酒（⽇本⽶酒）;⽶酒</t>
  </si>
  <si>
    <t>椹源汇宝</t>
  </si>
  <si>
    <t>贺刚</t>
  </si>
  <si>
    <t>果酒（含酒精）;酒精饮料（啤酒除外）;含⽔果酒精饮料;葡萄酒;⽩酒;开胃酒;⽶酒</t>
  </si>
  <si>
    <t>高云玲</t>
  </si>
  <si>
    <t>张君</t>
  </si>
  <si>
    <t>⾕物制蒸馏酒精饮料;酒精饮料（啤酒除外）;果酒;葡萄酒;⽩酒;⽶酒;⻩酒;⾷⽤酒精;烧酒;含⽔果酒精饮料</t>
  </si>
  <si>
    <t>侨埠</t>
  </si>
  <si>
    <t>果酒;薄荷酒;烧酒;五加⽪酒（中国混合烈酒）;⽩兰地;⽶酒;⻩酒;⽩酒;葡萄酒;威⼠忌</t>
  </si>
  <si>
    <t>雍冠</t>
  </si>
  <si>
    <t>镇江市雍年堂电子商务有限公司</t>
  </si>
  <si>
    <t>开胃酒;烈酒（饮料）;蒸馏⽶酒（泡盛酒）;⽶酒;葡萄酒;果酒（含酒精）;⽩酒;露酒;清酒;烧酒</t>
  </si>
  <si>
    <t>联常</t>
  </si>
  <si>
    <t>张信迪</t>
  </si>
  <si>
    <t>烧酒;开胃酒;葡萄酒;烈酒（饮料）;清酒（⽇本⽶酒）;⽩酒;果酒（含酒精）;含⽔果酒精饮料;⽶酒;酒精饮料（啤酒除外）</t>
  </si>
  <si>
    <t>鱼尕子</t>
  </si>
  <si>
    <t>河南省佰熠信餐饮管理有限公司</t>
  </si>
  <si>
    <t>威⼠忌;⽩兰地;⻩酒;⽶酒;烈酒（饮料）;酒精饮料（啤酒除外）;葡萄酒;⽩酒;⽼酒（中国蒸馏烈酒）;⾼粱酒</t>
  </si>
  <si>
    <t>浙江婺小迷贸易有限公司</t>
  </si>
  <si>
    <t>葡萄酒;⻩酒;⽶酒;⽩酒;酒精饮料（啤酒除外）;果酒;清酒;⾕物制蒸馏酒精饮料</t>
  </si>
  <si>
    <t>SOUL DUSK</t>
  </si>
  <si>
    <t>俞振兴</t>
  </si>
  <si>
    <t>威⼠忌;蒸馏饮料;烈酒（饮料）;伏特加酒;⻩酒;⽶酒;⽩酒;利⼝酒;朗姆酒;⽩兰地</t>
  </si>
  <si>
    <t>JJYOGA</t>
  </si>
  <si>
    <t>伽创科技（北京）有限公司</t>
  </si>
  <si>
    <t>⽩酒;⻘稞酒;预先混合的酒精饮料（以啤酒为主的除外）;开胃酒;果酒（含酒精）;⻩酒;酒精饮料（啤酒除外）;蜂蜜酒;威⼠忌;鸡尾酒</t>
  </si>
  <si>
    <t>礼仁宗</t>
  </si>
  <si>
    <t>刘灿</t>
  </si>
  <si>
    <t>⽶酒;⽩酒;鸡尾酒;烧酒;酒精饮料（啤酒除外）;果酒（含酒精）;烈酒（饮料）;⽩兰地;威⼠忌;葡萄酒</t>
  </si>
  <si>
    <t>清乔</t>
  </si>
  <si>
    <t>东阳市横店品杰白酒加工点</t>
  </si>
  <si>
    <t>含⽔果酒精饮料;预先混合的酒精饮料（以啤酒为主的除外）;蒸馏饮料;烈酒;⽩酒;⽶酒;烧酒（烈酒）;利⼝酒;红葡萄酒;⻩酒</t>
  </si>
  <si>
    <t>桂花爷爷</t>
  </si>
  <si>
    <t>庄爱苗</t>
  </si>
  <si>
    <t>⽩酒;烧酒;烈酒（饮料）;利⼝酒;鸡尾酒;葡萄酒;⽶酒;果酒（含酒精）;威⼠忌;清酒（⽇本⽶酒）</t>
  </si>
  <si>
    <t>粤海深情</t>
  </si>
  <si>
    <t>广州正云大健康投资有限公司</t>
  </si>
  <si>
    <t>⽼酒（中国蒸馏烈酒）;以蒸馏酒为主的开胃酒;⾕物制蒸馏酒精饮料;⽩⼲酒（中国⽩酒）;烧酒（烈酒）;蒸煮提取物（利⼝酒和烈酒）;⽶酒;⾼粱酒;⽩酒;蒸馏⽶酒（泡盛酒）</t>
  </si>
  <si>
    <t>福疆到</t>
  </si>
  <si>
    <t>西安远镜能源科技有限公司</t>
  </si>
  <si>
    <t>⻘稞酒;⾕物制蒸馏酒精饮料;⽩酒;苹果酒;⽶酒;果酒（含酒精）;苦味酒;葡萄酒;烈酒（饮料）;酒精饮料（啤酒除外）</t>
  </si>
  <si>
    <t>乾馀</t>
  </si>
  <si>
    <t>济南乾余酿造有限公司</t>
  </si>
  <si>
    <t>含酒精的⽓泡⽔;开胃酒;葡萄酒;烧酒;⻩酒;⽩酒;利⼝酒;以葡萄酒为主的饮料;⽶酒;伏特加酒</t>
  </si>
  <si>
    <t>徐氏韵酒坊</t>
  </si>
  <si>
    <t>李双琼</t>
  </si>
  <si>
    <t>⻘梅酒;⽶酒;⽩酒;清酒;⻘稞酒;露酒;烧酒;果酒;杨梅酒;⾼粱酒</t>
  </si>
  <si>
    <t>六条鱼</t>
  </si>
  <si>
    <t>内蒙古蒙聚酒业有限公司</t>
  </si>
  <si>
    <t>烧酒;⽶酒;⻩酒;鸡尾酒;蒸馏饮料;葡萄酒;烈酒（饮料）;果酒（含酒精）;⾷⽤酒精;⽩酒</t>
  </si>
  <si>
    <t>儒易甄酒</t>
  </si>
  <si>
    <t>贵州省镖行天下酒业有限公司</t>
  </si>
  <si>
    <t>酒精饮料（啤酒除外）;烧酒;果酒（含酒精）;蒸煮提取物（利⼝酒和烈酒）;⽩酒;葡萄酒;清酒（⽇本⽶酒）;⻩酒;利⼝酒;⽶酒</t>
  </si>
  <si>
    <t>荟萃楼原</t>
  </si>
  <si>
    <t>刘伟伟</t>
  </si>
  <si>
    <t>烈酒（饮料）;⽩酒;⽶酒;清酒（⽇本⽶酒）;⾷⽤酒精;烧酒;葡萄酒;酒精饮料原汁;果酒（含酒精）;利⼝酒</t>
  </si>
  <si>
    <t>普稷传承</t>
  </si>
  <si>
    <t>普稷传承（深圳）文教科技集团有限公司</t>
  </si>
  <si>
    <t>果酒（含酒精）;⽶酒;含酒精⽔果饮料;酒精饮料（啤酒除外）;葡萄酒;⽩酒;⽼酒（中国蒸馏烈酒）;甜酒;⽔果汽酒;⻩酒</t>
  </si>
  <si>
    <t>王香盛事王家烧坊</t>
  </si>
  <si>
    <t>贵州仁泰酒业有限公司</t>
  </si>
  <si>
    <t>苹果酒;露酒;果酒（含酒精）;葡萄酒;蒸馏饮料;⽶酒;餐后酒（利⼝酒和烈酒）;⽩酒;⾕物制蒸馏酒精饮料;烈酒（饮料）</t>
  </si>
  <si>
    <t>传奇老怀酒</t>
  </si>
  <si>
    <t>赵明</t>
  </si>
  <si>
    <t>⻩酒;⻘稞酒;烧酒;烈酒（饮料）;葡萄酒;烈酒;⽩酒;清酒（⽇本⽶酒）;⽶酒;鸡尾酒</t>
  </si>
  <si>
    <t>中镜荟</t>
  </si>
  <si>
    <t>果酒（含酒精）;⽩酒;⻩酒;⽩兰地;伏特加酒;鸡尾酒;威⼠忌;⽶酒;开胃酒;葡萄酒</t>
  </si>
  <si>
    <t>实交</t>
  </si>
  <si>
    <t>贵州省仁怀市蔺宸酒业有限公司</t>
  </si>
  <si>
    <t>烧酒;葡萄酒;果酒;甜酒;鸡尾酒;⾼粱酒;⽩酒;酒精饮料（啤酒除外）;清酒（⽇本⽶酒）;⽶酒</t>
  </si>
  <si>
    <t>芝效</t>
  </si>
  <si>
    <t>福垦（湛江）农业科技有限公司</t>
  </si>
  <si>
    <t>鸡尾酒;蒸煮提取物（利⼝酒和烈酒）;⽩酒;果酒（含酒精）;⽶酒;烈酒（饮料）;酒精饮料（啤酒除外）;⾕物制蒸馏酒精饮料;⻩酒;开胃酒</t>
  </si>
  <si>
    <t>阿欣</t>
  </si>
  <si>
    <t>邓林芝</t>
  </si>
  <si>
    <t>葡萄酒;清酒（⽇本⽶酒）;酒精饮料（啤酒除外）;⻩酒;⾷⽤酒精;⽩酒;开胃酒;利⼝酒;烈酒（饮料）;烧酒</t>
  </si>
  <si>
    <t>珞平散</t>
  </si>
  <si>
    <t>贵州大物酒业有限公司</t>
  </si>
  <si>
    <t>⽩酒;朗姆酒;烈酒;利⼝酒;⾼粱酒;威⼠忌;⽩葡萄酒;果酒（含酒精）;伏特加酒;开胃酒</t>
  </si>
  <si>
    <t>妃色天香</t>
  </si>
  <si>
    <t>魏浩</t>
  </si>
  <si>
    <t>⽩酒;⽩兰地;鸡尾酒;⻩酒;威⼠忌;果酒（含酒精）;葡萄酒;清酒（⽇本⽶酒）;烧酒;酒精饮料（啤酒除外）</t>
  </si>
  <si>
    <t>宝山青青花园</t>
  </si>
  <si>
    <t>赵白兵</t>
  </si>
  <si>
    <t>烈酒（饮料）;汽酒;⽩酒;鸡尾酒;烧酒;⻘稞酒;⻩酒;⾷⽤酒精;果酒（含酒精）;葡萄酒</t>
  </si>
  <si>
    <t>斟开心</t>
  </si>
  <si>
    <t>贵州拾杯酒业有限公司</t>
  </si>
  <si>
    <t>威⼠忌;鸡尾酒;伏特加酒;果酒（含酒精）;预先混合的酒精饮料（以啤酒为主的除外）;葡萄酒;酒精饮料（啤酒除外）;烧酒;⽶酒;⽩酒</t>
  </si>
  <si>
    <t>金樽鸿君</t>
  </si>
  <si>
    <t>烧酒;⽶酒;清酒;葡萄酒;含酒精的饮料（啤酒除外）;⽩酒;甜酒;⽼酒（中国蒸馏烈酒）;⻩酒;果酒</t>
  </si>
  <si>
    <t>奥格罗</t>
  </si>
  <si>
    <t>澳农（青岛）股权投资基金有限公司</t>
  </si>
  <si>
    <t>樱桃酒;威⼠忌;酒精饮料（啤酒除外）;以葡萄酒为主的开胃酒;朗姆酒;⻩酒;利⼝酒;葡萄酒;含⽔果酒精饮料;烧酒</t>
  </si>
  <si>
    <t>石脂鲤</t>
  </si>
  <si>
    <t>开胃酒;⽼酒（中国蒸馏烈酒）;⽩⼲酒（中国⽩酒）;由⾕物蒸馏的⽩酒;苦荞酒;烈性⼲酒;果酒;⾼粱酒;茴⾹酒（利⼝酒）;⽩酒</t>
  </si>
  <si>
    <t>孔亿明</t>
  </si>
  <si>
    <t>温州孔亿明文化创意有限公司</t>
  </si>
  <si>
    <t>果酒（含酒精）;⽩酒;烧酒;朗姆酒;鸡尾酒;酒精饮料（啤酒除外）;威⼠忌;⻩酒;⽶酒;⻘稞酒</t>
  </si>
  <si>
    <t>锦鲤多多</t>
  </si>
  <si>
    <t>清酒（⽇本⽶酒）;果酒;开胃酒;鸡尾酒;⽩酒;苹果酒;⻩酒;清酒;烧酒;葡萄酒</t>
  </si>
  <si>
    <t>咸亨酒庄</t>
  </si>
  <si>
    <t>绍兴咸亨酒业有限公司</t>
  </si>
  <si>
    <t>⽩酒;烈酒（饮料）;酒精饮料（啤酒除外）;⽶酒;汽酒;烧酒;⻩酒;果酒（含酒精）;葡萄酒;清酒（⽇本⽶酒）</t>
  </si>
  <si>
    <t>中境·阅境</t>
  </si>
  <si>
    <t>威⼠忌;⽶酒;开胃酒;葡萄酒;伏特加酒;⽩酒;果酒（含酒精）;鸡尾酒;⻩酒;⽩兰地</t>
  </si>
  <si>
    <t>鄚阳</t>
  </si>
  <si>
    <t>贵州省仁怀市顺仁酒业有限公司</t>
  </si>
  <si>
    <t>果酒（含酒精）;⽼酒（中国蒸馏烈酒）;⻩酒;葡萄酒;果酒;⻘稞酒;⾼粱酒;⾷⽤酒精;⽶酒</t>
  </si>
  <si>
    <t>成梁泰华</t>
  </si>
  <si>
    <t>湖南华泰新材料科技有限公司</t>
  </si>
  <si>
    <t>蜂蜜酒;清酒;葡萄酒;⻩酒;⽶酒;酒精饮料（啤酒除外）;⽩酒;烧酒;果酒（含酒精）;⾷⽤酒精</t>
  </si>
  <si>
    <t>三人超</t>
  </si>
  <si>
    <t>贵州乐九猫商贸有限公司</t>
  </si>
  <si>
    <t>⽩酒;烧酒;⻩酒;利⼝酒;果酒（含酒精）;⽶酒;鸡尾酒;葡萄酒;含⽔果酒精饮料;烈酒（饮料）</t>
  </si>
  <si>
    <t>WULONGHAN</t>
  </si>
  <si>
    <t>热单王子（上海）文化传媒有限公司</t>
  </si>
  <si>
    <t>⽩酒;烈酒（饮料）;清酒（⽇本⽶酒）;⽶酒;葡萄酒;⻩酒;酒精饮料（啤酒除外）;果酒（含酒精）;鸡尾酒;烧酒</t>
  </si>
  <si>
    <t>肆贰壹</t>
  </si>
  <si>
    <t>唐山途辉商贸有限公司</t>
  </si>
  <si>
    <t>预先混合的酒精饮料（以啤酒为主的除外）;葡萄酒;鸡尾酒;清酒（⽇本⽶酒）;烈酒（饮料）;⻩酒;⽩酒;酒精饮料（啤酒除外）;⽶酒;烧酒</t>
  </si>
  <si>
    <t>仙方源</t>
  </si>
  <si>
    <t>四川炬明垚企业管理有限公司</t>
  </si>
  <si>
    <t>⽶酒;⾷⽤酒精;烧酒;果酒（含酒精）;清酒（⽇本⽶酒）;⻘稞酒;⻩酒;⽩酒;酒精饮料原汁;葡萄酒</t>
  </si>
  <si>
    <t>DIZZY DREAM</t>
  </si>
  <si>
    <t>大连天振国际贸易有限公司</t>
  </si>
  <si>
    <t>果酒（含酒精）;鸡尾酒;樱桃酒;酒精饮料原汁;含⽔果酒精饮料;酒精饮料（啤酒除外）;预先混合的酒精饮料（以啤酒为主的除外）;葡萄酒;蜂蜜酒;酒精饮料浓缩汁</t>
  </si>
  <si>
    <t>酋领贡</t>
  </si>
  <si>
    <t>⽩酒;烈酒;以葡萄酒为主的开胃酒;⻩酒;⽶酒;烧酒;果酒;⾼粱酒;清酒;⻘稞酒</t>
  </si>
  <si>
    <t>中境荟</t>
  </si>
  <si>
    <t>果酒（含酒精）;葡萄酒;⽩兰地;⻩酒;威⼠忌;开胃酒;鸡尾酒;⽩酒;伏特加酒;⽶酒</t>
  </si>
  <si>
    <t>云诏书院</t>
  </si>
  <si>
    <t>徐子舰</t>
  </si>
  <si>
    <t>葡萄酒;⻩酒;果酒（含酒精）;鸡尾酒;酒精饮料（啤酒除外）;开胃酒;⽶酒;⽩酒;含⽔果酒精饮料;烈酒（饮料）</t>
  </si>
  <si>
    <t>复公祖</t>
  </si>
  <si>
    <t>果酒（含酒精）;⻩酒;烧酒;烈酒;梨酒;梅酒;⽩酒;葡萄酒;果酒;⽶酒</t>
  </si>
  <si>
    <t>闽色天香</t>
  </si>
  <si>
    <t>俞恬</t>
  </si>
  <si>
    <t>清酒（⽇本⽶酒）;烧酒;果酒（含酒精）;鸡尾酒;⻩酒;⽩酒;烈酒（饮料）;⽶酒;酒精饮料（啤酒除外）;葡萄酒</t>
  </si>
  <si>
    <t>多多妹</t>
  </si>
  <si>
    <t>贵州黔多多品牌管理有限责任公司</t>
  </si>
  <si>
    <t>果酒;刺梨酒;鸡尾酒;⻩酒;⾼粱酒;草莓酒;苦荞酒;⽶酒;⽩酒;薄荷酒</t>
  </si>
  <si>
    <t>咏酒洲</t>
  </si>
  <si>
    <t>⽩酒;葡萄酒;⻩酒;烈酒;果酒（含酒精）;清酒（⽇本⽶酒）;威⼠忌;⽶酒;除啤酒外的酒精饮料;鸡尾酒</t>
  </si>
  <si>
    <t>SCOTSMO</t>
  </si>
  <si>
    <t>深圳威赞国际贸易有限公司</t>
  </si>
  <si>
    <t>葡萄酒;利⼝酒;果酒（含酒精）;⽩兰地;露酒;鸡尾酒;⽩酒;清酒;烈酒;威⼠忌</t>
  </si>
  <si>
    <t>咏醉勋</t>
  </si>
  <si>
    <t>蒸煮提取物（利⼝酒和烈酒）;烧酒;⾷⽤酒精;葡萄酒;⽩酒;果酒（含酒精）;烧酒（烈酒）;酒精饮料浓缩汁;酒精饮料（啤酒除外）;⽶酒</t>
  </si>
  <si>
    <t>湘阴县左太傅酒类商行</t>
  </si>
  <si>
    <t>果酒（含酒精）;酒精饮料（啤酒除外）;清酒（⽇本⽶酒）;⽶酒;烧酒;梨酒;⽩酒;餐后酒（利⼝酒和烈酒）;葡萄酒;开胃酒</t>
  </si>
  <si>
    <t>谢氏大碗姐</t>
  </si>
  <si>
    <t>四川冰夷奇相文化传媒有限公司</t>
  </si>
  <si>
    <t>果酒（含酒精）;葡萄酒;⽩酒;烈酒（饮料）;⻩酒;含⽔果酒精饮料;⾷⽤酒精;伏特加酒;鸡尾酒;酒精饮料（啤酒除外）</t>
  </si>
  <si>
    <t>天迎</t>
  </si>
  <si>
    <t>武侯区李洁百货商行</t>
  </si>
  <si>
    <t>⾼粱酒;⽶酒;烧酒;果酒（含酒精）;⻩酒;汽酒;⽩酒;葡萄酒;酒精饮料（啤酒除外）;烈酒</t>
  </si>
  <si>
    <t>中境·秘境</t>
  </si>
  <si>
    <t>果酒（含酒精）;伏特加酒;鸡尾酒;葡萄酒;威⼠忌;开胃酒;⻩酒;⽶酒;⽩兰地;⽩酒</t>
  </si>
  <si>
    <t>梦浒康</t>
  </si>
  <si>
    <t>烧酒（烈酒）;酒精饮料浓缩汁;酒精饮料（啤酒除外）;果酒（含酒精）;⽩酒;烧酒;⾷⽤酒精;蒸煮提取物（利⼝酒和烈酒）;⽶酒;葡萄酒</t>
  </si>
  <si>
    <t>橘荔龙</t>
  </si>
  <si>
    <t>张敏捷</t>
  </si>
  <si>
    <t>蜂蜜酒;烧酒;果酒（含酒精）;苹果酒;酒精饮料浓缩汁;⽶酒;威⼠忌;鸡尾酒;葡萄酒;⽩兰地</t>
  </si>
  <si>
    <t>孔亿明惠和美学</t>
  </si>
  <si>
    <t>果酒（含酒精）;⽩酒;烧酒;酒精饮料（啤酒除外）;朗姆酒;威⼠忌;⻩酒;⽶酒;鸡尾酒;⻘稞酒</t>
  </si>
  <si>
    <t>唐朗山</t>
  </si>
  <si>
    <t>山东省建总控股有限公司</t>
  </si>
  <si>
    <t>⾷⽤酒精;⽩兰地;鸡尾酒;威⼠忌;⻩酒;葡萄酒;果酒（含酒精）;含⽔果酒精饮料;伏特加酒;⽩酒</t>
  </si>
  <si>
    <t>搭神</t>
  </si>
  <si>
    <t>陈亮</t>
  </si>
  <si>
    <t>⽩兰地;⽶酒;鸡尾酒;威⼠忌;果酒（含酒精）;蒸馏饮料;葡萄酒;烧酒;⽩酒;⻩酒</t>
  </si>
  <si>
    <t>谊公</t>
  </si>
  <si>
    <t>果酒（含酒精）;烧酒;烈酒;果酒;⽶酒;梅酒;⽩酒;梨酒;⻩酒;葡萄酒</t>
  </si>
  <si>
    <t>凌舜</t>
  </si>
  <si>
    <t>贺晔倩</t>
  </si>
  <si>
    <t>含酒精⽔果饮料;果酒;烧酒（烈酒）;⻩酒;烧酒;⽼酒（中国蒸馏烈酒）;⽩酒;⽶酒;烈酒;⾼粱酒</t>
  </si>
  <si>
    <t>钧萧台</t>
  </si>
  <si>
    <t>伍晋臣</t>
  </si>
  <si>
    <t>鸡尾酒;⽩兰地;烧酒;威⼠忌;烈酒;⻩酒;葡萄酒;⽩酒;⽶酒;⻘稞酒</t>
  </si>
  <si>
    <t>宋汀台</t>
  </si>
  <si>
    <t>鸡尾酒;⻘稞酒;⽩酒;葡萄酒;⽶酒;⻩酒;⽩兰地;威⼠忌;烧酒;烈酒</t>
  </si>
  <si>
    <t>青述黄河</t>
  </si>
  <si>
    <t>⽩酒;伏特加酒;⻩酒;⾷⽤酒精;⽩兰地;含⽔果酒精饮料;鸡尾酒;葡萄酒;果酒（含酒精）;威⼠忌</t>
  </si>
  <si>
    <t>中境·阅</t>
  </si>
  <si>
    <t>⽶酒;果酒（含酒精）;鸡尾酒;⻩酒;⽩兰地;威⼠忌;开胃酒;葡萄酒;⽩酒;伏特加酒</t>
  </si>
  <si>
    <t>滨胡液</t>
  </si>
  <si>
    <t>宜宾市唯品康白酒集团有限公司</t>
  </si>
  <si>
    <t>⽶酒;烧酒;果酒（含酒精）;葡萄酒;⽩⼲酒（中国⽩酒）;梨酒;⻩酒;含⽔果酒精饮料;⽩酒;⾕物制蒸馏酒精饮料</t>
  </si>
  <si>
    <t>畅神</t>
  </si>
  <si>
    <t>常德市畅神贸易有限公司</t>
  </si>
  <si>
    <t>烧酒;蒸煮提取物（利⼝酒和烈酒）;果酒（含酒精）;葡萄酒;开胃酒;⽩酒;⽶酒;清酒;⻩酒;酒精饮料（啤酒除外）</t>
  </si>
  <si>
    <t>MAXMCCOY 麦考伊</t>
  </si>
  <si>
    <t>深圳市罗湖区优创优日用品商店</t>
  </si>
  <si>
    <t>果酒（含酒精）;酒精饮料原汁;薄荷酒;清酒（⽇本⽶酒）;⽶酒;伏特加酒;⾕物制蒸馏酒精饮料;⽩兰地;⽩酒;威⼠忌</t>
  </si>
  <si>
    <t>元气悠选</t>
  </si>
  <si>
    <t>轩来武</t>
  </si>
  <si>
    <t>⾷⽤酒精;汽酒;清酒;甜酒;⽶酒;⻩酒;果酒;开胃酒;⽩酒;葡萄酒</t>
  </si>
  <si>
    <t>方仁其帜</t>
  </si>
  <si>
    <t>含⽔果酒精饮料;⽶酒;⻩酒;鸡尾酒;⽩酒;烧酒;果酒（含酒精）;葡萄酒;利⼝酒;烈酒（饮料）</t>
  </si>
  <si>
    <t>太享喝</t>
  </si>
  <si>
    <t>牟奇</t>
  </si>
  <si>
    <t>果酒（含酒精）;⻩酒;清酒（⽇本⽶酒）;⽩兰地;葡萄酒;威⼠忌;鸡尾酒;酒精饮料（啤酒除外）;⽩酒;⽶酒</t>
  </si>
  <si>
    <t>大成红</t>
  </si>
  <si>
    <t>湖南大成拳商业有限公司</t>
  </si>
  <si>
    <t>⽩酒;苹果酒;鸡尾酒;⻩酒;果酒（含酒精）;朗姆酒;葡萄酒;薄荷酒;⽩兰地;威⼠忌</t>
  </si>
  <si>
    <t>段晓松</t>
  </si>
  <si>
    <t>烧酒;⾼粱酒;⽼酒（中国蒸馏烈酒）;葡萄酒;鸡尾酒;⻩酒;⽶酒;果酒;⾷⽤酒精;⽩酒</t>
  </si>
  <si>
    <t>小务观</t>
  </si>
  <si>
    <t>四川省务观臻藏国际酒业贸易有限公司</t>
  </si>
  <si>
    <t>开胃酒;⾕物制蒸馏酒精饮料;果酒（含酒精）;烈酒（饮料）;以葡萄酒为主的饮料;鸡尾酒;葡萄酒;蒸馏饮料;酒精饮料原汁;⽩酒</t>
  </si>
  <si>
    <t>泗供</t>
  </si>
  <si>
    <t>⾼粱酒;⽩⼲酒（中国⽩酒）;⾷⽤酒精;烈性⼲酒;⽶酒;葡萄酒;⻩酒;含酒精⽔果饮料;甜酒;⽩酒</t>
  </si>
  <si>
    <t>竹里红</t>
  </si>
  <si>
    <t>⽩酒;⾼粱酒;葡萄酒;含酒精⽔果饮料;⽩⼲酒（中国⽩酒）;⽶酒;⻩酒;烈性⼲酒;甜酒;⾷⽤酒精</t>
  </si>
  <si>
    <t>瀚岚</t>
  </si>
  <si>
    <t>烟台瀚岚生物科技有限公司</t>
  </si>
  <si>
    <t>葡萄酒;开胃酒;⽩酒;⽩兰地;⻩酒;威⼠忌;果酒;烧酒;除啤酒外的酒精饮料;⽶酒</t>
  </si>
  <si>
    <t>百茂红七公</t>
  </si>
  <si>
    <t>四川百茂蓉盛网络科技有限公司</t>
  </si>
  <si>
    <t>威⼠忌;⽩兰地;伏特加酒;利⼝酒;朗姆酒;⽩酒;含⽔果酒精饮料;鸡尾酒;清酒（⽇本⽶酒）;葡萄酒</t>
  </si>
  <si>
    <t>千竹山</t>
  </si>
  <si>
    <t>楚新英</t>
  </si>
  <si>
    <t>⽼酒（中国蒸馏烈酒）;酒精饮料（啤酒除外）;露酒;鸡尾酒;⽩兰地;利⼝酒;⻘稞酒;葡萄酒;⽩酒;烈酒</t>
  </si>
  <si>
    <t>古树鱼凫</t>
  </si>
  <si>
    <t>四川格拉芙企业管理有限公司</t>
  </si>
  <si>
    <t>果酒（含酒精）;葡萄酒;酒精饮料原汁;烧酒;蜂蜜酒;⻩酒;鸡尾酒;蒸馏饮料;⽩酒;⽶酒</t>
  </si>
  <si>
    <t>荐福语</t>
  </si>
  <si>
    <t>葡萄酒;蒸馏饮料;果酒（含酒精）;⻩酒;⾷⽤酒精;烈酒;鸡尾酒;烧酒;⽩酒;⽶酒</t>
  </si>
  <si>
    <t>臻豫悦</t>
  </si>
  <si>
    <t>河南洹邺商贸有限公司</t>
  </si>
  <si>
    <t>⻩酒;⽶酒;⽩酒;葡萄酒;烧酒;蜂蜜酒;果酒;威⼠忌;清酒;鸡尾酒</t>
  </si>
  <si>
    <t>陆家原泡子</t>
  </si>
  <si>
    <t>⽩酒;⽶酒;⽩⼲酒（中国⽩酒）;葡萄酒;⾷⽤酒精;⾼粱酒;含酒精⽔果饮料;甜酒;烈性⼲酒;⻩酒</t>
  </si>
  <si>
    <t>趣喜鸭</t>
  </si>
  <si>
    <t>瀚澳智能科技（上海）有限公司</t>
  </si>
  <si>
    <t>开胃酒;以葡萄酒为主的饮料;⽩酒;⽶酒;含⽔果酒精饮料;预先混合的酒精饮料（以啤酒为主的除外）;果酒（含酒精）;⾕物制蒸馏酒精饮料;⽢蔗制酒精饮料;烈酒（饮料）</t>
  </si>
  <si>
    <t>筱白净</t>
  </si>
  <si>
    <t>合肥魅缇生物科技有限公司</t>
  </si>
  <si>
    <t>含⽔果酒精饮料;汽酒;⻩酒;葡萄酒;酒精饮料原汁;⽩酒;果酒（含酒精）;酒精饮料浓缩汁;以葡萄酒为主的饮料;酒精饮料（啤酒除外）</t>
  </si>
  <si>
    <t>道凡尘</t>
  </si>
  <si>
    <t>钟议</t>
  </si>
  <si>
    <t>⽩酒;鸡尾酒;酒精饮料（啤酒除外）;⽶酒;⽩兰地;烧酒;葡萄酒;果酒（含酒精）;烈酒（饮料）;威⼠忌</t>
  </si>
  <si>
    <t>山海若木</t>
  </si>
  <si>
    <t>葡萄酒;餐后酒（利⼝酒和烈酒）;果酒（含酒精）;蒸馏饮料;烧酒;酒精饮料浓缩汁;⽩酒;酒精饮料（啤酒除外）;烈酒（饮料）;⾕物制蒸馏酒精饮料</t>
  </si>
  <si>
    <t>砚绘</t>
  </si>
  <si>
    <t>陈凯文</t>
  </si>
  <si>
    <t>含酒精的充⽓饮料（啤酒除外）;酒精饮料原汁;烧酒;餐后酒（利⼝酒和烈酒）;烈酒（饮料）;已调味的⻨芽酿制的酒精饮料（啤酒除外）;酸酒（低等葡萄酒）;除啤酒外的酒精饮料;开胃酒;含⽔果酒精饮料</t>
  </si>
  <si>
    <t>团结骆驼</t>
  </si>
  <si>
    <t>新疆华垦乳业集团有限责任公司</t>
  </si>
  <si>
    <t>蜂蜜酒;酒精饮料原汁;⽩酒;含⽔果酒精饮料;清酒;酒精饮料浓缩汁;⽶酒;⻘稞酒;果酒（含酒精）;葡萄酒</t>
  </si>
  <si>
    <t>陕西朱鹮酒业有限公司</t>
  </si>
  <si>
    <t>⻩酒;⽶酒;汽酒;⻘稞酒;含酒精的饮料（啤酒除外）;清酒;⾷⽤酒精;果酒（含酒精）;烈酒（饮料）;蒸馏饮料</t>
  </si>
  <si>
    <t>幸运先森</t>
  </si>
  <si>
    <t>葡萄酒;蒸煮提取物（利⼝酒和烈酒）;⻩酒;果酒;⽩酒;⽶酒;⽼酒（中国蒸馏烈酒）;⽩兰地;清酒;威⼠忌</t>
  </si>
  <si>
    <t>JIUFANGZHIJI</t>
  </si>
  <si>
    <t>江西正博实业有限公司</t>
  </si>
  <si>
    <t>烈酒（饮料）;清酒（⽇本⽶酒）;果酒（含酒精）;葡萄酒;⽼酒（中国蒸馏烈酒）;⽩酒;⽶酒;伏特加酒;烧酒;⻩酒</t>
  </si>
  <si>
    <t>王正豪</t>
  </si>
  <si>
    <t>烧酒;⽩葡萄酒;烈酒;⽼酒（中国蒸馏烈酒）;⽩⼲酒（中国⽩酒）;⾼粱酒;⽩酒;朗姆酒;红葡萄酒;⽶酒</t>
  </si>
  <si>
    <t>哙祖</t>
  </si>
  <si>
    <t>樊献坤</t>
  </si>
  <si>
    <t>果酒（含酒精）;⽩酒;⻩酒;鸡尾酒;⽶酒;蜂蜜酒;葡萄酒;清酒（⽇本⽶酒）;烈酒（饮料）;朝鲜族⽶酒</t>
  </si>
  <si>
    <t>鹿涌泉酒坊</t>
  </si>
  <si>
    <t>池利锋220125********2819</t>
  </si>
  <si>
    <t>⽩酒;烧酒;葡萄酒;⾼粱酒;⽼酒（中国蒸馏烈酒）;⻩酒;酒精饮料（啤酒除外）;⽶酒;果酒;烈酒</t>
  </si>
  <si>
    <t>杨惠军</t>
  </si>
  <si>
    <t>⽩酒;威⼠忌;伏特加酒;葡萄酒;鸡尾酒;利⼝酒;烧酒;果酒（含酒精）;含⽔果酒精饮料;⽩兰地</t>
  </si>
  <si>
    <t>誉樽井</t>
  </si>
  <si>
    <t>陈双丰</t>
  </si>
  <si>
    <t>鸡尾酒;⽩酒;⻘稞酒;清酒（⽇本⽶酒）;烈酒（饮料）;威⼠忌;烧酒;⻩酒;蜂蜜酒;开胃酒</t>
  </si>
  <si>
    <t>浔清令</t>
  </si>
  <si>
    <t>开胃酒;⻩酒;烈酒（饮料）;蜂蜜酒;⻘稞酒;鸡尾酒;清酒（⽇本⽶酒）;威⼠忌;⽩酒;烧酒</t>
  </si>
  <si>
    <t>M</t>
  </si>
  <si>
    <t>葡萄酒;⽩酒;薄荷酒;威⼠忌;酒精饮料（啤酒除外）;蒸馏饮料;⻩酒;果酒（含酒精）;开胃酒;含⽔果酒精饮料</t>
  </si>
  <si>
    <t>诸葛蜀</t>
  </si>
  <si>
    <t>陈妙龙</t>
  </si>
  <si>
    <t>葡萄酒;烈酒（饮料）;威⼠忌;汽酒;鸡尾酒;酒精饮料（啤酒除外）;酒精饮料原汁;⽩酒;蒸馏饮料;果酒（含酒精）</t>
  </si>
  <si>
    <t>醉恣坊</t>
  </si>
  <si>
    <t>宋飞</t>
  </si>
  <si>
    <t>果酒（含酒精）;⽶酒;含酒精的鸡尾酒混合饮品;⽼酒（中国蒸馏烈酒）;甜酒;酒精饮料原汁;果酒;葡萄酒;⽩酒;⻩酒</t>
  </si>
  <si>
    <t>务观臻藏</t>
  </si>
  <si>
    <t>鸡尾酒;以葡萄酒为主的饮料;果酒（含酒精）;蒸馏饮料;⽩酒;开胃酒;葡萄酒;烈酒（饮料）;酒精饮料原汁;⾕物制蒸馏酒精饮料</t>
  </si>
  <si>
    <t>磐黔</t>
  </si>
  <si>
    <t>陈世田</t>
  </si>
  <si>
    <t>酒精饮料（啤酒除外）;果酒（含酒精）;清酒（⽇本⽶酒）;烈酒（饮料）;葡萄酒;开胃酒;威⼠忌;⽩酒;鸡尾酒;⻩酒</t>
  </si>
  <si>
    <t>馗御</t>
  </si>
  <si>
    <t>⽩酒;果酒（含酒精）;开胃酒;葡萄酒;酒精饮料（啤酒除外）;烈酒（饮料）;⻩酒;清酒（⽇本⽶酒）;威⼠忌;鸡尾酒</t>
  </si>
  <si>
    <t>图勒河</t>
  </si>
  <si>
    <t>葡萄酒;威⼠忌;⽶酒;鸡尾酒;蒸馏饮料;⽩酒;⻩酒;果酒（含酒精）;⽩兰地;烧酒</t>
  </si>
  <si>
    <t>呗侬根酒</t>
  </si>
  <si>
    <t>李毅</t>
  </si>
  <si>
    <t>酒精饮料（啤酒除外）;葡萄酒;烈酒（饮料）;⽶酒;⽩兰地;果酒（含酒精）;威⼠忌;⻩酒;鸡尾酒;⽩酒</t>
  </si>
  <si>
    <t>浆脉</t>
  </si>
  <si>
    <t>中华酒业有限公司</t>
  </si>
  <si>
    <t>⾼粱酒;烧酒;清酒;鸡尾酒;⽩酒;酒精饮料（啤酒除外）;果酒;葡萄酒;⻘稞酒;威⼠忌</t>
  </si>
  <si>
    <t>彩陶宝池坊</t>
  </si>
  <si>
    <t>江苏大曲酒业有限公司</t>
  </si>
  <si>
    <t>果酒（含酒精）;伏特加酒;葡萄酒;⽩兰地;清酒（⽇本⽶酒）;⽩酒;酒精饮料（啤酒除外）;烧酒;鸡尾酒;⾷⽤酒精</t>
  </si>
  <si>
    <t>午酒仙</t>
  </si>
  <si>
    <t>樊军岭</t>
  </si>
  <si>
    <t>开胃酒;清酒（⽇本⽶酒）;酒精饮料（啤酒除外）;⽩酒;果酒（含酒精）;葡萄酒;⻩酒;鸡尾酒;烈酒;威⼠忌</t>
  </si>
  <si>
    <t>那石那刻</t>
  </si>
  <si>
    <t>曲阳尚鼎雕塑有限公司</t>
  </si>
  <si>
    <t>葡萄酒;⻩酒;蒸馏饮料;⽩酒;清酒（⽇本⽶酒）;酒精饮料（啤酒除外）;⽶酒;果酒（含酒精）;利⼝酒;开胃酒</t>
  </si>
  <si>
    <t>川窖华礼</t>
  </si>
  <si>
    <t>烧酒;果酒（含酒精）;蜂蜜酒;⽩酒;汽酒;⻩酒;含⽔果酒精饮料;⽶酒;酒精饮料（啤酒除外）;以葡萄酒为主的饮料</t>
  </si>
  <si>
    <t>凤腾天下</t>
  </si>
  <si>
    <t>徐俊刚</t>
  </si>
  <si>
    <t>⽶酒;⾼粱酒;葡萄酒;清酒;⽩酒;露酒;鸡尾酒;⻩酒;餐后酒（利⼝酒和烈酒）;烧酒（烈酒）</t>
  </si>
  <si>
    <t>李芸娘</t>
  </si>
  <si>
    <t>广东农之福农业生物科技发展有限公司</t>
  </si>
  <si>
    <t>酒精饮料（啤酒除外）;烈酒（饮料）;⽩酒;果酒（含酒精）;⽶酒;⻩酒;烧酒;鸡尾酒;清酒（⽇本⽶酒）;葡萄酒</t>
  </si>
  <si>
    <t>贵妃御</t>
  </si>
  <si>
    <t>四川省贵妃酒厂</t>
  </si>
  <si>
    <t>⾷⽤酒精;⾕物制蒸馏酒精饮料;含⽔果酒精饮料;含酒精的饮料（啤酒除外）;烧酒;⽩酒;烈酒（饮料）;利⼝酒;果酒;蒸煮提取物（利⼝酒和烈酒）</t>
  </si>
  <si>
    <t>杏台令</t>
  </si>
  <si>
    <t>陈秋玲</t>
  </si>
  <si>
    <t>清酒（⽇本⽶酒）;威⼠忌;⽩酒;汽酒;酒精饮料原汁;含⽔果酒精饮料;⽶酒;葡萄酒;烈酒（饮料）;烧酒</t>
  </si>
  <si>
    <t>王子山熊猫水</t>
  </si>
  <si>
    <t>徐广流440121********1212</t>
  </si>
  <si>
    <t>葡萄酒;⻩酒;⽩酒;开胃酒;已调味的蒸馏酒;烈酒（饮料）;⽶酒;果酒;烧酒;酒精饮料（啤酒除外）</t>
  </si>
  <si>
    <t>ISHIZUCHI VANQUISH</t>
  </si>
  <si>
    <t>石锤酒造株式会社</t>
  </si>
  <si>
    <t>清酒（⽇本⽶酒）;酒精饮料（啤酒除外）</t>
  </si>
  <si>
    <t>鹿小豪</t>
  </si>
  <si>
    <t>刘宇</t>
  </si>
  <si>
    <t>⽶酒;⽩酒;预先混合的酒精饮料（以啤酒为主的除外）;烈酒;⻩酒;葡萄酒;蜂蜜酒;烧酒;⾼粱酒;利⼝酒</t>
  </si>
  <si>
    <t>潮汕金樽</t>
  </si>
  <si>
    <t>李贵林</t>
  </si>
  <si>
    <t>果酒（含酒精）;⻩酒;⽩酒;葡萄酒;⽶酒;开胃酒;含⽔果酒精饮料;鸡尾酒;烧酒;⽩兰地</t>
  </si>
  <si>
    <t>潮汕趣边</t>
  </si>
  <si>
    <t>果酒（含酒精）;葡萄酒;含⽔果酒精饮料;鸡尾酒;⽩酒;⽶酒;⽩兰地;开胃酒;⻩酒;烧酒</t>
  </si>
  <si>
    <t>燕台慕兰白</t>
  </si>
  <si>
    <t>山东燕台酒业有限责任公司</t>
  </si>
  <si>
    <t>⽩酒;⽼酒（中国蒸馏烈酒）;⾼粱酒;开胃酒;露酒;葡萄酒;汽酒;烧酒（烈酒）;酒精饮料（啤酒除外）;果酒（含酒精）</t>
  </si>
  <si>
    <t>鉴娇</t>
  </si>
  <si>
    <t>徐州臻蕴酒业有限公司</t>
  </si>
  <si>
    <t>开胃酒;⽩酒;葡萄酒;清酒（⽇本⽶酒）;烧酒;⻩酒;梨酒;利⼝酒;⻘稞酒;⽶酒</t>
  </si>
  <si>
    <t>北国颂龙匠</t>
  </si>
  <si>
    <t>哈尔滨小酒喔酒类供应链管理有限公司</t>
  </si>
  <si>
    <t>烧酒;烈酒;甜果酒;⽩酒;葡萄酒;酒精饮料（啤酒除外）;果酒;⽶酒;鸡尾酒;⾷⽤酒精</t>
  </si>
  <si>
    <t>山东利健实业有限公司</t>
  </si>
  <si>
    <t>开胃酒;⽩酒;果酒（含酒精）;葡萄酒;甜酒;酒精饮料（啤酒除外）;烧酒;烈酒（饮料）;⾼粱酒;⽩兰地</t>
  </si>
  <si>
    <t>肆拾玖坊顺酒</t>
  </si>
  <si>
    <t>果酒（含酒精）;开胃酒;甜果酒;⽶酒;⻩酒;葡萄酒;鸡尾酒;樱桃酒;⽩酒;汽酒</t>
  </si>
  <si>
    <t>慢品人间</t>
  </si>
  <si>
    <t>河南省健源酒业有限公司</t>
  </si>
  <si>
    <t>预先混合的酒精饮料（以啤酒为主的除外）;⻩酒;果酒（含酒精）;鸡尾酒;酒精饮料（啤酒除外）;⽩酒;葡萄酒;烧酒;汽酒;烈酒（饮料）</t>
  </si>
  <si>
    <t>勋满天下</t>
  </si>
  <si>
    <t>徐传彬</t>
  </si>
  <si>
    <t>果酒（含酒精）;⽶酒;⾼粱酒;清酒;烧酒;⽩酒;葡萄酒;烈酒;露酒;⻩酒</t>
  </si>
  <si>
    <t>德道书香</t>
  </si>
  <si>
    <t>⽩酒;以葡萄酒为主的饮料;烧酒;果酒（含酒精）;蜂蜜酒;汽酒;⻩酒;含⽔果酒精饮料;⽶酒;酒精饮料（啤酒除外）</t>
  </si>
  <si>
    <t>LOUIS MATARENOFI</t>
  </si>
  <si>
    <t>山东醴之泉商贸有限公司</t>
  </si>
  <si>
    <t>酒精饮料（啤酒除外）;威⼠忌;烈酒（饮料）;鸡尾酒;⽩兰地;⽩酒;葡萄酒;开胃酒;果酒;利⼝酒</t>
  </si>
  <si>
    <t>奋发</t>
  </si>
  <si>
    <t>北京银河酿研科技有限公司</t>
  </si>
  <si>
    <t>葡萄酒;⻩酒;⽶酒;⽩酒;烈酒;烧酒;开胃酒;蒸馏饮料;果酒;酒精饮料（啤酒除外）</t>
  </si>
  <si>
    <t>哈尔滨沐知其生物科技有限公司</t>
  </si>
  <si>
    <t>果酒（含酒精）;⻩酒;鸡尾酒;⽩兰地;⾷⽤酒精;⽩酒;葡萄酒;利⼝酒;⽶酒;威⼠忌</t>
  </si>
  <si>
    <t>仓赣粮</t>
  </si>
  <si>
    <t>⻘稞酒;利⼝酒;⽩兰地;酒精饮料（啤酒除外）;威⼠忌;⽩酒;果酒;汽酒;开胃酒;葡萄酒</t>
  </si>
  <si>
    <t>金龙腾飞</t>
  </si>
  <si>
    <t>⽩兰地;⾷⽤酒精;果酒（含酒精）;鸡尾酒;清酒（⽇本⽶酒）;⽩酒;葡萄酒;酒精饮料（啤酒除外）;伏特加酒;烧酒</t>
  </si>
  <si>
    <t>那远山</t>
  </si>
  <si>
    <t>北京德信恒泰商业管理有限公司</t>
  </si>
  <si>
    <t>清酒（⽇本⽶酒）;⽩酒;⽶酒;烈酒（饮料）;⽩兰地;⻩酒;朗姆酒;伏特加酒;葡萄酒;威⼠忌</t>
  </si>
  <si>
    <t>静河</t>
  </si>
  <si>
    <t>冯明</t>
  </si>
  <si>
    <t>⾷⽤酒精;烈酒（饮料）;⽶酒;⽩酒;含⽔果酒精饮料;果酒（含酒精）;⻩酒;葡萄酒;汽酒;伏特加酒</t>
  </si>
  <si>
    <t>彩云梦</t>
  </si>
  <si>
    <t>云南朗照酒业有限公司</t>
  </si>
  <si>
    <t>烧酒;鸡尾酒;⽩兰地;果酒（含酒精）;以葡萄酒为主的饮料;⻩酒;葡萄酒;酒精饮料（啤酒除外）;红葡萄酒;⽶酒</t>
  </si>
  <si>
    <t>京鸿鑫</t>
  </si>
  <si>
    <t>呼和浩特市鑫慧鸿商贸有限公司</t>
  </si>
  <si>
    <t>⽶酒;蒸煮提取物（利⼝酒和烈酒）;酒精饮料（啤酒除外）;清酒;鸡尾酒;烧酒;葡萄酒;含⽔果酒精饮料;⽩酒;⻩酒</t>
  </si>
  <si>
    <t>柑麟</t>
  </si>
  <si>
    <t>西部丝路（深圳）投资有限公司</t>
  </si>
  <si>
    <t>酒精饮料（啤酒除外）;清酒;⻩酒;⽩酒;利⼝酒;⽶酒;⽼酒（中国蒸馏烈酒）;由⾕物蒸馏的⽩酒;含酒精的饮料（啤酒除外）;烧酒;葡萄酒;开胃酒;鸡尾酒;果酒（含酒精）;⾼粱酒</t>
  </si>
  <si>
    <t>虹山云恋</t>
  </si>
  <si>
    <t>杨兴明</t>
  </si>
  <si>
    <t>果酒（含酒精）;餐后酒（利⼝酒和烈酒）;⾕物制蒸馏酒精饮料;⽩酒;含酒精的⽓泡⽔;⽶酒;蒸馏饮料;以葡萄酒为主的饮料;酒精饮料原汁;含⽔果酒精饮料</t>
  </si>
  <si>
    <t>宝龄扶元</t>
  </si>
  <si>
    <t>江西正和大健康产业有限公司</t>
  </si>
  <si>
    <t>餐后酒（利⼝酒和烈酒）;⽶酒;蒸馏饮料;蝮蛇酒;甜酒;果酒;开胃酒;酒精饮料（啤酒除外）;⾷⽤酒精;⽩酒</t>
  </si>
  <si>
    <t>孖孖甜</t>
  </si>
  <si>
    <t>广东伦太太大健康产业有限公司</t>
  </si>
  <si>
    <t>⾷⽤酒精;果酒（含酒精）;蒸馏饮料;酒精饮料（啤酒除外）;⻩酒;葡萄酒;烈酒（饮料）;烧酒;⽶酒;⽩酒</t>
  </si>
  <si>
    <t>顺优</t>
  </si>
  <si>
    <t>东莞市建台商贸有限公司</t>
  </si>
  <si>
    <t>果酒（含酒精）;葡萄酒;⻩酒;烧酒;⾷⽤酒精;清酒（⽇本⽶酒）;酒精饮料（啤酒除外）;⽩酒;除啤酒外的酒精饮料;烈酒（饮料）</t>
  </si>
  <si>
    <t>根宫归宿</t>
  </si>
  <si>
    <t>周乔秀</t>
  </si>
  <si>
    <t>⽩酒;⾼粱酒;由⾕物蒸馏的⽩酒;⽩兰地;烧酒;⽶酒;烈酒;⽩⼲酒（中国⽩酒）;葡萄酒;果酒（含酒精）</t>
  </si>
  <si>
    <t>果酒（含酒精）;⽩葡萄酒;含⽔果酒精饮料;⽩酒;含酒精的⽔果鸡尾酒饮料;⽶酒;红葡萄酒;蒸馏饮料;开胃酒;⾼粱酒</t>
  </si>
  <si>
    <t>鸥蓓爱怡 OBEY LOVE JUSTICE</t>
  </si>
  <si>
    <t>上海茗雨轩食品有限公司</t>
  </si>
  <si>
    <t>含酒精⽔果饮料;烈酒（饮料）;⻩酒;蒸馏饮料;酒精饮料原汁;蜂蜜酒;葡萄酒;⽩酒;利⼝酒;果酒（含酒精）</t>
  </si>
  <si>
    <t>北国颂</t>
  </si>
  <si>
    <t>烈酒;⽶酒;⾷⽤酒精;葡萄酒;酒精饮料（啤酒除外）;甜果酒;烧酒;⽩酒;鸡尾酒;果酒</t>
  </si>
  <si>
    <t>书香富贵</t>
  </si>
  <si>
    <t>⻩酒;⽶酒;酒精饮料（啤酒除外）;汽酒;以葡萄酒为主的饮料;果酒（含酒精）;含⽔果酒精饮料;⽩酒;蜂蜜酒;烧酒</t>
  </si>
  <si>
    <t>趣边头尾</t>
  </si>
  <si>
    <t>⽩兰地;鸡尾酒;⽶酒;含⽔果酒精饮料;葡萄酒;⻩酒;开胃酒;果酒（含酒精）;⽩酒;烧酒</t>
  </si>
  <si>
    <t>鹿通</t>
  </si>
  <si>
    <t>吉林省鹿通酿酒有限公司</t>
  </si>
  <si>
    <t>⽩酒;酒精饮料（啤酒除外）;⽼酒（中国蒸馏烈酒）;⾼粱酒;刺五加酒;含酒精⽔果饮料;果酒（含酒精）;烧酒;⽩⼲酒（中国⽩酒）;露酒</t>
  </si>
  <si>
    <t>肆拾玖坊繁花</t>
  </si>
  <si>
    <t>果酒（含酒精）;樱桃酒;⽩酒;葡萄酒;鸡尾酒;⽶酒;⻩酒;开胃酒;甜果酒;汽酒</t>
  </si>
  <si>
    <t>溢家清</t>
  </si>
  <si>
    <t>屈耿龙</t>
  </si>
  <si>
    <t>清酒（⽇本⽶酒）;威⼠忌;⻘稞酒;⻩酒;⽩酒;开胃酒;梨酒;烧酒;利⼝酒;葡萄酒</t>
  </si>
  <si>
    <t>古蜀桥</t>
  </si>
  <si>
    <t>开胃酒;⻩酒;⽩酒;⻘稞酒;烧酒;梨酒;清酒（⽇本⽶酒）;利⼝酒;⽶酒;葡萄酒</t>
  </si>
  <si>
    <t>HONFOLDS</t>
  </si>
  <si>
    <t>成都和利士贸易有限公司</t>
  </si>
  <si>
    <t>⽩酒;烈酒;甜酒;餐后酒（利⼝酒和烈酒）;果酒;蒸馏饮料;葡萄酒;酒精饮料（啤酒除外）;威⼠忌;烧酒</t>
  </si>
  <si>
    <t>曲子词</t>
  </si>
  <si>
    <t>佐餐酒;由⾕物蒸馏的⽩酒;酒精饮料（啤酒除外）;⽩⼲酒（中国⽩酒）;烈酒（饮料）;⽩酒;果酒（含酒精）;鸡尾酒;葡萄酒;⻩酒</t>
  </si>
  <si>
    <t>东淩春</t>
  </si>
  <si>
    <t>刘文爽</t>
  </si>
  <si>
    <t>开胃酒;烈酒（饮料）;烧酒;⽩酒;威⼠忌;果酒（含酒精）;⽶酒;伏特加酒;酒精饮料浓缩汁;⻩酒</t>
  </si>
  <si>
    <t>山之山</t>
  </si>
  <si>
    <t>蕉岭县山支山家庭农场</t>
  </si>
  <si>
    <t>⻩酒;⽶酒;果酒;含⽔果酒精饮料;烈酒;酒精饮料（啤酒除外）;葡萄酒;烧酒;⽩酒;开胃酒</t>
  </si>
  <si>
    <t>至樽中耀</t>
  </si>
  <si>
    <t>果酒（含酒精）;汽酒;蜂蜜酒;含⽔果酒精饮料;⽩酒;烧酒;酒精饮料（啤酒除外）;⻩酒;⽶酒;以葡萄酒为主的饮料</t>
  </si>
  <si>
    <t>酒卡酒</t>
  </si>
  <si>
    <t>开胃酒;苹果酒;伏特加酒;葡萄酒;⽶酒;汽酒;烧酒;⽩兰地;⽩酒;利⼝酒</t>
  </si>
  <si>
    <t>野奢狂想</t>
  </si>
  <si>
    <t>武汉狂想家建筑装饰设计工程有限公司</t>
  </si>
  <si>
    <t>果酒;苹果酒;鸡尾酒;⻩酒;⽩酒;酒精饮料原汁;开胃酒;葡萄酒;酒精饮料（啤酒除外）;蒸馏饮料</t>
  </si>
  <si>
    <t>广州中医药大学 GUANGZHOU UNIVERSITY OF CHINESE MEDICINE 1924</t>
  </si>
  <si>
    <t>广州中医药大学</t>
  </si>
  <si>
    <t>悦黄河</t>
  </si>
  <si>
    <t>含⽔果酒精饮料;果酒（含酒精）;⾷⽤酒精;⻩酒;葡萄酒;除啤酒外的酒精饮料;开胃酒;清酒;⽩酒;⽶酒</t>
  </si>
  <si>
    <t>马添利</t>
  </si>
  <si>
    <t>杭州德豊电子商务有限公司</t>
  </si>
  <si>
    <t>酒精饮料（啤酒除外）;蒸馏饮料;⽶酒;清酒（⽇本⽶酒）;⽩酒;烈酒（饮料）;汽酒;果酒（含酒精）;葡萄酒;⾷⽤酒精</t>
  </si>
  <si>
    <t>水墨怀</t>
  </si>
  <si>
    <t>范亚军</t>
  </si>
  <si>
    <t>⻩酒;果酒（含酒精）;葡萄酒;⽶酒;威⼠忌;蜂蜜酒;清酒（⽇本⽶酒）;⽩酒;烈酒（饮料）;烧酒</t>
  </si>
  <si>
    <t>天赐上湾白虎</t>
  </si>
  <si>
    <t>宁夏金沙湾国际葡萄酒庄有限公司</t>
  </si>
  <si>
    <t>葡萄酒;烈酒（饮料）;以葡萄酒为主的开胃酒;含⽔果酒精饮料;桃红葡萄酒;果酒（含酒精）;樱桃酒;⽩兰地;威⼠忌;⽩酒</t>
  </si>
  <si>
    <t>彩陶清雅</t>
  </si>
  <si>
    <t>德州悟德酒业有限公司</t>
  </si>
  <si>
    <t>开胃酒;葡萄酒;烈酒（饮料）;清酒（⽇本⽶酒）;鸡尾酒;果酒（含酒精）;酒精饮料（啤酒除外）;烧酒;⽩酒;伏特加酒</t>
  </si>
  <si>
    <t>一览众山</t>
  </si>
  <si>
    <t>酒精饮料（啤酒除外）;⽶酒;果酒（含酒精）;烧酒;⻩酒;⽩酒;⻘稞酒;葡萄酒;露酒;威⼠忌</t>
  </si>
  <si>
    <t>广西德康农业集团有限公司</t>
  </si>
  <si>
    <t>⽶酒;杨梅酒;露酒;烧酒;⽩酒;葡萄酒;烈性⼲酒;酒精饮料原汁;鸡尾酒;果酒</t>
  </si>
  <si>
    <t>路邑佰狮</t>
  </si>
  <si>
    <t>深圳烨创酒业有限公司</t>
  </si>
  <si>
    <t>葡萄酒;利⼝酒;果酒（含酒精）;朗姆酒;烧酒;伏特加酒;烈酒（饮料）;⽩兰地;威⼠忌;⾷⽤酒精</t>
  </si>
  <si>
    <t>天赐上湾朱雀</t>
  </si>
  <si>
    <t>果酒（含酒精）;威⼠忌;烈酒（饮料）;含⽔果酒精饮料;桃红葡萄酒;葡萄酒;樱桃酒;⽩兰地;⽩酒;以葡萄酒为主的开胃酒</t>
  </si>
  <si>
    <t>天赐上湾青龙</t>
  </si>
  <si>
    <t>樱桃酒;烈酒（饮料）;⽩酒;葡萄酒;威⼠忌;以葡萄酒为主的开胃酒;含⽔果酒精饮料;果酒（含酒精）;⽩兰地;桃红葡萄酒</t>
  </si>
  <si>
    <t>天赐上湾智川</t>
  </si>
  <si>
    <t>⽩兰地;含⽔果酒精饮料;樱桃酒;烈酒（饮料）;桃红葡萄酒;果酒（含酒精）;葡萄酒;威⼠忌;⽩酒;以葡萄酒为主的开胃酒</t>
  </si>
  <si>
    <t>梅恒</t>
  </si>
  <si>
    <t>黄志钦</t>
  </si>
  <si>
    <t>葡萄酒;伏特加酒;⽩兰地;酒精饮料（啤酒除外）;汽酒;烈酒（饮料）;⻩酒;果酒（含酒精）;⽩酒;清酒（⽇本⽶酒）</t>
  </si>
  <si>
    <t>汉圣</t>
  </si>
  <si>
    <t>贵州茅台镇汉圣酒业有限公司</t>
  </si>
  <si>
    <t>含酒精的饮料（啤酒除外）;⽩酒;烧酒;⾼粱酒;蒸馏饮料;⻩酒;⾷⽤酒精;烈酒（饮料）;⽼酒（中国蒸馏烈酒）;烈酒</t>
  </si>
  <si>
    <t>道星河</t>
  </si>
  <si>
    <t>烈酒（饮料）;⽶酒;葡萄酒;果酒（含酒精）;威⼠忌;清酒（⽇本⽶酒）;蜂蜜酒;⽩酒;⻩酒;烧酒</t>
  </si>
  <si>
    <t>SOLAZZIA 索拉齐亚</t>
  </si>
  <si>
    <t>索拉齐亚有限公司</t>
  </si>
  <si>
    <t>⽩酒;⻩酒;威⼠忌;葡萄酒;开胃酒;烈酒;汽酒;蒸馏饮料;酒精饮料（啤酒除外）;果酒</t>
  </si>
  <si>
    <t>路邑查尔</t>
  </si>
  <si>
    <t>烈酒（饮料）;⽩兰地;伏特加酒;果酒（含酒精）;朗姆酒;利⼝酒;⾷⽤酒精;葡萄酒;烧酒;威⼠忌</t>
  </si>
  <si>
    <t>钱酒崇文</t>
  </si>
  <si>
    <t>⻘稞酒;⻩酒;烧酒;⽩酒;葡萄酒;果酒;含酒精的饮料（啤酒除外）;⽶酒;梅酒;⾼粱酒</t>
  </si>
  <si>
    <t>水圣龙之芽</t>
  </si>
  <si>
    <t>深圳市龙之芽健康产业有限公司</t>
  </si>
  <si>
    <t>烈酒（饮料）;⽶酒;⻩酒;烧酒;蒸馏饮料;酒精饮料（啤酒除外）;⽩酒;果酒;开胃酒;利⼝酒;葡萄酒</t>
  </si>
  <si>
    <t>崇庆大师</t>
  </si>
  <si>
    <t>⽶酒;⽩⼲酒（中国⽩酒）;⽩酒;果酒（含酒精）;蒸馏饮料;酒精饮料（啤酒除外）;⾷⽤酒精;⽼酒（中国蒸馏烈酒）;烧酒;烈酒（饮料）</t>
  </si>
  <si>
    <t>烧酒;蒸馏饮料;鸡尾酒;烈酒（饮料）;清酒（⽇本⽶酒）;果酒（含酒精）;葡萄酒;威⼠忌;酒精饮料（啤酒除外）;⾷⽤酒精</t>
  </si>
  <si>
    <t>贡宝春</t>
  </si>
  <si>
    <t>徐州传承酱酒业有限公司</t>
  </si>
  <si>
    <t>⻘稞酒;开胃酒;烧酒;利⼝酒;葡萄酒;威⼠忌;清酒（⽇本⽶酒）;梨酒;⻩酒;⽩酒</t>
  </si>
  <si>
    <t>凤知云</t>
  </si>
  <si>
    <t>⽩酒;烈酒（饮料）;⽶酒;蜂蜜酒;清酒（⽇本⽶酒）;威⼠忌;⻩酒;果酒（含酒精）;葡萄酒;烧酒</t>
  </si>
  <si>
    <t>宁蒗县格姆酒业有限公司</t>
  </si>
  <si>
    <t>烈酒;⻩酒;⽔果汽酒;⽩酒;含酒精的饮料（啤酒除外）;鸡尾酒;烈酒（饮料）;朗姆酒;露酒;利⼝酒;⽩兰地;威⼠忌;⻘梅酒;果酒;开胃酒;葡萄酒;甜酒;⽶酒;伏特加酒;汽酒;杨梅酒</t>
  </si>
  <si>
    <t>樽庭</t>
  </si>
  <si>
    <t>烈酒（饮料）;烧酒;鸡尾酒;清酒（⽇本⽶酒）;⻩酒;葡萄酒;⽶酒;⽩酒;果酒（含酒精）;酒精饮料（啤酒除外）</t>
  </si>
  <si>
    <t>维尔兹萨塔娜多</t>
  </si>
  <si>
    <t>杭州葡元科技有限公司</t>
  </si>
  <si>
    <t>桃红葡萄酒;烈酒;葡萄酒;⽩葡萄酒;预先混合的酒精饮料（以啤酒为主的除外）;⽩兰地;预调甜酒;红葡萄酒;酒精饮料原汁;酒精饮料（啤酒除外）</t>
  </si>
  <si>
    <t>金品崇庆</t>
  </si>
  <si>
    <t>酒精饮料（啤酒除外）;⽶酒;烧酒;烈酒（饮料）;⽩⼲酒（中国⽩酒）;果酒（含酒精）;⾷⽤酒精;⽩酒;蒸馏饮料;⽼酒（中国蒸馏烈酒）</t>
  </si>
  <si>
    <t>春城坦酒</t>
  </si>
  <si>
    <t>果酒（含酒精）;酒精饮料原汁;⽶酒;预先混合的酒精饮料（以啤酒为主的除外）;含⽔果酒精饮料;⽩酒;⾕物制蒸馏酒精饮料;⻘稞酒;朝鲜族⽶酒;烧酒</t>
  </si>
  <si>
    <t>桓裕</t>
  </si>
  <si>
    <t>梁如徐</t>
  </si>
  <si>
    <t>果酒（含酒精）;葡萄酒;清酒（⽇本⽶酒）;伏特加酒;酒精饮料（啤酒除外）;⽩酒;⻩酒;烈酒（饮料）;⽩兰地;汽酒</t>
  </si>
  <si>
    <t>登独</t>
  </si>
  <si>
    <t>重庆银沙食品有限公司</t>
  </si>
  <si>
    <t>⾷⽤酒精;⽩酒;果酒;葡萄酒;⻩酒;酒精饮料（啤酒除外）;蒸馏饮料;烈酒（饮料）;汽酒;清酒（⽇本⽶酒）</t>
  </si>
  <si>
    <t>蓝天尚高</t>
  </si>
  <si>
    <t>⽩兰地;预先混合的酒精饮料（以啤酒为主的除外）;朗姆酒;威⼠忌;果酒（含酒精）;伏特加酒;利⼝酒;葡萄酒;烈酒（饮料）;鸡尾酒</t>
  </si>
  <si>
    <t>故年棠</t>
  </si>
  <si>
    <t>烈酒（饮料）;清酒（⽇本⽶酒）;蜂蜜酒;⽩酒;⻩酒;烧酒;果酒（含酒精）;威⼠忌;葡萄酒;⽶酒</t>
  </si>
  <si>
    <t>哮天狼</t>
  </si>
  <si>
    <t>刘洪</t>
  </si>
  <si>
    <t>酒精饮料（啤酒除外）;开胃酒;烈酒;蜂蜜酒;⾷⽤酒精;⽶酒;果酒;鸡尾酒;葡萄酒;⽩酒</t>
  </si>
  <si>
    <t>沙糖仔</t>
  </si>
  <si>
    <t>姜富双</t>
  </si>
  <si>
    <t>威⼠忌;葡萄酒;果酒（含酒精）;⽶酒;预调甜酒;⽩兰地;⽩酒;伏特加酒;烧酒;清酒</t>
  </si>
  <si>
    <t>纪范思</t>
  </si>
  <si>
    <t>酒精饮料（啤酒除外）;伏特加酒;⾷⽤酒精;起泡⽩葡萄酒;葡萄酒;威⼠忌;烈酒（饮料）;预先混合的酒精饮料（以啤酒为主的除外）;⽩酒;⽩兰地</t>
  </si>
  <si>
    <t>纪范斯</t>
  </si>
  <si>
    <t>威⼠忌;烈酒（饮料）;预先混合的酒精饮料（以啤酒为主的除外）;葡萄酒;起泡⽩葡萄酒;伏特加酒;⽩兰地;⽩酒;酒精饮料（啤酒除外）;⾷⽤酒精</t>
  </si>
  <si>
    <t>梵希哲</t>
  </si>
  <si>
    <t>伏特加酒;葡萄酒;起泡⽩葡萄酒;⽩兰地;烈酒（饮料）;预先混合的酒精饮料（以啤酒为主的除外）;汽酒;酒精饮料（啤酒除外）;⽩酒;威⼠忌</t>
  </si>
  <si>
    <t>春水盏</t>
  </si>
  <si>
    <t>烧酒;⻩酒;烈酒（饮料）;清酒（⽇本⽶酒）;⽶酒;果酒（含酒精）;⽩酒;葡萄酒;蜂蜜酒;威⼠忌</t>
  </si>
  <si>
    <t>圣马丁</t>
  </si>
  <si>
    <t>长沙盛捷酒业有限公司</t>
  </si>
  <si>
    <t>葡萄酒;伏特加酒;酒精饮料（啤酒除外）;威⼠忌;利⼝酒;果酒（含酒精）;⽩兰地;⽩酒;含⽔果酒精饮料;⾷⽤酒精</t>
  </si>
  <si>
    <t>圣马仃</t>
  </si>
  <si>
    <t>⽩兰地;伏特加酒;⽩酒;威⼠忌;⾷⽤酒精;利⼝酒;含⽔果酒精饮料;葡萄酒;果酒（含酒精）;酒精饮料（啤酒除外）</t>
  </si>
  <si>
    <t>清瓷大</t>
  </si>
  <si>
    <t>葡萄酒;果酒（含酒精）;伏特加酒;鸡尾酒;烧酒;⽩酒;开胃酒;烈酒（饮料）;清酒（⽇本⽶酒）;酒精饮料（啤酒除外）</t>
  </si>
  <si>
    <t>华厅</t>
  </si>
  <si>
    <t>贵州工律信用管理服务有限公司</t>
  </si>
  <si>
    <t>葡萄酒;⽶酒;⽩酒;由⾕物蒸馏的⽩酒;⾷⽤酒精;⾼粱酒;烧酒;果酒（含酒精）;⻘稞酒;鸡尾酒</t>
  </si>
  <si>
    <t>龙宴盛事</t>
  </si>
  <si>
    <t>⽶酒;⽩酒;⻘梅酒;果酒（含酒精）;⾕物制蒸馏酒精饮料;⾼粱酒;清酒（⽇本⽶酒）;威⼠忌;酒精饮料（啤酒除外）;露酒</t>
  </si>
  <si>
    <t>银岩紫荆堂</t>
  </si>
  <si>
    <t>贵州红箭酒业有限公司</t>
  </si>
  <si>
    <t>⻩酒;⾷⽤酒精;清酒;烧酒;由⾕物蒸馏的⽩酒;⽶酒;⽩酒;烈酒;⾼粱酒;果酒</t>
  </si>
  <si>
    <t>东方八景</t>
  </si>
  <si>
    <t>李满中</t>
  </si>
  <si>
    <t>⾷⽤酒精;⽩酒;烧酒;蒸馏酒精饮料;葡萄酒;酒（利⼝酒）;酒精饮料（啤酒除外）;开胃酒;含酒精⽔果饮料;蒸煮提取物（利⼝酒和烈酒）</t>
  </si>
  <si>
    <t>宝燊</t>
  </si>
  <si>
    <t>柯思琪</t>
  </si>
  <si>
    <t>清酒（⽇本⽶酒）;烈酒（饮料）;⻩酒;葡萄酒;⽩兰地;汽酒;酒精饮料（啤酒除外）;伏特加酒;果酒（含酒精）;⽩酒</t>
  </si>
  <si>
    <t>斐民间</t>
  </si>
  <si>
    <t>济南梦大利电子商务有限公司</t>
  </si>
  <si>
    <t>含酒精的饮料（啤酒除外）;⽶酒;果酒（含酒精）;⽩酒;⾼粱酒;威⼠忌;葡萄酒;酒精饮料（啤酒除外）;烧酒;⻩酒</t>
  </si>
  <si>
    <t>䤉工开物</t>
  </si>
  <si>
    <t>陇药皇甫谧制药（甘肃）有限公司</t>
  </si>
  <si>
    <t>⻩酒;梅酒;含⽔果酒精饮料;⽶酒;除啤酒外的酒精饮料;⾕物制蒸馏酒精饮料;葡萄酒;⽩酒;由⾕物蒸馏的⽩酒;烈酒</t>
  </si>
  <si>
    <t>楚滋鑫</t>
  </si>
  <si>
    <t>湖南省顶盛定制商贸有限公司</t>
  </si>
  <si>
    <t>⽶酒;蒸馏饮料;果酒;酒精饮料（啤酒除外）;开胃酒;⽩酒;⻩酒;烧酒;酒精饮料浓缩汁;葡萄酒</t>
  </si>
  <si>
    <t>甲上</t>
  </si>
  <si>
    <t>贵州子曰酒业有限公司</t>
  </si>
  <si>
    <t>果酒（含酒精）;烧酒;⻘稞酒;⻩酒;⽶酒;含⽔果酒精饮料;鸡尾酒;葡萄酒;酒精饮料（啤酒除外）;⽩酒</t>
  </si>
  <si>
    <t>万秋</t>
  </si>
  <si>
    <t>刘维宇</t>
  </si>
  <si>
    <t>⻘梅酒;葡萄酒;⽩⼲酒（中国⽩酒）;杨梅酒;蜂蜜酒;蒸馏⽶酒（泡盛酒）;⽼酒（中国蒸馏烈酒）;⾕物制蒸馏酒精饮料;蝮蛇酒;果酒（含酒精）</t>
  </si>
  <si>
    <t>论道磐</t>
  </si>
  <si>
    <t>⽩酒;葡萄酒;烈酒（饮料）;⻩酒;蜂蜜酒;烧酒;果酒（含酒精）;威⼠忌;清酒（⽇本⽶酒）;⽶酒</t>
  </si>
  <si>
    <t>灶祖师</t>
  </si>
  <si>
    <t>⻩酒;⽶酒;鸡尾酒;烧酒;葡萄酒;⽩兰地;威⼠忌;⻘稞酒;⽩酒;烈酒</t>
  </si>
  <si>
    <t>哮天虎</t>
  </si>
  <si>
    <t>鸡尾酒;蜂蜜酒;⽩酒;果酒;葡萄酒;⽶酒;烈酒;⾷⽤酒精;酒精饮料（啤酒除外）;开胃酒</t>
  </si>
  <si>
    <t>笋香飞鸽</t>
  </si>
  <si>
    <t>湖南竹芝实业有限责任公司</t>
  </si>
  <si>
    <t>果酒;酒精饮料（啤酒除外）;⽩酒;⽶酒;烈酒;蜂蜜酒;葡萄酒;⾷⽤酒精;开胃酒;鸡尾酒</t>
  </si>
  <si>
    <t>农夫花源</t>
  </si>
  <si>
    <t>铁门关市国源生物科技有限公司</t>
  </si>
  <si>
    <t>果酒（含酒精）;⻩酒;⽶酒;烧酒;⽢蔗制烈酒;葡萄酒;酒精饮料（啤酒除外）;鸡尾酒;烈酒（饮料）;⽩酒</t>
  </si>
  <si>
    <t>MULTI-LAUREL 多喜多吉</t>
  </si>
  <si>
    <t>湖南涓流润物文化创意有限公司</t>
  </si>
  <si>
    <t>威⼠忌;酒精饮料（啤酒除外）;葡萄酒;⽩酒;餐后酒（利⼝酒和烈酒）;⻩酒;烧酒;伏特加酒;烈酒（饮料）</t>
  </si>
  <si>
    <t>赤典河</t>
  </si>
  <si>
    <t>罗发成</t>
  </si>
  <si>
    <t>蒸馏饮料;葡萄酒;鸡尾酒;⻩酒;烧酒（烈酒）;酒精饮料（啤酒除外）;⽶酒;果酒（含酒精）;⽩酒;威⼠忌</t>
  </si>
  <si>
    <t>祉界星</t>
  </si>
  <si>
    <t>果酒（含酒精）;⽩⼲酒（中国⽩酒）;烈酒（饮料）;葡萄酒;蒸馏饮料;含酒精的饮料（啤酒除外）;⽩酒;⻩酒;酒精饮料（啤酒除外）;由⾕物蒸馏的⽩酒</t>
  </si>
  <si>
    <t>影鉴</t>
  </si>
  <si>
    <t>贵州筏台酒业有限公司</t>
  </si>
  <si>
    <t>⽶酒;烧酒;烈酒;⽼酒（中国蒸馏烈酒）;果酒;⻘稞酒;⾷⽤酒精;⾼粱酒;由⾕物蒸馏的⽩酒;⽩酒</t>
  </si>
  <si>
    <t>敬东来</t>
  </si>
  <si>
    <t>现代联合控股集团有限公司</t>
  </si>
  <si>
    <t>酒精饮料（啤酒除外）;酒精饮料原汁;含⽔果酒精饮料;烈酒（饮料）;⽶酒;⽩酒;烧酒;⾷⽤酒精;葡萄酒;威⼠忌</t>
  </si>
  <si>
    <t>江南王子</t>
  </si>
  <si>
    <t>贵州省仁怀市茅台镇国瑞酒业有限公司</t>
  </si>
  <si>
    <t>烈酒（饮料）;清酒;果酒;果酒（含酒精）;烧酒;茴⾹酒（利⼝酒）;开胃酒;⽶酒;葡萄酒;⻩酒</t>
  </si>
  <si>
    <t>春姬密哒</t>
  </si>
  <si>
    <t>申明全</t>
  </si>
  <si>
    <t>蒸馏饮料;⻩酒;⾷⽤酒精;葡萄酒;鸡尾酒;烈酒（饮料）;⽩酒;果酒（含酒精）;开胃酒;⽶酒</t>
  </si>
  <si>
    <t>甘当家</t>
  </si>
  <si>
    <t>甘润林</t>
  </si>
  <si>
    <t>果酒（含酒精）;葡萄酒;烧酒;烈酒;⽩酒;鸡尾酒;酒精饮料（啤酒除外）;⻩酒;⽶酒;开胃酒</t>
  </si>
  <si>
    <t>匠世唐</t>
  </si>
  <si>
    <t>赵玉周</t>
  </si>
  <si>
    <t>酒精饮料（啤酒除外）;威⼠忌;葡萄酒;⽩酒;鸡尾酒;烈酒（饮料）;果酒（含酒精）;烧酒;⻩酒;⽶酒</t>
  </si>
  <si>
    <t>高柏雅</t>
  </si>
  <si>
    <t>杭州达滋电子商务有限公司</t>
  </si>
  <si>
    <t>鸡尾酒;⻩酒;开胃酒;烧酒;葡萄酒;苹果酒;⻘稞酒;⾷⽤酒精;烈酒（饮料）;⽩酒</t>
  </si>
  <si>
    <t>小芙君</t>
  </si>
  <si>
    <t>张硕</t>
  </si>
  <si>
    <t>⽩酒;葡萄酒;清酒（⽇本⽶酒）;烧酒;烈酒（饮料）;含酒精的饮料（啤酒除外）;汽酒;⽶酒;果酒（含酒精）;酒精饮料原汁</t>
  </si>
  <si>
    <t>神农架药王谷本草健康产业有限公司</t>
  </si>
  <si>
    <t>⻩酒;⽩酒;烈酒（饮料）;⽶酒;葡萄酒;蒸馏饮料;酒精饮料原汁;酒精饮料（啤酒除外）;烧酒;果酒（含酒精）</t>
  </si>
  <si>
    <t>念乡娃</t>
  </si>
  <si>
    <t>石柱土家族自治县马二娃集市农产品中心(个体工商户)</t>
  </si>
  <si>
    <t>鸡尾酒;⽶酒;⽩酒;葡萄酒;甜酒;烧酒;烈酒;果酒（含酒精）;含⽔果酒精饮料;威⼠忌</t>
  </si>
  <si>
    <t>气体象机</t>
  </si>
  <si>
    <t>三驱科技（杭州）有限公司</t>
  </si>
  <si>
    <t>酒精饮料浓缩汁;烧酒;葡萄酒;⻩酒;⽩酒;苹果酒;⾷⽤酒精;果酒（含酒精）;⻘稞酒;薄荷酒</t>
  </si>
  <si>
    <t>莜馥馚</t>
  </si>
  <si>
    <t>芦伟</t>
  </si>
  <si>
    <t>果酒（含酒精）;⽩酒;鸡尾酒;葡萄酒;⾷⽤酒精;⽶酒;餐后酒（利⼝酒和烈酒）;含⽔果酒精饮料;⻩酒;酒精饮料（啤酒除外）</t>
  </si>
  <si>
    <t>郭航</t>
  </si>
  <si>
    <t>汽酒;⽼酒（中国蒸馏烈酒）;开胃酒;⽩酒;⾼粱酒;葡萄酒;⻩酒;清酒;威⼠忌;⽶酒</t>
  </si>
  <si>
    <t>石瓯山</t>
  </si>
  <si>
    <t>灵山县农兴供应链有限公司</t>
  </si>
  <si>
    <t>⽶酒;⻨芽威⼠忌;苦荞酒;朗姆酒;含酒精的⽓泡⽔;⽩酒;葡萄酒;松叶酒;甜果酒;利⼝酒</t>
  </si>
  <si>
    <t>勤义烧坊</t>
  </si>
  <si>
    <t>张贵超</t>
  </si>
  <si>
    <t>果酒（含酒精）;威⼠忌;⽩酒;薄荷酒;⻩酒;开胃酒;烈酒（饮料）;⽩兰地;⽶酒;鸡尾酒</t>
  </si>
  <si>
    <t>樽耀天下</t>
  </si>
  <si>
    <t>⽩酒;含酒精的饮料（啤酒除外）;⻩酒;威⼠忌;烧酒;以葡萄酒为主的饮料;⽶酒;伏特加酒;以葡萄酒为主的开胃酒;果酒（含酒精）</t>
  </si>
  <si>
    <t>塞上明珠</t>
  </si>
  <si>
    <t>曹广江</t>
  </si>
  <si>
    <t>果酒（含酒精）;果酒;蜂蜜酒;烈酒（饮料）;⽩酒;威⼠忌;⻩酒;葡萄酒;烧酒;⽩兰地</t>
  </si>
  <si>
    <t>醉樽遵</t>
  </si>
  <si>
    <t>张秋晓</t>
  </si>
  <si>
    <t>利⼝酒;⽩酒;开胃酒;烧酒;酒精饮料（啤酒除外）;清酒（⽇本⽶酒）;果酒;朗姆酒;葡萄酒;鸡尾酒</t>
  </si>
  <si>
    <t>皇酒明珠</t>
  </si>
  <si>
    <t>曾伟明</t>
  </si>
  <si>
    <t>酒精饮料（啤酒除外）;威⼠忌;⾕物制蒸馏酒精饮料;⽩酒;⽶酒;清酒（⽇本⽶酒）;⻘梅酒;露酒;果酒（含酒精）;⾼粱酒</t>
  </si>
  <si>
    <t>宅小饿</t>
  </si>
  <si>
    <t>郭和苍</t>
  </si>
  <si>
    <t>⻩酒;果酒;⽼酒（中国蒸馏烈酒）;除啤酒外的酒精饮料;葡萄酒;果酒（含酒精）;⽶酒;⽩酒;烧酒;含⽔果酒精饮料</t>
  </si>
  <si>
    <t>SILURES</t>
  </si>
  <si>
    <t>广州酩菲贸易有限公司</t>
  </si>
  <si>
    <t>含⽔果酒精饮料;鸡尾酒;蒸煮提取物（利⼝酒和烈酒）;⽩酒;⽶酒;烈酒（饮料）;开胃酒;蒸馏饮料;葡萄酒;威⼠忌</t>
  </si>
  <si>
    <t>礼百分 GIFT FULL MARKS</t>
  </si>
  <si>
    <t>曹欣安</t>
  </si>
  <si>
    <t>⽶酒;葡萄酒;⽩酒;清酒（⽇本⽶酒）;⽩兰地;⻩酒;⾷⽤酒精;鸡尾酒;果酒（含酒精）;烧酒</t>
  </si>
  <si>
    <t>桓昌烧坊</t>
  </si>
  <si>
    <t>杨玉菊</t>
  </si>
  <si>
    <t>含⽔果酒精饮料;⽩酒;果酒（含酒精）;⽶酒;烧酒;鸡尾酒;威⼠忌;葡萄酒;酒精饮料（啤酒除外）;⾷⽤酒精</t>
  </si>
  <si>
    <t>并州牧</t>
  </si>
  <si>
    <t>山西杏花佳汾酒业有限责任公司</t>
  </si>
  <si>
    <t>⾷⽤酒精;⾼粱酒;⽩酒;⽼酒（中国蒸馏烈酒）;烧酒;⽩⼲酒（中国⽩酒）;含⽔果酒精饮料;⻩酒;果酒;葡萄酒</t>
  </si>
  <si>
    <t>黔父华</t>
  </si>
  <si>
    <t>⽩酒;开胃酒;清酒（⽇本⽶酒）;果酒;酒精饮料（啤酒除外）;利⼝酒;鸡尾酒;烧酒;葡萄酒;朗姆酒</t>
  </si>
  <si>
    <t>唐朝红</t>
  </si>
  <si>
    <t>四川唐朝老窖（集团）有限公司</t>
  </si>
  <si>
    <t>甜酒;⾼粱酒;果酒;葡萄酒;已调味的蒸馏酒;烧酒;蒸煮提取物（利⼝酒和烈酒）;⽶酒;⻘稞酒;⽩酒</t>
  </si>
  <si>
    <t>蜀庆坊</t>
  </si>
  <si>
    <t>四川智如酒业有限公司</t>
  </si>
  <si>
    <t>蒸馏饮料;⾷⽤酒精;⽩酒;烧酒;⽼酒（中国蒸馏烈酒）;果酒（含酒精）;⽶酒;烈酒（饮料）;酒精饮料（啤酒除外）;⾼粱酒</t>
  </si>
  <si>
    <t>群英天香</t>
  </si>
  <si>
    <t>王江艳</t>
  </si>
  <si>
    <t>葡萄酒;果酒（含酒精）;鸡尾酒;清酒（⽇本⽶酒）;威⼠忌;酒精饮料（啤酒除外）;⽩酒;⻩酒;⽩兰地;烧酒</t>
  </si>
  <si>
    <t>五娘绿谷</t>
  </si>
  <si>
    <t>林玉红</t>
  </si>
  <si>
    <t>果酒（含酒精）;梨酒;⽩酒;⽩兰地;⻘稞酒;蒸馏饮料;伏特加酒;含⽔果酒精饮料;⻩酒;⽶酒</t>
  </si>
  <si>
    <t>庆流年掼蛋</t>
  </si>
  <si>
    <t>苏州市不负流年贸易有限公司</t>
  </si>
  <si>
    <t>葡萄酒;清酒（⽇本⽶酒）;⾕物制蒸馏酒精饮料;薄荷酒;⽩酒;酒精饮料原汁;酒精饮料（啤酒除外）;⽶酒;⻩酒;果酒（含酒精）</t>
  </si>
  <si>
    <t>村中井</t>
  </si>
  <si>
    <t>⽩酒;鸡尾酒;酒精饮料（啤酒除外）;烈酒（饮料）;⽶酒;葡萄酒;果酒（含酒精）;⽩兰地;烧酒;威⼠忌</t>
  </si>
  <si>
    <t>熊乾</t>
  </si>
  <si>
    <t>熊刚</t>
  </si>
  <si>
    <t>⽼酒（中国蒸馏烈酒）;果酒（含酒精）;⽶酒;⽩酒;⾼粱酒;红葡萄酒;⽩兰地;葡萄酒;⻩酒;⽩⼲酒（中国⽩酒）</t>
  </si>
  <si>
    <t>晓窖台</t>
  </si>
  <si>
    <t>赵金法</t>
  </si>
  <si>
    <t>葡萄酒;烈酒（饮料）;汽酒;⻘稞酒;⽶酒;⽩酒;果酒（含酒精）;⻩酒;鸡尾酒;⾷⽤酒精</t>
  </si>
  <si>
    <t>醉秘贺</t>
  </si>
  <si>
    <t>果酒;朗姆酒;利⼝酒;⽩酒;烧酒;鸡尾酒;开胃酒;酒精饮料（啤酒除外）;清酒（⽇本⽶酒）;葡萄酒</t>
  </si>
  <si>
    <t>戎玺台</t>
  </si>
  <si>
    <t>贵州酌传酒业有限公司</t>
  </si>
  <si>
    <t>烈酒（饮料）;⽩酒;利⼝酒;威⼠忌;蒸馏饮料;朗姆酒;⽩兰地;⽶酒;⾷⽤酒精;葡萄酒</t>
  </si>
  <si>
    <t>烛之武</t>
  </si>
  <si>
    <t>王莉</t>
  </si>
  <si>
    <t>⽶酒;烧酒;⻩酒;汽酒;⽩⼲酒（中国⽩酒）;果酒;威⼠忌;⽩酒;烈酒;葡萄酒</t>
  </si>
  <si>
    <t>醉樽封</t>
  </si>
  <si>
    <t>果酒;烧酒;⽩酒;鸡尾酒;开胃酒;朗姆酒;酒精饮料（啤酒除外）;利⼝酒;清酒（⽇本⽶酒）;葡萄酒</t>
  </si>
  <si>
    <t>昌吉市阿尔金酒业有限责任公司</t>
  </si>
  <si>
    <t>苦荞酒;葡萄酒;酒精饮料（啤酒除外）;烧酒;露酒;⽩兰地;⽩酒;果酒;烈酒;甜酒</t>
  </si>
  <si>
    <t>苹和 酒</t>
  </si>
  <si>
    <t>厦门元上文化传媒有限公司</t>
  </si>
  <si>
    <t>甜果酒;含⽔果酒精饮料;⼲型苹果酒;苹果酒;⽼酒（中国蒸馏烈酒）;果酒;以蒸馏酒为主的开胃酒;烈酒;⽩酒;⽔果汽酒;⽩兰地;露酒</t>
  </si>
  <si>
    <t>贵礼喜</t>
  </si>
  <si>
    <t>张科锦</t>
  </si>
  <si>
    <t>朗姆酒;葡萄酒;鸡尾酒;烧酒;酒精饮料（啤酒除外）;⽩酒;开胃酒;清酒（⽇本⽶酒）;果酒;利⼝酒</t>
  </si>
  <si>
    <t>贵礼鼎</t>
  </si>
  <si>
    <t>葡萄酒;烧酒;开胃酒;清酒（⽇本⽶酒）;⽩酒;利⼝酒;鸡尾酒;果酒;酒精饮料（啤酒除外）;朗姆酒</t>
  </si>
  <si>
    <t>醉秘礼</t>
  </si>
  <si>
    <t>葡萄酒;果酒;朗姆酒;烧酒;利⼝酒;鸡尾酒;开胃酒;清酒（⽇本⽶酒）;酒精饮料（啤酒除外）;⽩酒</t>
  </si>
  <si>
    <t>农本善粮</t>
  </si>
  <si>
    <t>沈阳金鸿商贸有限公司</t>
  </si>
  <si>
    <t>葡萄酒;果酒（含酒精）;⽶酒;烧酒;⻩酒;烈酒（饮料）;⽩酒;开胃酒;酒精饮料（啤酒除外）;鸡尾酒</t>
  </si>
  <si>
    <t>众心恬然</t>
  </si>
  <si>
    <t>辽宁众心生物技术有限公司</t>
  </si>
  <si>
    <t>烧酒;蒸馏饮料;果酒（含酒精）;蜂蜜酒;汽酒;⽩酒;⽶酒;葡萄酒;鸡尾酒;酒精饮料（啤酒除外）</t>
  </si>
  <si>
    <t>骄</t>
  </si>
  <si>
    <t>湖南酣将酒仓文化传播有限公司</t>
  </si>
  <si>
    <t>⽩兰地;威⼠忌;烧酒;烈酒（饮料）;伏特加酒;餐后酒（利⼝酒和烈酒）;清酒（⽇本⽶酒）;⻩酒;⽩酒;以葡萄酒为主的饮料</t>
  </si>
  <si>
    <t>西尔贝传奇</t>
  </si>
  <si>
    <t>贵州酣酱君品酒业有限公司</t>
  </si>
  <si>
    <t>露酒;苹果酒;蒸馏饮料;果酒（含酒精）;烈酒（饮料）;餐后酒（利⼝酒和烈酒）;⽩酒;葡萄酒;⾕物制蒸馏酒精饮料;⽶酒</t>
  </si>
  <si>
    <t>封正人和</t>
  </si>
  <si>
    <t>李奎</t>
  </si>
  <si>
    <t>威⼠忌;烧酒;果酒（含酒精）;葡萄酒;⻩酒;⽶酒;伏特加酒;⽩酒;⽩⼲酒（中国⽩酒）;⽩兰地</t>
  </si>
  <si>
    <t>太陨泰</t>
  </si>
  <si>
    <t>广西陨石太岁生物有限公司</t>
  </si>
  <si>
    <t>鸡尾酒;烧酒;⽩兰地;酒精饮料（啤酒除外）;果酒（含酒精）;烈酒（饮料）;葡萄酒;伏特加酒;⽩酒;⻩酒</t>
  </si>
  <si>
    <t>醉秘颂</t>
  </si>
  <si>
    <t>⽩酒;朗姆酒;酒精饮料（啤酒除外）;葡萄酒;烧酒;开胃酒;清酒（⽇本⽶酒）;利⼝酒;果酒;鸡尾酒</t>
  </si>
  <si>
    <t>贵礼潭</t>
  </si>
  <si>
    <t>⽩酒;葡萄酒;清酒（⽇本⽶酒）;朗姆酒;酒精饮料（啤酒除外）;鸡尾酒;开胃酒;果酒;利⼝酒;烧酒</t>
  </si>
  <si>
    <t>醉宴秘</t>
  </si>
  <si>
    <t>朗姆酒;酒精饮料（啤酒除外）;利⼝酒;鸡尾酒;烧酒;⽩酒;葡萄酒;清酒（⽇本⽶酒）;果酒;开胃酒</t>
  </si>
  <si>
    <t>伯坛窖中窖</t>
  </si>
  <si>
    <t>烧酒;⽶酒;⻩酒;酒精饮料（啤酒除外）;⽩酒;威⼠忌;葡萄酒;蒸馏饮料;鸡尾酒;果酒（含酒精）</t>
  </si>
  <si>
    <t>尚榜</t>
  </si>
  <si>
    <t>张松</t>
  </si>
  <si>
    <t>果酒;露酒;清酒;⾼粱酒;⻩酒;茴芹酒（利⼝酒）;⽶酒;⽩酒;酸酒（低等葡萄酒）;亚⼒酒</t>
  </si>
  <si>
    <t>BOENIN</t>
  </si>
  <si>
    <t>庆云大花商贸有限公司</t>
  </si>
  <si>
    <t>含⽔果酒精饮料;烧酒;⽩酒;果酒（含酒精）;⻘稞酒;⻩酒;⽶酒;葡萄酒;开胃酒;酒精饮料（啤酒除外）</t>
  </si>
  <si>
    <t>液至蓝</t>
  </si>
  <si>
    <t>余秋菊</t>
  </si>
  <si>
    <t>⽶酒;预先混合的酒精饮料（以啤酒为主的除外）;⻩酒;薄荷酒;汽酒;烧酒;⾷⽤酒精;⽩酒;⻘稞酒;酒精饮料（啤酒除外）</t>
  </si>
  <si>
    <t>临沂市公共交通集团有限公司</t>
  </si>
  <si>
    <t>薄荷酒;⽶酒;烧酒;含⽔果酒精饮料;酒精饮料原汁;清酒;⽩酒;鸡尾酒;⾷⽤酒精;葡萄酒</t>
  </si>
  <si>
    <t>骋先潭</t>
  </si>
  <si>
    <t>瑞和酒业（山东）有限公司</t>
  </si>
  <si>
    <t>⽩酒;烧酒（烈酒）;⽶酒;清酒（⽇本⽶酒）;烈酒（饮料）;鸡尾酒;葡萄酒;酒精饮料（啤酒除外）;⻩酒;果酒（含酒精）</t>
  </si>
  <si>
    <t>酒华珊</t>
  </si>
  <si>
    <t>浙江恒真酒业有限公司</t>
  </si>
  <si>
    <t>酒精饮料浓缩汁;葡萄酒;⽩酒;果酒（含酒精）;⽶酒;红葡萄酒;酒精饮料（啤酒除外）;烧酒;⾷⽤酒精;烈酒（饮料）</t>
  </si>
  <si>
    <t>柔井村</t>
  </si>
  <si>
    <t>⽩酒;利⼝酒;鸡尾酒;果酒;烧酒;开胃酒;清酒（⽇本⽶酒）;朗姆酒;酒精饮料（啤酒除外）;葡萄酒</t>
  </si>
  <si>
    <t>铁帽王</t>
  </si>
  <si>
    <t>王泓森</t>
  </si>
  <si>
    <t>果酒（含酒精）;酒精饮料原汁;⾕物制蒸馏酒精饮料;⽩酒;清酒;烧酒;汽酒;蒸馏饮料;葡萄酒;酒精饮料（啤酒除外）</t>
  </si>
  <si>
    <t>铱乐燊工坊</t>
  </si>
  <si>
    <t>佛山市金天名荟贸易有限公司</t>
  </si>
  <si>
    <t>烧酒;葡萄酒;⽩酒;清酒（⽇本⽶酒）;⽶酒;威⼠忌;露酒;⽔果汽酒;⻩酒;⽩兰地</t>
  </si>
  <si>
    <t>绿敬</t>
  </si>
  <si>
    <t>鄂尔多斯市蒙正一品酒业有限责任公司</t>
  </si>
  <si>
    <t>葡萄酒;⽶酒;威⼠忌;烈酒（饮料）;⽩酒;果酒（含酒精）;利⼝酒;烧酒;⻩酒;酒精饮料（啤酒除外）</t>
  </si>
  <si>
    <t>中川美液</t>
  </si>
  <si>
    <t>白坦江522130********0910</t>
  </si>
  <si>
    <t>果酒（含酒精）;烧酒;烈酒（饮料）;葡萄酒;⻩酒;⽩酒;鸡尾酒;酒精饮料（啤酒除外）;⽶酒;⽢蔗制烈酒</t>
  </si>
  <si>
    <t>千年赐</t>
  </si>
  <si>
    <t>王本明</t>
  </si>
  <si>
    <t>⻩酒;⽩酒;⽶酒;蒸馏饮料;葡萄酒;威⼠忌;酒精饮料（啤酒除外）;果酒（含酒精）;鸡尾酒;烧酒（烈酒）</t>
  </si>
  <si>
    <t>东方闽茉香</t>
  </si>
  <si>
    <t>南京好一朵茉莉花食品有限公司</t>
  </si>
  <si>
    <t>鸡尾酒;⽩酒;开胃酒;果酒（含酒精）;蒸馏饮料;蜂蜜酒;酒精饮料（啤酒除外）;葡萄酒;⽶酒;⻩酒</t>
  </si>
  <si>
    <t>汉方兴</t>
  </si>
  <si>
    <t>重庆修羽健康管理有限公司</t>
  </si>
  <si>
    <t>开胃酒;烈酒（饮料）;以葡萄酒为主的饮料;⽩酒;果酒;葡萄酒;威⼠忌;⽶酒;清酒;⻩酒</t>
  </si>
  <si>
    <t>君怀酒天</t>
  </si>
  <si>
    <t>威⼠忌;⽶酒;⽩酒;葡萄酒;烧酒;⽩兰地;鸡尾酒;酒精饮料（啤酒除外）;果酒（含酒精）;烈酒（饮料）</t>
  </si>
  <si>
    <t>旧梦</t>
  </si>
  <si>
    <t>青岛隆圣河酒业有限公司</t>
  </si>
  <si>
    <t>酒精饮料（啤酒除外）;⾷⽤酒精;⽔果汽酒;⽩⼲酒（中国⽩酒）;烧酒;⽩酒;⾼粱酒;果酒（含酒精）;预先混合的酒精饮料（以啤酒为主的除外）;蜂蜜酒</t>
  </si>
  <si>
    <t>气公</t>
  </si>
  <si>
    <t>王玉生</t>
  </si>
  <si>
    <t>鸡尾酒;汽酒;烧酒;⽶酒;预先混合的酒精饮料（以啤酒为主的除外）;蜂蜜酒;⻘稞酒;⽩酒;露酒;⻩酒</t>
  </si>
  <si>
    <t>三晋梦</t>
  </si>
  <si>
    <t>山西科源中碳信息技术有限公司</t>
  </si>
  <si>
    <t>含⽔果酒精饮料;杜松⼦酒;烈酒（饮料）;梨酒;酒精饮料（啤酒除外）;果酒（含酒精）;苹果酒;樱桃酒;葡萄酒;含酒精的⽔果鸡尾酒饮料</t>
  </si>
  <si>
    <t>醉秘斟</t>
  </si>
  <si>
    <t>葡萄酒;果酒;鸡尾酒;开胃酒;朗姆酒;酒精饮料（啤酒除外）;烧酒;利⼝酒;⽩酒;清酒（⽇本⽶酒）</t>
  </si>
  <si>
    <t>沅水河街</t>
  </si>
  <si>
    <t>杨颖弘</t>
  </si>
  <si>
    <t>苹果酒;⾕物制蒸馏酒精饮料;蒸馏饮料;餐后酒（利⼝酒和烈酒）;烈酒（饮料）;露酒;⽩酒;果酒（含酒精）;葡萄酒;⽶酒</t>
  </si>
  <si>
    <t>山西玖星生物科技有限公司</t>
  </si>
  <si>
    <t>烧酒;葡萄酒;开胃酒;果酒（含酒精）;⽩兰地;⾷⽤酒精;鸡尾酒;⽩酒;利⼝酒;酒精饮料（啤酒除外）</t>
  </si>
  <si>
    <t>六户</t>
  </si>
  <si>
    <t>突泉县泉酒酒业有限公司</t>
  </si>
  <si>
    <t>烈酒（饮料）;烧酒;果酒（含酒精）;鸡尾酒;⻩酒;葡萄酒;⽩酒;利⼝酒;⽶酒;开胃酒</t>
  </si>
  <si>
    <t>掌大</t>
  </si>
  <si>
    <t>杭州新麦科技有限公司</t>
  </si>
  <si>
    <t>蒸馏饮料;酒精饮料浓缩汁;⽶酒;⻩酒;烈酒（饮料）;清酒（⽇本⽶酒）;酒精饮料（啤酒除外）;葡萄酒;果酒（含酒精）;烧酒</t>
  </si>
  <si>
    <t>亚颂府礼智信</t>
  </si>
  <si>
    <t>葡萄酒;酒精饮料（啤酒除外）;烈酒（饮料）;酸酒（低等葡萄酒）;酒精饮料浓缩汁;⽩兰地;威⼠忌;⽩酒;朗姆酒;伏特加酒</t>
  </si>
  <si>
    <t>怀天道</t>
  </si>
  <si>
    <t>鸡尾酒;酒精饮料（啤酒除外）;烧酒;葡萄酒;⽩酒;烈酒（饮料）;⽩兰地;威⼠忌;⽶酒;果酒（含酒精）</t>
  </si>
  <si>
    <t>济南膏滋百年健康管理咨询有限公司</t>
  </si>
  <si>
    <t>烧酒;汽酒;⻩酒;酒精饮料（啤酒除外）;葡萄酒;⽩酒;果酒（含酒精）;烈酒（饮料）;含⽔果酒精饮料;⽶酒</t>
  </si>
  <si>
    <t>黔品桓昌烧坊</t>
  </si>
  <si>
    <t>葡萄酒;鸡尾酒;威⼠忌;⽩酒;烧酒;果酒（含酒精）;酒精饮料（啤酒除外）;⽶酒;含⽔果酒精饮料;⾷⽤酒精</t>
  </si>
  <si>
    <t>鼎晟众韦</t>
  </si>
  <si>
    <t>山西鼎晟众韦供应链管理有限公司</t>
  </si>
  <si>
    <t>利⼝酒;果酒;烧酒;⽩酒;酒精饮料原汁;烈酒;蒸馏饮料;清酒;⽶酒;葡萄酒</t>
  </si>
  <si>
    <t>SBW</t>
  </si>
  <si>
    <t>石桥葡萄酒（澳大利亚）有限公司</t>
  </si>
  <si>
    <t>果酒（含酒精）;薄荷酒;红葡萄酒;威⼠忌;⻩酒;调制好的葡萄酒鸡尾酒;葡萄酒;以葡萄酒为主的饮料;含⽔果酒精饮料;⽩酒</t>
  </si>
  <si>
    <t>霸王甫</t>
  </si>
  <si>
    <t>威⼠忌;⽶酒;烧酒;汽酒;清酒（⽇本⽶酒）;果酒（含酒精）;鸡尾酒;⽩酒;开胃酒;红葡萄酒</t>
  </si>
  <si>
    <t>浆山论</t>
  </si>
  <si>
    <t>李双</t>
  </si>
  <si>
    <t>威⼠忌;开胃酒;葡萄酒;⽩酒;鸡尾酒;清酒（⽇本⽶酒）;酒精饮料（啤酒除外）;⻩酒;烈酒;果酒（含酒精）</t>
  </si>
  <si>
    <t>上横头</t>
  </si>
  <si>
    <t>东莞市上横头酒业有限公司</t>
  </si>
  <si>
    <t>果酒;⽶酒;⽩酒;烧酒;烧酒（烈酒）;葡萄酒;⻘梅酒;露酒;甜酒;清酒</t>
  </si>
  <si>
    <t>黔金贺</t>
  </si>
  <si>
    <t>开胃酒;烧酒;葡萄酒;鸡尾酒;利⼝酒;⽩酒;果酒;朗姆酒;酒精饮料（啤酒除外）;清酒（⽇本⽶酒）</t>
  </si>
  <si>
    <t>诗词纪</t>
  </si>
  <si>
    <t>四川绵竹剑南春酒厂有限公司</t>
  </si>
  <si>
    <t>⻩酒;葡萄酒;烧酒;酒精饮料浓缩汁;⽩酒;烈酒（饮料）;⽶酒;果酒（含酒精）;含⽔果酒精饮料;酒精饮料（啤酒除外）</t>
  </si>
  <si>
    <t>老饕居</t>
  </si>
  <si>
    <t>贵州黄果树酒店集团有限责任公司</t>
  </si>
  <si>
    <t>⽩酒;开胃酒;起泡红葡萄酒;除啤酒外的酒精饮料;汽酒;甜果酒;葡萄酒;鸡尾酒;果酒（含酒精）;⽩兰地</t>
  </si>
  <si>
    <t>黔好运</t>
  </si>
  <si>
    <t>贵州省安顺黔好运食品商贸有限公司</t>
  </si>
  <si>
    <t>⽩酒;苦味酒;已调味的⻨芽酿制的酒精饮料（啤酒除外）;蒸馏饮料;含酒精的⽓泡⽔;⾷⽤酒精;⻩酒;餐后酒（利⼝酒和烈酒）;果酒（含酒精）;汽酒</t>
  </si>
  <si>
    <t>帝王魂</t>
  </si>
  <si>
    <t>李洪军</t>
  </si>
  <si>
    <t>开胃酒;⻩酒;葡萄酒;清酒（⽇本⽶酒）;果酒;蒸煮提取物（利⼝酒和烈酒）;⽶酒;⽩酒;烧酒;酒精饮料（啤酒除外）</t>
  </si>
  <si>
    <t>洲星马蹄村</t>
  </si>
  <si>
    <t>广州市洲星食品有限公司</t>
  </si>
  <si>
    <t>酒精饮料原汁;⽩酒;蒸馏饮料;苹果酒;酒精饮料（啤酒除外）;⻩酒;烧酒;鸡尾酒;果酒（含酒精）;葡萄酒</t>
  </si>
  <si>
    <t>FUTANGYAN</t>
  </si>
  <si>
    <t>贵州福堂宴酒业销售有限公司</t>
  </si>
  <si>
    <t>⾕物制蒸馏酒精饮料;烈酒（饮料）;果酒（含酒精）;苹果酒;⽩酒;露酒;葡萄酒;餐后酒（利⼝酒和烈酒）;蒸馏饮料;⽶酒</t>
  </si>
  <si>
    <t>扶德</t>
  </si>
  <si>
    <t>扶余市玖日食品厂</t>
  </si>
  <si>
    <t>⻩酒;⾷⽤酒精;葡萄酒;⽶酒;朝鲜族⽶酒;烧酒;果酒（含酒精）;⽩酒;清酒（⽇本⽶酒）;酒精饮料（啤酒除外）</t>
  </si>
  <si>
    <t>沧河梦</t>
  </si>
  <si>
    <t>蒲英</t>
  </si>
  <si>
    <t>鸡尾酒;⻩酒;⽩酒;酒精饮料（啤酒除外）;开胃酒;清酒（⽇本⽶酒）;烈酒（饮料）;果酒;葡萄酒;威⼠忌</t>
  </si>
  <si>
    <t>古匠禧</t>
  </si>
  <si>
    <t>⽩酒;葡萄酒;鸡尾酒;开胃酒;利⼝酒;烧酒;果酒;朗姆酒;酒精饮料（啤酒除外）;清酒（⽇本⽶酒）</t>
  </si>
  <si>
    <t>润和汇</t>
  </si>
  <si>
    <t>青岛华仕忌酒业有限公司</t>
  </si>
  <si>
    <t>⽩酒;烧酒;果酒;⻩酒;伏特加酒;鸡尾酒;酒精饮料（啤酒除外）;⽶酒;葡萄酒;清酒（⽇本⽶酒）</t>
  </si>
  <si>
    <t>传香福</t>
  </si>
  <si>
    <t>罗杏</t>
  </si>
  <si>
    <t>果酒（含酒精）;⻩酒;利⼝酒;⽶酒;⽩酒;威⼠忌;烈酒（饮料）;预先混合的酒精饮料（以啤酒为主的除外）;烧酒;葡萄酒</t>
  </si>
  <si>
    <t>雱龙</t>
  </si>
  <si>
    <t>陈中坤</t>
  </si>
  <si>
    <t>清酒（⽇本⽶酒）;⽩兰地;烧酒;⽶酒;⾼粱酒;⻩酒;鸡尾酒;威⼠忌;果酒（含酒精）;⽩酒</t>
  </si>
  <si>
    <t>菜园沱</t>
  </si>
  <si>
    <t>宜宾老酒库白酒酿造有限公司</t>
  </si>
  <si>
    <t>烧酒;酒精饮料（啤酒除外）;⾷⽤酒精;⽩酒;葡萄酒;⽶酒;⻩酒;开胃酒;蒸馏饮料;果酒（含酒精）</t>
  </si>
  <si>
    <t>马舌兰庄园</t>
  </si>
  <si>
    <t>邓正群</t>
  </si>
  <si>
    <t>含⽔果酒精饮料;开胃酒;果酒（含酒精）;餐后酒（利⼝酒和烈酒）;鸡尾酒;⽩兰地;⽩酒;葡萄酒;酒精饮料（啤酒除外）;威⼠忌</t>
  </si>
  <si>
    <t>COOLIDEA</t>
  </si>
  <si>
    <t>杭州典酷庆典礼仪有限公司</t>
  </si>
  <si>
    <t>烧酒;⻩酒;⽩酒;汽酒;烈酒;开胃酒;⽶酒;含酒精的饮料（啤酒除外）;葡萄酒;果酒</t>
  </si>
  <si>
    <t>皇家师匠</t>
  </si>
  <si>
    <t>山东喜宴楼餐饮管理有限公司</t>
  </si>
  <si>
    <t>⽩酒;梨酒;梅酒;烧酒;草莓酒;果酒（含酒精）;葡萄酒;⽶酒;⾼粱酒;⽩酒（酱⾹型）</t>
  </si>
  <si>
    <t>熊猫安易贷</t>
  </si>
  <si>
    <t>四川银行股份有限公司</t>
  </si>
  <si>
    <t>酒精饮料（啤酒除外）;葡萄酒;⽩酒;⽩兰地;⾷⽤酒精;⻩酒;果酒（含酒精）;蒸馏饮料;烈酒（饮料）;威⼠忌</t>
  </si>
  <si>
    <t>䇶龙</t>
  </si>
  <si>
    <t>邹配配</t>
  </si>
  <si>
    <t>清酒（⽇本⽶酒）;⽶酒;⽩兰地;威⼠忌;果酒（含酒精）;⾼粱酒;⻩酒;鸡尾酒;⽩酒;烧酒</t>
  </si>
  <si>
    <t>浑江</t>
  </si>
  <si>
    <t>王丹彤</t>
  </si>
  <si>
    <t>葡萄酒;烈酒（饮料）;酒精饮料（啤酒除外）;鸡尾酒;清酒（⽇本⽶酒）;果酒（含酒精）;烧酒;⽩酒;⽶酒;⻩酒</t>
  </si>
  <si>
    <t>搜源</t>
  </si>
  <si>
    <t>河南彬焕网络技术有限公司</t>
  </si>
  <si>
    <t>酒精饮料原汁;⽶酒;烧酒;⻩酒;果酒（含酒精）;⽩酒;以葡萄酒为主的饮料;葡萄酒;威⼠忌;汽酒</t>
  </si>
  <si>
    <t>文丞古柔</t>
  </si>
  <si>
    <t>深圳市文丞法务科技有限公司</t>
  </si>
  <si>
    <t>⾷⽤酒精;烧酒;伏特加酒;⾕物制蒸馏酒精饮料;⽩酒;烈酒（饮料）;鸡尾酒;蒸煮提取物（利⼝酒和烈酒）;酒精饮料（啤酒除外）;⻩酒</t>
  </si>
  <si>
    <t>中油华能(莆田)投资有限公司</t>
  </si>
  <si>
    <t>烧酒;⻘梅酒;⻩酒;⾼粱酒;⽩酒;⻘稞酒;梅酒;⽩葡萄酒;⽶酒;红葡萄酒</t>
  </si>
  <si>
    <t>战序</t>
  </si>
  <si>
    <t>武汉慧品购电子商务有限公司</t>
  </si>
  <si>
    <t>葡萄酒;蒸馏饮料;⽩酒;烈酒;烧酒;甜酒;⾼粱酒;⽶酒;伏特加酒;酒精饮料（啤酒除外）</t>
  </si>
  <si>
    <t>世武帝</t>
  </si>
  <si>
    <t>胡祥林</t>
  </si>
  <si>
    <t>⽩酒;蒸煮提取物（利⼝酒和烈酒）;酒精饮料原汁;烧酒;酒精饮料（啤酒除外）;⽶酒;⻩酒;果酒（含酒精）;葡萄酒;烈酒（饮料）</t>
  </si>
  <si>
    <t>凤天承</t>
  </si>
  <si>
    <t>荣和王茅酒业（广东）有限公司</t>
  </si>
  <si>
    <t>鸡尾酒;清酒（⽇本⽶酒）;含⽔果酒精饮料;⽶酒;⻩酒;果酒（含酒精）;开胃酒;葡萄酒;酒精饮料（啤酒除外）;⽩酒</t>
  </si>
  <si>
    <t>李自在  LEE FREE</t>
  </si>
  <si>
    <t>湖北耘集村酒业有限公司</t>
  </si>
  <si>
    <t>⽩酒;烈性⼲酒;威⼠忌;苦荞酒;⽶酒;葡萄酒;含酒精的⽓泡⽔;⻩酒;⾼粱酒;苹果酒</t>
  </si>
  <si>
    <t>一再</t>
  </si>
  <si>
    <t>符新河</t>
  </si>
  <si>
    <t>葡萄酒;酒精饮料（啤酒除外）;⽶酒;⻩酒;鸡尾酒;⽩酒;果酒;甜酒;开胃酒;烈酒</t>
  </si>
  <si>
    <t>秦酩士</t>
  </si>
  <si>
    <t>⽩酒;清酒（⽇本⽶酒）;葡萄酒;⻩酒;开胃酒;鸡尾酒;烈酒（饮料）;果酒;酒精饮料（啤酒除外）;威⼠忌</t>
  </si>
  <si>
    <t>天溪湖</t>
  </si>
  <si>
    <t>殷红朝</t>
  </si>
  <si>
    <t>⽶酒;清酒;果酒;⽩酒;葡萄酒;含⽔果酒精饮料;烧酒;⾼粱酒;杨梅酒;⻩酒</t>
  </si>
  <si>
    <t>铁情缘</t>
  </si>
  <si>
    <t>长沙铁雅商贸有限公司</t>
  </si>
  <si>
    <t>烈酒（饮料）;葡萄酒;⽶酒;烧酒;果酒;甜酒;酒精饮料（啤酒除外）;汽酒;⻩酒;⽩酒</t>
  </si>
  <si>
    <t>唐潮李白宴</t>
  </si>
  <si>
    <t>葛晓佩</t>
  </si>
  <si>
    <t>果酒（含酒精）;清酒（⽇本⽶酒）;⽩酒;酒精饮料（啤酒除外）;葡萄酒;开胃酒;烧酒;⽩兰地;⽶酒;利⼝酒</t>
  </si>
  <si>
    <t>三道功坊</t>
  </si>
  <si>
    <t>苏州叁道功坊酒业有限公司</t>
  </si>
  <si>
    <t>伏特加酒;⽩兰地;⽶酒;朗姆酒;葡萄酒;⽩酒;果酒（含酒精）;威⼠忌;酒精饮料（啤酒除外）;鸡尾酒</t>
  </si>
  <si>
    <t>独醒侠</t>
  </si>
  <si>
    <t>亳州市秦汉生物科技有限责任公司</t>
  </si>
  <si>
    <t>果酒（含酒精）;酒精饮料（啤酒除外）;⽶酒;苹果酒;烈酒（饮料）;含⽔果酒精饮料;葡萄酒</t>
  </si>
  <si>
    <t>百窖丰</t>
  </si>
  <si>
    <t>酒精饮料原汁;酒精饮料（啤酒除外）;⽶酒;烧酒;⽩酒;蒸煮提取物（利⼝酒和烈酒）;烈酒（饮料）;果酒（含酒精）;葡萄酒;⻩酒</t>
  </si>
  <si>
    <t>董酒传承</t>
  </si>
  <si>
    <t>开胃酒;餐后酒（利⼝酒和烈酒）;⽶酒;葡萄酒;烧酒;果酒（含酒精）;⽩酒;清酒（⽇本⽶酒）;酒精饮料（啤酒除外）;梨酒</t>
  </si>
  <si>
    <t>2572</t>
  </si>
  <si>
    <t>张有智</t>
  </si>
  <si>
    <t>⽩酒;果酒（含酒精）;清酒（⽇本⽶酒）;开胃酒;⻩酒;鸡尾酒;酒精饮料（啤酒除外）;葡萄酒;烈酒（饮料）;威⼠忌</t>
  </si>
  <si>
    <t>曲乡潭</t>
  </si>
  <si>
    <t>温标</t>
  </si>
  <si>
    <t>威⼠忌;烧酒;果酒（含酒精）;酒精饮料原汁;清酒;蒸馏饮料;鸡尾酒;含⽔果酒精饮料;烈酒（饮料）;⽩酒</t>
  </si>
  <si>
    <t>文字纪</t>
  </si>
  <si>
    <t>烈酒（饮料）;酒精饮料（啤酒除外）;含⽔果酒精饮料;⽩酒;烧酒;果酒（含酒精）;葡萄酒;酒精饮料浓缩汁;⽶酒;⻩酒</t>
  </si>
  <si>
    <t>斟切</t>
  </si>
  <si>
    <t>阮灵池</t>
  </si>
  <si>
    <t>开胃酒;⽶酒;⽩酒;预先混合的酒精饮料（以啤酒为主的除外）;烈酒;酒精饮料（啤酒除外）;⻩酒;烧酒;果酒;预调甜酒</t>
  </si>
  <si>
    <t>YUCHAN 玉蝉酒香飘四海</t>
  </si>
  <si>
    <t>玉蝉集团有限公司</t>
  </si>
  <si>
    <t>⻘稞酒;鸡尾酒;预先混合的酒精饮料（以啤酒为主的除外）;⽩酒;酒精饮料（啤酒除外）;果酒（含酒精）;烈酒（饮料）;葡萄酒;烧酒;⽶酒</t>
  </si>
  <si>
    <t>深圳市酒韵酒业有限公司</t>
  </si>
  <si>
    <t>酒精饮料（啤酒除外）;果酒（含酒精）;鸡尾酒;⽩兰地;⽩酒;⻩酒;⽶酒;葡萄酒;威⼠忌;烧酒</t>
  </si>
  <si>
    <t>茶魅</t>
  </si>
  <si>
    <t>桂林山水道茶业有限责任公司</t>
  </si>
  <si>
    <t>⻩酒;葡萄酒;⽩兰地;威⼠忌;果酒;⽶酒;⽩酒;烧酒;⾷⽤酒精;烈酒</t>
  </si>
  <si>
    <t>弘图生财</t>
  </si>
  <si>
    <t>葡萄酒;⻩酒;蒸煮提取物（利⼝酒和烈酒）;烈酒（饮料）;⽩酒;酒精饮料（啤酒除外）;⽶酒;果酒（含酒精）;烧酒;酒精饮料原汁</t>
  </si>
  <si>
    <t>西海美</t>
  </si>
  <si>
    <t>瑾悦（武汉）酒店管理有限公司</t>
  </si>
  <si>
    <t>果酒（含酒精）;⽩兰地;鸡尾酒;⻩酒;烈酒（饮料）;⾕物制蒸馏酒精饮料;⽩酒;葡萄酒;⽶酒;汽酒</t>
  </si>
  <si>
    <t>唐诗纪</t>
  </si>
  <si>
    <t>果酒（含酒精）;烈酒（饮料）;含⽔果酒精饮料;烧酒;⽶酒;酒精饮料（啤酒除外）;⽩酒;酒精饮料浓缩汁;⻩酒;葡萄酒</t>
  </si>
  <si>
    <t>广义清友人</t>
  </si>
  <si>
    <t>贵州数字品牌管理有限公司</t>
  </si>
  <si>
    <t>葡萄酒;⻩酒;⾷⽤酒精;酒精饮料（啤酒除外）;⽶酒;果酒;⾼粱酒;清酒;烧酒;⽩酒</t>
  </si>
  <si>
    <t>董酒珍藏</t>
  </si>
  <si>
    <t>果酒（含酒精）;餐后酒（利⼝酒和烈酒）;葡萄酒;开胃酒;⽩酒;清酒（⽇本⽶酒）;烧酒;⽶酒;酒精饮料（啤酒除外）;梨酒</t>
  </si>
  <si>
    <t>泉州市金草生物技术有限公司</t>
  </si>
  <si>
    <t>果酒（含酒精）;鸡尾酒;葡萄酒;烧酒;⽩酒;⽶酒;威⼠忌;⽩兰地;烈酒;酒精饮料（啤酒除外）</t>
  </si>
  <si>
    <t>黔香仁</t>
  </si>
  <si>
    <t>葡萄酒;鸡尾酒;烧酒;利⼝酒;酒精饮料（啤酒除外）;清酒（⽇本⽶酒）;开胃酒;果酒;朗姆酒;⽩酒</t>
  </si>
  <si>
    <t>百脉泉齐鲁壹号</t>
  </si>
  <si>
    <t>苹果酒;葡萄酒;汽酒;酸酒（低等葡萄酒）;开胃酒;⽶酒;⻩酒;⽩酒;果酒（含酒精）;酒精饮料（啤酒除外）</t>
  </si>
  <si>
    <t>千年钰润</t>
  </si>
  <si>
    <t>英德市立民生态农业发展有限公司</t>
  </si>
  <si>
    <t>⽩兰地;酒精饮料（啤酒除外）;葡萄酒;樱桃酒;⽶酒;果酒（含酒精）;蜂蜜酒;利⼝酒;烧酒;⽩酒</t>
  </si>
  <si>
    <t>山河啸</t>
  </si>
  <si>
    <t>惠州掌农网络科技有限公司</t>
  </si>
  <si>
    <t>梨酒;葡萄酒;⽩酒;含⽔果酒精饮料;利⼝酒;⻩酒;烧酒;⽶酒;⽩兰地;烈酒（饮料）</t>
  </si>
  <si>
    <t>黔酣贵</t>
  </si>
  <si>
    <t>果酒;朗姆酒;鸡尾酒;⽩酒;利⼝酒;酒精饮料（啤酒除外）;烧酒;葡萄酒;开胃酒;清酒（⽇本⽶酒）</t>
  </si>
  <si>
    <t>汉七律</t>
  </si>
  <si>
    <t>贵州省仁怀市汉七律酒业有限公司</t>
  </si>
  <si>
    <t>餐后酒（利⼝酒和烈酒）;蒸馏饮料;⽶酒;葡萄酒;烈酒（饮料）;露酒;果酒（含酒精）;⽩酒;苹果酒;⾕物制蒸馏酒精饮料</t>
  </si>
  <si>
    <t>熹芦花</t>
  </si>
  <si>
    <t>詹粟增</t>
  </si>
  <si>
    <t>烧酒;烈酒（饮料）;果酒（含酒精）;鸡尾酒;蒸馏饮料;酒精饮料原汁;含⽔果酒精饮料;清酒;⽩酒;威⼠忌</t>
  </si>
  <si>
    <t>浩瀚缘钵</t>
  </si>
  <si>
    <t>吴瑞军131127********0535</t>
  </si>
  <si>
    <t>⻘稞酒;烧酒;威⼠忌;⽩酒;果酒;⻩酒;⽶酒;利⼝酒;鸡尾酒;葡萄酒</t>
  </si>
  <si>
    <t>吉叻</t>
  </si>
  <si>
    <t>广州鼎弘穗心贸易发展有限公司</t>
  </si>
  <si>
    <t>⽶酒;葡萄酒;汽酒;露酒;⽩兰地;威⼠忌;果酒;⽩酒;清酒;⻩酒</t>
  </si>
  <si>
    <t>薏见</t>
  </si>
  <si>
    <t>贵州泛亚供应链管理有限公司</t>
  </si>
  <si>
    <t>伏特加酒;⽶酒;杜松⼦酒;烧酒;薄荷酒;葡萄酒;清酒（⽇本⽶酒）;⽩酒;果酒（含酒精）;含⽔果酒精饮料</t>
  </si>
  <si>
    <t>NYTEBBIE 3AMETKN</t>
  </si>
  <si>
    <t>西安天宝物华贸易有限公司</t>
  </si>
  <si>
    <t>葡萄酒;⽩兰地;⽩酒;伏特加酒;威⼠忌;红葡萄酒;朗姆酒;⽩葡萄酒;清酒;以葡萄酒为主的饮料</t>
  </si>
  <si>
    <t>城莲酩</t>
  </si>
  <si>
    <t>⽩酒;以葡萄酒为主的饮料;⽩葡萄酒;红葡萄酒;果酒（含酒精）;桃红葡萄酒;葡萄酒;含酒精的⽔果鸡尾酒饮料;⽩⼲酒（中国⽩酒）;由⾕物蒸馏的⽩酒</t>
  </si>
  <si>
    <t>中婺</t>
  </si>
  <si>
    <t>吴雨龙</t>
  </si>
  <si>
    <t>⽩兰地;烧酒;烈酒;⻘稞酒;⻩酒;鸡尾酒;葡萄酒;威⼠忌;⽩酒;⽶酒</t>
  </si>
  <si>
    <t>京都皇想</t>
  </si>
  <si>
    <t>上海大视文化传播有限公司</t>
  </si>
  <si>
    <t>烧酒;⾷⽤酒精;含⽔果酒精饮料;葡萄酒;清酒（⽇本⽶酒）;⽩酒;蒸馏饮料;开胃酒;酒精饮料（啤酒除外）;蒸煮提取物（利⼝酒和烈酒）</t>
  </si>
  <si>
    <t>汉七律娄商</t>
  </si>
  <si>
    <t>果酒（含酒精）;葡萄酒;苹果酒;露酒;⾕物制蒸馏酒精饮料;蒸馏饮料;⽶酒;餐后酒（利⼝酒和烈酒）;烈酒（饮料）;⽩酒</t>
  </si>
  <si>
    <t>路易杰诗堡</t>
  </si>
  <si>
    <t>方东阳</t>
  </si>
  <si>
    <t>威⼠忌;⻘稞酒;⽩酒;烧酒;果酒（含酒精）;含⽔果酒精饮料;⻩酒;⾷⽤酒精;⽶酒;烈酒（饮料）</t>
  </si>
  <si>
    <t>满上禄</t>
  </si>
  <si>
    <t>刘伊然</t>
  </si>
  <si>
    <t>⽩酒;蒸馏饮料;酒精饮料（啤酒除外）;汽酒;⾷⽤酒精;清酒（⽇本⽶酒）;⽶酒;葡萄酒;果酒（含酒精）;烈酒（饮料）</t>
  </si>
  <si>
    <t>黄鹤湖</t>
  </si>
  <si>
    <t>湖北楚天人家酒业有限公司</t>
  </si>
  <si>
    <t>烧酒;⽶酒;果酒;利⼝酒;烈酒;葡萄酒;⽩酒;蒸馏饮料;汽酒;酒精饮料（啤酒除外）</t>
  </si>
  <si>
    <t>聚宝福五福</t>
  </si>
  <si>
    <t>黄鹏</t>
  </si>
  <si>
    <t>葡萄酒;⽩酒;餐后酒（利⼝酒和烈酒）;以葡萄酒为主的饮料;清酒（⽇本⽶酒）;鸡尾酒;⽶酒;开胃酒;含⽔果酒精饮料;果酒（含酒精）</t>
  </si>
  <si>
    <t>天铭欢颜</t>
  </si>
  <si>
    <t>江西天铭酒业有限公司</t>
  </si>
  <si>
    <t>开胃酒;烈酒（饮料）;含⽔果酒精饮料;葡萄酒;果酒（含酒精）;露酒;⽩酒;⽶酒;梅酒;⻩酒</t>
  </si>
  <si>
    <t>绢马之路</t>
  </si>
  <si>
    <t>新疆普拉纳广告有限公司</t>
  </si>
  <si>
    <t>酒精饮料原汁;葡萄酒;汽酒;果酒（含酒精）;⽩酒;清酒;⻩酒;⾷⽤酒精;酒精饮料（啤酒除外）;⽶酒</t>
  </si>
  <si>
    <t>信玮醉美至尊</t>
  </si>
  <si>
    <t>东莞市信玮酒业有限公司</t>
  </si>
  <si>
    <t>鸡尾酒;⽩兰地;⽶酒;⻘稞酒;⻩酒;伏特加酒;烧酒;葡萄酒;⽩酒;威⼠忌</t>
  </si>
  <si>
    <t>稻瑞米</t>
  </si>
  <si>
    <t>黄秋烨</t>
  </si>
  <si>
    <t>鸡尾酒;含⽔果酒精饮料;⽶酒;酒精饮料（啤酒除外）;含酒精的充⽓饮料（啤酒除外）;果酒（含酒精）;葡萄酒;汽酒;⽩酒;⻩酒</t>
  </si>
  <si>
    <t>嘉尚父子</t>
  </si>
  <si>
    <t>嘉乐荟（深圳）国际酒业有限公司</t>
  </si>
  <si>
    <t>⽩酒;烈酒;⽩兰地;葡萄酒;除啤酒外的酒精饮料;烈酒（饮料）;红葡萄酒;含酒精的充⽓饮料（啤酒除外）;起泡红葡萄酒;以葡萄酒为主的饮料</t>
  </si>
  <si>
    <t>洛之坊</t>
  </si>
  <si>
    <t>河南冠蕊食品有限公司</t>
  </si>
  <si>
    <t>⽩酒;烈酒（饮料）;威⼠忌;⽶酒;果酒（含酒精）;⻩酒;⾷⽤酒精;⻘稞酒;酒精饮料原汁;汽酒</t>
  </si>
  <si>
    <t>阐柔</t>
  </si>
  <si>
    <t>陈昊</t>
  </si>
  <si>
    <t>威⼠忌;烧酒;烈酒（饮料）;酒精饮料（啤酒除外）;⽶酒;⽩酒;果酒（含酒精）;葡萄酒;蜂蜜酒;⻩酒</t>
  </si>
  <si>
    <t>厚福清花</t>
  </si>
  <si>
    <t>⽩酒;烈酒（饮料）;⾼粱酒;⽼酒（中国蒸馏烈酒）;露酒;果酒（含酒精）;由⾕物蒸馏的⽩酒;烧酒（烈酒）;烧酒;⽩⼲酒（中国⽩酒）</t>
  </si>
  <si>
    <t>醉炯阿香</t>
  </si>
  <si>
    <t>高元香</t>
  </si>
  <si>
    <t>葡萄酒;⻩酒;开胃酒;⽩⼲酒（中国⽩酒）;⽼酒（中国蒸馏烈酒）;⽩兰地;清酒（⽇本⽶酒）;⽶酒;酒精饮料（啤酒除外）;果酒（含酒精）</t>
  </si>
  <si>
    <t>奇道仙酿</t>
  </si>
  <si>
    <t>郭勇</t>
  </si>
  <si>
    <t>苹果酒;鸡尾酒;烧酒;⽶酒;⾕物制蒸馏酒精饮料;葡萄酒;含⽔果酒精饮料;⾷⽤酒精;果酒（含酒精）;⽩酒</t>
  </si>
  <si>
    <t>醺怡 X</t>
  </si>
  <si>
    <t>醺怡饮品（广州）有限公司</t>
  </si>
  <si>
    <t>果酒;葡萄酒;汽酒;伏特加酒;鸡尾酒;含⽔果酒精饮料;利⼝酒;烈酒;酒精饮料（啤酒除外）;餐后酒（利⼝酒和烈酒）</t>
  </si>
  <si>
    <t>中沿</t>
  </si>
  <si>
    <t>⽩酒;⻩酒;威⼠忌;⻘稞酒;⽶酒;鸡尾酒;葡萄酒;烈酒;⽩兰地;烧酒</t>
  </si>
  <si>
    <t>秋慕思田</t>
  </si>
  <si>
    <t>当阳市民天米业有限责任公司</t>
  </si>
  <si>
    <t>⽶酒;⻩酒;露酒;烈酒（饮料）;果酒（含酒精）;⻘梅酒;葡萄酒;⽩酒;苦荞酒;酒精饮料（啤酒除外）</t>
  </si>
  <si>
    <t>百士强</t>
  </si>
  <si>
    <t>葛明明</t>
  </si>
  <si>
    <t>⽶酒;⽩酒;葡萄酒;利⼝酒;除啤酒外的酒精饮料;烈酒;烧酒;蒸煮提取物（利⼝酒和烈酒）;清酒（⽇本⽶酒）;茴⾹酒（利⼝酒）</t>
  </si>
  <si>
    <t>贵贡禧</t>
  </si>
  <si>
    <t>⽩酒;葡萄酒;鸡尾酒;烧酒;果酒;利⼝酒;清酒（⽇本⽶酒）;朗姆酒;酒精饮料（啤酒除外）;开胃酒</t>
  </si>
  <si>
    <t>沥清花</t>
  </si>
  <si>
    <t>蜂蜜酒;⽩酒;葡萄酒;烧酒;⻩酒;烈酒（饮料）;威⼠忌;酒精饮料（啤酒除外）;⽶酒;果酒（含酒精）</t>
  </si>
  <si>
    <t>对饮逍遥</t>
  </si>
  <si>
    <t>游小强</t>
  </si>
  <si>
    <t>烈酒;清酒（⽇本⽶酒）;汽酒;果酒（含酒精）;葡萄酒;酒精饮料（啤酒除外）;⽩酒;蒸馏饮料;威⼠忌;⽶酒</t>
  </si>
  <si>
    <t>丙乾太和号</t>
  </si>
  <si>
    <t>贵州钓台御供酒业有限公司</t>
  </si>
  <si>
    <t>⽶酒;蒸馏饮料;葡萄酒;烈酒（饮料）;果酒（含酒精）;餐后酒（利⼝酒和烈酒）;露酒;⾕物制蒸馏酒精饮料;苦荞酒;⽩酒</t>
  </si>
  <si>
    <t>贵窖绵</t>
  </si>
  <si>
    <t>朗姆酒;酒精饮料（啤酒除外）;⽩酒;利⼝酒;烧酒;开胃酒;果酒;鸡尾酒;清酒（⽇本⽶酒）;葡萄酒</t>
  </si>
  <si>
    <t>酒 匠小酣</t>
  </si>
  <si>
    <t>贵州拓方弘酒业有限公司</t>
  </si>
  <si>
    <t>果酒;⻩酒;预先混合的酒精饮料（以啤酒为主的除外）;⽩兰地;鸡尾酒;含⽔果酒精饮料;⽩酒;烧酒;葡萄酒;⽶酒</t>
  </si>
  <si>
    <t>越野千里</t>
  </si>
  <si>
    <t>邱林</t>
  </si>
  <si>
    <t>⽩酒;含⽔果酒精饮料;⻘稞酒;⻩酒;鸡尾酒;开胃酒;烈性⼲酒;酒精饮料（啤酒除外）;⽶酒;⽩兰地</t>
  </si>
  <si>
    <t>弟子归</t>
  </si>
  <si>
    <t>李金顺</t>
  </si>
  <si>
    <t>⽶酒;蒸馏饮料;酒精饮料（啤酒除外）;鸡尾酒;烈酒（饮料）;⽩酒;葡萄酒;烧酒;⻩酒;果酒（含酒精）</t>
  </si>
  <si>
    <t>葡萄酒;酒精饮料（啤酒除外）;⻩酒;苦荞酒;果酒（含酒精）;烈酒（饮料）;⽩酒;⻘梅酒;⽶酒;露酒</t>
  </si>
  <si>
    <t>九州途</t>
  </si>
  <si>
    <t>缪洪开</t>
  </si>
  <si>
    <t>⾷⽤酒精;蒸煮提取物（利⼝酒和烈酒）;开胃酒;葡萄酒;果酒（含酒精）;烧酒;⽩酒;烈酒（饮料）;⽶酒;含⽔果酒精饮料</t>
  </si>
  <si>
    <t>雄轩酒庄 XIONGXUAN</t>
  </si>
  <si>
    <t>深圳市雄轩国际酒业有限公司</t>
  </si>
  <si>
    <t>鸡尾酒;利⼝酒;酒精饮料（啤酒除外）;⽩兰地;含⽔果酒精饮料;果酒（含酒精）;烈酒（饮料）;汽酒;威⼠忌;葡萄酒</t>
  </si>
  <si>
    <t>九里屯</t>
  </si>
  <si>
    <t>沈阳市清圣酒业有限公司</t>
  </si>
  <si>
    <t>葡萄酒;⽩兰地;威⼠忌;⻩酒;含⽔果酒精饮料;鸡尾酒;⽶酒;⽩酒;蒸馏饮料;果酒（含酒精）</t>
  </si>
  <si>
    <t>中舀</t>
  </si>
  <si>
    <t>⻘稞酒;⻩酒;葡萄酒;烧酒;威⼠忌;鸡尾酒;烈酒;⽩酒;⽩兰地;⽶酒</t>
  </si>
  <si>
    <t>此曲君品</t>
  </si>
  <si>
    <t>徐冬梅</t>
  </si>
  <si>
    <t>伏特加酒;开胃酒;⽩葡萄酒;利⼝酒;果酒（含酒精）;朗姆酒;烈酒;威⼠忌;⽩酒;⾼粱酒</t>
  </si>
  <si>
    <t>你家友喜</t>
  </si>
  <si>
    <t>重庆福亿文化传媒有限公司</t>
  </si>
  <si>
    <t>由⾕物蒸馏的⽩酒;⽩酒;⽩⼲酒（中国⽩酒）;含酒精的饮料（啤酒除外）</t>
  </si>
  <si>
    <t>景田</t>
  </si>
  <si>
    <t>景田（深圳）食品饮料集团有限公司</t>
  </si>
  <si>
    <t>开胃酒;鸡尾酒;汽酒;⾷⽤酒精;⽩兰地;⽶酒;烧酒;⻩酒;葡萄酒;苹果酒</t>
  </si>
  <si>
    <t>新疆兰泵节能科技有限公司</t>
  </si>
  <si>
    <t>汽酒;葡萄酒;预先混合的酒精饮料（以啤酒为主的除外）;⽩酒;含⽔果酒精饮料;果酒（含酒精）;烈酒（饮料）;酸酒（低等葡萄酒）;⻘稞酒;蜂蜜酒</t>
  </si>
  <si>
    <t>三井鑫宇</t>
  </si>
  <si>
    <t>李朋</t>
  </si>
  <si>
    <t>烧酒;⽩酒;清酒;⾷⽤酒精;汽酒;酒精饮料（啤酒除外）;预先混合的酒精饮料（以啤酒为主的除外）;烈酒（饮料）;⽼酒（中国蒸馏烈酒）;果酒（含酒精）</t>
  </si>
  <si>
    <t>泰祖烧坊</t>
  </si>
  <si>
    <t>贵州中心酿酒集团有限公司</t>
  </si>
  <si>
    <t>果酒（含酒精）;开胃酒;酒精饮料（啤酒除外）;烈酒（饮料）;⽶酒;利⼝酒;清酒（⽇本⽶酒）;⽩酒;葡萄酒;蒸馏饮料</t>
  </si>
  <si>
    <t>H2A</t>
  </si>
  <si>
    <t>秋暝科技（天津）有限公司</t>
  </si>
  <si>
    <t>含酒精的⽓泡⽔;⻩酒;烈酒（饮料）;蒸馏饮料;⾕物制蒸馏酒精饮料;蜂蜜酒;果酒（含酒精）;⽶酒;⽩酒;酒精饮料（啤酒除外）</t>
  </si>
  <si>
    <t>满上粤</t>
  </si>
  <si>
    <t>⽩酒;清酒（⽇本⽶酒）;蒸馏饮料;⾷⽤酒精;酒精饮料（啤酒除外）;葡萄酒;汽酒;果酒（含酒精）;烈酒（饮料）;⽶酒</t>
  </si>
  <si>
    <t>菏成</t>
  </si>
  <si>
    <t>菏泽轩台酒业有限公司</t>
  </si>
  <si>
    <t>⽶酒;葡萄酒;⻩酒;烈酒（饮料）;果酒;清酒;烧酒;果酒（含酒精）;苹果酒;⽩酒</t>
  </si>
  <si>
    <t>聚宝福五福临门</t>
  </si>
  <si>
    <t>开胃酒;葡萄酒;清酒（⽇本⽶酒）;含⽔果酒精饮料;以葡萄酒为主的饮料;餐后酒（利⼝酒和烈酒）;果酒（含酒精）;鸡尾酒;⽩酒;⽶酒</t>
  </si>
  <si>
    <t>ECZEND</t>
  </si>
  <si>
    <t>何风伟中</t>
  </si>
  <si>
    <t>果酒（含酒精）;烧酒;鸡尾酒;利⼝酒;含⽔果酒精饮料;⽩酒;葡萄酒;威⼠忌;蒸馏饮料;⽶酒</t>
  </si>
  <si>
    <t>⽩酒;果酒（含酒精）;⽶酒;葡萄酒;烧酒;清酒;⻩酒;⽩兰地;汽酒;利⼝酒</t>
  </si>
  <si>
    <t>黔粮华</t>
  </si>
  <si>
    <t>清酒（⽇本⽶酒）;朗姆酒;⽩酒;葡萄酒;利⼝酒;鸡尾酒;开胃酒;酒精饮料（啤酒除外）;烧酒;果酒</t>
  </si>
  <si>
    <t>黄鹤湖 雁落樱堤</t>
  </si>
  <si>
    <t>烧酒;蒸馏饮料;汽酒;⽩酒;⽶酒;酒精饮料（啤酒除外）;葡萄酒;烈酒;果酒;利⼝酒</t>
  </si>
  <si>
    <t>回龙露华春</t>
  </si>
  <si>
    <t>何万前</t>
  </si>
  <si>
    <t>酒精饮料（啤酒除外）;蒸馏饮料;含⽔果酒精饮料;⽩酒;⾷⽤酒精;烧酒;汽酒;⻩酒;葡萄酒;⻘稞酒</t>
  </si>
  <si>
    <t>绿豆妈妈</t>
  </si>
  <si>
    <t>深圳摩比电子商务有限公司</t>
  </si>
  <si>
    <t>开胃酒;亚⼒酒;酒精饮料（啤酒除外）;⽶酒;含⽔果酒精饮料;葡萄酒;⽩酒;⻩酒;烧酒;果酒（含酒精）</t>
  </si>
  <si>
    <t>马臻太守</t>
  </si>
  <si>
    <t>浙江澎湃酒业有限公司</t>
  </si>
  <si>
    <t>烧酒;葡萄酒;烈酒（饮料）;鸡尾酒;⽢蔗制烈酒;⻩酒;⽩酒;果酒（含酒精）;⽶酒;酒精饮料（啤酒除外）</t>
  </si>
  <si>
    <t>绢马古道</t>
  </si>
  <si>
    <t>果酒（含酒精）;⻩酒;汽酒;葡萄酒;酒精饮料原汁;酒精饮料（啤酒除外）;⽩酒;⽶酒;清酒;⾷⽤酒精</t>
  </si>
  <si>
    <t>秦册</t>
  </si>
  <si>
    <t>李朝俊</t>
  </si>
  <si>
    <t>⽶酒;⻩酒;果酒;清酒;⽩⼲酒（中国⽩酒）;烧酒;⽩酒;露酒;⾼粱酒;果酒（含酒精）</t>
  </si>
  <si>
    <t>多福清花</t>
  </si>
  <si>
    <t>⽩酒;由⾕物蒸馏的⽩酒;露酒;⾼粱酒;⽼酒（中国蒸馏烈酒）;烧酒;烈酒（饮料）;烧酒（烈酒）;⽩⼲酒（中国⽩酒）;果酒（含酒精）</t>
  </si>
  <si>
    <t>沈州盛世</t>
  </si>
  <si>
    <t>辽宁沈州盛世医药有限公司</t>
  </si>
  <si>
    <t>清酒;烧酒（烈酒）;⽶酒;⽩酒;⾼粱酒;烧酒;⽩⼲酒（中国⽩酒）;果酒（含酒精）;⽼酒（中国蒸馏烈酒）;威⼠忌</t>
  </si>
  <si>
    <t>⻘梅酒;果酒（含酒精）;烈酒（饮料）;葡萄酒;⻩酒;露酒;酒精饮料（啤酒除外）;苦荞酒;⽶酒;⽩酒</t>
  </si>
  <si>
    <t>宗补堂</t>
  </si>
  <si>
    <t>黄丽治</t>
  </si>
  <si>
    <t>梅酒;葡萄酒;薄荷酒;⽶酒;露酒;果酒;清酒;⻩酒;开胃酒;⽩酒</t>
  </si>
  <si>
    <t>槿梅</t>
  </si>
  <si>
    <t>⾕物制蒸馏酒精饮料;⾷⽤酒精;蜂蜜酒;⻘稞酒;烧酒;苹果酒;⽩酒;樱桃酒;⽶酒;果酒（含酒精）</t>
  </si>
  <si>
    <t>喜禄多</t>
  </si>
  <si>
    <t>宜宾李庄陆海宾酒业集团有限公司</t>
  </si>
  <si>
    <t>酒精饮料（啤酒除外）;⽶酒;烈酒;鸡尾酒;⽩酒;⽼酒（中国蒸馏烈酒）;果酒（含酒精）;开胃酒;葡萄酒;汽酒</t>
  </si>
  <si>
    <t>酉聃神</t>
  </si>
  <si>
    <t>杨浩康</t>
  </si>
  <si>
    <t>⻩酒;⻘稞酒;含酒精⽔果饮料;⽶酒;⽩酒;含酒精的⽓泡⽔;果酒（含酒精）;以葡萄酒为主的饮料;果酒;薄荷酒</t>
  </si>
  <si>
    <t>福入家</t>
  </si>
  <si>
    <t>关龙</t>
  </si>
  <si>
    <t>清酒;⻩酒;威⼠忌;果酒（含酒精）;酒精饮料（啤酒除外）;葡萄酒;⽩兰地;⽩酒;鸡尾酒</t>
  </si>
  <si>
    <t>葛里葛气</t>
  </si>
  <si>
    <t>湖北葛娃食品有限公司</t>
  </si>
  <si>
    <t>樱桃酒;⽶酒;⻩酒;梅酒;甜酒;清酒;果酒;开胃酒;葡萄酒;⽩酒</t>
  </si>
  <si>
    <t>新气象 酒</t>
  </si>
  <si>
    <t>罗庆淮</t>
  </si>
  <si>
    <t>⽩酒;开胃酒;含⽔果酒精饮料;烧酒;葡萄酒;酒精饮料浓缩汁;酒精饮料（啤酒除外）;⽶酒;⻩酒;酒精饮料原汁</t>
  </si>
  <si>
    <t>炀熙</t>
  </si>
  <si>
    <t>海南炀熙科技有限公司</t>
  </si>
  <si>
    <t>⽶酒;鸡尾酒;威⼠忌;葡萄酒;果酒（含酒精）;开胃酒;清酒（⽇本⽶酒）;⽩酒;⻩酒;酒精饮料（啤酒除外）</t>
  </si>
  <si>
    <t>路丰实业（海南）有限公司</t>
  </si>
  <si>
    <t>威⼠忌;薄荷酒;葡萄酒;樱桃酒;⽩酒;⻩酒;果酒（含酒精）;苹果酒;⽶酒;鸡尾酒</t>
  </si>
  <si>
    <t>靓丽后套</t>
  </si>
  <si>
    <t>内蒙古魅力北粮仓酒业有限公司</t>
  </si>
  <si>
    <t>⻘稞酒;蒸馏饮料;蜂蜜酒;⻩酒;樱桃酒;⽶酒;⽩酒;含⽔果酒精饮料;苹果酒;烧酒</t>
  </si>
  <si>
    <t>美茹诗</t>
  </si>
  <si>
    <t>上海酒来缘酒业有限公司</t>
  </si>
  <si>
    <t>清酒;甜酒;果酒;⽩酒;烈酒;⽶酒;红葡萄酒;葡萄酒;烧酒;⻩酒</t>
  </si>
  <si>
    <t>盛福清花</t>
  </si>
  <si>
    <t>⽩酒;烈酒（饮料）;⾼粱酒;⽼酒（中国蒸馏烈酒）;烧酒（烈酒）;果酒（含酒精）;露酒;由⾕物蒸馏的⽩酒;⽩⼲酒（中国⽩酒）;烧酒</t>
  </si>
  <si>
    <t>兴梦缘</t>
  </si>
  <si>
    <t>山东吉欧商贸有限公司</t>
  </si>
  <si>
    <t>果酒;鸡尾酒;葡萄酒;果酒（含酒精）;⽶酒;⽩兰地;烧酒;烈酒（饮料）;亚⼒酒;⽩酒</t>
  </si>
  <si>
    <t>古黔囍</t>
  </si>
  <si>
    <t>利⼝酒;⽩酒;葡萄酒;清酒（⽇本⽶酒）;果酒;烧酒;朗姆酒;鸡尾酒;开胃酒;酒精饮料（啤酒除外）</t>
  </si>
  <si>
    <t>荡清花</t>
  </si>
  <si>
    <t>葡萄酒;威⼠忌;酒精饮料（啤酒除外）;⽶酒;⽩酒;烧酒;⻩酒;果酒（含酒精）;烈酒（饮料）;蜂蜜酒</t>
  </si>
  <si>
    <t>碧台裕</t>
  </si>
  <si>
    <t>姚加义</t>
  </si>
  <si>
    <t>含⽔果酒精饮料;烧酒;威⼠忌;烈酒（饮料）;⽩酒;鸡尾酒;清酒;果酒（含酒精）;蒸馏饮料;酒精饮料原汁</t>
  </si>
  <si>
    <t>巳喜</t>
  </si>
  <si>
    <t>任盼</t>
  </si>
  <si>
    <t>果酒（含酒精）;调制好的葡萄酒鸡尾酒;含酒精⽔果饮料;以朗姆酒为主的饮料;酒精饮料（啤酒除外）;蒸煮提取物（利⼝酒和烈酒）;利⼝酒;⽩酒;含酒精的鸡尾酒混合饮品;含⽔果酒精饮料</t>
  </si>
  <si>
    <t>状曲</t>
  </si>
  <si>
    <t>贵州省状曲酒业有限公司</t>
  </si>
  <si>
    <t>烧酒;⽩酒;⻩酒;清酒（⽇本⽶酒）;葡萄酒;⾕物制蒸馏酒精饮料;⾼粱酒;果酒;果酒（含酒精）;⽶酒</t>
  </si>
  <si>
    <t>犟贺台</t>
  </si>
  <si>
    <t>贵州匠贺酒业有限公司</t>
  </si>
  <si>
    <t>蒸馏饮料;柑⾹酒;利⼝酒;烈酒（饮料）;葡萄酒;⽶酒;⽩酒;⾕物制蒸馏酒精饮料;⾷⽤酒精;⽩兰地</t>
  </si>
  <si>
    <t>陈太本</t>
  </si>
  <si>
    <t>⽩酒;鸡尾酒;⻩酒;⽢蔗制烈酒;葡萄酒;烈酒（饮料）;酒精饮料（啤酒除外）;果酒（含酒精）;⽶酒;烧酒</t>
  </si>
  <si>
    <t>中山火炬开发区卡尔酒庄</t>
  </si>
  <si>
    <t>⽩酒;⽩葡萄酒;鸡尾酒;甜酒;红葡萄酒;酒精饮料（啤酒除外）;清酒;果酒;⽩兰地;蜂蜜酒</t>
  </si>
  <si>
    <t>BACAFFINE</t>
  </si>
  <si>
    <t>⽩酒;红葡萄酒;鸡尾酒;⽩兰地;⽩葡萄酒;蜂蜜酒;酒精饮料（啤酒除外）;清酒;甜酒;果酒</t>
  </si>
  <si>
    <t>宛乡泉</t>
  </si>
  <si>
    <t>酒精饮料（啤酒除外）;⽩酒;烧酒;烧酒（烈酒）;⽶酒;酒精饮料原汁;⾷⽤酒精;⾼粱酒;⻩酒;果酒（含酒精）</t>
  </si>
  <si>
    <t>斯巴盖蒂</t>
  </si>
  <si>
    <t>济南有好货品牌管理有限公司</t>
  </si>
  <si>
    <t>甜酒;梅酒;果酒（含酒精）;⽩酒;含⽔果酒精饮料;预先混合的酒精饮料（以啤酒为主的除外）;汽酒;朗姆酒;含酒精⽔果饮料;酒精饮料（啤酒除外）</t>
  </si>
  <si>
    <t>胤腾开心鸭</t>
  </si>
  <si>
    <t>高慧娟</t>
  </si>
  <si>
    <t>含⽔果酒精饮料;⽶酒;汽酒;⽩酒;酒精饮料原汁;朗姆酒;⻩酒;葡萄酒;烈酒（饮料）;果酒（含酒精）</t>
  </si>
  <si>
    <t>大瓷坊慢酿</t>
  </si>
  <si>
    <t>⽩酒;烧酒;烈酒;露酒;⾼粱酒;汽酒;⽶酒;⻩酒;清酒;果酒</t>
  </si>
  <si>
    <t>古黔父</t>
  </si>
  <si>
    <t>孙秋艳</t>
  </si>
  <si>
    <t>开胃酒;利⼝酒;葡萄酒;清酒（⽇本⽶酒）;烧酒;⽩酒;鸡尾酒;酒精饮料（啤酒除外）;朗姆酒;果酒</t>
  </si>
  <si>
    <t>樽鸣</t>
  </si>
  <si>
    <t>湖南全人教育科技集团有限公司</t>
  </si>
  <si>
    <t>葡萄酒;含酒精的⽔果鸡尾酒饮料;果酒（含酒精）;⽩酒;⽶酒;⽩兰地;酒精饮料（啤酒除外）;咖啡利⼝酒;烈酒（饮料）;烧酒（烈酒）</t>
  </si>
  <si>
    <t>翰墨春</t>
  </si>
  <si>
    <t>保定戊己坊酒业有限公司</t>
  </si>
  <si>
    <t>⾼粱酒;葡萄酒;⽩酒;⽼酒（中国蒸馏烈酒）;果酒;露酒;烧酒;⻩酒;⽶酒;⻘稞酒</t>
  </si>
  <si>
    <t>皇养堂</t>
  </si>
  <si>
    <t>河南盛之源生物科技有限公司</t>
  </si>
  <si>
    <t>酒精饮料（啤酒除外）;烧酒;果酒（含酒精）;⻩酒;烈酒（饮料）;葡萄酒;清酒（⽇本⽶酒）;⽩酒;⽶酒;鸡尾酒</t>
  </si>
  <si>
    <t>采默王</t>
  </si>
  <si>
    <t>深圳市伟达酒业有限公司</t>
  </si>
  <si>
    <t>葡萄酒;鸡尾酒;烧酒;威⼠忌;⽩兰地;伏特加酒;⽩酒;果酒（含酒精）;开胃酒;朗姆酒</t>
  </si>
  <si>
    <t>广龙昌</t>
  </si>
  <si>
    <t>南阳庞大商贸有限公司</t>
  </si>
  <si>
    <t>⽩酒;葡萄酒;果酒;清酒（⽇本⽶酒）;⽶酒;⻩酒;鸡尾酒;烧酒;酒精饮料（啤酒除外）;烈酒（饮料）</t>
  </si>
  <si>
    <t>浅加农市</t>
  </si>
  <si>
    <t>浅加农市（广州）贸易有限公司</t>
  </si>
  <si>
    <t>⽶酒;汽酒;⻩酒;⽩酒;烧酒;酒精饮料（啤酒除外）;含酒精的⽓泡⽔;果酒（含酒精）;鸡尾酒;葡萄酒</t>
  </si>
  <si>
    <t>⽶酒;含酒精⽔果饮料;甜酒;烈性⼲酒;⾷⽤酒精;⾼粱酒;葡萄酒;⻩酒;⽩⼲酒（中国⽩酒）;⽩酒</t>
  </si>
  <si>
    <t>六桥六酒</t>
  </si>
  <si>
    <t>葡萄酒;果酒（含酒精）;酒精饮料（啤酒除外）;烧酒;鸡尾酒;⽶酒;⽢蔗制烈酒;烈酒（饮料）;⽩酒;⻩酒</t>
  </si>
  <si>
    <t>精缸</t>
  </si>
  <si>
    <t>陆益仙</t>
  </si>
  <si>
    <t>酒精饮料（啤酒除外）;鸡尾酒;烈酒;⽶酒;烧酒;⻩酒;葡萄酒;果酒;露酒;⽩酒</t>
  </si>
  <si>
    <t>深圳市伍杰樽品酒业有限公司</t>
  </si>
  <si>
    <t>⽩酒;烈酒;⽶酒;烧酒;烧酒（烈酒）;甜酒;苦荞酒;红葡萄酒;⻘稞酒;果酒</t>
  </si>
  <si>
    <t>壹鸣岛</t>
  </si>
  <si>
    <t>辽参经营管理（大连）集团有限公司</t>
  </si>
  <si>
    <t>烧酒;红葡萄酒;烈酒;葡萄酒;果酒（含酒精）;酒精饮料（啤酒除外）;⽩兰地;⽩酒;鸡尾酒;威⼠忌</t>
  </si>
  <si>
    <t>黄鹤湖 逆风而冠</t>
  </si>
  <si>
    <t>葡萄酒;果酒;蒸馏饮料;利⼝酒;⽶酒;烈酒;烧酒;⽩酒;汽酒;酒精饮料（啤酒除外）</t>
  </si>
  <si>
    <t>东方烙印</t>
  </si>
  <si>
    <t>新疆金窖尚品酒业有限责任公司</t>
  </si>
  <si>
    <t>⽩酒;酒精饮料（啤酒除外）;烧酒;烈酒（饮料）;汽酒;蒸馏饮料;果酒（含酒精）;鸡尾酒;葡萄酒;⾕物制蒸馏酒精饮料</t>
  </si>
  <si>
    <t>贵州麦特熙和商业管理（集团）有限公司</t>
  </si>
  <si>
    <t>果酒（含酒精）;威⼠忌;⽶酒;酒精饮料（啤酒除外）;蜂蜜酒;⽩酒;葡萄酒;⻩酒;⽩兰地;⾷⽤酒精</t>
  </si>
  <si>
    <t>巴迪乐</t>
  </si>
  <si>
    <t>海口至郑投资有限公司</t>
  </si>
  <si>
    <t>葡萄酒;⽶酒;⻩酒;蒸馏饮料;⽩酒;果酒;酒精饮料（啤酒除外）;含⽔果酒精饮料;威⼠忌;甜果酒</t>
  </si>
  <si>
    <t>御光头</t>
  </si>
  <si>
    <t>中山市小榄镇皇庭世家制衣厂</t>
  </si>
  <si>
    <t>威⼠忌;预调甜酒;葡萄酒;烧酒;⾼粱酒;⽶酒;⻩酒;⽩酒;五加⽪酒（中国混合烈酒）;⽼酒（中国蒸馏烈酒）</t>
  </si>
  <si>
    <t>MEASUETAY</t>
  </si>
  <si>
    <t>广东宏健医疗器械有限公司</t>
  </si>
  <si>
    <t>烈酒（饮料）;葡萄酒;开胃酒;蒸馏饮料;烧酒;⽩酒;果酒;酒精饮料（啤酒除外）;⽶酒;清酒</t>
  </si>
  <si>
    <t>贵美千玺道</t>
  </si>
  <si>
    <t>贵州贵美投资有限公司</t>
  </si>
  <si>
    <t>甜果酒;⻩酒;⽼酒（中国蒸馏烈酒）;⽶酒;⽩酒;清酒;甜酒;⽩⼲酒（中国⽩酒）;⾼粱酒;蒸馏⽶酒（泡盛酒）</t>
  </si>
  <si>
    <t>守渡老</t>
  </si>
  <si>
    <t>贵州省仁怀市守度酒业有限公司</t>
  </si>
  <si>
    <t>⾕物制蒸馏酒精饮料;苹果酒;葡萄酒;露酒;烈酒（饮料）;蒸馏饮料;⽩酒;⽶酒;餐后酒（利⼝酒和烈酒）;果酒（含酒精）</t>
  </si>
  <si>
    <t>圣贤三立</t>
  </si>
  <si>
    <t>贵州供匠酒业有限公司</t>
  </si>
  <si>
    <t>甜果酒;梅酒;⻘稞酒;甜酒;葡萄酒;烧酒;果酒;⽶酒;开胃酒;⽩酒</t>
  </si>
  <si>
    <t>小蓝邻</t>
  </si>
  <si>
    <t>浙江诚梦实业发展有限公司</t>
  </si>
  <si>
    <t>⽩兰地;⽶酒;⽩酒;开胃酒;⻩酒;伏特加酒;烧酒;鸡尾酒;威⼠忌;葡萄酒</t>
  </si>
  <si>
    <t>墘江南</t>
  </si>
  <si>
    <t>吴荣平</t>
  </si>
  <si>
    <t>烧酒;蒸馏饮料;酒精饮料（啤酒除外）;果酒;清酒（⽇本⽶酒）;⽩酒;⻩酒;⽶酒;⽩兰地;葡萄酒</t>
  </si>
  <si>
    <t>星银布鲁</t>
  </si>
  <si>
    <t>上海落蓝科技有限公司</t>
  </si>
  <si>
    <t>伏特加酒;利⼝酒;清酒（⽇本⽶酒）;⽶酒;威⼠忌;⽩酒;烈酒（饮料）;红葡萄酒;鸡尾酒;果酒</t>
  </si>
  <si>
    <t>埃多尔 BU JIA DI</t>
  </si>
  <si>
    <t>烈酒（饮料）;露酒;⾕物制蒸馏酒精饮料;餐后酒（利⼝酒和烈酒）;⽶酒;⽩酒;苹果酒;葡萄酒;蒸馏饮料;果酒（含酒精）</t>
  </si>
  <si>
    <t>芭蕉井</t>
  </si>
  <si>
    <t>徐晓彬</t>
  </si>
  <si>
    <t>烧酒;酒精饮料（啤酒除外）;⾷⽤酒精;葡萄酒;利⼝酒;烈酒（饮料）;⽶酒;开胃酒;果酒（含酒精）;蒸馏饮料</t>
  </si>
  <si>
    <t>心薯莲城</t>
  </si>
  <si>
    <t>福建冠豸山现代农业发展有限公司</t>
  </si>
  <si>
    <t>威⼠忌;⽩酒;⽶酒;蒸煮提取物（利⼝酒和烈酒）;鸡尾酒;酒精饮料（啤酒除外）;烧酒;果酒（含酒精）;甜酒;清酒（⽇本⽶酒）</t>
  </si>
  <si>
    <t>中酒善言</t>
  </si>
  <si>
    <t>北京中酒世纪国际商贸有限公司</t>
  </si>
  <si>
    <t>⽩⼲酒（中国⽩酒）;⽩酒;烧酒;清酒;杨梅酒;葡萄酒;利⼝酒;⽶酒;由⾕物蒸馏的⽩酒;⻘稞酒</t>
  </si>
  <si>
    <t>铭小子系列</t>
  </si>
  <si>
    <t>大连方通实业发展有限公司</t>
  </si>
  <si>
    <t>烈酒（饮料）;鸡尾酒;⽶酒;⽩酒;⾕物制蒸馏酒精饮料;⽩兰地;酒精饮料原汁;果酒（含酒精）;蒸馏饮料;葡萄酒</t>
  </si>
  <si>
    <t>橙宫好日子</t>
  </si>
  <si>
    <t>江西橙宫酒业有限公司</t>
  </si>
  <si>
    <t>⽩酒;烧酒;⻩酒;葡萄酒;鸡尾酒;烈酒（饮料）;开胃酒;含⽔果酒精饮料;酒精饮料（啤酒除外）;⽶酒</t>
  </si>
  <si>
    <t>君若善</t>
  </si>
  <si>
    <t>田光伍</t>
  </si>
  <si>
    <t>烈酒（饮料）;⽩兰地;⾕物制蒸馏酒精饮料;烧酒;⽶酒;酒精饮料（啤酒除外）;⻘稞酒;⾷⽤酒精;⻩酒;⽩酒</t>
  </si>
  <si>
    <t>JEAN CHARTRON</t>
  </si>
  <si>
    <t>夏尔桐酒庄</t>
  </si>
  <si>
    <t>陶坛坤</t>
  </si>
  <si>
    <t>果酒（含酒精）;⽶酒;⽩葡萄酒;伏特加酒;⻘稞酒;清酒（⽇本⽶酒）;⾼粱酒;朗姆酒;烧酒;⽩酒</t>
  </si>
  <si>
    <t>付屯潘老三</t>
  </si>
  <si>
    <t>哈尔滨酷星文化传媒有限公司</t>
  </si>
  <si>
    <t>果酒（含酒精）;烧酒;酒精饮料（啤酒除外）;汽酒;⽶酒;⽩酒;餐后酒（利⼝酒和烈酒）;⾷⽤酒精;开胃酒;⻩酒</t>
  </si>
  <si>
    <t>焱留香</t>
  </si>
  <si>
    <t>深圳市赢露进出口有限公司</t>
  </si>
  <si>
    <t>果酒;清酒;⽶酒;葡萄酒;⽩酒;预先混合的酒精饮料（以啤酒为主的除外）;烧酒;鸡尾酒;威⼠忌;⽩兰地</t>
  </si>
  <si>
    <t>黑鹰东方</t>
  </si>
  <si>
    <t>⾼粱酒;鸡尾酒;蒸馏饮料;葡萄酒;⽼酒（中国蒸馏烈酒）;烈酒;果酒（含酒精）;威⼠忌;⽩酒;⻩酒</t>
  </si>
  <si>
    <t>柯西</t>
  </si>
  <si>
    <t>柯西（广州）商业服务有限责任公司</t>
  </si>
  <si>
    <t>鸡尾酒;杜松⼦酒;⽩兰地;葡萄酒;威⼠忌;伏特加酒;⽩酒;果酒（含酒精）;利⼝酒;朗姆酒</t>
  </si>
  <si>
    <t>吉泉稔子</t>
  </si>
  <si>
    <t>湛江市坡头区万宝酒业有限公司</t>
  </si>
  <si>
    <t>汽酒;威⼠忌;鸡尾酒;⽶酒;蒸馏饮料;果酒（含酒精）;⻩酒;⽩兰地;葡萄酒;酒精饮料（啤酒除外）</t>
  </si>
  <si>
    <t>厨邦 CHEFBON</t>
  </si>
  <si>
    <t>广东美味鲜调味食品有限公司</t>
  </si>
  <si>
    <t>蒸煮提取物（利⼝酒和烈酒）;酒精饮料（啤酒除外）;⻩酒;果酒（含酒精）;⽩酒;⽶酒;⾕物制蒸馏酒精饮料;酒精饮料浓缩汁;⾷⽤酒精;清酒（⽇本⽶酒）</t>
  </si>
  <si>
    <t>粤宗族</t>
  </si>
  <si>
    <t>费裕康</t>
  </si>
  <si>
    <t>烧酒;⽩酒;⻩酒;清酒;酒精饮料（啤酒除外）;甜果酒;⽩⼲酒（中国⽩酒）;葡萄酒;果酒（含酒精）;烈酒（饮料）</t>
  </si>
  <si>
    <t>水印梦蓝匠之梦</t>
  </si>
  <si>
    <t>宁波至远文化发展有限公司</t>
  </si>
  <si>
    <t>开胃酒;烈酒（饮料）;葡萄酒;⽩酒;含⽔果酒精饮料</t>
  </si>
  <si>
    <t>瑞霖鸿</t>
  </si>
  <si>
    <t>泸州市鑫鸿兴高速公路服务区经营管理有限公司</t>
  </si>
  <si>
    <t>⽩酒;烈酒（饮料）;⾼粱酒;蒸煮提取物（利⼝酒和烈酒）;果酒（含酒精）;⽩⼲酒（中国⽩酒）;⾕物制蒸馏酒精饮料;由⾕物蒸馏的⽩酒;酒精饮料原汁;烧酒</t>
  </si>
  <si>
    <t>天惠元明</t>
  </si>
  <si>
    <t>淮北乾之隆酒业有限公司</t>
  </si>
  <si>
    <t>⽼酒（中国蒸馏烈酒）;清酒;⾷⽤酒精;⽩酒;⾼粱酒;烧酒;露酒;烈酒;烈酒（饮料）;烈性⼲酒</t>
  </si>
  <si>
    <t>泸佬官</t>
  </si>
  <si>
    <t>杨春山</t>
  </si>
  <si>
    <t>⽩酒;烈酒（饮料）;烧酒;鸡尾酒;⻩酒;威⼠忌;开胃酒;蜂蜜酒;⻘稞酒;清酒（⽇本⽶酒）</t>
  </si>
  <si>
    <t>蔬谱</t>
  </si>
  <si>
    <t>茂名市粤谱餐饮管理有限公司</t>
  </si>
  <si>
    <t>⽶酒;葡萄酒;⽩酒;⻘稞酒;烈酒（饮料）;鸡尾酒;清酒（⽇本⽶酒）;蒸馏饮料;果酒（含酒精）;⻩酒</t>
  </si>
  <si>
    <t>邑芸轩</t>
  </si>
  <si>
    <t>江门葵乡优品商贸有限公司</t>
  </si>
  <si>
    <t>塞希尔莫</t>
  </si>
  <si>
    <t>威⼠忌;鸡尾酒;葡萄酒;⽩兰地;佐餐酒;以葡萄酒为主的饮料;开胃酒;朗姆酒;果酒（含酒精）;甜果酒</t>
  </si>
  <si>
    <t>银蕊</t>
  </si>
  <si>
    <t>江阴市宝壶斋茶文化发展有限公司</t>
  </si>
  <si>
    <t>清酒;酒精饮料原汁;⽩酒;梅酒;果酒;⻩酒;鸡尾酒;葡萄酒;⽶酒;烈酒（饮料）</t>
  </si>
  <si>
    <t>恋恋芸梭</t>
  </si>
  <si>
    <t>杭州梨园春科技有限公司</t>
  </si>
  <si>
    <t>薄荷酒;含⽔果酒精饮料;烈酒（饮料）;⻘稞酒;⽩酒;⻩酒;⽶酒;餐后酒（利⼝酒和烈酒）;蜂蜜酒;烧酒</t>
  </si>
  <si>
    <t>烧酒;⽶酒;蒸煮提取物（利⼝酒和烈酒）;⽩酒;酒精饮料（啤酒除外）;清酒（⽇本⽶酒）;果酒（含酒精）;甜酒;威⼠忌;鸡尾酒</t>
  </si>
  <si>
    <t>魅银布鲁</t>
  </si>
  <si>
    <t>威⼠忌;果酒;⽶酒;⽩酒;烈酒（饮料）;利⼝酒;红葡萄酒;鸡尾酒;清酒（⽇本⽶酒）;伏特加酒</t>
  </si>
  <si>
    <t>冰银布鲁</t>
  </si>
  <si>
    <t>利⼝酒;⽶酒;红葡萄酒;伏特加酒;鸡尾酒;清酒（⽇本⽶酒）;⽩酒;果酒;烈酒（饮料）;威⼠忌</t>
  </si>
  <si>
    <t>聚宝船</t>
  </si>
  <si>
    <t>杨帅</t>
  </si>
  <si>
    <t>⽶酒;甜酒;鸡尾酒;烈酒（饮料）;酒精饮料（啤酒除外）;果酒;含酒精的饮料（啤酒除外）;葡萄酒;威⼠忌;⽩酒</t>
  </si>
  <si>
    <t>青义人和</t>
  </si>
  <si>
    <t>贵州时光煮酒新能源环保科技有限公司</t>
  </si>
  <si>
    <t>果酒（含酒精）;⽶酒;⽩酒;葡萄酒;⻩酒;⽢蔗制酒精饮料;酒精饮料原汁;烈酒（饮料）;⾷⽤酒精;⽼酒（中国蒸馏烈酒）</t>
  </si>
  <si>
    <t>环球匠香</t>
  </si>
  <si>
    <t>田应</t>
  </si>
  <si>
    <t>蒸煮提取物（利⼝酒和烈酒）;⾼粱酒;⽩酒;由⾕物蒸馏的⽩酒;威⼠忌;⽩⼲酒（中国⽩酒）;⽩兰地;烧酒（烈酒）;烈酒（饮料）;⽼酒（中国蒸馏烈酒）</t>
  </si>
  <si>
    <t>康坛誉</t>
  </si>
  <si>
    <t>王小红</t>
  </si>
  <si>
    <t>烧酒;蒸煮提取物（利⼝酒和烈酒）;⾷⽤酒精;酒精饮料浓缩汁;葡萄酒;⽩酒;果酒（含酒精）;烧酒（烈酒）;酒精饮料（啤酒除外）;⽶酒</t>
  </si>
  <si>
    <t>广州华馥甜酒业有限公司</t>
  </si>
  <si>
    <t>烈酒（饮料）;含⽔果酒精饮料;鸡尾酒;伏特加酒;酒精饮料（啤酒除外）;蒸馏饮料;预先混合的酒精饮料（以啤酒为主的除外）;利⼝酒;果酒（含酒精）;⾕物制蒸馏酒精饮料</t>
  </si>
  <si>
    <t>亚非金鸵</t>
  </si>
  <si>
    <t>中润华清（北京）新能源科技发展有限公司</t>
  </si>
  <si>
    <t>开胃酒;威⼠忌;⽩兰地;⽩酒;烧酒;预先混合的酒精饮料（以啤酒为主的除外）;鸡尾酒;果酒（含酒精）;烈酒（饮料）;酒精饮料浓缩汁</t>
  </si>
  <si>
    <t>金丝玉玛 · 练夫人</t>
  </si>
  <si>
    <t>贵州金丝玉玛酒业有限公司</t>
  </si>
  <si>
    <t>威⼠忌;果酒（含酒精）;清酒;鸡尾酒;⽶酒;烈酒（饮料）;葡萄酒;⻩酒;⽩酒;酒精饮料（啤酒除外）</t>
  </si>
  <si>
    <t>匠九关</t>
  </si>
  <si>
    <t>⾷⽤酒精;蒸馏饮料;葡萄酒;⽶酒;果酒（含酒精）;清酒（⽇本⽶酒）;烈酒（饮料）;⽩酒;酒精饮料（啤酒除外）;汽酒</t>
  </si>
  <si>
    <t>BEYERSKLOOF</t>
  </si>
  <si>
    <t>甜果酒;以葡萄酒为主的饮料;朗姆酒;开胃酒;佐餐酒;⽩兰地;果酒（含酒精）;鸡尾酒;威⼠忌;葡萄酒</t>
  </si>
  <si>
    <t>拜尔山谷</t>
  </si>
  <si>
    <t>开胃酒;威⼠忌;果酒（含酒精）;佐餐酒;鸡尾酒;葡萄酒;甜果酒;以葡萄酒为主的饮料;朗姆酒;⽩兰地</t>
  </si>
  <si>
    <t>蔚蓝布鲁</t>
  </si>
  <si>
    <t>利⼝酒;清酒（⽇本⽶酒）;烈酒（饮料）;⽩酒;果酒;威⼠忌;红葡萄酒;鸡尾酒;伏特加酒;⽶酒</t>
  </si>
  <si>
    <t>殊戎</t>
  </si>
  <si>
    <t>⻩酒;⽩酒;⾕物制蒸馏酒精饮料;苦味酒;由⾕物蒸馏的⽩酒;⽶酒;果酒（含酒精）;烧酒;烈酒（饮料）;葡萄酒</t>
  </si>
  <si>
    <t>馨海年宴</t>
  </si>
  <si>
    <t>花安堂生物科技集团有限公司</t>
  </si>
  <si>
    <t>果酒（含酒精）;甜果酒;⽩兰地;烈酒（饮料）;威⼠忌;伏特加酒;酒精饮料（啤酒除外）;含⽔果酒精饮料;蒸馏饮料;鸡尾酒</t>
  </si>
  <si>
    <t>祭德</t>
  </si>
  <si>
    <t>山西探赜索隐网络科技有限公司</t>
  </si>
  <si>
    <t>开胃酒;含⽔果酒精饮料;汽酒;⽶酒;鸡尾酒;烧酒;烈酒（饮料）;⽩酒;果酒（含酒精）;葡萄酒</t>
  </si>
  <si>
    <t>井锦顺</t>
  </si>
  <si>
    <t>广西明辰商贸有限公司</t>
  </si>
  <si>
    <t>⽶酒;⽩酒;蒸馏饮料;含⽔果酒精饮料;预先混合的酒精饮料（以啤酒为主的除外）;⾷⽤酒精;⾕物制蒸馏酒精饮料;烈酒（饮料）;酒精饮料（啤酒除外）;果酒（含酒精）</t>
  </si>
  <si>
    <t>仁美天下</t>
  </si>
  <si>
    <t>查达桥</t>
  </si>
  <si>
    <t>烧酒（烈酒）;⻩酒;露酒;⽩酒;葡萄酒;⾼粱酒;蒸馏饮料;餐后酒（利⼝酒和烈酒）;⽶酒;⽼酒（中国蒸馏烈酒）</t>
  </si>
  <si>
    <t>汇府</t>
  </si>
  <si>
    <t>河北存辉商贸有限公司</t>
  </si>
  <si>
    <t>⽶酒;烧酒;⾼粱酒;葡萄酒;果酒（含酒精）;⻩酒;预先混合的酒精饮料（以啤酒为主的除外）;酒精饮料（啤酒除外）;⽩酒;蒸煮提取物（利⼝酒和烈酒）</t>
  </si>
  <si>
    <t>谦吉堂</t>
  </si>
  <si>
    <t>葡萄酒;⽩酒;露酒;威⼠忌;果酒（含酒精）;⻘稞酒;烧酒;⽶酒;酒精饮料（啤酒除外）;⻩酒</t>
  </si>
  <si>
    <t>果酒（含酒精）;葡萄酒;⽩酒;清酒;酒精饮料（啤酒除外）;烈酒（饮料）;烧酒;⻩酒;含⽔果酒精饮料;酒精饮料原汁</t>
  </si>
  <si>
    <t>姆台</t>
  </si>
  <si>
    <t>贵州省仁怀市仁璟酒业有限公司</t>
  </si>
  <si>
    <t>⻩酒;含⽔果酒精饮料;果酒（含酒精）;⽩酒;烧酒;鸡尾酒;清酒;葡萄酒;酒精饮料（啤酒除外）;⾷⽤酒精</t>
  </si>
  <si>
    <t>逍云边</t>
  </si>
  <si>
    <t>开胃酒;烈酒（饮料）;清酒（⽇本⽶酒）;威⼠忌;⻩酒;⽩酒;鸡尾酒;⻘稞酒;蜂蜜酒;烧酒</t>
  </si>
  <si>
    <t>雅渊</t>
  </si>
  <si>
    <t>诸暨市卫浩白酒作坊</t>
  </si>
  <si>
    <t>伏特加酒;天然汽酒;⽩酒;葡萄酒;⽶酒;果酒（含酒精）;烧酒;朗姆酒;⻩酒;⽼酒（中国蒸馏烈酒）</t>
  </si>
  <si>
    <t>极帝从容</t>
  </si>
  <si>
    <t>喀什精彩文化传媒有限公司</t>
  </si>
  <si>
    <t>果酒（含酒精）;酒精饮料原汁;预先混合的酒精饮料（以啤酒为主的除外）;蒸馏饮料;⽩酒;鸡尾酒;⽶酒;烈酒（饮料）;利⼝酒;酒精饮料（啤酒除外）</t>
  </si>
  <si>
    <t>金樽晟誉</t>
  </si>
  <si>
    <t>贵州晟誉樽酒业有限公司</t>
  </si>
  <si>
    <t>⾕物制蒸馏酒精饮料;烧酒;⽶酒;⾷⽤酒精;⽩酒;⻘稞酒;预先混合的酒精饮料（以啤酒为主的除外）;汽酒;⻩酒;果酒（含酒精）</t>
  </si>
  <si>
    <t>御见观山</t>
  </si>
  <si>
    <t>枣庄市至臻致善贸易有限公司</t>
  </si>
  <si>
    <t>葡萄酒;⽶酒;苹果酒;酒精饮料（啤酒除外）;⽩酒;酒精饮料原汁;含⽔果酒精饮料;⻩酒;果酒（含酒精）;烈酒（饮料）</t>
  </si>
  <si>
    <t>北京壹策文化发展有限公司</t>
  </si>
  <si>
    <t>蜂蜜酒;杨梅酒;清酒;果酒;含酒精的⽓泡⽔;烧酒;葡萄酒;露酒</t>
  </si>
  <si>
    <t>诚星亚</t>
  </si>
  <si>
    <t>苏州缘福善商贸有限公司</t>
  </si>
  <si>
    <t>⽩酒;葡萄酒;烧酒;鸡尾酒;⽩兰地;果酒（含酒精）;⽶酒;以葡萄酒为主的饮料;酒精饮料（啤酒除外）;⻩酒</t>
  </si>
  <si>
    <t>CILMOR</t>
  </si>
  <si>
    <t>⽩兰地;甜果酒;鸡尾酒;开胃酒;以葡萄酒为主的饮料;威⼠忌;果酒（含酒精）;朗姆酒;葡萄酒;佐餐酒</t>
  </si>
  <si>
    <t>赟家人</t>
  </si>
  <si>
    <t>江苏赟鸿蓝图科技有限公司</t>
  </si>
  <si>
    <t>⽩酒;开胃酒;⽶酒;⻩酒;鸡尾酒;果酒（含酒精）;葡萄酒;蜂蜜酒;烧酒;酒精饮料（啤酒除外）</t>
  </si>
  <si>
    <t>古常离</t>
  </si>
  <si>
    <t>盛国安</t>
  </si>
  <si>
    <t>蒸馏饮料;酒精饮料（啤酒除外）;⽩酒;葡萄酒;⽶酒;酒精饮料原汁;烧酒;⾷⽤酒精;果酒（含酒精）;烈酒（饮料）</t>
  </si>
  <si>
    <t>康坛福</t>
  </si>
  <si>
    <t>酒精饮料（啤酒除外）;⽶酒;酒精饮料浓缩汁;葡萄酒;果酒（含酒精）;烧酒（烈酒）;蒸煮提取物（利⼝酒和烈酒）;⾷⽤酒精;烧酒;⽩酒</t>
  </si>
  <si>
    <t>佳岛七仙</t>
  </si>
  <si>
    <t>海南夏花酒业有限责任公司</t>
  </si>
  <si>
    <t>果酒;⽩⼲酒（中国⽩酒）;清酒;烧酒（烈酒）;⾼粱酒;烈酒;由⾕物蒸馏的⽩酒;⽶酒;露酒;烧酒</t>
  </si>
  <si>
    <t>南星洞仓九</t>
  </si>
  <si>
    <t>秦杨</t>
  </si>
  <si>
    <t>果酒（含酒精）;⾕物制蒸馏酒精饮料;烈酒（饮料）;⽶酒;葡萄酒;开胃酒;烧酒;⻩酒;⽩酒;预先混合的酒精饮料（以啤酒为主的除外）</t>
  </si>
  <si>
    <t>亲毟</t>
  </si>
  <si>
    <t>遵义绿塘河产业发展有限公司</t>
  </si>
  <si>
    <t>⽶酒;甜酒;⽩酒;⽩⼲酒（中国⽩酒）;烧酒（烈酒）;清酒;开胃酒;⽼酒（中国蒸馏烈酒）;⾼粱酒;蜂蜜酒</t>
  </si>
  <si>
    <t>彩银布鲁</t>
  </si>
  <si>
    <t>红葡萄酒;伏特加酒;利⼝酒;威⼠忌;鸡尾酒;烈酒（饮料）;⽩酒;⽶酒;清酒（⽇本⽶酒）;果酒</t>
  </si>
  <si>
    <t>雨安</t>
  </si>
  <si>
    <t>宜宾金主管商贸有限公司</t>
  </si>
  <si>
    <t>酒精饮料（啤酒除外）;烧酒;鸡尾酒;葡萄酒;威⼠忌;蒸馏饮料;⽶酒;果酒（含酒精）;烈酒（饮料）;⽩酒</t>
  </si>
  <si>
    <t>怀洛宝</t>
  </si>
  <si>
    <t>河南元林实业食品有限公司</t>
  </si>
  <si>
    <t>樱桃酒;⽶酒;⾕物制蒸馏酒精饮料;五加⽪酒（中国混合烈酒）;⽩酒;烧酒;烈酒;⻩酒;⽼酒（中国蒸馏烈酒）;葡萄酒</t>
  </si>
  <si>
    <t>LOSIONG</t>
  </si>
  <si>
    <t>泉州市鲤城荣兴购物有限公司</t>
  </si>
  <si>
    <t>含⽔果酒精饮料;杨梅酒;葡萄酒;以葡萄酒为主的饮料;⽶酒;⽩酒;威⼠忌;鸡尾酒;加烈葡萄酒;伏特加酒</t>
  </si>
  <si>
    <t>悠晟</t>
  </si>
  <si>
    <t>席斌</t>
  </si>
  <si>
    <t>伏特加酒;烈酒（饮料）;鸡尾酒;⽩酒;清酒;果酒（含酒精）;葡萄酒;威⼠忌;⽶酒;烧酒</t>
  </si>
  <si>
    <t>三晋徐沟</t>
  </si>
  <si>
    <t>山西清花人家酒业有限公司</t>
  </si>
  <si>
    <t>蒸馏饮料;利⼝酒;⽩酒;蒸煮提取物（利⼝酒和烈酒）;酒精饮料（啤酒除外）;开胃酒;梨酒;含⽔果酒精饮料;烧酒;苦味酒</t>
  </si>
  <si>
    <t>睿智诸葛亮</t>
  </si>
  <si>
    <t>鸡尾酒;⽩酒;葡萄酒;酒精饮料（啤酒除外）;⻩酒;清酒（⽇本⽶酒）;烈酒（饮料）;烧酒;⽶酒;果酒（含酒精）</t>
  </si>
  <si>
    <t>GOBAO</t>
  </si>
  <si>
    <t>广东高标智能科技股份有限公司</t>
  </si>
  <si>
    <t>蒸馏饮料;含⽔果酒精饮料;⽩酒;⾷⽤酒精;酒精饮料（啤酒除外）;烈酒（饮料）;⽶酒;烧酒;汽酒;果酒（含酒精）</t>
  </si>
  <si>
    <t>祈年囍</t>
  </si>
  <si>
    <t>崔津维（432801********6012）</t>
  </si>
  <si>
    <t>蒸馏饮料;葡萄酒;⽩⼲酒（中国⽩酒）;⽩兰地;⽩酒;⽶酒;⻩酒;烧酒;餐后酒（利⼝酒和烈酒）;威⼠忌</t>
  </si>
  <si>
    <t>貮乨坊</t>
  </si>
  <si>
    <t>林富蓉</t>
  </si>
  <si>
    <t>⽩酒;⽶酒;烧酒;葡萄酒;⻩酒;预先混合的酒精饮料（以啤酒为主的除外）;果酒;鸡尾酒;含⽔果酒精饮料;⽩兰地</t>
  </si>
  <si>
    <t>JZHK</t>
  </si>
  <si>
    <t>潍坊好景酒业有限公司</t>
  </si>
  <si>
    <t>⻩酒;果酒（含酒精）;开胃酒;葡萄酒;利⼝酒;烧酒;⽩酒;⽶酒;⽩兰地;烈酒</t>
  </si>
  <si>
    <t>浔晟</t>
  </si>
  <si>
    <t>江西浔晟食品饮料有限公司</t>
  </si>
  <si>
    <t>清酒（⽇本⽶酒）;果酒（含酒精）;⻘稞酒;⻩酒;烧酒;鸡尾酒;含⽔果酒精饮料;⽶酒;预先混合的酒精饮料（以啤酒为主的除外）;⽩酒</t>
  </si>
  <si>
    <t>妃尝朕品</t>
  </si>
  <si>
    <t>台州市星春电气科技有限公司</t>
  </si>
  <si>
    <t>蒸煮提取物（利⼝酒和烈酒）;⽩酒;⻘稞酒;⾼粱酒;威⼠忌;清酒（⽇本⽶酒）;伏特加酒;烧酒;葡萄酒;⻩酒</t>
  </si>
  <si>
    <t>墘南春</t>
  </si>
  <si>
    <t>⽶酒;烧酒;蒸馏饮料;葡萄酒;清酒（⽇本⽶酒）;⻩酒;酒精饮料（啤酒除外）;果酒;⽩兰地;⽩酒</t>
  </si>
  <si>
    <t>此中福</t>
  </si>
  <si>
    <t>张山标</t>
  </si>
  <si>
    <t>果酒（含酒精）;⽩酒;⽶酒;葡萄酒;伏特加酒;清酒;甜酒;梅酒;⻩酒;朗姆酒</t>
  </si>
  <si>
    <t>尊宾如意</t>
  </si>
  <si>
    <t>⽩兰地;酒精饮料（啤酒除外）;梅酒;露酒;⾕物制蒸馏酒精饮料;⽩酒;⽼酒（中国蒸馏烈酒）;⾼粱酒;葡萄酒;威⼠忌</t>
  </si>
  <si>
    <t>赐柔匠</t>
  </si>
  <si>
    <t>刘春叶</t>
  </si>
  <si>
    <t>预先混合的酒精饮料（以啤酒为主的除外）;果酒（含酒精）;烈酒（饮料）;朗姆酒;伏特加酒;薄荷酒;葡萄酒;⽩兰地;⽶酒;⾕物制蒸馏酒精饮料</t>
  </si>
  <si>
    <t>壬周</t>
  </si>
  <si>
    <t>常州沣鸿商贸有限责任公司</t>
  </si>
  <si>
    <t>果酒（含酒精）;⽩兰地;⻩酒;开胃酒;伏特加酒;⽩酒;鸡尾酒;以葡萄酒为主的饮料;威⼠忌;葡萄酒</t>
  </si>
  <si>
    <t>至完</t>
  </si>
  <si>
    <t>海南以道佐人文化传播有限公司</t>
  </si>
  <si>
    <t>⽩酒;⽶酒;蒸馏饮料;含⽔果酒精饮料;酒精饮料（啤酒除外）;果酒（含酒精）;汽酒;烧酒;葡萄酒;⾷⽤酒精</t>
  </si>
  <si>
    <t>滨供记忆</t>
  </si>
  <si>
    <t>滨州益农商贸有限责任公司</t>
  </si>
  <si>
    <t>除啤酒外的酒精饮料;酒精饮料原汁;⾷⽤酒精;利⼝酒;⻩酒;⽩酒;⾼粱酒;烈酒;⽼酒（中国蒸馏烈酒）;⽩⼲酒（中国⽩酒）</t>
  </si>
  <si>
    <t>元酩君</t>
  </si>
  <si>
    <t>林瑞献</t>
  </si>
  <si>
    <t>葡萄酒;⽩酒;果酒（含酒精）;鸡尾酒;烧酒;蜂蜜酒;清酒（⽇本⽶酒）;酒精饮料（啤酒除外）;含⽔果酒精饮料;⽶酒</t>
  </si>
  <si>
    <t>昀蹊</t>
  </si>
  <si>
    <t>段成林</t>
  </si>
  <si>
    <t>⽩酒;⽼酒（中国蒸馏烈酒）;已调味的⻨芽酿制的酒精饮料（啤酒除外）;薄荷酒;汽酒;酒精饮料（啤酒除外）;烧酒;威末酒;葡萄酒;餐后酒（利⼝酒和烈酒）</t>
  </si>
  <si>
    <t>金凤尚</t>
  </si>
  <si>
    <t>王瑞锴</t>
  </si>
  <si>
    <t>甜酒;⽶酒;果酒;杨梅酒;烧酒;烧酒（烈酒）;烈酒;⽩酒;⻩酒;酒精饮料原汁</t>
  </si>
  <si>
    <t>泸舟韵</t>
  </si>
  <si>
    <t>武正树</t>
  </si>
  <si>
    <t>⻩酒;葡萄酒;⽩酒;鸡尾酒;烈酒（饮料）;开胃酒;果酒;酒精饮料（啤酒除外）;威⼠忌;清酒（⽇本⽶酒）</t>
  </si>
  <si>
    <t>宴月湖</t>
  </si>
  <si>
    <t>杨元庆</t>
  </si>
  <si>
    <t>⻩酒;烈酒;⽩酒;葡萄酒;⾷⽤酒精;烧酒（烈酒）;烧酒;清酒;⻘稞酒;果酒</t>
  </si>
  <si>
    <t>将粮著</t>
  </si>
  <si>
    <t>⽶酒;果酒（含酒精）;酒精饮料浓缩汁;酒精饮料（啤酒除外）;⽩酒;葡萄酒;烧酒;⾷⽤酒精;烧酒（烈酒）;蒸煮提取物（利⼝酒和烈酒）</t>
  </si>
  <si>
    <t>中天康</t>
  </si>
  <si>
    <t>泰安东岳泰山药膳食品有限公司</t>
  </si>
  <si>
    <t>⽩酒;⽶酒;果酒;⻩酒;甜酒;葡萄酒;汽酒;清酒;烧酒;露酒</t>
  </si>
  <si>
    <t>大马邦</t>
  </si>
  <si>
    <t>李福强</t>
  </si>
  <si>
    <t>烈酒;⽩酒;甜酒;蒸煮提取物（利⼝酒和烈酒）;果酒（含酒精）;⽶酒;⻩酒;蒸馏饮料;酒精饮料（啤酒除外）;清酒</t>
  </si>
  <si>
    <t>贡蓉</t>
  </si>
  <si>
    <t>苏州市富福源品牌管理有限公司</t>
  </si>
  <si>
    <t>果酒（含酒精）;蒸煮提取物（利⼝酒和烈酒）;威⼠忌;酒精饮料（啤酒除外）;⻩酒;⽩兰地;⽩酒;鸡尾酒;伏特加酒;葡萄酒</t>
  </si>
  <si>
    <t>许苗夫</t>
  </si>
  <si>
    <t>贵州苗岭云山药业有限公司</t>
  </si>
  <si>
    <t>⽩酒;由⾕物蒸馏的⽩酒;酒精饮料原汁;酒精饮料浓缩汁;蝮蛇酒;⾕物制蒸馏酒精饮料;蒸馏饮料;⽶酒;⽩⼲酒（中国⽩酒）;酒精饮料（啤酒除外）</t>
  </si>
  <si>
    <t>花与果</t>
  </si>
  <si>
    <t>蔡淑琼</t>
  </si>
  <si>
    <t>⽩酒;果酒;甜果酒;苹果酒;梅酒;开胃酒;葡萄酒;樱桃酒;⽶酒;果酒（含酒精）</t>
  </si>
  <si>
    <t>许昌创享运营管理有限公司</t>
  </si>
  <si>
    <t>猫掌柜</t>
  </si>
  <si>
    <t>汪德枝</t>
  </si>
  <si>
    <t>葡萄酒;烈酒;果酒（含酒精）;⻩酒;威⼠忌;⽩酒;茴⾹酒;⽶酒;清酒（⽇本⽶酒）;鸡尾酒</t>
  </si>
  <si>
    <t>凤阳哈哈酒酿餐饮管理有限公司</t>
  </si>
  <si>
    <t>蒸馏饮料;酒精饮料（啤酒除外）;酒精饮料原汁;含酒精的⽓泡⽔;⾕物制蒸馏酒精饮料;果酒（含酒精）;预先混合的酒精饮料（以啤酒为主的除外）;果酒;⽶酒;含⽔果酒精饮料</t>
  </si>
  <si>
    <t>美孟</t>
  </si>
  <si>
    <t>鸡尾酒;清酒;葡萄酒;开胃酒;⻩酒;烈酒;⽩酒;⽶酒;除啤酒外的酒精饮料;果酒</t>
  </si>
  <si>
    <t>臻心匠</t>
  </si>
  <si>
    <t>杨秋帆</t>
  </si>
  <si>
    <t>葡萄酒;⻩酒;⽩酒;开胃酒;清酒（⽇本⽶酒）;果酒（含酒精）;烈酒;鸡尾酒;酒精饮料（啤酒除外）;威⼠忌</t>
  </si>
  <si>
    <t>清猫</t>
  </si>
  <si>
    <t>茴⾹酒;鸡尾酒;清酒（⽇本⽶酒）;葡萄酒;威⼠忌;烈酒;果酒（含酒精）;⻩酒;⽩酒;⽶酒</t>
  </si>
  <si>
    <t>良九妙剂</t>
  </si>
  <si>
    <t>重庆药之经癫痫病研究院</t>
  </si>
  <si>
    <t>酒精饮料（啤酒除外）;葡萄酒;⻘稞酒;⽶酒;烧酒;⻩酒;含⽔果酒精饮料;果酒（含酒精）;⽩酒;⽩⼲酒（中国⽩酒）</t>
  </si>
  <si>
    <t>河北万博酒庄有限公司</t>
  </si>
  <si>
    <t>果酒（含酒精）;⽩兰地;蒸馏饮料;利⼝酒;鸡尾酒;葡萄酒;⻩酒;酒精饮料（啤酒除外）;⽩酒;烈酒（饮料）</t>
  </si>
  <si>
    <t>用大师</t>
  </si>
  <si>
    <t>徐力</t>
  </si>
  <si>
    <t>蒸馏饮料;⽩兰地;威⼠忌;⽶酒;⻩酒;鸡尾酒;葡萄酒;利⼝酒;⾕物制蒸馏酒精饮料;⽩酒</t>
  </si>
  <si>
    <t>晨猫</t>
  </si>
  <si>
    <t>鸡尾酒;果酒（含酒精）;⻩酒;葡萄酒;清酒（⽇本⽶酒）;⽩酒;烈酒;茴⾹酒;⽶酒;威⼠忌</t>
  </si>
  <si>
    <t>颜伊静</t>
  </si>
  <si>
    <t>襄楚贸易（广州）有限公司</t>
  </si>
  <si>
    <t>烈酒（饮料）;酒精饮料原汁;⽩酒;葡萄酒;伏特加酒;清酒（⽇本⽶酒）;鸡尾酒;酒精饮料（啤酒除外）;威⼠忌;⽶酒</t>
  </si>
  <si>
    <t>猫县令</t>
  </si>
  <si>
    <t>清酒（⽇本⽶酒）;果酒（含酒精）;⻩酒;鸡尾酒;⽩酒;茴⾹酒;⽶酒;威⼠忌;葡萄酒;烈酒</t>
  </si>
  <si>
    <t>君否</t>
  </si>
  <si>
    <t>⽩酒;葡萄酒;⽶酒;甜果酒;梅酒;果酒;烧酒;⻩酒;开胃酒;果酒（含酒精）</t>
  </si>
  <si>
    <t>雄毅铭</t>
  </si>
  <si>
    <t>贵州省雄毅商贸有限责任公司</t>
  </si>
  <si>
    <t>杨梅酒;⾷⽤酒精;开胃酒;⽩酒;⽶酒;⾼粱酒;含酒精⽔果饮料;含酒精的⽓泡⽔;葡萄酒;⻘梅酒</t>
  </si>
  <si>
    <t>趣老街</t>
  </si>
  <si>
    <t>王怡茗</t>
  </si>
  <si>
    <t>⽩酒;⻩酒;苹果酒;烈酒（饮料）;除啤酒外的酒精饮料;⽶酒;含酒精⽔果饮料;果酒（含酒精）;以葡萄酒为主的饮料;含⽔果酒精饮料</t>
  </si>
  <si>
    <t>征致</t>
  </si>
  <si>
    <t>百德酒业（广东）有限公司</t>
  </si>
  <si>
    <t>⽩兰地;酒精饮料原汁;⽩酒;葡萄酒;酒精饮料（啤酒除外）;⽶酒;⾷⽤酒精;烈酒（饮料）;烧酒;果酒（含酒精）</t>
  </si>
  <si>
    <t>九浆帝皇</t>
  </si>
  <si>
    <t>吴亚菲</t>
  </si>
  <si>
    <t>烈酒（饮料）;威⼠忌;开胃酒;葡萄酒;果酒;酒精饮料（啤酒除外）;⻩酒;鸡尾酒;⽩酒;清酒（⽇本⽶酒）</t>
  </si>
  <si>
    <t>武猫</t>
  </si>
  <si>
    <t>鸡尾酒;茴⾹酒;果酒（含酒精）;威⼠忌;清酒（⽇本⽶酒）;烈酒;⻩酒;葡萄酒;⽩酒;⽶酒</t>
  </si>
  <si>
    <t>虎县令</t>
  </si>
  <si>
    <t>⻩酒;葡萄酒;⽩酒;鸡尾酒;清酒（⽇本⽶酒）;果酒（含酒精）;威⼠忌;茴⾹酒;烈酒;⽶酒</t>
  </si>
  <si>
    <t>老苐</t>
  </si>
  <si>
    <t>石狮市尊杰卡贸易有限公司</t>
  </si>
  <si>
    <t>果酒;烈酒;葡萄酒;清酒;鸡尾酒;⽩酒;⻩酒;⽶酒;⽩兰地;威⼠忌</t>
  </si>
  <si>
    <t>果县令</t>
  </si>
  <si>
    <t>果酒（含酒精）;清酒（⽇本⽶酒）;⻩酒;葡萄酒;烈酒;威⼠忌;鸡尾酒;茴⾹酒;⽶酒;⽩酒</t>
  </si>
  <si>
    <t>斟酩厚道</t>
  </si>
  <si>
    <t>⽩酒;⻘稞酒;⻩酒;⽶酒;酒精饮料（啤酒除外）;果酒（含酒精）;清酒（⽇本⽶酒）;⽩兰地;葡萄酒;烧酒</t>
  </si>
  <si>
    <t>孝之骄子</t>
  </si>
  <si>
    <t>五华区首叶百货店</t>
  </si>
  <si>
    <t>开胃酒;烈酒;葡萄酒;鸡尾酒;酒精饮料（啤酒除外）;果酒（含酒精）;⽩酒;⻩酒;清酒（⽇本⽶酒）;威⼠忌</t>
  </si>
  <si>
    <t>独怀</t>
  </si>
  <si>
    <t>罗新华</t>
  </si>
  <si>
    <t>⽶酒;⽩酒;⻩酒;烧酒（烈酒）;烈酒;⽼酒（中国蒸馏烈酒）;⾼粱酒;烧酒;苦荞酒;由⾕物蒸馏的⽩酒</t>
  </si>
  <si>
    <t>鑫沂蒙</t>
  </si>
  <si>
    <t>夏传朋</t>
  </si>
  <si>
    <t>⽶酒;果酒（含酒精）;酒精饮料（啤酒除外）;烧酒;葡萄酒;⾕物制蒸馏酒精饮料;⻩酒;⽩酒;预先混合的酒精饮料（以啤酒为主的除外）;含⽔果酒精饮料</t>
  </si>
  <si>
    <t>濮馨</t>
  </si>
  <si>
    <t>浙江凯沃汽配有限公司</t>
  </si>
  <si>
    <t>酒精饮料原汁;烈酒（饮料）;烧酒;果酒（含酒精）;清酒（⽇本⽶酒）;⽶酒;⽩酒;⻩酒;葡萄酒;酒精饮料（啤酒除外）</t>
  </si>
  <si>
    <t>徽美天下</t>
  </si>
  <si>
    <t>餐后酒（利⼝酒和烈酒）;⻩酒;鸡尾酒;⽶酒;烧酒（烈酒）;露酒;葡萄酒;清酒;⽩酒;⾼粱酒</t>
  </si>
  <si>
    <t>岁竹坊</t>
  </si>
  <si>
    <t>青岛狄秋茂贸易有限公司</t>
  </si>
  <si>
    <t>⻩酒;⽶酒;烧酒;⽩⼲酒（中国⽩酒）;⾕物制蒸馏酒精饮料;酒精饮料（啤酒除外）;⽩酒;含酒精的饮料（啤酒除外）;⽼酒（中国蒸馏烈酒）;除啤酒外的酒精饮料</t>
  </si>
  <si>
    <t>畲家巧娘</t>
  </si>
  <si>
    <t>蓝桂林</t>
  </si>
  <si>
    <t>⽶酒;⽩酒;⻩酒;⽩兰地;威⼠忌;葡萄酒;伏特加酒;汽酒;鸡尾酒;果酒</t>
  </si>
  <si>
    <t>凉都今生缘</t>
  </si>
  <si>
    <t>李小常</t>
  </si>
  <si>
    <t>果酒（含酒精）;⽶酒;葡萄酒;烧酒;烈酒（饮料）;⾕物制蒸馏酒精饮料;开胃酒;酒精饮料（啤酒除外）;⽩酒;含⽔果酒精饮料</t>
  </si>
  <si>
    <t>金麓梵红木</t>
  </si>
  <si>
    <t>贵州金麓酱酒有限公司</t>
  </si>
  <si>
    <t>果酒（含酒精）;烧酒;酒精饮料（啤酒除外）;果酒;⻩酒;含⽔果酒精饮料;⽩酒;⽶酒;葡萄酒;⾷⽤酒精</t>
  </si>
  <si>
    <t>梵红木</t>
  </si>
  <si>
    <t>果酒（含酒精）;⻩酒;含⽔果酒精饮料;⽩酒;⾷⽤酒精;烧酒;⽶酒;葡萄酒;酒精饮料（啤酒除外）;果酒</t>
  </si>
  <si>
    <t>永红龙王真</t>
  </si>
  <si>
    <t>谢文彪</t>
  </si>
  <si>
    <t>果酒;苦荞酒;⽩酒;松叶酒;露酒;葡萄酒;樱桃酒;⾼粱酒;⽩兰地;⻩酒</t>
  </si>
  <si>
    <t>周玉朋</t>
  </si>
  <si>
    <t>⻩酒;⽩⼲酒（中国⽩酒）;酒精饮料（啤酒除外）;威⼠忌;⽩酒;烧酒（烈酒）;果酒;⽶酒;清酒（⽇本⽶酒）;葡萄酒</t>
  </si>
  <si>
    <t>御樽帝</t>
  </si>
  <si>
    <t>⽶酒;果酒（含酒精）;葡萄酒;酒精饮料（啤酒除外）;含⽔果酒精饮料;⽩酒;威⼠忌;⻩酒;清酒（⽇本⽶酒）;伏特加酒</t>
  </si>
  <si>
    <t>裕凤年</t>
  </si>
  <si>
    <t>清酒（⽇本⽶酒）;⻩酒;伏特加酒;⽶酒;威⼠忌;含⽔果酒精饮料;果酒（含酒精）;葡萄酒;酒精饮料（啤酒除外）;⽩酒</t>
  </si>
  <si>
    <t>裕九福</t>
  </si>
  <si>
    <t>程度才</t>
  </si>
  <si>
    <t>清酒（⽇本⽶酒）;含⽔果酒精饮料;⻩酒;葡萄酒;伏特加酒;果酒（含酒精）;威⼠忌;⽩酒;酒精饮料（啤酒除外）;⽶酒</t>
  </si>
  <si>
    <t>铜千古</t>
  </si>
  <si>
    <t>王中艳</t>
  </si>
  <si>
    <t>葡萄酒;⽩⼲酒（中国⽩酒）;烈酒;烈性⼲酒;⽩酒;烧酒;⽼酒（中国蒸馏烈酒）;利⼝酒;⽶酒;⻘稞酒</t>
  </si>
  <si>
    <t>儋韵</t>
  </si>
  <si>
    <t>符盛斐</t>
  </si>
  <si>
    <t>⻩酒;⽩酒;⽼酒（中国蒸馏烈酒）;果酒（含酒精）;蒸馏⽶酒（泡盛酒）;⽶酒;⾕物制蒸馏酒精饮料;⽩⼲酒（中国⽩酒）</t>
  </si>
  <si>
    <t>花庄洞</t>
  </si>
  <si>
    <t>皇相府（葫芦岛市）商贸有限公司</t>
  </si>
  <si>
    <t>地中海朴食</t>
  </si>
  <si>
    <t>北京正能量美能生物科技有限公司</t>
  </si>
  <si>
    <t>果酒（含酒精）;鸡尾酒;⽶酒;酒精饮料（啤酒除外）;开胃酒;伏特加酒;烧酒;清酒（⽇本⽶酒）;葡萄酒;⽩酒</t>
  </si>
  <si>
    <t>包先生</t>
  </si>
  <si>
    <t>王娟娟152627********3743</t>
  </si>
  <si>
    <t>果酒（含酒精）;⽩酒;含酒精的⽔果鸡尾酒饮料;烧酒;蜂蜜酒;起泡红葡萄酒;⻩酒;含⽜奶的鸡尾酒;⽶酒;⻘稞酒</t>
  </si>
  <si>
    <t>吴金彪</t>
  </si>
  <si>
    <t>新化县高山雾岗种养专业合作社</t>
  </si>
  <si>
    <t>酒精饮料（啤酒除外）;⽼酒（中国蒸馏烈酒）;⽩酒;果酒（含酒精）;蒸煮提取物（利⼝酒和烈酒）;预先混合的酒精饮料（以啤酒为主的除外）;葡萄酒;⻩酒;⽶酒;含⽔果酒精饮料</t>
  </si>
  <si>
    <t>牛必乐</t>
  </si>
  <si>
    <t>佛山市华善装饰工程有限公司</t>
  </si>
  <si>
    <t>⽶酒;烈酒;清酒;果酒;⽩酒;烧酒;鸡尾酒;⽼酒（中国蒸馏烈酒）;⻩酒;⾼粱酒</t>
  </si>
  <si>
    <t>隆景春颐宝</t>
  </si>
  <si>
    <t>上海意裕贸易有限公司</t>
  </si>
  <si>
    <t>酒精饮料（啤酒除外）;露酒;伏特加酒;⽩酒;利⼝酒;⽩兰地;威⼠忌;葡萄酒;含⽔果酒精饮料;烈酒</t>
  </si>
  <si>
    <t>阿尔索</t>
  </si>
  <si>
    <t>烟台商源酒业有限公司</t>
  </si>
  <si>
    <t>酒精饮料（啤酒除外）;利⼝酒;汽酒;⽩兰地;果酒（含酒精）;威⼠忌;开胃酒;葡萄酒;烈酒（饮料）;⻩酒</t>
  </si>
  <si>
    <t>RICH HALL</t>
  </si>
  <si>
    <t>深圳市圣比利供应链有限责任公司</t>
  </si>
  <si>
    <t>清酒（⽇本⽶酒）;烧酒;果酒（含酒精）;葡萄酒;伏特加酒;利⼝酒;烈酒（饮料）;⽩兰地;威⼠忌;朗姆酒</t>
  </si>
  <si>
    <t>KEPPI</t>
  </si>
  <si>
    <t>深圳市攀哒科技有限公司</t>
  </si>
  <si>
    <t>葡萄酒;薄荷酒;果酒（含酒精）;⻘稞酒;⽩酒;⽩兰地;鸡尾酒;威⼠忌;⻩酒</t>
  </si>
  <si>
    <t>鱻四方</t>
  </si>
  <si>
    <t>安徽丁亿文化发展有限公司</t>
  </si>
  <si>
    <t>酒精饮料（啤酒除外）;含⽔果酒精饮料;果酒（含酒精）;⾕物制蒸馏酒精饮料;⽩酒;烧酒;葡萄酒;烈酒（饮料）;⽶酒;⻩酒</t>
  </si>
  <si>
    <t>铭涧</t>
  </si>
  <si>
    <t>张蒙蒙</t>
  </si>
  <si>
    <t>⽩酒;葡萄酒;⽶酒;烧酒;含酒精的⽔果鸡尾酒饮料;⻩酒;酒精饮料（啤酒除外）;果酒（含酒精）;利⼝酒;⽩兰地</t>
  </si>
  <si>
    <t>秦山岛 QINSHAN ISLAND</t>
  </si>
  <si>
    <t>连云港徐福酒厂</t>
  </si>
  <si>
    <t>果酒（含酒精）;苦荞酒;含⽔果酒精饮料;⻘梅酒;⻩酒;⽩酒;樱桃酒;⽶酒;烧酒;葡萄酒</t>
  </si>
  <si>
    <t>埃安</t>
  </si>
  <si>
    <t>王高篡</t>
  </si>
  <si>
    <t>酒精饮料（啤酒除外）;⻩酒;葡萄酒;⽶酒;清酒;⽩酒;鸡尾酒;含⽔果酒精饮料;蒸煮提取物（利⼝酒和烈酒）;烧酒</t>
  </si>
  <si>
    <t>瑞柏年</t>
  </si>
  <si>
    <t>代宝松</t>
  </si>
  <si>
    <t>开胃酒;葡萄酒;⽩酒;威⼠忌;酒精饮料（啤酒除外）;鸡尾酒;烈酒（饮料）;清酒（⽇本⽶酒）;果酒;⻩酒</t>
  </si>
  <si>
    <t>明宁</t>
  </si>
  <si>
    <t>泸州蜀粟酒业有限责任公司</t>
  </si>
  <si>
    <t>汽酒;烧酒;⽩酒;葡萄酒;果酒（含酒精）;⽶酒;⽢蔗制酒精饮料;⻘稞酒;⻩酒;⾷⽤酒精</t>
  </si>
  <si>
    <t>蜂娇</t>
  </si>
  <si>
    <t>穆喜</t>
  </si>
  <si>
    <t>除啤酒外的酒精饮料;蜂蜜酒;酒精饮料原汁;含酒精的饮料（啤酒除外）;酒精饮料（啤酒除外）;⽩酒;酒精饮料浓缩汁</t>
  </si>
  <si>
    <t>乐三百</t>
  </si>
  <si>
    <t>贾德顺</t>
  </si>
  <si>
    <t>烈酒（饮料）;⽶酒;鸡尾酒;⻩酒;⻘稞酒;果酒;⽩酒;葡萄酒;蜂蜜酒;含⽔果酒精饮料</t>
  </si>
  <si>
    <t>粤瑶富</t>
  </si>
  <si>
    <t>刘义富</t>
  </si>
  <si>
    <t>伏特加酒;樱桃酒;⾕物制蒸馏酒精饮料;薄荷酒;鸡尾酒;苦味酒;茴⾹酒（利⼝酒）;开胃酒;⽩酒;⻩酒</t>
  </si>
  <si>
    <t>时珍精微</t>
  </si>
  <si>
    <t>广西精微数字技术有限公司</t>
  </si>
  <si>
    <t>汽酒;⽼酒（中国蒸馏烈酒）;果酒;葡萄酒;酒精饮料（啤酒除外）;威⼠忌;⽩酒;清酒（⽇本⽶酒）;⾼粱酒;⻩酒</t>
  </si>
  <si>
    <t>广州觅地进出口有限公司</t>
  </si>
  <si>
    <t>葡萄酒;果酒（含酒精）;烈酒（饮料）;清酒（⽇本⽶酒）;酒精饮料（啤酒除外）;⽩兰地;酸酒（低等葡萄酒）;苹果酒;威⼠忌;餐后酒（利⼝酒和烈酒）</t>
  </si>
  <si>
    <t>胜唐丝路</t>
  </si>
  <si>
    <t>烧酒;⽩酒;利⼝酒;烈酒（饮料）;威⼠忌;预先混合的酒精饮料（以啤酒为主的除外）;⻩酒;果酒（含酒精）;葡萄酒;⽶酒</t>
  </si>
  <si>
    <t>厚远</t>
  </si>
  <si>
    <t>中酒云仓（兰州）商贸有限责任公司</t>
  </si>
  <si>
    <t>威⼠忌;烧酒;烈酒（饮料）;利⼝酒;⽩兰地;以葡萄酒为主的饮料;⽩酒;⽔果汽酒;葡萄酒;鸡尾酒</t>
  </si>
  <si>
    <t>东湾毕庄</t>
  </si>
  <si>
    <t>北京御膳源餐饮管理有限公司</t>
  </si>
  <si>
    <t>烈酒（饮料）;鸡尾酒;果酒（含酒精）;葡萄酒;汽酒;⽩酒;⻩酒;蒸馏饮料;酒精饮料（啤酒除外）;⽼酒（中国蒸馏烈酒）</t>
  </si>
  <si>
    <t>眙商贡</t>
  </si>
  <si>
    <t>盱眙东豪烟酒店</t>
  </si>
  <si>
    <t>果酒（含酒精）;鸡尾酒;葡萄酒;⽩兰地;威⼠忌;伏特加酒;薄荷酒;清酒（⽇本⽶酒）;⽩酒;酒精饮料（啤酒除外）</t>
  </si>
  <si>
    <t>波尔逊邑古堡</t>
  </si>
  <si>
    <t>上海财澳国际贸易有限公司</t>
  </si>
  <si>
    <t>果酒（含酒精）;开胃酒;⽩酒;威⼠忌;鸡尾酒;酒精饮料（啤酒除外）;葡萄酒;含⽔果酒精饮料;餐后酒（利⼝酒和烈酒）;⽩兰地</t>
  </si>
  <si>
    <t>吕洲</t>
  </si>
  <si>
    <t>周学超</t>
  </si>
  <si>
    <t>烈酒（饮料）;葡萄酒;⽶酒;鸡尾酒;酒精饮料（啤酒除外）;开胃酒;薄荷酒;烧酒;⻩酒;⽩酒</t>
  </si>
  <si>
    <t>湖南吾乡电子商务有限公司</t>
  </si>
  <si>
    <t>⽶酒;鸡尾酒;⾕物制蒸馏酒精饮料;烧酒;葡萄酒;⽩酒;以葡萄酒为主的饮料;甜酒;蒸馏饮料;马格利酒（朝鲜传统⽶酒）</t>
  </si>
  <si>
    <t>仪久陈</t>
  </si>
  <si>
    <t>安化县仪窖贸易有限公司</t>
  </si>
  <si>
    <t>含酒精的饮料（啤酒除外）;烧酒;⻩酒;预先混合的酒精饮料（以啤酒为主的除外）;果酒（含酒精）;葡萄酒;由⾕物蒸馏的⽩酒;甜酒;⽶酒;⽩酒</t>
  </si>
  <si>
    <t>绿菜地</t>
  </si>
  <si>
    <t>河北匠牌酒业有限公司</t>
  </si>
  <si>
    <t>清酒（⽇本⽶酒）;果酒（含酒精）;烈酒（饮料）;烧酒;⽶酒;预先混合的酒精饮料（以啤酒为主的除外）;⽩酒;汽酒;酒精饮料原汁;⻩酒</t>
  </si>
  <si>
    <t>来友伴</t>
  </si>
  <si>
    <t>浙江多德士运动器材有限公司</t>
  </si>
  <si>
    <t>⻩酒;鸡尾酒;果酒（含酒精）;葡萄酒;酒精饮料（啤酒除外）;预先混合的酒精饮料（以啤酒为主的除外）;蒸馏饮料;苹果酒;⽩酒;含⽔果酒精饮料</t>
  </si>
  <si>
    <t>清照愉和</t>
  </si>
  <si>
    <t>葡萄酒;⻩酒;开胃酒;苹果酒;汽酒;⽩酒;⽶酒;果酒（含酒精）;酒精饮料（啤酒除外）;酸酒（低等葡萄酒）</t>
  </si>
  <si>
    <t>题干天一合</t>
  </si>
  <si>
    <t>郭志江</t>
  </si>
  <si>
    <t>⽶酒;⽩酒;烧酒;伏特加酒;葡萄酒;果酒（含酒精）;威⼠忌;含⽔果酒精饮料;⽩兰地;苹果酒</t>
  </si>
  <si>
    <t>六福金尊</t>
  </si>
  <si>
    <t>云南金六福投资有限公司</t>
  </si>
  <si>
    <t>鸡尾酒;果酒（含酒精）;以葡萄酒为主的饮料;酒精饮料（啤酒除外）;威⼠忌;葡萄酒;⽶酒;⻩酒;利⼝酒;⽩酒</t>
  </si>
  <si>
    <t>牟慧</t>
  </si>
  <si>
    <t>上海禧基实业集团有限公司</t>
  </si>
  <si>
    <t>开胃酒;酒精饮料（啤酒除外）;烈酒（饮料）;⾕物制蒸馏酒精饮料;⽩酒;⾼粱酒;果酒（含酒精）;⽶酒;烧酒;清酒（⽇本⽶酒）</t>
  </si>
  <si>
    <t>林语道</t>
  </si>
  <si>
    <t>福州颐和元健康管理有限公司</t>
  </si>
  <si>
    <t>⽶酒;鸡尾酒;葡萄酒;果酒（含酒精）;⻩酒;⽩酒;烧酒;烈酒（饮料）;⾼粱酒;酒精饮料（啤酒除外）</t>
  </si>
  <si>
    <t>菠樱冰</t>
  </si>
  <si>
    <t>杨玉佩</t>
  </si>
  <si>
    <t>⽩酒;⻘稞酒;酒精饮料（啤酒除外）;⽼酒（中国蒸馏烈酒）;⽶酒;⾼粱酒;⻩酒;葡萄酒;甜酒;果酒</t>
  </si>
  <si>
    <t>君典状元楼</t>
  </si>
  <si>
    <t>陈洪铭</t>
  </si>
  <si>
    <t>烧酒;鸡尾酒;果酒;由⾕物蒸馏的⽩酒;葡萄酒;酒精饮料浓缩汁;伏特加酒;清酒;⽩酒;烈酒</t>
  </si>
  <si>
    <t>小酃</t>
  </si>
  <si>
    <t>湖南炎陵县野谷仙酒业有限责任公司</t>
  </si>
  <si>
    <t>酒精饮料（啤酒除外）;烈酒（饮料）;葡萄酒;含⽔果酒精饮料;⽶酒;⽩酒;汽酒;⾕物制蒸馏酒精饮料;⽩⼲酒（中国⽩酒）;烧酒</t>
  </si>
  <si>
    <t>菲瑟琳</t>
  </si>
  <si>
    <t>菲瑟琳供应链科技（杭州）股份有限公司</t>
  </si>
  <si>
    <t>⽶酒;⽩酒;酒精饮料（啤酒除外）;果酒（含酒精）;开胃酒;威⼠忌;鸡尾酒;葡萄酒;烧酒;蜂蜜酒</t>
  </si>
  <si>
    <t>胜卷</t>
  </si>
  <si>
    <t>娄彬波</t>
  </si>
  <si>
    <t>⽩酒;烈酒;烧酒;⾼粱酒;⽼酒（中国蒸馏烈酒）;⽶酒;鸡尾酒;威⼠忌;酒精饮料（啤酒除外）;葡萄酒</t>
  </si>
  <si>
    <t>叠玉</t>
  </si>
  <si>
    <t>北京君泽国际贸易有限公司</t>
  </si>
  <si>
    <t>⽩兰地;烈酒（饮料）;⽶酒;朗姆酒;⾕物制蒸馏酒精饮料;鸡尾酒;葡萄酒;杜松⼦酒;威⼠忌;果酒（含酒精）</t>
  </si>
  <si>
    <t>李云龙</t>
  </si>
  <si>
    <t>葡萄酒;烈酒（饮料）;烧酒;果酒（含酒精）;威⼠忌;⽶酒;酒精饮料（啤酒除外）;⽩酒;蒸馏饮料;鸡尾酒</t>
  </si>
  <si>
    <t>且停亭</t>
  </si>
  <si>
    <t>芥子园集团有限公司</t>
  </si>
  <si>
    <t>清酒（⽇本⽶酒）;葡萄酒;⻩酒;⽩酒;烧酒;果酒（含酒精）;蜂蜜酒;⽶酒;开胃酒;薄荷酒</t>
  </si>
  <si>
    <t>西岭马</t>
  </si>
  <si>
    <t>四川川香海酒业有限公司</t>
  </si>
  <si>
    <t>含⽔果酒精饮料;⽶酒;⽩酒;鸡尾酒;苹果酒;酒精饮料（啤酒除外）;果酒;开胃酒;⻘稞酒;葡萄酒</t>
  </si>
  <si>
    <t>大福长安</t>
  </si>
  <si>
    <t>张昕</t>
  </si>
  <si>
    <t>含酒精的充⽓饮料（啤酒除外）;酒精饮料原汁;葡萄酒;烈酒（饮料）;⻩酒;果酒（含酒精）;蒸馏饮料;⽩酒;含⽔果酒精饮料;烧酒</t>
  </si>
  <si>
    <t>伊蕙古坊</t>
  </si>
  <si>
    <t>伊建军</t>
  </si>
  <si>
    <t>⽶酒;⻩酒;蜂蜜酒;烈酒（饮料）;汽酒;烧酒;⽩⼲酒（中国⽩酒）;果酒（含酒精）;鸡尾酒;⽩兰地</t>
  </si>
  <si>
    <t>因用汇</t>
  </si>
  <si>
    <t>因用堂（杭州）文化传播有限公司</t>
  </si>
  <si>
    <t>烧酒;果酒;果酒（含酒精）;开胃酒;含⽔果酒精饮料;⻩酒;⾷⽤酒精;⽩酒;酒精饮料浓缩汁;⽶酒</t>
  </si>
  <si>
    <t>杏师竹</t>
  </si>
  <si>
    <t>山西品藏府酒业有限公司</t>
  </si>
  <si>
    <t>烧酒;葡萄酒;⽼酒（中国蒸馏烈酒）;⾷⽤酒精;烈酒（饮料）;⽩酒;⻩酒;鸡尾酒;果酒（含酒精）;酒精饮料（啤酒除外）</t>
  </si>
  <si>
    <t>玉五德</t>
  </si>
  <si>
    <t>⻘稞酒;以葡萄酒为主的饮料;含酒精的⽓泡⽔;含酒精⽔果饮料;果酒;薄荷酒;⻩酒;⽶酒;⽩酒;果酒（含酒精）</t>
  </si>
  <si>
    <t>玉双泉</t>
  </si>
  <si>
    <t>朱永辉</t>
  </si>
  <si>
    <t>果酒（含酒精）;⽩酒;烈酒（饮料）;⽩兰地;烧酒;⻘稞酒;⽶酒;葡萄酒;⻩酒;威⼠忌</t>
  </si>
  <si>
    <t>BAIJIAYI TRADING</t>
  </si>
  <si>
    <t>天津市佰嘉亿商贸有限公司</t>
  </si>
  <si>
    <t>餐后酒（利⼝酒和烈酒）;⽩兰地;鸡尾酒;果酒（含酒精）;⽩酒;伏特加酒;⻘稞酒;威⼠忌;朗姆酒;葡萄酒</t>
  </si>
  <si>
    <t>绀青之星</t>
  </si>
  <si>
    <t>云南乐谦农业有限公司</t>
  </si>
  <si>
    <t>酒精饮料（啤酒除外）;葡萄酒;⽶酒;汽酒;甜酒;果酒;⾕物制蒸馏酒精饮料;⻘梅酒;⽩酒;开胃酒</t>
  </si>
  <si>
    <t>汴商</t>
  </si>
  <si>
    <t>深圳市汴都文化产业投资集团有限公司</t>
  </si>
  <si>
    <t>⽩兰地;⻩酒;威⼠忌;薄荷酒;⾷⽤酒精;烧酒;清酒（⽇本⽶酒）;⽩酒;烈酒（饮料）;开胃酒</t>
  </si>
  <si>
    <t>德禛</t>
  </si>
  <si>
    <t>深圳市柴火小院餐饮服务管理有限公司</t>
  </si>
  <si>
    <t>五加⽪酒（中国混合烈酒）;⽩酒;由⾕物蒸馏的⽩酒;⾼粱酒;烧酒（烈酒）;伏特加酒;⽩⼲酒（中国⽩酒）;烧酒;⽼酒（中国蒸馏烈酒）;朗姆酒</t>
  </si>
  <si>
    <t>尽善堡 JIN SHAN VILLAGE</t>
  </si>
  <si>
    <t>山西华香酒业有限公司</t>
  </si>
  <si>
    <t>⽶酒;果酒（含酒精）;蜂蜜酒;烧酒;酒精饮料（啤酒除外）;⽩酒;⻩酒;开胃酒;葡萄酒;烈酒（饮料）</t>
  </si>
  <si>
    <t>河南滑州麦香酒业有限公司</t>
  </si>
  <si>
    <t>汽酒;⽶酒;含⽔果酒精饮料;烧酒;⽩⼲酒（中国⽩酒）;鸡尾酒;⽼酒（中国蒸馏烈酒）;⽩酒;蒸煮提取物（利⼝酒和烈酒）;果酒（含酒精）</t>
  </si>
  <si>
    <t>河朗三洞天</t>
  </si>
  <si>
    <t>梁镇升</t>
  </si>
  <si>
    <t>果酒（含酒精）;⽶酒;酒精饮料（啤酒除外）;⻩酒;预先混合的酒精饮料（以啤酒为主的除外）;葡萄酒;含酒精的⽓泡⽔;蜂蜜酒;⽩酒;鸡尾酒</t>
  </si>
  <si>
    <t>DILATUS</t>
  </si>
  <si>
    <t>鸡尾酒;威⼠忌;葡萄酒;朗姆酒;伏特加酒;果酒（含酒精）;蒸煮提取物（利⼝酒和烈酒）;利⼝酒;⽩兰地;预先混合的酒精饮料（以啤酒为主的除外）</t>
  </si>
  <si>
    <t>中星朋玥</t>
  </si>
  <si>
    <t>杭州顺商传媒科技有限公司</t>
  </si>
  <si>
    <t>汽酒;⻘稞酒;⻩酒;⾷⽤酒精;果酒（含酒精）;⽶酒;酒精饮料（啤酒除外）;烧酒;⽩酒;含⽔果酒精饮料</t>
  </si>
  <si>
    <t>有膜有漾</t>
  </si>
  <si>
    <t>广东有膜有漾科技有限公司</t>
  </si>
  <si>
    <t>果酒（含酒精）;葡萄酒;烈酒;蒸馏饮料;⽩⼲酒（中国⽩酒）;以葡萄酒为主的饮料;汽酒;⽩酒;果酒;威⼠忌</t>
  </si>
  <si>
    <t>G·TINA</t>
  </si>
  <si>
    <t>株式会社雅拓</t>
  </si>
  <si>
    <t>烈酒（饮料）;酒精饮料（啤酒除外）;已调味的蒸馏酒</t>
  </si>
  <si>
    <t>横乾</t>
  </si>
  <si>
    <t>深圳市横乾科技有限公司</t>
  </si>
  <si>
    <t>鸡尾酒;酒精饮料（啤酒除外）;果酒（含酒精）;⾕物制蒸馏酒精饮料;⽩酒;预先混合的酒精饮料（以啤酒为主的除外）;⽶酒;⾷⽤酒精;开胃酒;葡萄酒</t>
  </si>
  <si>
    <t>谷得久坊·川酿</t>
  </si>
  <si>
    <t>众超联网络有限公司</t>
  </si>
  <si>
    <t>葡萄酒;酒精饮料（啤酒除外）;果酒（含酒精）;鸡尾酒;威⼠忌;烧酒;⽩酒;烈酒（饮料）;⽶酒;⻩酒</t>
  </si>
  <si>
    <t>惠沃浦 HUWAPO</t>
  </si>
  <si>
    <t>河北博视长远智能科技有限公司</t>
  </si>
  <si>
    <t>⽩⼲酒（中国⽩酒）;⽩酒;果酒（含酒精）;⽼酒（中国蒸馏烈酒）;薄荷酒;含⽔果酒精饮料;预先混合的酒精饮料（以啤酒为主的除外）;由⾕物蒸馏的⽩酒;以葡萄酒为主的饮料;酒精饮料（啤酒除外）</t>
  </si>
  <si>
    <t>蟾状元</t>
  </si>
  <si>
    <t>缪俊峰</t>
  </si>
  <si>
    <t>甜果酒;除啤酒外的酒精饮料;葡萄酒;⻩酒;⾼粱酒;果酒;⽶酒;由⾕物蒸馏的⽩酒;⽩酒;杨梅酒</t>
  </si>
  <si>
    <t>黔小侠</t>
  </si>
  <si>
    <t>张晓春</t>
  </si>
  <si>
    <t>鑫港湾</t>
  </si>
  <si>
    <t>广东鑫港湾供应链管理有限公司</t>
  </si>
  <si>
    <t>⽩酒;威⼠忌;烧酒（烈酒）;酒精饮料（啤酒除外）;伏特加酒;含酒精⽔果饮料;清酒;甜酒;⽶酒;⻩酒</t>
  </si>
  <si>
    <t>屿龙台</t>
  </si>
  <si>
    <t>烧酒;果酒（含酒精）;汽酒;⽩兰地;⽩酒;酒精饮料原汁;⽶酒;葡萄酒;烈酒（饮料）;蒸馏饮料</t>
  </si>
  <si>
    <t>陈九道</t>
  </si>
  <si>
    <t>井振猛</t>
  </si>
  <si>
    <t>⾷⽤酒精;⽩酒;⽶酒;葡萄酒;鸡尾酒;酒精饮料（啤酒除外）;含⽔果酒精饮料;⽩兰地;⻩酒;果酒（含酒精）</t>
  </si>
  <si>
    <t>鲸凉都</t>
  </si>
  <si>
    <t>贵州梅鲸酒业有限公司</t>
  </si>
  <si>
    <t>⽶酒;⾕物制蒸馏酒精饮料;酒精饮料（啤酒除外）;⽩酒;果酒;樱桃酒;烧酒;⻩酒;梅酒;葡萄酒</t>
  </si>
  <si>
    <t>宋酩师</t>
  </si>
  <si>
    <t>吴琼飞</t>
  </si>
  <si>
    <t>⽩酒;酒精饮料（啤酒除外）;⽶酒;果酒（含酒精）;鸡尾酒;⾷⽤酒精;葡萄酒;含⽔果酒精饮料;⻩酒;⽩兰地</t>
  </si>
  <si>
    <t>广粱醇</t>
  </si>
  <si>
    <t>杨焕发</t>
  </si>
  <si>
    <t>葡萄酒;⾼粱酒;开胃酒;⽩酒;⻩酒;鸡尾酒;威⼠忌;⽶酒;利⼝酒;蒸馏饮料</t>
  </si>
  <si>
    <t>兮院</t>
  </si>
  <si>
    <t>北京素一空间设计有限公司</t>
  </si>
  <si>
    <t>威⼠忌;⽩酒;⽩兰地;烈酒（饮料）;葡萄酒;果酒（含酒精）;酒精饮料原汁;酒精饮料（啤酒除外）;茴⾹酒（利⼝酒）;鸡尾酒</t>
  </si>
  <si>
    <t>盱小龙</t>
  </si>
  <si>
    <t>安徽豪乐贸易有限公司</t>
  </si>
  <si>
    <t>红葡萄酒;⽶酒;⻩酒;酒精饮料（啤酒除外）;烈酒;⽩酒;鸡尾酒;开胃酒;烧酒;⾼粱酒</t>
  </si>
  <si>
    <t>伊万科涅夫</t>
  </si>
  <si>
    <t>赵春生</t>
  </si>
  <si>
    <t>伏特加酒;烧酒;预先混合的酒精饮料（以啤酒为主的除外）;⽩兰地;蒸煮提取物（利⼝酒和烈酒）;⽶酒;果酒（含酒精）;汽酒;葡萄酒;威⼠忌</t>
  </si>
  <si>
    <t>雀宁</t>
  </si>
  <si>
    <t>贺州市海程贸易有限公司</t>
  </si>
  <si>
    <t>含酒精的饮料（啤酒除外）;清酒;葡萄酒;⻨芽威⼠忌;⻘梅酒;果酒;⽩酒;⽩葡萄酒;⻩酒;⽩兰地</t>
  </si>
  <si>
    <t>台舞</t>
  </si>
  <si>
    <t>徐慧珍</t>
  </si>
  <si>
    <t>⻘稞酒;⻩酒;⽶酒;葡萄酒;⽩酒;⾼粱酒;烧酒</t>
  </si>
  <si>
    <t>台涎</t>
  </si>
  <si>
    <t>⻩酒;⽶酒;⽩酒;⾼粱酒;烧酒;⻘稞酒;葡萄酒</t>
  </si>
  <si>
    <t>聃五德</t>
  </si>
  <si>
    <t>⽶酒;以葡萄酒为主的饮料;含酒精的⽓泡⽔;果酒;果酒（含酒精）;⽩酒;薄荷酒;⻩酒;⻘稞酒;含酒精⽔果饮料</t>
  </si>
  <si>
    <t>HOIO HOIO</t>
  </si>
  <si>
    <t>杭州嗨了嗨了文化创意有限公司</t>
  </si>
  <si>
    <t>⽩酒;葡萄酒;酒精饮料原汁;预先混合的酒精饮料（以啤酒为主的除外）;⻩酒;酒精饮料（啤酒除外）;⽶酒;含⽔果酒精饮料;蒸馏饮料;果酒（含酒精）</t>
  </si>
  <si>
    <t>川崟</t>
  </si>
  <si>
    <t>张永琼</t>
  </si>
  <si>
    <t>威⼠忌;⽩酒;烧酒;鸡尾酒;⻘稞酒;⽩兰地;⽶酒;葡萄酒;⻩酒;烈酒</t>
  </si>
  <si>
    <t>立通健</t>
  </si>
  <si>
    <t>四川云意达生物技术有限责任公司</t>
  </si>
  <si>
    <t>⽶酒;酒精饮料（啤酒除外）;鸡尾酒;烧酒;葡萄酒;果酒（含酒精）;苦荞酒;⽩酒;⻘稞酒;⾼粱酒</t>
  </si>
  <si>
    <t>东百岁</t>
  </si>
  <si>
    <t>泸州磨沙二曲酒业有限公司</t>
  </si>
  <si>
    <t>果酒（含酒精）;⾷⽤酒精;⻩酒;⽩酒;清酒（⽇本⽶酒）;鸡尾酒;威⼠忌;⽶酒;酒精饮料（啤酒除外）;⽩兰地</t>
  </si>
  <si>
    <t>御章古韵</t>
  </si>
  <si>
    <t>海南健辉三木酒业有限责任公司</t>
  </si>
  <si>
    <t>⽶酒;烧酒;⽩酒;蒸馏⽶酒（泡盛酒）;⾼粱酒;⽩⼲酒（中国⽩酒）;由⾕物蒸馏的⽩酒;烈酒;⽼酒（中国蒸馏烈酒）;⻩酒</t>
  </si>
  <si>
    <t>秦筵红</t>
  </si>
  <si>
    <t>杨梅酒;烧酒;⽩酒;⽼酒（中国蒸馏烈酒）;烈酒;露酒;⾕物制蒸馏酒精饮料;⽶酒;⻩酒;⾼粱酒</t>
  </si>
  <si>
    <t>阅八</t>
  </si>
  <si>
    <t>浙江老绍坊酒业有限公司</t>
  </si>
  <si>
    <t>梅酒;天然汽酒;露酒;杨梅酒;⻩酒;果酒;佐餐酒;烧酒;汽酒;⽩酒</t>
  </si>
  <si>
    <t>张雪庄</t>
  </si>
  <si>
    <t>张善正</t>
  </si>
  <si>
    <t>烧酒;⽩⼲酒（中国⽩酒）;烈酒;烈酒（饮料）;⽼酒（中国蒸馏烈酒）;⾼粱酒;⽩酒;烧酒（烈酒）;由⾕物蒸馏的⽩酒;⽢蔗制烈酒</t>
  </si>
  <si>
    <t>孔雀斯多比</t>
  </si>
  <si>
    <t>北马（海南）投资有限公司</t>
  </si>
  <si>
    <t>含⽔果酒精饮料;⽩酒;以葡萄酒为主的开胃酒;鸡尾酒;⻩酒;甜果酒;葡萄酒;⽶酒;⾼粱酒;⽩兰地</t>
  </si>
  <si>
    <t>藏布拉</t>
  </si>
  <si>
    <t>深圳市麦迪姆斯酒业有限公司</t>
  </si>
  <si>
    <t>葡萄酒;⽶酒;⽩兰地;清酒（⽇本⽶酒）;含⽔果酒精饮料;⻩酒;烧酒;威⼠忌;酒精饮料（啤酒除外）;⽩酒</t>
  </si>
  <si>
    <t>浓情甘雨 AFFECTIONATE SWEETRAIN</t>
  </si>
  <si>
    <t>湖北神霖食品科技有限公司</t>
  </si>
  <si>
    <t>果酒;葡萄酒;薄荷酒;苹果酒;鸡尾酒;蒸馏饮料;含⽔果酒精饮料;清酒;威⼠忌;烈酒</t>
  </si>
  <si>
    <t>MISS BLUE</t>
  </si>
  <si>
    <t>海南歌德盈香酒业有限公司</t>
  </si>
  <si>
    <t>利⼝酒;清酒;烈酒（饮料）;开胃酒;含⽔果酒精饮料;果酒（含酒精）;葡萄酒;清酒（⽇本⽶酒）;酒精饮料（啤酒除外）;⽶酒</t>
  </si>
  <si>
    <t>红水醇</t>
  </si>
  <si>
    <t>广西金至喜贸易有限公司</t>
  </si>
  <si>
    <t>⽢蔗制酒精饮料;⾕物制蒸馏酒精饮料;⽩酒;烧酒;烈酒（饮料）;蜂蜜酒;⽶酒;⻩酒;果酒（含酒精）;葡萄酒</t>
  </si>
  <si>
    <t>波尔甘邑古堡</t>
  </si>
  <si>
    <t>⽩兰地;果酒（含酒精）;开胃酒;含⽔果酒精饮料;餐后酒（利⼝酒和烈酒）;葡萄酒;酒精饮料（啤酒除外）;威⼠忌;鸡尾酒;⽩酒</t>
  </si>
  <si>
    <t>李记龙腾酒业</t>
  </si>
  <si>
    <t>李全铁500225********3858</t>
  </si>
  <si>
    <t>⽼酒（中国蒸馏烈酒）;⽩⼲酒（中国⽩酒）;果酒（含酒精）;⽶酒;烧酒（烈酒）;⽩兰地;⽩酒;烈酒;清酒;葡萄酒</t>
  </si>
  <si>
    <t>向娃娃</t>
  </si>
  <si>
    <t>杭州英明向太多媒体有限公司</t>
  </si>
  <si>
    <t>烈酒;⽩酒;果酒;开胃酒;甜酒;葡萄酒;含⽔果酒精饮料;利⼝酒;露酒;鸡尾酒</t>
  </si>
  <si>
    <t>别迭里良品酒铺</t>
  </si>
  <si>
    <t>曾天有</t>
  </si>
  <si>
    <t>⾷⽤酒精;烧酒;⽩酒;含酒精的饮料（啤酒除外）;果酒（含酒精）;苦味酒;以葡萄酒为主的开胃酒;威⼠忌;⻘稞酒;⽶酒</t>
  </si>
  <si>
    <t>红明贡</t>
  </si>
  <si>
    <t>江苏大明宫酒业有限公司</t>
  </si>
  <si>
    <t>全昇兴</t>
  </si>
  <si>
    <t>邢台如仑贸易有限公司</t>
  </si>
  <si>
    <t>烧酒;⽩酒;汽酒;含⽔果酒精饮料;鸡尾酒;葡萄酒;蒸煮提取物（利⼝酒和烈酒）;⻩酒;酒精饮料（啤酒除外）;果酒（含酒精）</t>
  </si>
  <si>
    <t>鲜王斋</t>
  </si>
  <si>
    <t>苏州鲜王斋食品有限公司</t>
  </si>
  <si>
    <t>蜂蜜酒;果酒（含酒精）;梨酒;苹果酒;清酒（⽇本⽶酒）;⾕物制蒸馏酒精饮料;含⽔果酒精饮料;烈酒（饮料）;⽶酒;樱桃酒</t>
  </si>
  <si>
    <t>风云如意</t>
  </si>
  <si>
    <t>烈酒浓缩汁;烈酒;甜酒;葡萄酒;开胃酒;果酒;⽩⼲酒（中国⽩酒）;⽶酒;⽩酒;⾼粱酒</t>
  </si>
  <si>
    <t>书香高净</t>
  </si>
  <si>
    <t>葡萄酒;烧酒;鸡尾酒;⻩酒;清酒（⽇本⽶酒）;⽶酒;烈酒（饮料）;果酒（含酒精）;⽩酒;酒精饮料（啤酒除外）</t>
  </si>
  <si>
    <t>和玺·鸣凤</t>
  </si>
  <si>
    <t>⽩酒;烈酒（饮料）;⽶酒;葡萄酒;清酒;蜂蜜酒;汽酒;果酒（含酒精）;烧酒;⻩酒</t>
  </si>
  <si>
    <t>汴兰庭</t>
  </si>
  <si>
    <t>聂平</t>
  </si>
  <si>
    <t>⾼粱酒;烈酒(饮料);酒精饮料(啤酒除外);威⼠忌;汽酒;果酒;鸡尾酒;葡萄酒;⾕物制蒸馏酒精饮料;⽩酒</t>
  </si>
  <si>
    <t>义都汇</t>
  </si>
  <si>
    <t>河北义都汇文化传媒有限公司</t>
  </si>
  <si>
    <t>⻩酒;果酒;烈酒;烧酒;葡萄酒;清酒;蒸馏饮料;⽩酒;酒精饮料（啤酒除外）;⽶酒</t>
  </si>
  <si>
    <t>赤中韵</t>
  </si>
  <si>
    <t>邹惠明</t>
  </si>
  <si>
    <t>⽩酒;葡萄酒;烈酒（饮料）;威⼠忌;伏特加酒;⻩酒;烧酒;⽶酒;含酒精的饮料（啤酒除外）;酒精饮料（啤酒除外）</t>
  </si>
  <si>
    <t>山束</t>
  </si>
  <si>
    <t>广西地猫商业综合体管理服务有限公司</t>
  </si>
  <si>
    <t>威⼠忌;酒精饮料（啤酒除外）;⽶酒;红葡萄酒;⽩酒;酒精饮料原汁;含⽔果酒精饮料;预先混合的酒精饮料（以啤酒为主的除外）;烧酒;鸡尾酒</t>
  </si>
  <si>
    <t>寻涧花</t>
  </si>
  <si>
    <t>涡阳县一切有为商贸有限公司</t>
  </si>
  <si>
    <t>果酒（含酒精）;开胃酒;⾷⽤酒精;葡萄酒;⽩酒;蒸馏饮料;⽶酒;酒精饮料（啤酒除外）;预先混合的酒精饮料（以啤酒为主的除外）;含⽔果酒精饮料</t>
  </si>
  <si>
    <t>GXCCE 桂循</t>
  </si>
  <si>
    <t>广西供销循环经济产业集团有限公司</t>
  </si>
  <si>
    <t>⽶酒;烧酒;甜酒;葡萄酒;⻩酒;由⾕物蒸馏的⽩酒;果酒（含酒精）;含⽔果酒精饮料;含酒精的饮料（啤酒除外）;⽩酒</t>
  </si>
  <si>
    <t>百岁健</t>
  </si>
  <si>
    <t>山东博奥克生物科技有限公司</t>
  </si>
  <si>
    <t>烈酒（饮料）;⽶酒;⻩酒;葡萄酒;⽩酒;鸡尾酒;⽢蔗制烈酒;果酒（含酒精）;酒精饮料（啤酒除外）;烧酒</t>
  </si>
  <si>
    <t>荣知道</t>
  </si>
  <si>
    <t>烈酒（饮料）;烧酒;⾷⽤酒精;⻩酒;⻘稞酒;威⼠忌;⽩酒;果酒（含酒精）;⽶酒;含⽔果酒精饮料</t>
  </si>
  <si>
    <t>OVISE</t>
  </si>
  <si>
    <t>孙德勤</t>
  </si>
  <si>
    <t>伏特加酒;⽩兰地;威⼠忌;清酒;酒精饮料（啤酒除外）;葡萄酒;果酒;⽩酒;鸡尾酒;露酒</t>
  </si>
  <si>
    <t>翎度淳</t>
  </si>
  <si>
    <t>蓝赖发</t>
  </si>
  <si>
    <t>含酒精的充⽓饮料（啤酒除外）;清酒;果酒;⽩酒;由⾕物蒸馏的⽩酒;含酒精⽔果饮料;⽩⼲酒（中国⽩酒）;甜酒;⽶酒;⾼粱酒</t>
  </si>
  <si>
    <t>福昇兴</t>
  </si>
  <si>
    <t>烧酒;⽩酒;汽酒;葡萄酒;鸡尾酒;⻩酒;酒精饮料（啤酒除外）;含⽔果酒精饮料;果酒（含酒精）;蒸煮提取物（利⼝酒和烈酒）</t>
  </si>
  <si>
    <t>名扬庞公酒馆</t>
  </si>
  <si>
    <t>樊城区庞公醉一九一九黄酒坊</t>
  </si>
  <si>
    <t>葡萄酒;烈酒（饮料）;⻘稞酒;⻩酒;果酒（含酒精）;酒精饮料（啤酒除外）;烧酒;⽩酒;⽶酒;利⼝酒</t>
  </si>
  <si>
    <t>农可初</t>
  </si>
  <si>
    <t>潘庆磊</t>
  </si>
  <si>
    <t>施印良品</t>
  </si>
  <si>
    <t>施子安</t>
  </si>
  <si>
    <t>葡萄酒;果酒（含酒精）;⽶酒;⽩酒;威⼠忌;⻘稞酒;⻩酒;酒精饮料（啤酒除外）;汽酒;开胃酒</t>
  </si>
  <si>
    <t>汉梭</t>
  </si>
  <si>
    <t>段雅琦</t>
  </si>
  <si>
    <t>烈酒（饮料）;烧酒;⽶酒;⻩酒;葡萄酒;⽩酒;酒精饮料（啤酒除外）;酒精饮料原汁;餐后酒（利⼝酒和烈酒）;果酒（含酒精）</t>
  </si>
  <si>
    <t>胡少家</t>
  </si>
  <si>
    <t>深圳瀚鼎睿利资产管理有限公司</t>
  </si>
  <si>
    <t>葡萄酒;酒精饮料（啤酒除外）;鸡尾酒;⽶酒;⻩酒;⽩酒;果酒（含酒精）;烈酒（饮料）;清酒（⽇本⽶酒）;汽酒</t>
  </si>
  <si>
    <t>廖大侠</t>
  </si>
  <si>
    <t>四川三体会文化发展有限公司</t>
  </si>
  <si>
    <t>葡萄酒;⽩酒;⻩酒;伏特加酒;烧酒;清酒;威⼠忌;⽶酒;鸡尾酒;果酒</t>
  </si>
  <si>
    <t>食可初</t>
  </si>
  <si>
    <t>开胃酒;蒸馏饮料;威⼠忌;⻩酒;酒精饮料原汁;果酒（含酒精）;薄荷酒;⽩酒;葡萄酒;含⽔果酒精饮料</t>
  </si>
  <si>
    <t>绍四味</t>
  </si>
  <si>
    <t>葡萄酒;烈酒（饮料）;⽶酒;⽢蔗制烈酒;酒精饮料（啤酒除外）;⻩酒;烧酒;⽩酒;果酒（含酒精）;鸡尾酒</t>
  </si>
  <si>
    <t>福禄昇</t>
  </si>
  <si>
    <t>⻩酒;葡萄酒;⽩酒;⽩葡萄酒;⻘稞酒;果酒（含酒精）;烈酒（饮料）;朗姆酒（酒精饮料）;鸡尾酒;甜果酒</t>
  </si>
  <si>
    <t>馨湛</t>
  </si>
  <si>
    <t>河南馨湛文化传媒有限公司</t>
  </si>
  <si>
    <t>酒精饮料（啤酒除外）;⽼酒（中国蒸馏烈酒）;葡萄酒;果酒（含酒精）;清酒（⽇本⽶酒）;烈酒（饮料）;⾷⽤酒精;清酒;烧酒;⽩酒</t>
  </si>
  <si>
    <t>杭西湖</t>
  </si>
  <si>
    <t>中通控股有限公司</t>
  </si>
  <si>
    <t>酒精饮料（啤酒除外）;鸡尾酒;⽩酒;⽶酒;⽩兰地;葡萄酒;烧酒;⻩酒;烈酒（饮料）;果酒（含酒精）</t>
  </si>
  <si>
    <t>盈吉顺</t>
  </si>
  <si>
    <t>烈酒;利⼝酒;烧酒;蒸煮提取物（利⼝酒和烈酒）;葡萄酒;除啤酒外的酒精饮料;清酒（⽇本⽶酒）;⽶酒;⽩酒;茴⾹酒</t>
  </si>
  <si>
    <t>重庆市大田湾全民健身中心</t>
  </si>
  <si>
    <t>⻩酒;开胃酒;苹果酒;烈酒（饮料）;烧酒;鸡尾酒;葡萄酒;⽩酒;蒸馏饮料;果酒（含酒精）</t>
  </si>
  <si>
    <t>泉浪山</t>
  </si>
  <si>
    <t>福建泉朗健康科技有限责任公司</t>
  </si>
  <si>
    <t>⽩兰地;酒精饮料（啤酒除外）;烈酒（饮料）;⽩酒;⻩酒;含⽔果酒精饮料;葡萄酒;酒精饮料原汁;⽶酒;威⼠忌</t>
  </si>
  <si>
    <t>禧御春秋</t>
  </si>
  <si>
    <t>含酒精的饮料（啤酒除外）;葡萄酒;烈酒（饮料）;⽩酒;威⼠忌;酒精饮料（啤酒除外）;⻩酒;⽶酒;伏特加酒;烧酒</t>
  </si>
  <si>
    <t>佰聚康</t>
  </si>
  <si>
    <t>广西药王山医药有限公司</t>
  </si>
  <si>
    <t>开胃酒;梨酒;蜂蜜酒;苦味酒;果酒;鸡尾酒;⽩酒</t>
  </si>
  <si>
    <t>督林</t>
  </si>
  <si>
    <t>中浦耐杯(北京)贸易有限公司</t>
  </si>
  <si>
    <t>以葡萄酒为主的开胃酒;已调味的蒸馏酒;加烈葡萄酒;调制好的葡萄酒鸡尾酒;以葡萄酒为主的饮料;鸡尾酒;葡萄酒;加⾹料的热葡萄酒;利⼝酒;开胃酒</t>
  </si>
  <si>
    <t>碧色清花</t>
  </si>
  <si>
    <t>张爱国</t>
  </si>
  <si>
    <t>烧酒;⻘稞酒;鸡尾酒;清酒（⽇本⽶酒）;葡萄酒;⾷⽤酒精;果酒（含酒精）;酒精饮料（啤酒除外）;⻩酒;⽩酒</t>
  </si>
  <si>
    <t>鹊贵人</t>
  </si>
  <si>
    <t>福建凯宏食品贸易有限公司</t>
  </si>
  <si>
    <t>⽩酒;⾷⽤酒精;鸡尾酒;蒸馏饮料;威⼠忌;葡萄酒;含⽔果酒精饮料;果酒（含酒精）;⽶酒;烈酒（饮料）</t>
  </si>
  <si>
    <t>铜官街</t>
  </si>
  <si>
    <t>甘露妮</t>
  </si>
  <si>
    <t>鸡尾酒;威⼠忌;葡萄酒;⽶酒;⽩酒;果酒（含酒精）;⻩酒;蒸馏饮料;⽩兰地;烧酒</t>
  </si>
  <si>
    <t>焰红湘</t>
  </si>
  <si>
    <t>鸡尾酒;威⼠忌;⽶酒;葡萄酒;果酒（含酒精）;⽩兰地;烧酒;⽩酒;蒸馏饮料;⻩酒</t>
  </si>
  <si>
    <t>艾赤柔</t>
  </si>
  <si>
    <t>四川巴蜀红酒业有限公司</t>
  </si>
  <si>
    <t>烈酒;⻘稞酒;⽩酒;⻩酒;果酒（含酒精）;烧酒;葡萄酒;酒精饮料原汁;⽶酒;酒精饮料（啤酒除外）</t>
  </si>
  <si>
    <t>酬豪</t>
  </si>
  <si>
    <t>杻阳科技有限公司</t>
  </si>
  <si>
    <t>果酒（含酒精）;威⼠忌;⽩兰地;⻩酒;伏特加酒;酒精饮料（啤酒除外）;清酒;烧酒;葡萄酒;⽩酒</t>
  </si>
  <si>
    <t>青藤溪房</t>
  </si>
  <si>
    <t>北京青藤元数科技有限公司</t>
  </si>
  <si>
    <t>⽩酒;梅酒;葡萄酒;烈酒（饮料）;⽶酒;果酒;甜酒;鸡尾酒;蜂蜜酒;含⽔果酒精饮料</t>
  </si>
  <si>
    <t>EMUE 吻里</t>
  </si>
  <si>
    <t>汕头市联高玩具实业有限公司</t>
  </si>
  <si>
    <t>⻩酒;果酒（含酒精）;开胃酒;酒精饮料（啤酒除外）;鸡尾酒;⽩酒;蒸馏饮料;⽶酒;威⼠忌;葡萄酒</t>
  </si>
  <si>
    <t>珺泽尔堡</t>
  </si>
  <si>
    <t>中珺酒业（山东）有限公司</t>
  </si>
  <si>
    <t>果酒（含酒精）;薄荷酒;伏特加酒;威⼠忌;朗姆酒;⽩兰地;葡萄酒;由⾕物蒸馏的⽩酒;鸡尾酒;清酒</t>
  </si>
  <si>
    <t>御九论</t>
  </si>
  <si>
    <t>程志光</t>
  </si>
  <si>
    <t>酒精饮料（啤酒除外）;鸡尾酒;⽩酒;⻩酒;⽶酒;果酒（含酒精）;葡萄酒;含⽔果酒精饮料;⽩兰地;⾷⽤酒精</t>
  </si>
  <si>
    <t>广州市福康餐饮服务有限公司</t>
  </si>
  <si>
    <t>果酒（含酒精）;⽶酒;⻩酒;由⾕物蒸馏的⽩酒;葡萄酒;酒精饮料（啤酒除外）;⾕物制蒸馏酒精饮料;烈酒（饮料）;⽩酒;烈酒</t>
  </si>
  <si>
    <t>贞冠</t>
  </si>
  <si>
    <t>何遐刚</t>
  </si>
  <si>
    <t>葡萄酒;⽶酒;烈酒（饮料）;烧酒;汽酒;⽩酒;果酒（含酒精）;⽼酒（中国蒸馏烈酒）;清酒;⾷⽤酒精</t>
  </si>
  <si>
    <t>重庆布典实业有限公司</t>
  </si>
  <si>
    <t>红葡萄酒;葡萄酒;⽩酒;蒸馏饮料;清酒;汽酒;鸡尾酒;果酒;酒精饮料（啤酒除外）;⽶酒</t>
  </si>
  <si>
    <t>皇城贵樽</t>
  </si>
  <si>
    <t>烈酒（饮料）;酒精饮料（啤酒除外）;威⼠忌;⽶酒;含酒精的饮料（啤酒除外）;烧酒;葡萄酒;伏特加酒;⻩酒;⽩酒</t>
  </si>
  <si>
    <t>书香高金</t>
  </si>
  <si>
    <t>葡萄酒;⽶酒;⽩酒;果酒（含酒精）;清酒（⽇本⽶酒）;烧酒;鸡尾酒;烈酒（饮料）;⻩酒;酒精饮料（啤酒除外）</t>
  </si>
  <si>
    <t>林祖山</t>
  </si>
  <si>
    <t>鹤壁萤火虫商贸有限公司</t>
  </si>
  <si>
    <t>⽔果汽酒;⽩酒;烧酒（烈酒）;烧酒;烈酒（饮料）;果酒;甜酒;⾷⽤酒精;葡萄酒;鸡尾酒</t>
  </si>
  <si>
    <t>杏彦坊</t>
  </si>
  <si>
    <t>保定酒快来商贸有限公司</t>
  </si>
  <si>
    <t>利⼝酒;⽩酒;烧酒;果酒（含酒精）;开胃酒;威⼠忌;⻩酒;烈酒（饮料）;鸡尾酒;清酒（⽇本⽶酒）</t>
  </si>
  <si>
    <t>路易卡丹优佳丽</t>
  </si>
  <si>
    <t>烟台路易卡隆斯酒庄股份有限公司</t>
  </si>
  <si>
    <t>鸡尾酒;⽩酒;葡萄酒;酒精饮料（啤酒除外）;烈酒（饮料）;⻩酒;⽢蔗制烈酒;果酒（含酒精）;⽶酒;烧酒</t>
  </si>
  <si>
    <t>优佳丽庄园</t>
  </si>
  <si>
    <t>果酒（含酒精）;烈酒（饮料）;⽢蔗制烈酒;酒精饮料（啤酒除外）;⽩酒;葡萄酒;⽶酒;烧酒;鸡尾酒;⻩酒</t>
  </si>
  <si>
    <t>常立酒</t>
  </si>
  <si>
    <t>张家界金粮贸易有限公司</t>
  </si>
  <si>
    <t>烈酒;⾼粱酒;含酒精的饮料（啤酒除外）;⽶酒;开胃酒;果酒;含⽔果酒精饮料;⽩酒;清酒;葡萄酒</t>
  </si>
  <si>
    <t>暮羽</t>
  </si>
  <si>
    <t>贵州珍月楼酒业有限公司</t>
  </si>
  <si>
    <t>烈酒;清酒;⽩酒;⻩酒;⽶酒;烧酒;⽩兰地;威⼠忌;果酒;葡萄酒</t>
  </si>
  <si>
    <t>立长久</t>
  </si>
  <si>
    <t>湖南尚道生物科技有限公司</t>
  </si>
  <si>
    <t>葡萄酒;含⽔果酒精饮料;⾕物制蒸馏酒精饮料;⽩⼲酒（中国⽩酒）;⽩兰地;红葡萄酒;⽩酒;果酒;⽼酒（中国蒸馏烈酒）;调制好的葡萄酒鸡尾酒</t>
  </si>
  <si>
    <t>泗河春</t>
  </si>
  <si>
    <t>王友亮</t>
  </si>
  <si>
    <t>酒精饮料（啤酒除外）;烧酒;⽩酒;⽶酒;酒精饮料原汁;烈酒（饮料）;预先混合的酒精饮料（以啤酒为主的除外）;⾼粱酒;葡萄酒;果酒（含酒精）</t>
  </si>
  <si>
    <t>屿辛</t>
  </si>
  <si>
    <t>曹五八</t>
  </si>
  <si>
    <t>⽩酒;梅酒;⻩酒;⻘稞酒;汽酒;苦荞酒;烧酒;果酒（含酒精）;葡萄酒;⽶酒</t>
  </si>
  <si>
    <t>3 OAK CASTLE</t>
  </si>
  <si>
    <t>华堡有限公司</t>
  </si>
  <si>
    <t>葡萄酒;伏特加酒;果酒（含酒精）;⽩兰地;汽酒;蒸煮提取物（利⼝酒和烈酒）;烈酒（饮料）;威⼠忌;酒精饮料（啤酒除外）;朗姆酒</t>
  </si>
  <si>
    <t>古名曲阿</t>
  </si>
  <si>
    <t>刘宏明32118********1281X</t>
  </si>
  <si>
    <t>含酒精⽔果饮料;果酒（含酒精）;葡萄酒;⽩酒;甜酒;⻩酒;⾼粱酒;⽶酒;汽酒;烧酒</t>
  </si>
  <si>
    <t>飞斯远</t>
  </si>
  <si>
    <t>海南迅德供应链管理有限公司</t>
  </si>
  <si>
    <t>鸡尾酒;烧酒;⽶酒;葡萄酒;汽酒;⻩酒;含酒精⽔果饮料;果酒（含酒精）;开胃酒;⽩酒</t>
  </si>
  <si>
    <t>苗今湘</t>
  </si>
  <si>
    <t>吴运梅</t>
  </si>
  <si>
    <t>烈酒（饮料）;利⼝酒;⽩⼲酒（中国⽩酒）;⽶酒;⽩酒;烧酒;⾕物制蒸馏酒精饮料;⻩酒;果酒（含酒精）;葡萄酒</t>
  </si>
  <si>
    <t>磁汇康</t>
  </si>
  <si>
    <t>张丙华</t>
  </si>
  <si>
    <t>⽶酒;汽酒;酒精饮料（啤酒除外）;⽩酒;⻘稞酒;蜂蜜酒;果酒;威⼠忌;含⽔果酒精饮料;葡萄酒</t>
  </si>
  <si>
    <t>彝作山</t>
  </si>
  <si>
    <t>沈志</t>
  </si>
  <si>
    <t>⽩酒;含酒精的饮料（啤酒除外）;葡萄酒;清酒（⽇本⽶酒）;⽇式甜⽶酒;朝鲜族⽶酒;蒸馏⽶酒（泡盛酒）;果酒（含酒精）;⽶酒;酒精饮料（啤酒除外）</t>
  </si>
  <si>
    <t>WHES</t>
  </si>
  <si>
    <t>江苏为恒智能科技有限公司</t>
  </si>
  <si>
    <t>⽶酒;杨梅酒;威⼠忌;⽩酒;预调甜酒;苹果酒;樱桃酒;梅酒;葡萄酒;清酒</t>
  </si>
  <si>
    <t>抖燚</t>
  </si>
  <si>
    <t>严杰</t>
  </si>
  <si>
    <t>果酒（含酒精）;葡萄酒;烧酒;⻩酒;鸡尾酒;⽩兰地;威⼠忌;⽶酒;⽩酒;⾷⽤酒精</t>
  </si>
  <si>
    <t>莲家大院如意</t>
  </si>
  <si>
    <t>永康市爱民酒业有限公司</t>
  </si>
  <si>
    <t>含⽔果酒精饮料;蒸煮提取物（利⼝酒和烈酒）;蒸馏饮料;⽶酒;清酒;⽩酒;烧酒;酒精饮料（啤酒除外）;⻩酒;葡萄酒</t>
  </si>
  <si>
    <t>陆志刚</t>
  </si>
  <si>
    <t>烧酒;鸡尾酒;葡萄酒;果酒（含酒精）;烈酒（饮料）;⽩酒;⽶酒;蒸馏饮料;威⼠忌;酒精饮料（啤酒除外）</t>
  </si>
  <si>
    <t>贞吉利</t>
  </si>
  <si>
    <t>深圳市大韵大科技有限公司</t>
  </si>
  <si>
    <t>⽩酒;⽢蔗制酒精饮料;预先混合的酒精饮料（以啤酒为主的除外）;果酒（含酒精）;含⽔果酒精饮料;蒸馏饮料;酒精饮料（啤酒除外）;朗姆酒;鸡尾酒;烧酒</t>
  </si>
  <si>
    <t>木桶格朗</t>
  </si>
  <si>
    <t>龙山融创商业管理有限责任公司</t>
  </si>
  <si>
    <t>⽩葡萄酒;葡萄酒;桃红葡萄酒;以葡萄酒为主的开胃酒;起泡⽩葡萄酒;加烈葡萄酒;以葡萄酒为主的饮料;红葡萄酒;葡萄汽酒;调制好的葡萄酒鸡尾酒</t>
  </si>
  <si>
    <t>褚夫珍品</t>
  </si>
  <si>
    <t>王长琴</t>
  </si>
  <si>
    <t>⽩酒;蒸馏饮料;⻩酒;酒精饮料（啤酒除外）;⽶酒;果酒（含酒精）;烧酒;烈酒（饮料）;鸡尾酒;葡萄酒</t>
  </si>
  <si>
    <t>杰夫斯顿</t>
  </si>
  <si>
    <t>由⾕物蒸馏的⽩酒;果酒（含酒精）;清酒;威⼠忌;伏特加酒;鸡尾酒;薄荷酒;⽩兰地;朗姆酒;葡萄酒</t>
  </si>
  <si>
    <t>淡梵</t>
  </si>
  <si>
    <t>杨冰凤</t>
  </si>
  <si>
    <t>烈酒;鸡尾酒;葡萄酒;⽩酒;烧酒;⽶酒;⻘稞酒;⽩兰地;威⼠忌;⻩酒</t>
  </si>
  <si>
    <t>活鍪山</t>
  </si>
  <si>
    <t>吴松资</t>
  </si>
  <si>
    <t>鸡尾酒;葡萄酒;⽶酒;酒精饮料原汁;烧酒;蒸馏饮料;果酒（含酒精）;蜂蜜酒;酒精饮料（啤酒除外）;⽩酒</t>
  </si>
  <si>
    <t>匠色清花</t>
  </si>
  <si>
    <t>李志华</t>
  </si>
  <si>
    <t>⻩酒;伏特加酒;葡萄酒;酒精饮料（啤酒除外）;烧酒;朗姆酒;果酒（含酒精）;鸡尾酒;清酒（⽇本⽶酒）;⽩酒</t>
  </si>
  <si>
    <t>SMU:TIDE</t>
  </si>
  <si>
    <t>广州益养生物科技有限公司</t>
  </si>
  <si>
    <t>葡萄酒;酒精饮料（啤酒除外）;含⽔果酒精饮料;薄荷酒;鸡尾酒;蒸煮提取物（利⼝酒和烈酒）;清酒;威⼠忌;果酒（含酒精）;蒸馏饮料</t>
  </si>
  <si>
    <t>四川拎酒趣供应链管理有限公司</t>
  </si>
  <si>
    <t>葡萄酒;朗姆酒;伏特加酒;⽩酒;蒸煮提取物（利⼝酒和烈酒）;果酒（含酒精）;⽩兰地;清酒;开胃酒;⻩酒</t>
  </si>
  <si>
    <t>云龙映酒</t>
  </si>
  <si>
    <t>重庆梁山酒业有限公司</t>
  </si>
  <si>
    <t>⽩酒;⻩酒;果酒;利⼝酒;由⾕物蒸馏的⽩酒;⾼粱酒;⽩⼲酒（中国⽩酒）;⽶酒;烧酒;⽼酒（中国蒸馏烈酒）</t>
  </si>
  <si>
    <t>莲家大院清韵</t>
  </si>
  <si>
    <t>酒精饮料（啤酒除外）;清酒;葡萄酒;蒸馏饮料;蒸煮提取物（利⼝酒和烈酒）;⽩酒;烧酒;含⽔果酒精饮料;⻩酒;⽶酒</t>
  </si>
  <si>
    <t>武斗魂 WUDO FC</t>
  </si>
  <si>
    <t>湖北武斗魂体育文化传播发展有限公司</t>
  </si>
  <si>
    <t>⽩酒;⻩酒;烧酒;果酒;佐餐酒;⾼粱酒;甜酒;⽶酒;葡萄酒;开胃酒</t>
  </si>
  <si>
    <t>四川绿香园实业有限公司</t>
  </si>
  <si>
    <t>⾕物制蒸馏酒精饮料;果酒（含酒精）;酒精饮料原汁;⾷⽤酒精;蒸馏饮料;⽶酒;⽩酒;烧酒;葡萄酒;酒精饮料（啤酒除外）</t>
  </si>
  <si>
    <t>春色清花</t>
  </si>
  <si>
    <t>易允杨</t>
  </si>
  <si>
    <t>鸡尾酒;⻩酒;⽩酒;酒精饮料（啤酒除外）;伏特加酒;朗姆酒;葡萄酒;清酒（⽇本⽶酒）;烧酒;果酒（含酒精）</t>
  </si>
  <si>
    <t>炮声隆</t>
  </si>
  <si>
    <t>井冈山市神农叶食品有限公司</t>
  </si>
  <si>
    <t>以葡萄酒为主的饮料;⻩酒;蜂蜜酒;梨酒;⽢蔗制酒精饮料;汽酒;⽩酒;含⽔果酒精饮料;⽶酒;烧酒</t>
  </si>
  <si>
    <t>罗兰马歌</t>
  </si>
  <si>
    <t>宁夏罗兰玛歌农业科技有限公司</t>
  </si>
  <si>
    <t>果酒（含酒精）;烧酒;红葡萄酒;烈酒（饮料）;⾷⽤酒精;酒精饮料（啤酒除外）;葡萄酒;利⼝酒;⽩兰地;桃红葡萄酒</t>
  </si>
  <si>
    <t>添仪老汪</t>
  </si>
  <si>
    <t>汪国胜</t>
  </si>
  <si>
    <t>葡萄酒;酒精饮料原汁;⽶酒;烧酒;⻩酒;烈酒（饮料）;果酒（含酒精）;⽩酒;⻘稞酒;酒精饮料（啤酒除外）</t>
  </si>
  <si>
    <t>莲家大院冰韵</t>
  </si>
  <si>
    <t>酒精饮料（啤酒除外）;⽶酒;清酒;⽩酒;蒸馏饮料;葡萄酒;蒸煮提取物（利⼝酒和烈酒）;含⽔果酒精饮料;⻩酒;烧酒</t>
  </si>
  <si>
    <t>广东林隆农业有限公司</t>
  </si>
  <si>
    <t>烈酒（饮料）;开胃酒;⾕物制蒸馏酒精饮料;果酒（含酒精）;⽩酒;葡萄酒;酒精饮料（啤酒除外）;威⼠忌;⽶酒;烧酒</t>
  </si>
  <si>
    <t>壮四季</t>
  </si>
  <si>
    <t>中山市鸿骏智能科技有限公司</t>
  </si>
  <si>
    <t>果酒;露酒;酒精饮料（啤酒除外）;⽩酒;⾕物制蒸馏酒精饮料;开胃酒;已调味的蒸馏酒;⻩酒;烧酒;⽶酒</t>
  </si>
  <si>
    <t>赤柔樽</t>
  </si>
  <si>
    <t>烈酒;酒精饮料（啤酒除外）;烧酒;⻘稞酒;葡萄酒;⽶酒;酒精饮料原汁;⽩酒;果酒（含酒精）;⻩酒</t>
  </si>
  <si>
    <t>书殿</t>
  </si>
  <si>
    <t>李文</t>
  </si>
  <si>
    <t>葡萄酒;⻩酒;⽶酒;梅酒;⾼粱酒;烧酒;⻘稞酒;⽩酒</t>
  </si>
  <si>
    <t>源泉高</t>
  </si>
  <si>
    <t>山西晋十二酒业股份有限公司</t>
  </si>
  <si>
    <t>酒精饮料原汁;烈酒（饮料）;果酒（含酒精）;烧酒;果酒;⽩酒;⾷⽤酒精;清酒（⽇本⽶酒）;⾼粱酒;含⽔果酒精饮料</t>
  </si>
  <si>
    <t>山海脉</t>
  </si>
  <si>
    <t>谢培启</t>
  </si>
  <si>
    <t>烧酒;果酒（含酒精）;⽩酒;葡萄酒;⻩酒;威⼠忌;酒精饮料（啤酒除外）;⽶酒;清酒;鸡尾酒</t>
  </si>
  <si>
    <t>不知桑落</t>
  </si>
  <si>
    <t>合肥洞见米琪酒业有限公司</t>
  </si>
  <si>
    <t>露酒;清酒（⽇本⽶酒）;葡萄酒;⽩兰地;⽶酒;鸡尾酒;⽩酒;⻩酒;威⼠忌;果酒（含酒精）</t>
  </si>
  <si>
    <t>多米斯汀</t>
  </si>
  <si>
    <t>清酒;鸡尾酒;伏特加酒;朗姆酒;⽩兰地;威⼠忌;葡萄酒;薄荷酒;由⾕物蒸馏的⽩酒;果酒（含酒精）</t>
  </si>
  <si>
    <t>酒酒泽优</t>
  </si>
  <si>
    <t>娄青玉421223********2567</t>
  </si>
  <si>
    <t>果酒（含酒精）;威⼠忌;清酒（⽇本⽶酒）;酒精饮料（啤酒除外）;烧酒;⽩酒;葡萄酒;⽶酒;鸡尾酒;⻩酒</t>
  </si>
  <si>
    <t>青岚酒磐</t>
  </si>
  <si>
    <t>江苏香芝麻酒业有限公司</t>
  </si>
  <si>
    <t>苦味酒;烧酒;⽩酒;果酒（含酒精）;苹果酒;蒸馏饮料;开胃酒;烈酒（饮料）;酒精饮料（啤酒除外）;⾷⽤酒精;餐后酒（利⼝酒和烈酒）</t>
  </si>
  <si>
    <t>环叠蓝花楹</t>
  </si>
  <si>
    <t>厦门发发途贸易有限公司</t>
  </si>
  <si>
    <t>果酒（含酒精）;⻩酒;葡萄酒;⽩酒;酒精饮料原汁;酒精饮料（啤酒除外）;烈酒（饮料）;预先混合的酒精饮料（以啤酒为主的除外）;汽酒;⽶酒</t>
  </si>
  <si>
    <t>莲家大院翠韵</t>
  </si>
  <si>
    <t>烧酒;⽶酒;⻩酒;葡萄酒;清酒;酒精饮料（啤酒除外）;含⽔果酒精饮料;蒸馏饮料;蒸煮提取物（利⼝酒和烈酒）;⽩酒</t>
  </si>
  <si>
    <t>永穆坊</t>
  </si>
  <si>
    <t>平昌御玖轩酒业有限公司</t>
  </si>
  <si>
    <t>葡萄酒;酒精饮料（啤酒除外）;蒸馏饮料;⽩酒;甜酒;⾼粱酒;果酒;开胃酒;烈酒;⻩酒</t>
  </si>
  <si>
    <t>鹿鸣荟</t>
  </si>
  <si>
    <t>北京正一优供商贸有限公司</t>
  </si>
  <si>
    <t>威⼠忌;⻘稞酒;果酒（含酒精）;⾷⽤酒精;⽩酒;⽶酒;酒精饮料（啤酒除外）;⻩酒;苦味酒;烧酒</t>
  </si>
  <si>
    <t>锦瑭轩</t>
  </si>
  <si>
    <t>威海锦瑭轩酒业有限公司</t>
  </si>
  <si>
    <t>烧酒;⽩酒;⽶酒;鸡尾酒;威⼠忌;葡萄酒;⾷⽤酒精;烈酒（饮料）;伏特加酒;果酒（含酒精）</t>
  </si>
  <si>
    <t>潼顺</t>
  </si>
  <si>
    <t>⽩酒;⽶酒;酒精饮料（啤酒除外）;酒精饮料原汁;果酒（含酒精）;葡萄酒;餐后酒（利⼝酒和烈酒）;⻩酒;烧酒;烈酒（饮料）</t>
  </si>
  <si>
    <t>固欢堂</t>
  </si>
  <si>
    <t>广东白鹤科技股份有限公司</t>
  </si>
  <si>
    <t>薄荷酒;预先混合的酒精饮料（以啤酒为主的除外）;酒精饮料（啤酒除外）;酒精饮料浓缩汁;⽩酒;苦味酒;⻩酒;蜂蜜酒;餐后酒（利⼝酒和烈酒）;鸡尾酒</t>
  </si>
  <si>
    <t>洛爵威特 RODGE WITT</t>
  </si>
  <si>
    <t>广东卡拉尔酒业有限公司</t>
  </si>
  <si>
    <t>利⼝酒;果酒（含酒精）;威⼠忌;葡萄酒;⽩酒;蒸馏饮料;酒精饮料（啤酒除外）;⽩兰地;鸡尾酒;伏特加酒</t>
  </si>
  <si>
    <t>贞五十</t>
  </si>
  <si>
    <t>果酒（含酒精）;烧酒;葡萄酒;⽼酒（中国蒸馏烈酒）;汽酒;⽩酒;⽶酒;清酒;烈酒（饮料）;⾷⽤酒精</t>
  </si>
  <si>
    <t>忠鸣春</t>
  </si>
  <si>
    <t>海口琼山匠与倾食品经营部（个体工商户）</t>
  </si>
  <si>
    <t>⻘稞酒;酒精饮料（啤酒除外）;⽩酒;鸡尾酒;⽩⼲酒（中国⽩酒）;⽶酒;烧酒;果酒（含酒精）;葡萄酒;樱桃酒</t>
  </si>
  <si>
    <t>篱坝柱</t>
  </si>
  <si>
    <t>重庆市云阳县沐辉竹制品加工有限公司</t>
  </si>
  <si>
    <t>⽩酒;柑⾹酒;⽢蔗制酒精饮料;果酒（含酒精）;⽶酒;烧酒;含⽔果酒精饮料;⾕物制蒸馏酒精饮料;果酒;苹果酒</t>
  </si>
  <si>
    <t>名德灥</t>
  </si>
  <si>
    <t>山东华亿企业管理服务有限公司</t>
  </si>
  <si>
    <t>⽶酒;由⾕物蒸馏的⽩酒;威⼠忌;鸡尾酒;⽩酒;含⽔果酒精饮料;⾕物制蒸馏酒精饮料;⻩酒;葡萄酒;酒精饮料原汁</t>
  </si>
  <si>
    <t>绍佳粱</t>
  </si>
  <si>
    <t>晋江绍佳粱酒业有限公司</t>
  </si>
  <si>
    <t>鸡尾酒;威⼠忌;⽩酒;果酒（含酒精）;清酒（⽇本⽶酒）;苹果酒;伏特加酒;⻩酒;⽩兰地;开胃酒</t>
  </si>
  <si>
    <t>伯飂</t>
  </si>
  <si>
    <t>威⼠忌;⽩酒;⻩酒;清酒;⽶酒;烧酒;鸡尾酒;葡萄酒;伏特加酒;果酒</t>
  </si>
  <si>
    <t>百岁品行天下</t>
  </si>
  <si>
    <t>广西北海百岁品行天下健康管理有限公司</t>
  </si>
  <si>
    <t>酒精饮料（啤酒除外）;⻩酒;⽶酒;鸡尾酒;果酒（含酒精）;清酒（⽇本⽶酒）;烧酒;⽩酒;葡萄酒;烈酒（饮料）</t>
  </si>
  <si>
    <t>长安花月夜</t>
  </si>
  <si>
    <t>陈元军</t>
  </si>
  <si>
    <t>清酒（⽇本⽶酒）;葡萄酒;威⼠忌;⻩酒;⽩兰地;果酒（含酒精）;烧酒;鸡尾酒;汽酒;⽩酒</t>
  </si>
  <si>
    <t>雄狮莱澳</t>
  </si>
  <si>
    <t>以葡萄酒为主的饮料;桃红葡萄酒;⽩葡萄酒;红葡萄酒;调制好的葡萄酒鸡尾酒;以葡萄酒为主的开胃酒;葡萄汽酒;起泡⽩葡萄酒;葡萄酒;加烈葡萄酒</t>
  </si>
  <si>
    <t>仰天牧云</t>
  </si>
  <si>
    <t>山西和众源新时代酒业有限公司</t>
  </si>
  <si>
    <t>烧酒;⻩酒;葡萄酒;果酒（含酒精）;⽶酒;⽩酒;酒精饮料（啤酒除外）;⾷⽤酒精;威⼠忌;开胃酒</t>
  </si>
  <si>
    <t>山文黔</t>
  </si>
  <si>
    <t>贵州百泽文化发展有限公司</t>
  </si>
  <si>
    <t>威⼠忌;果酒（含酒精）;⽩兰地;酒精饮料（啤酒除外）;⻩酒;葡萄酒;伏特加酒;⽶酒;⽩酒;鸡尾酒</t>
  </si>
  <si>
    <t>镜春山</t>
  </si>
  <si>
    <t>四川乡村共兴科技发展有限责任公司</t>
  </si>
  <si>
    <t>⽩酒;酒精饮料（啤酒除外）;含⽔果酒精饮料;⽶酒;甜酒;果酒（含酒精）;⽢蔗制酒精饮料;鸡尾酒;以葡萄酒为主的饮料;梅酒</t>
  </si>
  <si>
    <t>宋葡</t>
  </si>
  <si>
    <t>南京宋氏茶堂茶叶有限公司</t>
  </si>
  <si>
    <t>葡萄酒;果酒（含酒精）;烈酒（饮料）;酒精饮料（啤酒除外）;⻩酒;开胃酒;鸡尾酒;⽶酒;⽩酒;烧酒</t>
  </si>
  <si>
    <t>金蒂贝妮</t>
  </si>
  <si>
    <t>宁波保税区金蒂贝妮国际贸易有限公司</t>
  </si>
  <si>
    <t>清酒(⽇本⽶酒);⽩兰地;葡萄酒;鸡尾酒;⽩酒;果酒(含酒精);伏特加酒;利⼝酒;威⼠忌;朗姆酒</t>
  </si>
  <si>
    <t>蔡太医</t>
  </si>
  <si>
    <t>宿迁市道医文化交流中心</t>
  </si>
  <si>
    <t>葡萄酒;以葡萄酒为主的饮料;⽶酒;果酒（含酒精）;酒精饮料原汁;⾕物制蒸馏酒精饮料;⽩酒;清酒（⽇本⽶酒）;⻩酒</t>
  </si>
  <si>
    <t>⻩酒;果酒（含酒精）;鸡尾酒;葡萄酒;⽩兰地;威⼠忌;⽶酒;烧酒;⽩酒;蒸馏饮料</t>
  </si>
  <si>
    <t>玖伍乾</t>
  </si>
  <si>
    <t>玖加伍酒水销售（四川）有限公司</t>
  </si>
  <si>
    <t>葡萄酒;由⾕物蒸馏的⽩酒;烈酒;⾼粱酒;⽩酒;⽩⼲酒（中国⽩酒）;果酒;⽼酒（中国蒸馏烈酒）;蒸煮提取物（利⼝酒和烈酒）;烧酒</t>
  </si>
  <si>
    <t>邮宇帆</t>
  </si>
  <si>
    <t>扬州宇帆数智健康科技有限公司</t>
  </si>
  <si>
    <t>酸酒（低等葡萄酒）;梨酒;以葡萄酒为主的饮料;果酒（含酒精）;⻘稞酒;开胃酒;苦味酒;预先混合的酒精饮料（以啤酒为主的除外）;茴芹酒（利⼝酒）;茴⾹酒（利⼝酒）</t>
  </si>
  <si>
    <t>柒恒</t>
  </si>
  <si>
    <t>湖州鸿图酒业有限公司</t>
  </si>
  <si>
    <t>⽶酒;烈酒（饮料）;以葡萄酒为主的开胃酒;酒精饮料（啤酒除外）;⻩酒;葡萄酒;烧酒;⽩酒;果酒（含酒精）;鸡尾酒</t>
  </si>
  <si>
    <t>康璟农</t>
  </si>
  <si>
    <t>海南康璟农生物科技有限公司</t>
  </si>
  <si>
    <t>含⽔果酒精饮料;果酒（含酒精）;⽩酒;酒精饮料浓缩汁;蒸馏饮料;蒸煮提取物（利⼝酒和烈酒）;酒精饮料（啤酒除外）;酒精饮料原汁;预先混合的酒精饮料（以啤酒为主的除外）;开胃酒</t>
  </si>
  <si>
    <t>奥兰谷</t>
  </si>
  <si>
    <t>苏州吉松蟹业养殖有限公司</t>
  </si>
  <si>
    <t>葡萄汽酒;起泡⽩葡萄酒;烈性⼲酒;红葡萄酒;⻨芽威⼠忌;樱桃⽩兰地;⽩⼲酒（中国⽩酒）;⽢蔗汁酿朗姆酒;果酒;加烈葡萄酒</t>
  </si>
  <si>
    <t>胡一仙</t>
  </si>
  <si>
    <t>章胜兵</t>
  </si>
  <si>
    <t>鸡尾酒;葡萄酒;餐后酒（利⼝酒和烈酒）;⽩酒;⻩酒;⽶酒;⾕物制蒸馏酒精饮料;威⼠忌;烧酒;果酒（含酒精）</t>
  </si>
  <si>
    <t>父能爸气</t>
  </si>
  <si>
    <t>汾阳市晋曲封藏酒业有限公司</t>
  </si>
  <si>
    <t>葡萄酒;威⼠忌;开胃酒;⽩酒;汽酒;⻩酒;果酒（含酒精）;烈酒（饮料）;⽶酒;烧酒</t>
  </si>
  <si>
    <t>玖伍坤</t>
  </si>
  <si>
    <t>⽩酒;由⾕物蒸馏的⽩酒;⾼粱酒;烧酒;烈酒;葡萄酒;果酒;⽩⼲酒（中国⽩酒）;蒸煮提取物（利⼝酒和烈酒）;⽼酒（中国蒸馏烈酒）</t>
  </si>
  <si>
    <t>桃治</t>
  </si>
  <si>
    <t>含⽔果酒精饮料;烧酒;含酒精的⽔果鸡尾酒饮料;果酒（含酒精）;利⼝酒;葡萄酒;樱桃⽩兰地;桃红葡萄酒;樱桃酒;⽩酒</t>
  </si>
  <si>
    <t>点洋青红</t>
  </si>
  <si>
    <t>张崇贵</t>
  </si>
  <si>
    <t>烧酒;酒精饮料（啤酒除外）;清酒（⽇本⽶酒）;鸡尾酒;⻩酒;⽩酒;⽶酒;果酒（含酒精）;葡萄酒;烈酒（饮料）</t>
  </si>
  <si>
    <t>JS</t>
  </si>
  <si>
    <t>厦门界尚贸易有限公司</t>
  </si>
  <si>
    <t>烧酒;⽶酒;葡萄酒;酒精饮料（啤酒除外）;鸡尾酒;⽩酒;起泡⽩葡萄酒;果酒（含酒精）;甜果酒;烈酒（饮料）</t>
  </si>
  <si>
    <t>青郡御品</t>
  </si>
  <si>
    <t>王海云</t>
  </si>
  <si>
    <t>⻩酒;果酒（含酒精）;清酒（⽇本⽶酒）;⽩酒;烧酒;酒精饮料（啤酒除外）;伏特加酒;⽶酒;⻘稞酒;葡萄酒</t>
  </si>
  <si>
    <t>裕南椿</t>
  </si>
  <si>
    <t>⻩酒;果酒（含酒精）;伏特加酒;⽶酒;酒精饮料（啤酒除外）;⻘稞酒;⽩酒;烧酒;葡萄酒;清酒（⽇本⽶酒）</t>
  </si>
  <si>
    <t>仓隆</t>
  </si>
  <si>
    <t>吴爱芝</t>
  </si>
  <si>
    <t>清酒（⽇本⽶酒）;⻘稞酒;果酒（含酒精）;葡萄酒;伏特加酒;烧酒;酒精饮料（啤酒除外）;⻩酒;⽩酒;⽶酒</t>
  </si>
  <si>
    <t>黔粮恭</t>
  </si>
  <si>
    <t>利⼝酒;清酒（⽇本⽶酒）;果酒;朗姆酒;烧酒;⽩酒;开胃酒;葡萄酒;鸡尾酒;酒精饮料（啤酒除外）</t>
  </si>
  <si>
    <t>TRIBAL STREETWEAR</t>
  </si>
  <si>
    <t>美商穿宝街服公司</t>
  </si>
  <si>
    <t>果酒（含酒精）;酒精饮料（啤酒除外）;⽩酒;朗姆酒;伏特加酒;鸡尾酒;威⼠忌;葡萄酒;⽩兰地;蒸馏饮料</t>
  </si>
  <si>
    <t>官固台</t>
  </si>
  <si>
    <t>广源发供应链有限公司</t>
  </si>
  <si>
    <t>酒精饮料（啤酒除外）;⽩酒;⽶酒;⻩酒;葡萄酒;⾼粱酒;鸡尾酒;烧酒（烈酒）;果酒（含酒精）;清酒（⽇本⽶酒）</t>
  </si>
  <si>
    <t>温酉</t>
  </si>
  <si>
    <t>泸州酿帝酒业有限公司</t>
  </si>
  <si>
    <t>⽩酒;蒸馏饮料;⽶酒;⾷⽤酒精;⻩酒;烈酒;酒精饮料（啤酒除外）;汽酒;烧酒;葡萄酒</t>
  </si>
  <si>
    <t>百川鼎</t>
  </si>
  <si>
    <t>蒋春燕</t>
  </si>
  <si>
    <t>⻩酒;⽶酒;⽩兰地;⻘稞酒;烧酒;⽩酒;鸡尾酒;葡萄酒;威⼠忌;烈酒</t>
  </si>
  <si>
    <t>黔娲</t>
  </si>
  <si>
    <t>汪峰</t>
  </si>
  <si>
    <t>⽩⼲酒（中国⽩酒）;烧酒;⽩酒;果酒;含酒精的⽓泡⽔;汽酒;酒精饮料（啤酒除外）;⽶酒;⻩酒;葡萄酒</t>
  </si>
  <si>
    <t>亚营</t>
  </si>
  <si>
    <t>腾想控股集团有限公司</t>
  </si>
  <si>
    <t>⽩酒;蜂蜜酒;开胃酒;苹果酒;汽酒;威⼠忌;烈酒（饮料）;⽩兰地;葡萄酒;清酒（⽇本⽶酒）</t>
  </si>
  <si>
    <t>贵匠世家</t>
  </si>
  <si>
    <t>泸州内藏臻淳酒业有限公司</t>
  </si>
  <si>
    <t>⽩酒;葡萄酒;烧酒;⻩酒;果酒（含酒精）;⽶酒;烈酒（饮料）;酒精饮料（啤酒除外）;鸡尾酒;清酒（⽇本⽶酒）</t>
  </si>
  <si>
    <t>不起泡葡萄酒;威⼠忌;加烈葡萄酒;⻨芽威⼠忌;烈酒;红葡萄酒;⽩兰地;⽩葡萄酒;除啤酒外的酒精饮料;葡萄酒</t>
  </si>
  <si>
    <t>小河白宝</t>
  </si>
  <si>
    <t>李新胜</t>
  </si>
  <si>
    <t>⾼粱酒;烈酒;⽼酒（中国蒸馏烈酒）;烧酒;由⾕物蒸馏的⽩酒;⽢蔗制烈酒;⽩酒;果酒;⽶酒;⻩酒</t>
  </si>
  <si>
    <t>珞驾</t>
  </si>
  <si>
    <t>山姆供应链管理（湖北）有限公司</t>
  </si>
  <si>
    <t>⽩酒;⽶酒;葡萄酒;烧酒;果酒（含酒精）;烈酒（饮料）;酒精饮料（啤酒除外）;⽼酒（中国蒸馏烈酒）;清酒;鸡尾酒</t>
  </si>
  <si>
    <t>吉庚</t>
  </si>
  <si>
    <t>泸州纯粮固态酿酒有限公司</t>
  </si>
  <si>
    <t>果酒;葡萄酒;汽酒;⻩酒;酒精饮料原汁;⽶酒;⻘稞酒;⽩酒;伏特加酒;烧酒</t>
  </si>
  <si>
    <t>米小瓮</t>
  </si>
  <si>
    <t>山东宏泰酒业有限公司</t>
  </si>
  <si>
    <t>烧酒;鸡尾酒;蜂蜜酒;⽶酒;⻩酒;葡萄酒;⽩酒;烈酒（饮料）;清酒（⽇本⽶酒）;果酒（含酒精）</t>
  </si>
  <si>
    <t>KYODO 鲸美多</t>
  </si>
  <si>
    <t>萍乡市宜洁佳选商贸有限公司</t>
  </si>
  <si>
    <t>⽶酒;鸡尾酒;伏特加酒;⻘稞酒;⾷⽤酒精;⽩酒;清酒;果酒（含酒精）;烧酒;汽酒</t>
  </si>
  <si>
    <t>玉阳池</t>
  </si>
  <si>
    <t>王子玉</t>
  </si>
  <si>
    <t>由⾕物蒸馏的⽩酒;果酒;已调味的蒸馏酒;⽶酒;苦味酒;烧酒;葡萄酒;⽩兰地;⻩酒;⽩酒</t>
  </si>
  <si>
    <t>一叁吉象</t>
  </si>
  <si>
    <t>广东喜家隆新零售投资控股有限公司</t>
  </si>
  <si>
    <t>烈酒（饮料）;餐后酒（利⼝酒和烈酒）;果酒（含酒精）;苦味酒;⽶酒;茴芹酒（利⼝酒）;杜松⼦酒;预先混合的酒精饮料（以啤酒为主的除外）;开胃酒;利⼝酒</t>
  </si>
  <si>
    <t>澄集酒</t>
  </si>
  <si>
    <t>袁超</t>
  </si>
  <si>
    <t>威⼠忌;烈酒;酒精饮料（啤酒除外）;鸡尾酒;⻩酒;果酒（含酒精）;清酒（⽇本⽶酒）;⽩酒;葡萄酒;开胃酒</t>
  </si>
  <si>
    <t>稻四洲</t>
  </si>
  <si>
    <t>海口龙华阮住贸易商行</t>
  </si>
  <si>
    <t>汽酒;梅酒;清酒;⽼酒（中国蒸馏烈酒）;⽩酒;葡萄酒;⻩酒;威⼠忌;果酒;⽶酒</t>
  </si>
  <si>
    <t>玉巫醇</t>
  </si>
  <si>
    <t>张朝均511227********1676</t>
  </si>
  <si>
    <t>⽩酒;蒸煮提取物（利⼝酒和烈酒）;烧酒;⽶酒;果酒;⽩⼲酒（中国⽩酒）;酒精饮料（啤酒除外）;烈酒;⾼粱酒;露酒</t>
  </si>
  <si>
    <t>帅小满</t>
  </si>
  <si>
    <t>贵州润渡科技有限公司</t>
  </si>
  <si>
    <t>烈酒;⽶酒;果酒（含酒精）;⽩兰地;⽩酒;⻩酒;烧酒;葡萄酒;酒精饮料（啤酒除外）;汽酒</t>
  </si>
  <si>
    <t>柏鼎</t>
  </si>
  <si>
    <t>汤明贵</t>
  </si>
  <si>
    <t>鸡尾酒;⽩酒;⻩酒;⽶酒;⻘稞酒;葡萄酒;烧酒;⽩兰地;威⼠忌;烈酒</t>
  </si>
  <si>
    <t>辉青煌花</t>
  </si>
  <si>
    <t>文水县辉煌包装有限公司</t>
  </si>
  <si>
    <t>⾼粱酒;⽩⼲酒（中国⽩酒）;⽼酒（中国蒸馏烈酒）;果酒（含酒精）;烧酒;露酒;⽩酒;烈酒（饮料）;烧酒（烈酒）;由⾕物蒸馏的⽩酒</t>
  </si>
  <si>
    <t>播联</t>
  </si>
  <si>
    <t>央广优选供应链有限公司</t>
  </si>
  <si>
    <t>⽶酒;葡萄酒;果酒（含酒精）;酒精饮料（啤酒除外）;烈酒（饮料）;⽩酒;⻩酒;鸡尾酒;烧酒;⻘稞酒</t>
  </si>
  <si>
    <t>羲河</t>
  </si>
  <si>
    <t>美星药业（河北）有限公司</t>
  </si>
  <si>
    <t>⽩酒;⻩酒;酒精饮料浓缩汁;⾼粱酒;鸡尾酒;伏特加酒;含酒精的饮料（啤酒除外）;蒸煮提取物（利⼝酒和烈酒）;葡萄酒;⽶酒</t>
  </si>
  <si>
    <t>熯坛</t>
  </si>
  <si>
    <t>燕和国际贸易(深圳)有限公司</t>
  </si>
  <si>
    <t>清酒（⽇本⽶酒）;梅酒;⽩兰地;⽩酒;⻩酒;葡萄酒;威⼠忌;果酒（含酒精）;烈酒;⽶酒</t>
  </si>
  <si>
    <t>刘大人</t>
  </si>
  <si>
    <t>葡萄酒;⽶酒;烧酒;清酒（⽇本⽶酒）;伏特加酒;酒精饮料（啤酒除外）;⻩酒;⽩酒;⻘稞酒;果酒（含酒精）</t>
  </si>
  <si>
    <t>鸟吊山</t>
  </si>
  <si>
    <t>大理市谷道商贸有限公司</t>
  </si>
  <si>
    <t>葡萄酒;威⼠忌;烧酒;⻘稞酒;⽶酒;⻘梅酒;果酒;由⾕物蒸馏的⽩酒;⽩兰地;⽩酒</t>
  </si>
  <si>
    <t>喵斋</t>
  </si>
  <si>
    <t>四川版途天下财到文化发展有限公司</t>
  </si>
  <si>
    <t>烈酒;果酒;汽酒;梅酒;⽶酒;葡萄酒;⻘稞酒;烧酒;⻩酒;⽩酒</t>
  </si>
  <si>
    <t>呮哚</t>
  </si>
  <si>
    <t>贵州彝塞避暑康养旅居农庄（个人独资）</t>
  </si>
  <si>
    <t>餐后酒（利⼝酒和烈酒）;苹果酒;露酒;⽩酒;蒸馏饮料;⽶酒;⾕物制蒸馏酒精饮料;果酒（含酒精）;烈酒（饮料）;葡萄酒</t>
  </si>
  <si>
    <t>玖伍禄</t>
  </si>
  <si>
    <t>⽼酒（中国蒸馏烈酒）;葡萄酒;⾼粱酒;⽩⼲酒（中国⽩酒）;烈酒;果酒;烧酒;由⾕物蒸馏的⽩酒;蒸煮提取物（利⼝酒和烈酒）;⽩酒</t>
  </si>
  <si>
    <t>玖伍喜</t>
  </si>
  <si>
    <t>由⾕物蒸馏的⽩酒;葡萄酒;⽩酒;蒸煮提取物（利⼝酒和烈酒）;果酒;⾼粱酒;烧酒;⽩⼲酒（中国⽩酒）;⽼酒（中国蒸馏烈酒）;烈酒</t>
  </si>
  <si>
    <t>仙吻</t>
  </si>
  <si>
    <t>揭嘉轩</t>
  </si>
  <si>
    <t>⻘稞酒;⾼粱酒;⽶酒;⻩酒;葡萄酒;烧酒;⽩酒</t>
  </si>
  <si>
    <t>道归简</t>
  </si>
  <si>
    <t>含酒精⽔果饮料;⾕物制蒸馏酒精饮料;葡萄酒;⽩兰地;烧酒;⻩酒;果酒（含酒精）;⽩酒;威⼠忌;⽶酒</t>
  </si>
  <si>
    <t>社敬</t>
  </si>
  <si>
    <t>张嘉玲</t>
  </si>
  <si>
    <t>含酒精⽔果饮料;⽩兰地;威⼠忌;⽩酒;烧酒;⾕物制蒸馏酒精饮料;⻩酒;果酒（含酒精）;葡萄酒;⽶酒</t>
  </si>
  <si>
    <t>梦莉台</t>
  </si>
  <si>
    <t>漆艳</t>
  </si>
  <si>
    <t>烈酒（饮料）;烧酒;酒精饮料（啤酒除外）;⽩酒;⾕物制蒸馏酒精饮料;清酒（⽇本⽶酒）;果酒（含酒精）;开胃酒;⽶酒;葡萄酒</t>
  </si>
  <si>
    <t>鉴魅</t>
  </si>
  <si>
    <t>王加加</t>
  </si>
  <si>
    <t>果酒（含酒精）;葡萄酒;酒精饮料（啤酒除外）;清酒;开胃酒;⾕物制蒸馏酒精饮料;⽩酒;⽶酒;⻩酒;烈酒（饮料）</t>
  </si>
  <si>
    <t>道济海川</t>
  </si>
  <si>
    <t>江西九盛公中药有限公司</t>
  </si>
  <si>
    <t>甜酒;梅酒;葡萄酒;⻩酒;酒精饮料原汁;⽶酒;⾼粱酒;含酒精⽔果饮料;⽩酒;果酒</t>
  </si>
  <si>
    <t>同同庚酿</t>
  </si>
  <si>
    <t>葡萄酒;⽩酒;汽酒;烧酒;伏特加酒;酒精饮料原汁;⻘稞酒;果酒;⽶酒;⻩酒</t>
  </si>
  <si>
    <t>蕴之美</t>
  </si>
  <si>
    <t>烈酒（饮料）;葡萄酒;⾕物制蒸馏酒精饮料;⻩酒;清酒;酒精饮料（啤酒除外）;果酒（含酒精）;⽶酒;⽩酒;开胃酒</t>
  </si>
  <si>
    <t>众席</t>
  </si>
  <si>
    <t>海南特族香食品有限公司</t>
  </si>
  <si>
    <t>葡萄酒;果酒（含酒精）;⽩酒;酒精饮料（啤酒除外）;⾼粱酒;鸡尾酒;烈酒（饮料）;⽶酒;⻩酒;烧酒</t>
  </si>
  <si>
    <t>任意宝</t>
  </si>
  <si>
    <t>江西金润生物制品有限公司</t>
  </si>
  <si>
    <t>果酒（含酒精）;预先混合的酒精饮料（以啤酒为主的除外）;葡萄酒;烧酒;含⽔果酒精饮料;蒸馏饮料;⻩酒;⽩酒;酒精饮料（啤酒除外）;⽶酒</t>
  </si>
  <si>
    <t>佳造优品</t>
  </si>
  <si>
    <t>吴付生</t>
  </si>
  <si>
    <t>果酒（含酒精）;酒精饮料（啤酒除外）;⻩酒;酒精饮料原汁;⽩酒;蒸馏饮料;鸡尾酒;葡萄酒;威⼠忌;⽶酒</t>
  </si>
  <si>
    <t>和士铂</t>
  </si>
  <si>
    <t>深圳市和士铂智能科技有限公司</t>
  </si>
  <si>
    <t>含⽔果酒精饮料;烈酒（饮料）;果酒（含酒精）;葡萄酒;⽩酒;⻩酒;蒸馏饮料;⽶酒;烧酒;⾕物制蒸馏酒精饮料</t>
  </si>
  <si>
    <t>鹏城微帮</t>
  </si>
  <si>
    <t>深圳中微电子商务有限公司</t>
  </si>
  <si>
    <t>清酒（⽇本⽶酒）;⾷⽤酒精;⽩酒;蒸馏饮料;威⼠忌;⽶酒;⽩兰地;酒精饮料（啤酒除外）;烈酒;开胃酒;苹果酒;果酒（含酒精）;葡萄酒;果酒;甜酒;⻩酒;⾼粱酒;⻘稞酒;伏特加酒;鸡尾酒;蜂蜜酒</t>
  </si>
  <si>
    <t>厦门市柳河山庄葡萄酒业有限公司</t>
  </si>
  <si>
    <t>果酒（含酒精）;⽩酒;以葡萄酒为主的饮料;红葡萄酒;桃红葡萄酒;葡萄酒;以葡萄酒为主的开胃酒;⽶酒;樱桃酒;⽩兰地</t>
  </si>
  <si>
    <t>君宦</t>
  </si>
  <si>
    <t>鸡尾酒;⽩兰地;⻘稞酒;⻩酒;烈酒;⽩酒;葡萄酒;威⼠忌;⽶酒;烧酒</t>
  </si>
  <si>
    <t>禾与桐</t>
  </si>
  <si>
    <t>浙江桃园酒业有限公司</t>
  </si>
  <si>
    <t>酒精饮料（啤酒除外）;⽶酒;⽩酒;果酒（含酒精）;蜂蜜酒;鸡尾酒;烈酒（饮料）;含⽔果酒精饮料;⾕物制蒸馏酒精饮料;葡萄酒</t>
  </si>
  <si>
    <t>禾予桐</t>
  </si>
  <si>
    <t>⽩酒;葡萄酒;烈酒（饮料）;⽶酒;含⽔果酒精饮料;⾕物制蒸馏酒精饮料;果酒（含酒精）;鸡尾酒;蜂蜜酒;酒精饮料（啤酒除外）</t>
  </si>
  <si>
    <t>福布诗</t>
  </si>
  <si>
    <t>福清市嘉英贸易有限公司</t>
  </si>
  <si>
    <t>酒精饮料（啤酒除外）;⾷⽤酒精;果酒（含酒精）;汽酒;⻘稞酒;⾼粱酒;葡萄酒;⽩兰地;含⽔果酒精饮料;⽩酒</t>
  </si>
  <si>
    <t>在心间</t>
  </si>
  <si>
    <t>张斌</t>
  </si>
  <si>
    <t>鸡尾酒;⽶酒;⻘稞酒;葡萄酒;烧酒;⾷⽤酒精;⽩酒;⻩酒;威⼠忌;汽酒</t>
  </si>
  <si>
    <t>60313</t>
  </si>
  <si>
    <t>河南村花园艺用品有限公司</t>
  </si>
  <si>
    <t>⽩酒;⾼粱酒;葡萄酒;⽶酒;烧酒;果酒（含酒精）;蒸馏饮料;烈酒（饮料）;⾷⽤酒精;⻩酒</t>
  </si>
  <si>
    <t>中貔</t>
  </si>
  <si>
    <t>王玉德</t>
  </si>
  <si>
    <t>烈酒（饮料）;⽶酒;威⼠忌;酒精饮料（啤酒除外）;⽼酒（中国蒸馏烈酒）;⻩酒;⽩酒;果酒;葡萄酒;烧酒</t>
  </si>
  <si>
    <t>醇位</t>
  </si>
  <si>
    <t>杜云祥</t>
  </si>
  <si>
    <t>含⽔果酒精饮料;烧酒（烈酒）;⽶酒;清酒;葡萄酒;鸡尾酒;汽酒;⽩酒;果酒;酒精饮料（啤酒除外）</t>
  </si>
  <si>
    <t>七级义</t>
  </si>
  <si>
    <t>⽶酒;⽩酒;⾼粱酒;⽼酒（中国蒸馏烈酒）;甜酒;烧酒;烈酒（饮料）;⻩酒;⽩⼲酒（中国⽩酒）;葡萄酒</t>
  </si>
  <si>
    <t>云洲郡</t>
  </si>
  <si>
    <t>李建军142131********5517</t>
  </si>
  <si>
    <t>⻘稞酒;利⼝酒;⽩兰地;果酒（含酒精）;烧酒;⻩酒;⽶酒;烈酒（饮料）;预先混合的酒精饮料（以啤酒为主的除外）;⽩酒</t>
  </si>
  <si>
    <t>玖加伍</t>
  </si>
  <si>
    <t>玖伍寿</t>
  </si>
  <si>
    <t>⽼酒（中国蒸馏烈酒）;葡萄酒;烧酒;⽩酒;⽩⼲酒（中国⽩酒）;蒸煮提取物（利⼝酒和烈酒）;烈酒;果酒;⾼粱酒;由⾕物蒸馏的⽩酒</t>
  </si>
  <si>
    <t>李小茸</t>
  </si>
  <si>
    <t>海南杉越山企业管理有限公司</t>
  </si>
  <si>
    <t>烈酒;由⾕物蒸馏的⽩酒;果酒;松叶酒;烧酒（烈酒）;⽩酒;果酒（含酒精）;⾼粱酒;⽼酒（中国蒸馏烈酒）;⽩⼲酒（中国⽩酒）</t>
  </si>
  <si>
    <t>LION WALK</t>
  </si>
  <si>
    <t>成都酒点见品牌管理有限公司</t>
  </si>
  <si>
    <t>利⼝酒;葡萄酒;⽩兰地;威⼠忌;鸡尾酒;伏特加酒;⽩酒;⽶酒;果酒;朗姆酒</t>
  </si>
  <si>
    <t>柔春苏</t>
  </si>
  <si>
    <t>江苏醉亭酒业有限公司</t>
  </si>
  <si>
    <t>鸡尾酒;⽩酒;葡萄酒;烧酒（烈酒）;杨梅酒;梅酒;果酒;酒精饮料（啤酒除外）;露酒;烈酒（饮料）</t>
  </si>
  <si>
    <t>蜀尹</t>
  </si>
  <si>
    <t>葡萄酒;鸡尾酒;烈酒;威⼠忌;⽶酒;⻘稞酒;⽩酒;烧酒;⻩酒;⽩兰地</t>
  </si>
  <si>
    <t>谏道</t>
  </si>
  <si>
    <t>⽩酒;开胃酒;酒精饮料（啤酒除外）;果酒（含酒精）;清酒;⽶酒;⻩酒;葡萄酒;⾕物制蒸馏酒精饮料;烈酒（饮料）</t>
  </si>
  <si>
    <t>品团</t>
  </si>
  <si>
    <t>⾷⽤酒精;烈酒;酒精饮料（啤酒除外）;⻩酒;汽酒;⽶酒;烧酒;葡萄酒;蒸馏饮料;⽩酒</t>
  </si>
  <si>
    <t>粤雅</t>
  </si>
  <si>
    <t>威⼠忌;伏特加酒;朗姆酒;鸡尾酒;酒精饮料（啤酒除外）;⽩酒;薄荷酒;葡萄酒;⽩兰地;⻩酒</t>
  </si>
  <si>
    <t>松梢月</t>
  </si>
  <si>
    <t>葡萄酒;酒精饮料（啤酒除外）;⽩酒;⻩酒;⽶酒;烧酒;烈酒（饮料）;果酒（含酒精）;⻘稞酒;鸡尾酒</t>
  </si>
  <si>
    <t>玖伍财</t>
  </si>
  <si>
    <t>果酒;⽩⼲酒（中国⽩酒）;由⾕物蒸馏的⽩酒;蒸煮提取物（利⼝酒和烈酒）;烈酒;⽩酒;⾼粱酒;⽼酒（中国蒸馏烈酒）;葡萄酒;烧酒</t>
  </si>
  <si>
    <t>醉云皖</t>
  </si>
  <si>
    <t>深圳深展家具有限公司</t>
  </si>
  <si>
    <t>鸡尾酒;葡萄酒;⻩酒;威⼠忌;蒸馏饮料;⽩兰地;⽩酒;果酒（含酒精）;烧酒;⽶酒</t>
  </si>
  <si>
    <t>赵快乐</t>
  </si>
  <si>
    <t>大耳牛餐饮管理（杭州）有限公司</t>
  </si>
  <si>
    <t>含酒精⽔果饮料;蒸馏饮料;含酒精的饮料（啤酒除外）;⽶酒;鸡尾酒;果酒;⻘稞酒;⻩酒;葡萄酒;⽩酒</t>
  </si>
  <si>
    <t>谢三玲</t>
  </si>
  <si>
    <t>⻩酒;烧酒;烈酒（饮料）;葡萄酒;⽩酒;威⼠忌;果酒;朗姆酒;⽩兰地;伏特加酒</t>
  </si>
  <si>
    <t>CANTILLON</t>
  </si>
  <si>
    <t>上海稻醴贸易有限公司</t>
  </si>
  <si>
    <t>含酒精的饮料（啤酒除外）;威⼠忌;清酒;烈酒;葡萄酒;以葡萄酒为主的饮料;甜酒;⽩兰地;⽶酒;⽩酒</t>
  </si>
  <si>
    <t>蓝钻凤</t>
  </si>
  <si>
    <t>河南泽朴酒业有限公司</t>
  </si>
  <si>
    <t>⽩酒;⽼酒（中国蒸馏烈酒）;果酒;烈酒;葡萄酒;蜂蜜酒;⽩⼲酒（中国⽩酒）;⾷⽤酒精;烧酒;开胃酒</t>
  </si>
  <si>
    <t>雪璎</t>
  </si>
  <si>
    <t>深圳市嘉仁药业有限公司</t>
  </si>
  <si>
    <t>茴⾹酒（利⼝酒）;烈酒（饮料）;葡萄酒;蒸煮提取物（利⼝酒和烈酒）;烧酒;开胃酒;⽶酒;酒精饮料（啤酒除外）;苦味酒;⽩酒</t>
  </si>
  <si>
    <t>乔野</t>
  </si>
  <si>
    <t>王永亭</t>
  </si>
  <si>
    <t>烈酒（饮料）;汽酒;⾷⽤酒精;含⽔果酒精饮料;⽩酒;果酒（含酒精）;⾕物制蒸馏酒精饮料;威⼠忌;蒸馏饮料;⽶酒</t>
  </si>
  <si>
    <t>大舜德圣</t>
  </si>
  <si>
    <t>京舜德圣农业科技发展（济南）有限责任公司</t>
  </si>
  <si>
    <t>果酒（含酒精）;蒸馏饮料;烧酒;薄荷酒;葡萄酒;⽩兰地;威⼠忌;鸡尾酒;烈酒（饮料）;⽩酒</t>
  </si>
  <si>
    <t>洋小爱</t>
  </si>
  <si>
    <t>王倩倩370921********1528</t>
  </si>
  <si>
    <t>果酒（含酒精）;葡萄酒;烈酒（饮料）;蒸馏饮料;酒精饮料（啤酒除外）;烧酒;鸡尾酒;⻩酒;⽩酒;⽶酒</t>
  </si>
  <si>
    <t>洞庭夏有凉风</t>
  </si>
  <si>
    <t>湖南洞庭湖酒业有限公司</t>
  </si>
  <si>
    <t>利⼝酒;酒精饮料（啤酒除外）;⽶酒;葡萄酒;⽩酒;⻩酒;含⽔果酒精饮料;烧酒;⽼酒（中国蒸馏烈酒）;汽酒</t>
  </si>
  <si>
    <t>庸王剑</t>
  </si>
  <si>
    <t>竹山县圣母绿茶专业合作社</t>
  </si>
  <si>
    <t>⻩酒;果酒;烧酒;含酒精的饮料（啤酒除外）;葡萄酒;⽩酒;含⽔果酒精饮料;⽶酒;蜂蜜酒;烈酒</t>
  </si>
  <si>
    <t>圣寿红</t>
  </si>
  <si>
    <t>广州九德文化有限公司</t>
  </si>
  <si>
    <t>烧酒（烈酒）;含酒精的充⽓饮料（啤酒除外）;果酒;⽩酒;葡萄酒;除啤酒外的酒精饮料;⾷⽤酒精;⾼粱酒;⽶酒;⻩酒</t>
  </si>
  <si>
    <t>杭州属客族品牌运营管理有限公司</t>
  </si>
  <si>
    <t>果酒（含酒精）;含⽜奶的鸡尾酒;薄荷酒;⻩酒;⽩酒;伏特加酒;葡萄酒;⽩兰地;含⽔果酒精饮料;威⼠忌</t>
  </si>
  <si>
    <t>CHIWINERA 智唯纳</t>
  </si>
  <si>
    <t>东莞市好源商贸有限公司</t>
  </si>
  <si>
    <t>伏特加酒;红葡萄酒;加烈葡萄酒;⽩酒;⽶酒;威⼠忌;朗姆酒;⽩葡萄酒;葡萄酒;⽩兰地</t>
  </si>
  <si>
    <t>岳阳楼鸿运</t>
  </si>
  <si>
    <t>湖南洋湖投资发展有限公司岳阳县分公司</t>
  </si>
  <si>
    <t>利⼝酒;⽩酒;⻩酒;葡萄酒;含⽔果酒精饮料;汽酒;⽼酒（中国蒸馏烈酒）;酒精饮料（啤酒除外）;烧酒;⽶酒</t>
  </si>
  <si>
    <t>大唐君主</t>
  </si>
  <si>
    <t>何海霞</t>
  </si>
  <si>
    <t>果酒;⽩⼲酒（中国⽩酒）;酒精饮料（啤酒除外）;⾷⽤酒精;⽼酒（中国蒸馏烈酒）;⽩酒;⽶酒;⻩酒;葡萄酒;烧酒（烈酒）</t>
  </si>
  <si>
    <t>林海雪原·威虎山</t>
  </si>
  <si>
    <t>刘殿春</t>
  </si>
  <si>
    <t>已调味的蒸馏酒;刺五加酒;薄荷酒;葡萄酒;含酒精的饮料（啤酒除外）;以蒸馏酒为主的开胃酒;果酒（含酒精）;⽩酒;⾕物制蒸馏酒精饮料;汽酒</t>
  </si>
  <si>
    <t>万顷荷</t>
  </si>
  <si>
    <t>王鹏</t>
  </si>
  <si>
    <t>果酒（含酒精）;⽶酒;⾕物制蒸馏酒精饮料;⽩酒;葡萄酒;⾷⽤酒精;开胃酒;酒精饮料（啤酒除外）;含⽔果酒精饮料;烧酒</t>
  </si>
  <si>
    <t>惯蛋龙</t>
  </si>
  <si>
    <t>吴子燚</t>
  </si>
  <si>
    <t>果酒;含⽔果酒精饮料;酒精饮料（啤酒除外）;⽩酒;鸡尾酒;葡萄酒;烧酒;⻩酒;威⼠忌;⾼粱酒</t>
  </si>
  <si>
    <t>壶府</t>
  </si>
  <si>
    <t>成华区江凝宏兜商贸部</t>
  </si>
  <si>
    <t>利⼝酒;开胃酒;⽩酒;威⼠忌;含酒精的饮料（啤酒除外）;烈酒（饮料）;苹果酒;鸡尾酒;果酒;葡萄酒</t>
  </si>
  <si>
    <t>潘资花</t>
  </si>
  <si>
    <t>广州市锦荣威科技发展有限公司</t>
  </si>
  <si>
    <t>⽩兰地;烈酒;酒精饮料（啤酒除外）;鸡尾酒;威⼠忌;伏特加酒;⽩酒;果酒（含酒精）;蒸馏饮料;葡萄酒</t>
  </si>
  <si>
    <t>BIXIO</t>
  </si>
  <si>
    <t>上海米媞贸易有限公司</t>
  </si>
  <si>
    <t>烧酒;烈酒（饮料）;⽩兰地;鸡尾酒;果酒（含酒精）;⽩酒;酒精饮料原汁;威⼠忌;⽶酒;⻩酒</t>
  </si>
  <si>
    <t>舒家山</t>
  </si>
  <si>
    <t>湖南天河瑶寨旅游投资有限公司</t>
  </si>
  <si>
    <t>汽酒;⾷⽤酒精;果酒（含酒精）;葡萄酒;⽶酒;⻩酒;⽩酒;烈酒（饮料）;利⼝酒;烧酒</t>
  </si>
  <si>
    <t>红颂缨</t>
  </si>
  <si>
    <t>深圳市富盛酒业有限公司</t>
  </si>
  <si>
    <t>清酒;果酒;烧酒;⾼粱酒;⻩酒;露酒;开胃酒;⽶酒;汽酒;烈酒</t>
  </si>
  <si>
    <t>叁泰玖瑞</t>
  </si>
  <si>
    <t>上海瑞拉德生物集团有限公司</t>
  </si>
  <si>
    <t>葡萄酒;果酒;⽩酒;⻩酒;甜酒;蒸馏饮料;露酒;鸡尾酒;烈酒;除啤酒外的酒精饮料</t>
  </si>
  <si>
    <t>府君醉</t>
  </si>
  <si>
    <t>周海蛟</t>
  </si>
  <si>
    <t>⾷⽤酒精;酒精饮料（啤酒除外）;预先混合的酒精饮料（以啤酒为主的除外）;烈酒（饮料）;烧酒;果酒;⽩酒;甜果酒</t>
  </si>
  <si>
    <t>壶瓶洞</t>
  </si>
  <si>
    <t>宜昌骏王集团有限公司</t>
  </si>
  <si>
    <t>⽶酒;⻩酒;⽩酒;甜酒;由⾕物蒸馏的⽩酒;⾼粱酒;露酒;苦荞酒;含酒精的饮料（啤酒除外）;果酒</t>
  </si>
  <si>
    <t>杏清风</t>
  </si>
  <si>
    <t>山西杏花源酒业有限公司</t>
  </si>
  <si>
    <t>利⼝酒;⽶酒;葡萄酒;⽩酒;露酒;鸡尾酒;果酒（含酒精）;酒精饮料原汁;烧酒;清酒</t>
  </si>
  <si>
    <t>华湡颂</t>
  </si>
  <si>
    <t>尉氏县德亿科技有限公司</t>
  </si>
  <si>
    <t>葡萄酒;⽶酒;⽩酒;由⾕物蒸馏的⽩酒;⽼酒（中国蒸馏烈酒）;⽩⼲酒（中国⽩酒）;⻩酒;⾼粱酒;果酒;酒精饮料（啤酒除外）</t>
  </si>
  <si>
    <t>大叶有成</t>
  </si>
  <si>
    <t>游忠</t>
  </si>
  <si>
    <t>⽶酒;由⾕物蒸馏的⽩酒;果酒（含酒精）;清酒（⽇本⽶酒）;⽩酒;酒精饮料（啤酒除外）;威⼠忌;葡萄酒;⻩酒;烈酒（饮料）</t>
  </si>
  <si>
    <t>南曲</t>
  </si>
  <si>
    <t>熊草云</t>
  </si>
  <si>
    <t>⽩酒;开胃酒;清酒（⽇本⽶酒）;果酒（含酒精）;汽酒;葡萄酒;烧酒;⽩兰地;酒精饮料（啤酒除外）;⾷⽤酒精</t>
  </si>
  <si>
    <t>LEAFY LUXE</t>
  </si>
  <si>
    <t>中国烟草总公司天津市公司</t>
  </si>
  <si>
    <t>杯中沁</t>
  </si>
  <si>
    <t>吴骏炜</t>
  </si>
  <si>
    <t>⽩酒;威⼠忌;葡萄酒;果酒（含酒精）;酒精饮料（啤酒除外）;烈酒;鸡尾酒;清酒;蒸馏饮料;开胃酒</t>
  </si>
  <si>
    <t>云花笺</t>
  </si>
  <si>
    <t>裘天予</t>
  </si>
  <si>
    <t>果酒（含酒精）;汽酒;烧酒;⽶酒;苦荞酒;⽩酒;⻘稞酒;⻩酒;梅酒;葡萄酒</t>
  </si>
  <si>
    <t>列子汤问</t>
  </si>
  <si>
    <t>河南梓瑞酒业有限公司</t>
  </si>
  <si>
    <t>利⼝酒;蜂蜜酒;⽶酒;⽩酒;⻩酒;果酒（含酒精）;开胃酒;蒸煮提取物（利⼝酒和烈酒）;葡萄酒;烧酒</t>
  </si>
  <si>
    <t>UCAM</t>
  </si>
  <si>
    <t>广州广达软件有限公司</t>
  </si>
  <si>
    <t>葡萄酒;⽶酒;⽩酒;⻩酒;⽩葡萄酒;汽酒;梅酒;以葡萄酒为主的饮料;伏特加酒;含酒精的饮料（啤酒除外）</t>
  </si>
  <si>
    <t>曼富雷迪·阿尔多有限责任公司</t>
  </si>
  <si>
    <t>楚月</t>
  </si>
  <si>
    <t>刘伟</t>
  </si>
  <si>
    <t>鸡尾酒;开胃酒;威⼠忌;伏特加酒;⻩酒;⽩酒;⽶酒;葡萄酒;朗姆酒;⻘稞酒</t>
  </si>
  <si>
    <t>O·K BOOM</t>
  </si>
  <si>
    <t>河北潮饮酒业有限公司</t>
  </si>
  <si>
    <t>果酒;鸡尾酒;威⼠忌;⽩兰地;利⼝酒;葡萄酒;含⽔果酒精饮料;烈酒;伏特加酒;汽酒</t>
  </si>
  <si>
    <t>华鼎大叶有成</t>
  </si>
  <si>
    <t>果酒（含酒精）;威⼠忌;⻩酒;⽩酒;清酒（⽇本⽶酒）;烈酒（饮料）;葡萄酒;⽶酒;酒精饮料（啤酒除外）;由⾕物蒸馏的⽩酒</t>
  </si>
  <si>
    <t>诚悟</t>
  </si>
  <si>
    <t>李俊萍372324********3220</t>
  </si>
  <si>
    <t>葡萄酒;果酒（含酒精）;清酒（⽇本⽶酒）;⽶酒;烈酒（饮料）;烧酒（烈酒）;酒精饮料（啤酒除外）;⻩酒;⽩酒;含⽔果酒精饮料</t>
  </si>
  <si>
    <t>文悟</t>
  </si>
  <si>
    <t>葡萄酒;酒精饮料（啤酒除外）;果酒（含酒精）;⻩酒;含⽔果酒精饮料;烈酒（饮料）;⽶酒;⽩酒;清酒（⽇本⽶酒）;烧酒（烈酒）</t>
  </si>
  <si>
    <t>杭州数字车连科技有限公司</t>
  </si>
  <si>
    <t>⽩酒;酒精饮料原汁;酒精饮料（啤酒除外）;烈酒（饮料）;鸡尾酒;⾷⽤酒精;果酒（含酒精）;⻩酒;葡萄酒;蒸馏饮料</t>
  </si>
  <si>
    <t>趵跃</t>
  </si>
  <si>
    <t>济南盛华企业管理咨询有限公司</t>
  </si>
  <si>
    <t>⻩酒;烧酒;威⼠忌;葡萄酒;⽶酒;烈酒（饮料）;以葡萄酒为主的饮料;⽩酒;果酒（含酒精）;鸡尾酒</t>
  </si>
  <si>
    <t>擎潭</t>
  </si>
  <si>
    <t>贵州金沙金撼酒业有限公司</t>
  </si>
  <si>
    <t>⾷⽤酒精;露酒;含⽔果酒精饮料;含酒精的充⽓饮料（啤酒除外）;由⾕物蒸馏的⽩酒;⽼酒（中国蒸馏烈酒）;烧酒（烈酒）;酒精饮料（啤酒除外）;⾕物制蒸馏酒精饮料;酒精饮料原汁</t>
  </si>
  <si>
    <t>天酿玺尊</t>
  </si>
  <si>
    <t>黄敏</t>
  </si>
  <si>
    <t>烈酒（饮料）;⽶酒;⽩酒;利⼝酒;开胃酒;含⽔果酒精饮料;⻩酒;烧酒;酒精饮料（啤酒除外）;葡萄酒</t>
  </si>
  <si>
    <t>董圉</t>
  </si>
  <si>
    <t>熊辉</t>
  </si>
  <si>
    <t>烧酒（烈酒）;⽩⼲酒（中国⽩酒）;果酒;葡萄酒;⾷⽤酒精;⻩酒;⽩酒;⽶酒;⽼酒（中国蒸馏烈酒）;酒精饮料（啤酒除外）</t>
  </si>
  <si>
    <t>云东裕</t>
  </si>
  <si>
    <t>谢伟超</t>
  </si>
  <si>
    <t>果酒（含酒精）;梅酒;⽩酒;⽶酒;烧酒;苦荞酒;⻘稞酒;葡萄酒;汽酒;⻩酒</t>
  </si>
  <si>
    <t>PURARAY 醇乐丽</t>
  </si>
  <si>
    <t>⽩葡萄酒;⽩兰地;加烈葡萄酒;⽩酒;朗姆酒;⽶酒;伏特加酒;红葡萄酒;威⼠忌;葡萄酒</t>
  </si>
  <si>
    <t>福宝集福</t>
  </si>
  <si>
    <t>徐金平</t>
  </si>
  <si>
    <t>⽶酒;亚⼒酒;含⽔果酒精饮料;鸡尾酒;苹果酒;⽩兰地;葡萄酒;酒精饮料（啤酒除外）;蒸馏饮料;果酒（含酒精）</t>
  </si>
  <si>
    <t>春池古</t>
  </si>
  <si>
    <t>河南三珍坊食品有限公司</t>
  </si>
  <si>
    <t>露酒;清酒;烈酒;果酒;烧酒;⽶酒;⽩酒;⻩酒;⽼酒（中国蒸馏烈酒）;含酒精的饮料（啤酒除外）</t>
  </si>
  <si>
    <t>卉沙潭</t>
  </si>
  <si>
    <t>酒精饮料（啤酒除外）;⾷⽤酒精;露酒;由⾕物蒸馏的⽩酒;烧酒（烈酒）;含⽔果酒精饮料;⾕物制蒸馏酒精饮料;⽼酒（中国蒸馏烈酒）;酒精饮料原汁;含酒精的充⽓饮料（啤酒除外）</t>
  </si>
  <si>
    <t>汀岛</t>
  </si>
  <si>
    <t>潍坊米悦美时品牌管理有限公司</t>
  </si>
  <si>
    <t>鸡尾酒;杜松⼦酒;葡萄酒;威⼠忌;伏特加酒;利⼝酒;⽩兰地;清酒（⽇本⽶酒）;朗姆酒;果酒（含酒精）</t>
  </si>
  <si>
    <t>富三山</t>
  </si>
  <si>
    <t>邳州恒九科技有限公司</t>
  </si>
  <si>
    <t>葡萄酒;含⽔果酒精饮料;⽶酒;烧酒;梨酒;烈酒（饮料）;⽩酒;⽩⼲酒（中国⽩酒）;果酒（含酒精）;苹果酒</t>
  </si>
  <si>
    <t>绪宝晟</t>
  </si>
  <si>
    <t>吉林绪宝昇文化传播有限责任公司</t>
  </si>
  <si>
    <t>⽶酒;以葡萄酒为主的饮料;鸡尾酒;葡萄酒;烧酒;蜂蜜酒;清酒;果酒（含酒精）;烈酒（饮料）;⽩酒</t>
  </si>
  <si>
    <t>乾汉</t>
  </si>
  <si>
    <t>梁至燕</t>
  </si>
  <si>
    <t>葡萄酒;含⽔果酒精饮料;酒精饮料（啤酒除外）;蜂蜜酒;⽩酒;威⼠忌;汽酒;鸡尾酒;预先混合的酒精饮料（以啤酒为主的除外）;⽩兰地</t>
  </si>
  <si>
    <t>秘址</t>
  </si>
  <si>
    <t>果酒（含酒精）;⾕物制蒸馏酒精饮料;⻩酒;⽩兰地;⾷⽤酒精;烧酒;⽩酒;葡萄酒;⽶酒;伏特加酒</t>
  </si>
  <si>
    <t>黄旅甄选</t>
  </si>
  <si>
    <t>黄山智慧旅游有限公司</t>
  </si>
  <si>
    <t>果酒（含酒精）;⾷⽤酒精;以蒸馏酒为主的开胃酒;葡萄酒;汽酒;⽩酒;鸡尾酒;⽶酒;酒精饮料浓缩汁;⻩酒</t>
  </si>
  <si>
    <t>财富川</t>
  </si>
  <si>
    <t>⾼粱酒;五加⽪酒（中国混合烈酒）;⻩酒;由⾕物蒸馏的⽩酒;⽩酒;⽩⼲酒（中国⽩酒）;蒸煮提取物（利⼝酒和烈酒）;⻘稞酒;开胃酒;烧酒</t>
  </si>
  <si>
    <t>致言</t>
  </si>
  <si>
    <t>果酒（含酒精）;含⽔果酒精饮料;烧酒（烈酒）;葡萄酒;烈酒（饮料）;⽶酒;⻩酒;清酒（⽇本⽶酒）;酒精饮料（啤酒除外）;⽩酒</t>
  </si>
  <si>
    <t>磊塔 LEI PAGODA</t>
  </si>
  <si>
    <t>宁波益民酒业有限公司</t>
  </si>
  <si>
    <t>汽酒;果酒（含酒精）;朗姆酒;葡萄酒;清酒（⽇本⽶酒）;烧酒;⽩酒;⻩酒;⽶酒;鸡尾酒</t>
  </si>
  <si>
    <t>邯郁</t>
  </si>
  <si>
    <t>清酒（⽇本⽶酒）;鸡尾酒;烈酒（饮料）;⻩酒;葡萄酒;威⼠忌;酒精饮料（啤酒除外）;⽩酒;果酒（含酒精）;开胃酒</t>
  </si>
  <si>
    <t>华湡尊</t>
  </si>
  <si>
    <t>⽼酒（中国蒸馏烈酒）;⽩酒;⾼粱酒;⻩酒;⽶酒;葡萄酒;⽩⼲酒（中国⽩酒）;酒精饮料（啤酒除外）;果酒;由⾕物蒸馏的⽩酒</t>
  </si>
  <si>
    <t>立锥</t>
  </si>
  <si>
    <t>贵州仁声酒业有限公司</t>
  </si>
  <si>
    <t>酒精饮料（啤酒除外）;⻩酒;果酒（含酒精）;葡萄酒;⽶酒;⽩酒;果酒;鸡尾酒;清酒（⽇本⽶酒）;烈酒（饮料）</t>
  </si>
  <si>
    <t>焙拐</t>
  </si>
  <si>
    <t>扬州俊达电缆材料有限公司</t>
  </si>
  <si>
    <t>烈酒浓缩汁;含⽔果酒精饮料;蒸馏饮料;果酒;⽩葡萄酒;清酒;烧酒（烈酒）;酒精饮料原汁;⽩酒;果酒（含酒精）</t>
  </si>
  <si>
    <t>风嘴</t>
  </si>
  <si>
    <t>周先友</t>
  </si>
  <si>
    <t>清酒（⽇本⽶酒）;蒸煮提取物（利⼝酒和烈酒）;⻩酒;⽶酒;含酒精的饮料（啤酒除外）;葡萄酒;⽩⼲酒（中国⽩酒）;⽩酒;烧酒;酒精饮料（啤酒除外）</t>
  </si>
  <si>
    <t>从味仙酌</t>
  </si>
  <si>
    <t>广州黄场经济发展有限公司</t>
  </si>
  <si>
    <t>烧酒;蜂蜜酒;果酒（含酒精）;含⽔果酒精饮料;烈酒（饮料）;⽶酒;酒精饮料原汁;除啤酒外的酒精饮料;⻩酒;葡萄酒</t>
  </si>
  <si>
    <t>九蒂莲</t>
  </si>
  <si>
    <t>⽶酒;烧酒;⾷⽤酒精;酒精饮料（啤酒除外）;⽩酒;含⽔果酒精饮料;⾕物制蒸馏酒精饮料;开胃酒;葡萄酒;果酒（含酒精）</t>
  </si>
  <si>
    <t>秦帝梦</t>
  </si>
  <si>
    <t>丰泽区常却百货商行</t>
  </si>
  <si>
    <t>利⼝酒;开胃酒;⽩酒;果酒;烈酒（饮料）;葡萄酒;威⼠忌;苹果酒;鸡尾酒;含酒精的饮料（啤酒除外）</t>
  </si>
  <si>
    <t>万原</t>
  </si>
  <si>
    <t>威⼠忌;开胃酒;苹果酒;⽩酒;含酒精的饮料（啤酒除外）;鸡尾酒;葡萄酒;烈酒（饮料）;利⼝酒;果酒</t>
  </si>
  <si>
    <t>泉界</t>
  </si>
  <si>
    <t>烈酒（饮料）;苹果酒;葡萄酒;⽩酒;鸡尾酒;开胃酒;果酒;含酒精的饮料（啤酒除外）;威⼠忌;利⼝酒</t>
  </si>
  <si>
    <t>奇壶</t>
  </si>
  <si>
    <t>威⼠忌;开胃酒;苹果酒;⽩酒;果酒;葡萄酒;含酒精的饮料（啤酒除外）;鸡尾酒;烈酒（饮料）;利⼝酒</t>
  </si>
  <si>
    <t>雄撞</t>
  </si>
  <si>
    <t>陈真</t>
  </si>
  <si>
    <t>烈酒（饮料）;清酒（⽇本⽶酒）;鸡尾酒;⽩酒;葡萄酒;果酒（含酒精）;酒精饮料（啤酒除外）;开胃酒;威⼠忌;⻩酒</t>
  </si>
  <si>
    <t>一壶川</t>
  </si>
  <si>
    <t>⽩⼲酒（中国⽩酒）;五加⽪酒（中国混合烈酒）;由⾕物蒸馏的⽩酒;⻩酒;⻘稞酒;⽩酒;开胃酒;蒸煮提取物（利⼝酒和烈酒）;⾼粱酒;烧酒</t>
  </si>
  <si>
    <t>喝川</t>
  </si>
  <si>
    <t>⽩酒;⾼粱酒;⻘稞酒;⽩⼲酒（中国⽩酒）;⻩酒;五加⽪酒（中国混合烈酒）;开胃酒;蒸煮提取物（利⼝酒和烈酒）;烧酒;由⾕物蒸馏的⽩酒</t>
  </si>
  <si>
    <t>谷小酒·唐</t>
  </si>
  <si>
    <t>成都米小酒酒业有限公司</t>
  </si>
  <si>
    <t>荡益年</t>
  </si>
  <si>
    <t>陈劲霖</t>
  </si>
  <si>
    <t>清酒;烈酒（饮料）;果酒（含酒精）;威⼠忌;含⽔果酒精饮料;烧酒;⽩酒;蒸馏饮料;酒精饮料原汁;鸡尾酒</t>
  </si>
  <si>
    <t>孙承尧</t>
  </si>
  <si>
    <t>贵州省仁怀市醇泉酒业有限公司</t>
  </si>
  <si>
    <t>⾼粱酒;⽶酒;葡萄酒;威⼠忌;烧酒;⽩酒;烈酒;鸡尾酒;酒精饮料（啤酒除外）;⽼酒（中国蒸馏烈酒）</t>
  </si>
  <si>
    <t>黄旅严选</t>
  </si>
  <si>
    <t>⽩酒;鸡尾酒;⻩酒;汽酒;果酒（含酒精）;⽶酒;以蒸馏酒为主的开胃酒;葡萄酒;酒精饮料浓缩汁;⾷⽤酒精</t>
  </si>
  <si>
    <t>清花贺</t>
  </si>
  <si>
    <t>菏泽牡丹城酿酒有限公司</t>
  </si>
  <si>
    <t>⾕物制蒸馏酒精饮料;露酒;苹果酒;葡萄酒;餐后酒（利⼝酒和烈酒）;⽩酒;蒸馏饮料;⽶酒;果酒（含酒精）;烈酒（饮料）</t>
  </si>
  <si>
    <t>孙克招</t>
  </si>
  <si>
    <t>烧酒;鸡尾酒;⽼酒（中国蒸馏烈酒）;烈酒;⾼粱酒;葡萄酒;威⼠忌;酒精饮料（啤酒除外）;⽩酒;⽶酒</t>
  </si>
  <si>
    <t>奥兰小红帽爱跑 98</t>
  </si>
  <si>
    <t>南京佛勒都娜贸易有限公司</t>
  </si>
  <si>
    <t>⽩兰地;烧酒;⽩酒;⽶酒;含⽔果酒精饮料;⻩酒;薄荷酒;葡萄酒;酒精饮料（啤酒除外）;伏特加酒</t>
  </si>
  <si>
    <t>贵宾川</t>
  </si>
  <si>
    <t>⻩酒;⻘稞酒;开胃酒;由⾕物蒸馏的⽩酒;蒸煮提取物（利⼝酒和烈酒）;烧酒;⽩酒;⾼粱酒;⽩⼲酒（中国⽩酒）;五加⽪酒（中国混合烈酒）</t>
  </si>
  <si>
    <t>濩街</t>
  </si>
  <si>
    <t>卫晓米</t>
  </si>
  <si>
    <t>蜂蜜酒;梅酒;⽶酒;果酒;⽼酒（中国蒸馏烈酒）;烧酒;葡萄酒;⽩酒;⾼粱酒;清酒</t>
  </si>
  <si>
    <t>富岭龙灵</t>
  </si>
  <si>
    <t>浏阳高朗烈酒酿造有限公司</t>
  </si>
  <si>
    <t>威⼠忌;酒精饮料（啤酒除外）;朗姆酒;清酒;伏特加酒;⽩兰地;⽶酒;薄荷酒;杜松⼦酒;烈酒（饮料）</t>
  </si>
  <si>
    <t>壹锥</t>
  </si>
  <si>
    <t>果酒（含酒精）;⻩酒;果酒;鸡尾酒;⽩酒;烈酒（饮料）;清酒（⽇本⽶酒）;酒精饮料（啤酒除外）;⽶酒;葡萄酒</t>
  </si>
  <si>
    <t>照故</t>
  </si>
  <si>
    <t>果酒（含酒精）;⽩兰地;⽶酒;葡萄酒;烧酒;含酒精⽔果饮料;⾕物制蒸馏酒精饮料;⻩酒;⽩酒;威⼠忌</t>
  </si>
  <si>
    <t>君下江南</t>
  </si>
  <si>
    <t>果酒（含酒精）;⽶酒;伏特加酒;烧酒;⻩酒;葡萄酒;⾕物制蒸馏酒精饮料;⽩兰地;⽩酒;⾷⽤酒精</t>
  </si>
  <si>
    <t>饮香阁</t>
  </si>
  <si>
    <t>黑龙江饮香阁酒业有限公司</t>
  </si>
  <si>
    <t>酒精饮料（啤酒除外）;果酒;鸡尾酒;烧酒;葡萄酒;⽩酒;蜂蜜酒;⽶酒;苹果酒</t>
  </si>
  <si>
    <t>醇源酒妃</t>
  </si>
  <si>
    <t>张德友</t>
  </si>
  <si>
    <t>烧酒;果酒（含酒精）;⻘稞酒;⾷⽤酒精;⻩酒;⽶酒;⽩酒;葡萄酒;⾼粱酒;⾕物制蒸馏酒精饮料</t>
  </si>
  <si>
    <t>遥望浩瀚</t>
  </si>
  <si>
    <t>中铁速通企业管理有限公司</t>
  </si>
  <si>
    <t>果酒;清酒;⽩兰地;烈酒;伏特加酒;含⽔果酒精饮料;烧酒;⽩⼲酒（中国⽩酒）;⽼酒（中国蒸馏烈酒）;⽩酒</t>
  </si>
  <si>
    <t>汉黔皇</t>
  </si>
  <si>
    <t>王新雨</t>
  </si>
  <si>
    <t>烈酒（饮料）;含⽔果酒精饮料;⽩酒;⽶酒;葡萄酒;烧酒;利⼝酒;开胃酒;酒精饮料（啤酒除外）;⻩酒</t>
  </si>
  <si>
    <t>光辉千世</t>
  </si>
  <si>
    <t>唐益谊</t>
  </si>
  <si>
    <t>除啤酒外的酒精饮料;甜酒;⽶酒;已调味的蒸馏酒;⽩⼲酒（中国⽩酒）;梅酒;葡萄酒;⽼酒（中国蒸馏烈酒）;烧酒;⽩酒</t>
  </si>
  <si>
    <t>如意川</t>
  </si>
  <si>
    <t>蒸煮提取物（利⼝酒和烈酒）;⾼粱酒;由⾕物蒸馏的⽩酒;烧酒;⻘稞酒;⻩酒;⽩酒;开胃酒;⽩⼲酒（中国⽩酒）;五加⽪酒（中国混合烈酒）</t>
  </si>
  <si>
    <t>MORCELINUO 玛塞利诺</t>
  </si>
  <si>
    <t>浙江金文纺织科技有限公司</t>
  </si>
  <si>
    <t>果酒（含酒精）;葡萄酒;梨酒;⽩酒;⽶酒;蜂蜜酒;鸡尾酒;苹果酒;清酒（⽇本⽶酒）;⻩酒</t>
  </si>
  <si>
    <t>王金</t>
  </si>
  <si>
    <t>鸡尾酒;果酒（含酒精）;葡萄酒;烈酒（饮料）;⻩酒;清酒（⽇本⽶酒）;酒精饮料原汁;⽶酒;⽩酒;烈酒</t>
  </si>
  <si>
    <t>华鼎大业有成</t>
  </si>
  <si>
    <t>葡萄酒;⽶酒;清酒（⽇本⽶酒）;果酒（含酒精）;⽩酒;由⾕物蒸馏的⽩酒;酒精饮料（啤酒除外）;威⼠忌;烈酒（饮料）;⻩酒</t>
  </si>
  <si>
    <t>旗袍媳妇</t>
  </si>
  <si>
    <t>刘志伟</t>
  </si>
  <si>
    <t>⽩兰地;鸡尾酒;酒精饮料原汁;清酒;⽼酒（中国蒸馏烈酒）;伏特加酒;⻩酒;⽩酒;果酒;葡萄酒</t>
  </si>
  <si>
    <t>艾文花</t>
  </si>
  <si>
    <t>蕲春艾文花健康产业发展有限公司</t>
  </si>
  <si>
    <t>伏特加酒;⻩酒;⽩兰地;果酒（含酒精）;⽩酒;鸡尾酒;起泡⽩葡萄酒;烧酒;清酒（⽇本⽶酒）;⽶酒</t>
  </si>
  <si>
    <t>襄邑春色</t>
  </si>
  <si>
    <t>张宗宝</t>
  </si>
  <si>
    <t>烧酒;⽩⼲酒（中国⽩酒）;汽酒;⻩酒;果酒;烈酒;酒精饮料（啤酒除外）;⽼酒（中国蒸馏烈酒）;⽶酒;⽩酒</t>
  </si>
  <si>
    <t>央芯</t>
  </si>
  <si>
    <t>河北五衡丛酒业有限公司</t>
  </si>
  <si>
    <t>利⼝酒;清酒;烧酒;露酒;酒精饮料（啤酒除外）;果酒;⽶酒;⽩酒;⻩酒;葡萄酒</t>
  </si>
  <si>
    <t>景宁畲族自治县仙地投资发展有限公司</t>
  </si>
  <si>
    <t>含⽔果酒精饮料;烧酒;葡萄酒;蜂蜜酒;⻩酒;果酒（含酒精）;苹果酒;酒精饮料（啤酒除外）;⽶酒;⽩酒</t>
  </si>
  <si>
    <t>桑益天</t>
  </si>
  <si>
    <t>耿威振</t>
  </si>
  <si>
    <t>酒精饮料原汁;烈酒（饮料）;威⼠忌;烧酒;含⽔果酒精饮料;⽩酒;果酒（含酒精）;蒸馏饮料;鸡尾酒;清酒</t>
  </si>
  <si>
    <t>九锦恒</t>
  </si>
  <si>
    <t>杭州九喆文化传媒有限公司</t>
  </si>
  <si>
    <t>果酒（含酒精）;含⽔果酒精饮料;烧酒;⻩酒;清酒（⽇本⽶酒）;⽩酒;汽酒;葡萄酒;⽶酒;酒精饮料（啤酒除外）</t>
  </si>
  <si>
    <t>戎厚</t>
  </si>
  <si>
    <t>廖铭</t>
  </si>
  <si>
    <t>⾷⽤酒精;⽩酒;威⼠忌;烧酒;果酒（含酒精）;含⽔果酒精饮料;烈酒（饮料）;⻘稞酒;⽶酒;⻩酒</t>
  </si>
  <si>
    <t>雎洲台</t>
  </si>
  <si>
    <t>葡萄酒;汽酒;含酒精⽔果饮料;果酒（含酒精）;梨酒;⻩酒;⽶酒;烧酒（烈酒）;⽩兰地;⽩酒</t>
  </si>
  <si>
    <t>裙摆媳妇</t>
  </si>
  <si>
    <t>⽩酒;⽩兰地;葡萄酒;伏特加酒;鸡尾酒;酒精饮料原汁;⻩酒;果酒;清酒;⽼酒（中国蒸馏烈酒）</t>
  </si>
  <si>
    <t>孙克书</t>
  </si>
  <si>
    <t>⽩酒;⾼粱酒;鸡尾酒;威⼠忌;葡萄酒;烈酒;烧酒;⽶酒;酒精饮料（啤酒除外）;⽼酒（中国蒸馏烈酒）</t>
  </si>
  <si>
    <t>香村娃</t>
  </si>
  <si>
    <t>修水县迷尔食品有限公司</t>
  </si>
  <si>
    <t>威⼠忌;⽩酒;⾷⽤酒精;利⼝酒;葡萄酒;烧酒;开胃酒;⽶酒;伏特加酒;朗姆酒</t>
  </si>
  <si>
    <t>王记古醴轩</t>
  </si>
  <si>
    <t>王群</t>
  </si>
  <si>
    <t>酒精饮料（啤酒除外）;烧酒;果酒（含酒精）;⻘稞酒;⾷⽤酒精;⽩酒;利⼝酒;烈酒（饮料）;⽶酒;⻩酒</t>
  </si>
  <si>
    <t>JOSS DUKE</t>
  </si>
  <si>
    <t>⽩兰地;利⼝酒;威⼠忌;威末酒;杜松⼦酒;伏特加酒;加烈葡萄酒;茴⾹酒;清酒;朗姆酒</t>
  </si>
  <si>
    <t>谦豫会</t>
  </si>
  <si>
    <t>河南日月酒窖品牌管理有限公司</t>
  </si>
  <si>
    <t>果酒;利⼝酒;⽩兰地;威⼠忌;葡萄酒;伏特加酒;⽩酒;⻩酒;烧酒;⽶酒</t>
  </si>
  <si>
    <t>洞址</t>
  </si>
  <si>
    <t>⽶酒;烧酒;果酒（含酒精）;葡萄酒;⽩酒;伏特加酒;⾕物制蒸馏酒精饮料;⻩酒;⾷⽤酒精;⽩兰地</t>
  </si>
  <si>
    <t>黄旅臻选</t>
  </si>
  <si>
    <t>以蒸馏酒为主的开胃酒;鸡尾酒;⻩酒;酒精饮料浓缩汁;果酒（含酒精）;汽酒;⾷⽤酒精;⽶酒;⽩酒;葡萄酒</t>
  </si>
  <si>
    <t>洞见君</t>
  </si>
  <si>
    <t>豪廷贸易（深圳）有限公司</t>
  </si>
  <si>
    <t>⽩酒;烈酒（饮料）;⽶酒;烈酒;鸡尾酒;葡萄酒;⽩兰地;⻩酒;红葡萄酒;含酒精的饮料（啤酒除外）</t>
  </si>
  <si>
    <t>祖杏瓷</t>
  </si>
  <si>
    <t>朱月红</t>
  </si>
  <si>
    <t>葡萄酒;威⼠忌;⽶酒;烧酒;⻩酒;鸡尾酒;蒸馏饮料;⽩兰地;果酒（含酒精）;⽩酒</t>
  </si>
  <si>
    <t>即途</t>
  </si>
  <si>
    <t>河南星动能源有限公司</t>
  </si>
  <si>
    <t>⽩兰地;葡萄酒;⽩酒;鸡尾酒;清酒（⽇本⽶酒）;果酒（含酒精）;蒸煮提取物（利⼝酒和烈酒）;威⼠忌;⻩酒;酒精饮料（啤酒除外）</t>
  </si>
  <si>
    <t>立锥之地</t>
  </si>
  <si>
    <t>酒精饮料（啤酒除外）;⽶酒;⻩酒;烈酒（饮料）;葡萄酒;果酒;⽩酒;果酒（含酒精）;鸡尾酒;清酒（⽇本⽶酒）</t>
  </si>
  <si>
    <t>酒壶桥</t>
  </si>
  <si>
    <t>金水根</t>
  </si>
  <si>
    <t>葡萄酒;汽酒;⻩酒;⽼酒（中国蒸馏烈酒）;⽩酒;果酒;烧酒;鸡尾酒;酒精饮料（啤酒除外）;蒸馏饮料</t>
  </si>
  <si>
    <t>2024/06/21</t>
  </si>
  <si>
    <t>潭喜登</t>
  </si>
  <si>
    <t>陈涛</t>
  </si>
  <si>
    <t>清酒;烧酒;果酒（含酒精）;鸡尾酒;含⽔果酒精饮料;威⼠忌;蒸馏饮料;酒精饮料原汁;⽩酒;烈酒（饮料）</t>
  </si>
  <si>
    <t>祖沙鼎</t>
  </si>
  <si>
    <t>买胜利</t>
  </si>
  <si>
    <t>鸡尾酒;⽶酒;葡萄酒;⽩兰地;⽩酒;果酒（含酒精）;⻩酒;蒸馏饮料;烧酒;威⼠忌</t>
  </si>
  <si>
    <t>觅醉吉羊</t>
  </si>
  <si>
    <t>山西华酉酒业有限公司</t>
  </si>
  <si>
    <t>⽩酒;⽼酒（中国蒸馏烈酒）;由⾕物蒸馏的⽩酒;露酒;⾼粱酒;⾷⽤酒精;酒精饮料（啤酒除外）;蒸煮提取物（利⼝酒和烈酒）;利⼝酒;烈酒</t>
  </si>
  <si>
    <t>超然密州</t>
  </si>
  <si>
    <t>山东诸城密州酒业有限公司</t>
  </si>
  <si>
    <t>开胃酒;⽶酒;清酒;酒精饮料（啤酒除外）;葡萄酒;果酒;⾷⽤酒精;汽酒;烧酒;⽩酒</t>
  </si>
  <si>
    <t>宝裕春</t>
  </si>
  <si>
    <t>开胃酒;梨酒;清酒（⽇本⽶酒）;威⼠忌;⽩酒;⻩酒;葡萄酒;利⼝酒;⻘稞酒;烧酒</t>
  </si>
  <si>
    <t>福运贵粮</t>
  </si>
  <si>
    <t>张立平</t>
  </si>
  <si>
    <t>清酒;烧酒;除啤酒外的酒精饮料;鸡尾酒;⻩酒;果酒;烈酒;⽩酒;⽶酒;葡萄酒</t>
  </si>
  <si>
    <t>傲麓紫鹊</t>
  </si>
  <si>
    <t>祧荣聚晟（宁波）品牌管理有限公司</t>
  </si>
  <si>
    <t>开胃酒;果酒（含酒精）;鸡尾酒;威⼠忌;⽩酒;朗姆酒;⽩兰地;葡萄酒;酒精饮料（啤酒除外）;烈酒（饮料）</t>
  </si>
  <si>
    <t>金漳风情</t>
  </si>
  <si>
    <t>南漳政壁商贸有限公司</t>
  </si>
  <si>
    <t>⽶酒;酸酒（低等葡萄酒）;果酒;蒸馏饮料;⽩兰地;⻩酒;葡萄酒;⽩酒;蒸煮提取物（利⼝酒和烈酒）;含⽔果酒精饮料</t>
  </si>
  <si>
    <t>BAIROW</t>
  </si>
  <si>
    <t>葡萄酒;利⼝酒;含⽔果酒精饮料;烧酒;汽酒;酒精饮料浓缩汁;⻩酒;⽩酒;果酒（含酒精）;酒精饮料原汁</t>
  </si>
  <si>
    <t>晋言晋语</t>
  </si>
  <si>
    <t>山西秦通天下网络科技有限公司</t>
  </si>
  <si>
    <t>开胃酒;⻩酒;酒精饮料（啤酒除外）;烧酒;⽶酒;⽩酒;葡萄酒;⻘稞酒;果酒（含酒精）;⾷⽤酒精</t>
  </si>
  <si>
    <t>桃向露</t>
  </si>
  <si>
    <t>杨澎</t>
  </si>
  <si>
    <t>葡萄酒;烧酒;⾷⽤酒精;蜂蜜酒;果酒;鸡尾酒;梅酒;⽶酒;⻩酒;⽩酒</t>
  </si>
  <si>
    <t>怡康经</t>
  </si>
  <si>
    <t>义乌市正艾禾生物科技有限公司</t>
  </si>
  <si>
    <t>威⼠忌;杜松⼦酒;酒精饮料（啤酒除外）;葡萄酒;鸡尾酒;⽩酒;⻩酒;⽩兰地;⽶酒;烧酒</t>
  </si>
  <si>
    <t>宋洋</t>
  </si>
  <si>
    <t>广州腾爱医疗器械有限公司</t>
  </si>
  <si>
    <t>威⼠忌;汽酒;苹果酒;蜂蜜酒;葡萄酒;清酒（⽇本⽶酒）;烈酒（饮料）;⽩兰地;⽩酒;开胃酒</t>
  </si>
  <si>
    <t>碎瓶夺金</t>
  </si>
  <si>
    <t>蒸馏饮料;伏特加酒;⽩酒;葡萄酒;⻩酒;⽶酒;开胃酒;利⼝酒;⾕物制蒸馏酒精饮料;威⼠忌</t>
  </si>
  <si>
    <t>兆隆实业</t>
  </si>
  <si>
    <t>河北兆隆实业集团有限公司</t>
  </si>
  <si>
    <t>酒精饮料（啤酒除外）;餐后酒（利⼝酒和烈酒）;烈酒（饮料）;⾷⽤酒精;预先混合的酒精饮料（以啤酒为主的除外）;酒精饮料原汁;含⽔果酒精饮料;威⼠忌;⽩酒;葡萄酒</t>
  </si>
  <si>
    <t>蕫道</t>
  </si>
  <si>
    <t>罗辉</t>
  </si>
  <si>
    <t>果酒（含酒精）;鸡尾酒;⻩酒;烧酒;⾷⽤酒精;⽶酒;⽩酒;露酒;葡萄酒;酒精饮料（啤酒除外）</t>
  </si>
  <si>
    <t>苏刻</t>
  </si>
  <si>
    <t>果酒（含酒精）;利⼝酒;⽩兰地;鸡尾酒;伏特加酒;葡萄酒;杜松⼦酒;清酒（⽇本⽶酒）;威⼠忌;朗姆酒</t>
  </si>
  <si>
    <t>三国森林</t>
  </si>
  <si>
    <t>烟台天鹭食品有限公司</t>
  </si>
  <si>
    <t>酒精饮料（啤酒除外）;预先混合的酒精饮料（以啤酒为主的除外）;汽酒;果酒（含酒精）;⽩酒;⽶酒;蒸馏饮料;⾷⽤酒精;苦味酒;烈酒（饮料）</t>
  </si>
  <si>
    <t>欢腾礼行</t>
  </si>
  <si>
    <t>查樱桃</t>
  </si>
  <si>
    <t>葡萄酒;蜂蜜酒;汽酒;⽢蔗制酒精饮料;樱桃酒;⽩酒;威⼠忌;⽶酒;酒精饮料（啤酒除外）;果酒</t>
  </si>
  <si>
    <t>遇霏同行</t>
  </si>
  <si>
    <t>山西汾杏花都酒业有限公司</t>
  </si>
  <si>
    <t>⽩酒;鸡尾酒;威⼠忌;含酒精的饮料（啤酒除外）;⽩⼲酒（中国⽩酒）;⾼粱酒;果酒;葡萄酒;⻩酒;⽶酒</t>
  </si>
  <si>
    <t>NACY SEVEN</t>
  </si>
  <si>
    <t>上海阡上花信息科技有限公司</t>
  </si>
  <si>
    <t>⽩酒;蒸馏饮料;⻩酒;葡萄酒;果酒（含酒精）;酒精饮料（啤酒除外）;⽶酒;烧酒;⻘稞酒;⾷⽤酒精</t>
  </si>
  <si>
    <t>溪波奇</t>
  </si>
  <si>
    <t>陈正刚</t>
  </si>
  <si>
    <t>含⽔果酒精饮料;清酒;烧酒;烈酒（饮料）;酒精饮料原汁;⽩酒;威⼠忌;鸡尾酒;果酒（含酒精）;蒸馏饮料</t>
  </si>
  <si>
    <t>龙瑞威</t>
  </si>
  <si>
    <t>杭州千岛金久酒业有限公司</t>
  </si>
  <si>
    <t>果酒;含⽔果酒精饮料;预先混合的酒精饮料（以啤酒为主的除外）;利⼝酒;朗姆酒;杜松⼦酒;汽酒;威⼠忌;⽩兰地;伏特加酒</t>
  </si>
  <si>
    <t>江南京誉</t>
  </si>
  <si>
    <t>伍锡剑</t>
  </si>
  <si>
    <t>利⼝酒;烧酒;⻩酒;⽶酒;果酒（含酒精）;烈酒（饮料）;葡萄酒;酒精饮料（啤酒除外）;⽩酒;开胃酒</t>
  </si>
  <si>
    <t>青苑洒魂</t>
  </si>
  <si>
    <t>王守道</t>
  </si>
  <si>
    <t>葡萄酒;果酒（含酒精）;烈酒（饮料）;⻩酒;酒精饮料（啤酒除外）;蜂蜜酒;含酒精的鸡尾酒混合饮品;蒸馏饮料;⽩酒;⽶酒</t>
  </si>
  <si>
    <t>赤春鼎</t>
  </si>
  <si>
    <t>⽩酒;⽶酒;烧酒;鸡尾酒;威⼠忌;⻩酒;果酒（含酒精）;蒸馏饮料;⽩兰地;葡萄酒</t>
  </si>
  <si>
    <t>周濮</t>
  </si>
  <si>
    <t>海南周濮投资集团有限公司</t>
  </si>
  <si>
    <t>⾼粱酒;含⽔果酒精饮料;烈酒;烧酒（烈酒）;葡萄酒;鸡尾酒;⽩酒;果酒;⽶酒;⻩酒</t>
  </si>
  <si>
    <t>玫彡彡</t>
  </si>
  <si>
    <t>安宁滇豫寻味销售有限公司</t>
  </si>
  <si>
    <t>烧酒;果酒（含酒精）;葡萄酒;含⽔果酒精饮料;⽩酒;鸡尾酒;酒精饮料（啤酒除外）;⻘稞酒;⻩酒;⽼酒（中国蒸馏烈酒）</t>
  </si>
  <si>
    <t>派大鸭</t>
  </si>
  <si>
    <t>派芽数字科技（杭州）有限公司</t>
  </si>
  <si>
    <t>威⼠忌;清酒;⽶酒;⽩酒;⾷⽤酒精;果酒（含酒精）;开胃酒;鸡尾酒;⻩酒;烧酒</t>
  </si>
  <si>
    <t>千造</t>
  </si>
  <si>
    <t>张奇</t>
  </si>
  <si>
    <t>蒸馏饮料;⽶酒;⽩酒;鸡尾酒;烧酒;酒精饮料（啤酒除外）;⻩酒;威⼠忌;果酒（含酒精）;葡萄酒</t>
  </si>
  <si>
    <t>四海蓝</t>
  </si>
  <si>
    <t>古进福</t>
  </si>
  <si>
    <t>烧酒;葡萄酒;果酒;鸡尾酒;⽩酒;甜酒;烈酒;⻩酒;⽶酒;酒精饮料（啤酒除外）</t>
  </si>
  <si>
    <t>烧玖天下</t>
  </si>
  <si>
    <t>郑杰</t>
  </si>
  <si>
    <t>由⾕物蒸馏的⽩酒;⽩酒;已调味的蒸馏酒;烧酒（烈酒）;⾼粱酒;果酒;含酒精的饮料（啤酒除外）;⽩⼲酒（中国⽩酒）;⽼酒（中国蒸馏烈酒）;酒精饮料（啤酒除外）</t>
  </si>
  <si>
    <t>普藏号</t>
  </si>
  <si>
    <t>云南临沧叶佑茶叶有限公司</t>
  </si>
  <si>
    <t>葡萄酒;鸡尾酒;威⼠忌;酒精饮料（啤酒除外）;果酒（含酒精）;⽶酒;⽩酒;烈酒（饮料）;⻩酒;烧酒</t>
  </si>
  <si>
    <t>贵立金典</t>
  </si>
  <si>
    <t>王怀金</t>
  </si>
  <si>
    <t>酒精饮料（啤酒除外）;开胃酒;烧酒;⽩酒;蒸煮提取物（利⼝酒和烈酒）;⽶酒;葡萄酒;清酒（⽇本⽶酒）;⻩酒;果酒（含酒精）</t>
  </si>
  <si>
    <t>玉宛门</t>
  </si>
  <si>
    <t>张小玲</t>
  </si>
  <si>
    <t>烈酒（饮料）;汽酒;⽩酒;威⼠忌;⾷⽤酒精;以葡萄酒为主的饮料;鸡尾酒;⽶酒;果酒（含酒精）;酒精饮料（啤酒除外）</t>
  </si>
  <si>
    <t>MASCOT-SOAR</t>
  </si>
  <si>
    <t>烧酒;伏特加酒;威⼠忌;酒精饮料（啤酒除外）;⻩酒;烈酒（饮料）;⽩酒;葡萄酒;餐后酒（利⼝酒和烈酒）</t>
  </si>
  <si>
    <t>贵哉文创</t>
  </si>
  <si>
    <t>贵州贵哉文化发展有限公司</t>
  </si>
  <si>
    <t>⾷⽤酒精;果酒（含酒精）;葡萄酒;酒精饮料（啤酒除外）;预先混合的酒精饮料（以啤酒为主的除外）;烧酒;烈酒（饮料）;⽩酒;蒸煮提取物（利⼝酒和烈酒）;利⼝酒</t>
  </si>
  <si>
    <t>烈舍</t>
  </si>
  <si>
    <t>张皓钦</t>
  </si>
  <si>
    <t>威⼠忌;葡萄酒;鸡尾酒;酒精饮料（啤酒除外）;⻩酒;烈酒（饮料）;开胃酒;果酒;⽩酒;清酒（⽇本⽶酒）</t>
  </si>
  <si>
    <t>小嬴</t>
  </si>
  <si>
    <t>北京小嬴品牌管理有限公司</t>
  </si>
  <si>
    <t>伏特加酒;果酒;葡萄酒;⻩酒;⽩酒;汽酒;清酒;⽶酒;鸡尾酒;朗姆酒</t>
  </si>
  <si>
    <t>网罗汇济</t>
  </si>
  <si>
    <t>东莞市汇济商贸有限公司</t>
  </si>
  <si>
    <t>含⽔果酒精饮料;⽶酒;薄荷酒;鸡尾酒;⽩酒;葡萄酒;烧酒;⽩兰地;威⼠忌;果酒（含酒精）</t>
  </si>
  <si>
    <t>汉宛医圣堂</t>
  </si>
  <si>
    <t>王学联</t>
  </si>
  <si>
    <t>⻩酒;⾷⽤酒精;⽩酒;蒸馏饮料;苦艾酒;葡萄酒;果酒（含酒精）;酒精饮料（啤酒除外）;烧酒;⽶酒</t>
  </si>
  <si>
    <t>吾府隆昌</t>
  </si>
  <si>
    <t>⽩酒;蒸煮提取物（利⼝酒和烈酒）;蒸馏饮料;⻩酒;⽩兰地;果酒;⽶酒;酸酒（低等葡萄酒）;含⽔果酒精饮料;葡萄酒</t>
  </si>
  <si>
    <t>灯元</t>
  </si>
  <si>
    <t>深圳自然门康养科技有限公司</t>
  </si>
  <si>
    <t>⽶酒;⻘稞酒;蜂蜜酒;⻩酒;⽩兰地;开胃酒;朗姆酒;含⽔果酒精饮料;烧酒;以葡萄酒为主的饮料</t>
  </si>
  <si>
    <t>文王甲子酒坊</t>
  </si>
  <si>
    <t>安徽文王酿酒股份有限公司</t>
  </si>
  <si>
    <t>酒精饮料（啤酒除外）;⾷⽤酒精;烧酒;⽩酒;烈酒;酒精饮料原汁;清酒;果酒;葡萄酒;⻩酒</t>
  </si>
  <si>
    <t>陇恒泰通达</t>
  </si>
  <si>
    <t>甘肃恒泰通达电力工程有限公司</t>
  </si>
  <si>
    <t>开胃酒;烧酒;苦味酒;苹果酒;⾷⽤酒精;⽩酒;⽶酒;果酒（含酒精）;梨酒;⻩酒</t>
  </si>
  <si>
    <t>HENKELL TROCKEN</t>
  </si>
  <si>
    <t>重庆芮齐贸易有限公司</t>
  </si>
  <si>
    <t>鸡尾酒;葡萄酒;⽩酒;酒精饮料（啤酒除外）;烈酒（饮料）;⽩兰地;⽶酒;果酒;苹果酒;汽酒</t>
  </si>
  <si>
    <t>香大咖</t>
  </si>
  <si>
    <t>赵越超</t>
  </si>
  <si>
    <t>⽩酒;⽼酒（中国蒸馏烈酒）;⾼粱酒;葡萄酒;果酒（含酒精）;鸡尾酒;⽶酒;烈酒;清酒（⽇本⽶酒）;⻩酒</t>
  </si>
  <si>
    <t>德行礼</t>
  </si>
  <si>
    <t>⽩酒;烈酒（饮料）;⻩酒;⾼粱酒;⽩⼲酒（中国⽩酒）;葡萄酒;以葡萄酒为主的饮料;⽶酒;⽼酒（中国蒸馏烈酒）;果酒（含酒精）</t>
  </si>
  <si>
    <t>骏泉</t>
  </si>
  <si>
    <t>丰泽区昭泥百货商行</t>
  </si>
  <si>
    <t>开胃酒;鸡尾酒;⻩酒;朗姆酒;含酒精的饮料（啤酒除外）;清酒（⽇本⽶酒）;苹果酒;⽩酒;利⼝酒;葡萄酒</t>
  </si>
  <si>
    <t>黔飞练</t>
  </si>
  <si>
    <t>瓮安兴瓮酒业有限公司</t>
  </si>
  <si>
    <t>果酒（含酒精）;⽶酒;⾷⽤酒精;烧酒;餐后酒（利⼝酒和烈酒）;酒精饮料（啤酒除外）;葡萄酒;烈酒（饮料）;⻩酒;⽩酒</t>
  </si>
  <si>
    <t>彩陶王人合</t>
  </si>
  <si>
    <t>河南孔祖酒业有限责任公司</t>
  </si>
  <si>
    <t>开胃酒;果酒（含酒精）;⻩酒;烈酒;⾼粱酒;⽼酒（中国蒸馏烈酒）;酒精饮料（啤酒除外）;⽶酒;⽩酒;葡萄酒</t>
  </si>
  <si>
    <t>夏新蝉噪</t>
  </si>
  <si>
    <t>巽风科技（贵州）有限公司</t>
  </si>
  <si>
    <t>酒精饮料浓缩汁;⽼酒（中国蒸馏烈酒）;烧酒（烈酒）;⽩⼲酒（中国⽩酒）;由⾕物蒸馏的⽩酒;蒸馏饮料;酒精饮料原汁;酒精饮料（啤酒除外）;果酒;⽩酒</t>
  </si>
  <si>
    <t>战君</t>
  </si>
  <si>
    <t>郭志恒</t>
  </si>
  <si>
    <t>果酒（含酒精）;⻩酒;葡萄酒;利⼝酒;含⽔果酒精饮料;烧酒;⽩酒;苹果酒;鸡尾酒;酒精饮料（啤酒除外）</t>
  </si>
  <si>
    <t>谢馥春香粉铺</t>
  </si>
  <si>
    <t>江苏谢馥春国妆股份有限公司</t>
  </si>
  <si>
    <t>汽酒;果酒（含酒精）;⽶酒;⾷⽤酒精;烈酒（饮料）;鸡尾酒;酒精饮料（啤酒除外）;⽩酒;葡萄酒;蒸馏饮料</t>
  </si>
  <si>
    <t>慕悦微澜</t>
  </si>
  <si>
    <t>李霞</t>
  </si>
  <si>
    <t>果酒（含酒精）;葡萄酒;⽩酒;烧酒;⽩兰地;酒精饮料（啤酒除外）;开胃酒;含⽔果酒精饮料;鸡尾酒;蜂蜜酒</t>
  </si>
  <si>
    <t>欧冶子</t>
  </si>
  <si>
    <t>夏津县家乐超市</t>
  </si>
  <si>
    <t>烈酒（饮料）;蒸煮提取物（利⼝酒和烈酒）;⻩酒;葡萄酒;酒精饮料（啤酒除外）;⽩酒;烧酒;⾷⽤酒精;酒精饮料原汁;果酒（含酒精）</t>
  </si>
  <si>
    <t>维纳斯蓝</t>
  </si>
  <si>
    <t>中轻跨境（北京）投资有限公司</t>
  </si>
  <si>
    <t>含⽔果酒精饮料;⽶酒;烈酒（饮料）;⽩酒;起泡⽩葡萄酒;葡萄酒;威⼠忌;果酒（含酒精）;烧酒;⻩酒</t>
  </si>
  <si>
    <t>德行门</t>
  </si>
  <si>
    <t>成都锦明品牌设计有限公司</t>
  </si>
  <si>
    <t>⽩兰地;⻩酒;⽶酒;葡萄酒;梨酒;露酒;果酒（含酒精）;⻘稞酒;酒精饮料原汁;⽩酒</t>
  </si>
  <si>
    <t>保酒府藏</t>
  </si>
  <si>
    <t>保定金名片酒业有限公司</t>
  </si>
  <si>
    <t>烧酒（烈酒）;⽶酒;烈酒;清酒;烧酒;除啤酒外的酒精饮料;酒精饮料（啤酒除外）;⻩酒;红葡萄酒;⽩酒</t>
  </si>
  <si>
    <t>旺金口</t>
  </si>
  <si>
    <t>徐州世家酿酒业有限公司</t>
  </si>
  <si>
    <t>⽩酒;利⼝酒;葡萄酒;梨酒;⻘稞酒;⽶酒;烧酒;开胃酒;⻩酒;清酒（⽇本⽶酒）</t>
  </si>
  <si>
    <t>曾意同喜</t>
  </si>
  <si>
    <t>贵州省仁怀市曾意酒业有限公司</t>
  </si>
  <si>
    <t>果酒（含酒精）;蒸馏饮料;葡萄酒;烈酒（饮料）;⽩酒;汽酒;⻩酒;含⽔果酒精饮料;⽶酒;烧酒</t>
  </si>
  <si>
    <t>京樽渡</t>
  </si>
  <si>
    <t>杨溢</t>
  </si>
  <si>
    <t>清酒（⽇本⽶酒）;果酒（含酒精）;伏特加酒;⻩酒;葡萄酒;酒精饮料（啤酒除外）;威⼠忌;含⽔果酒精饮料;⽶酒;⽩酒</t>
  </si>
  <si>
    <t>保府宋祖故里</t>
  </si>
  <si>
    <t>鸡尾酒;⻩酒;⽩酒;红葡萄酒;烈酒（饮料）;酒精饮料（啤酒除外）;烈酒;葡萄酒;⽼酒（中国蒸馏烈酒）;清酒</t>
  </si>
  <si>
    <t>派鸭鸭</t>
  </si>
  <si>
    <t>开胃酒;威⼠忌;⽶酒;清酒;鸡尾酒;⽩酒;⻩酒;烧酒;⾷⽤酒精;果酒（含酒精）</t>
  </si>
  <si>
    <t>文王天禄</t>
  </si>
  <si>
    <t>⻩酒;果酒;酒精饮料原汁;烧酒;烈酒;清酒;⽩酒;葡萄酒;酒精饮料（啤酒除外）;⾷⽤酒精</t>
  </si>
  <si>
    <t>踏香</t>
  </si>
  <si>
    <t>烈酒（饮料）;预先混合的酒精饮料（以啤酒为主的除外）;⾕物制蒸馏酒精饮料;⾷⽤酒精;葡萄酒;⽩酒;⻩酒;果酒（含酒精）;蒸馏饮料;酒精饮料（啤酒除外）</t>
  </si>
  <si>
    <t>八喜泰</t>
  </si>
  <si>
    <t>开胃酒;葡萄酒;⽩酒;⾼粱酒;威⼠忌;烧酒;⽶酒;烈酒（饮料）;⽩兰地;鸡尾酒</t>
  </si>
  <si>
    <t>法唔</t>
  </si>
  <si>
    <t>泸州九沅法律服务有限公司</t>
  </si>
  <si>
    <t>果酒（含酒精）;⽩兰地;含酒精⽔果饮料;鸡尾酒;酒精饮料原汁;⻩酒;酒精饮料（啤酒除外）;⽩葡萄酒;含⽔果酒精饮料;⽩酒</t>
  </si>
  <si>
    <t>江门市农业控股集团有限公司</t>
  </si>
  <si>
    <t>威⼠忌;⻩酒;葡萄酒;⽶酒;果酒（含酒精）;⽩酒;酒精饮料（啤酒除外）;含酒精的充⽓饮料（啤酒除外）;⽩兰地;预先混合的酒精饮料（以啤酒为主的除外）</t>
  </si>
  <si>
    <t>传仹</t>
  </si>
  <si>
    <t>贵州潜酿食品有限公司</t>
  </si>
  <si>
    <t>⽶酒;⽩酒;⽩⼲酒（中国⽩酒）;开胃酒;甜酒;清酒;烧酒（烈酒）;⾼粱酒;⽼酒（中国蒸馏烈酒）;蜂蜜酒</t>
  </si>
  <si>
    <t>亿凤玺</t>
  </si>
  <si>
    <t>张阿帅</t>
  </si>
  <si>
    <t>果酒（含酒精）;葡萄酒;⽶酒;含⽔果酒精饮料;酒精饮料（啤酒除外）;⽩酒;⽩兰地;⾷⽤酒精;⻩酒;鸡尾酒</t>
  </si>
  <si>
    <t>华商联</t>
  </si>
  <si>
    <t>樱桃酒;开胃酒;烧酒;苹果酒;蜂蜜酒;梨酒;葡萄酒;⻩酒;⽩酒;果酒（含酒精）</t>
  </si>
  <si>
    <t>百岳泉</t>
  </si>
  <si>
    <t>范李明</t>
  </si>
  <si>
    <t>已调味的蒸馏酒;烧酒（烈酒）;⽼酒（中国蒸馏烈酒）;⽩酒;酒精饮料（啤酒除外）;含酒精的饮料（啤酒除外）;⽩⼲酒（中国⽩酒）;果酒;由⾕物蒸馏的⽩酒;⾼粱酒</t>
  </si>
  <si>
    <t>米我</t>
  </si>
  <si>
    <t>深圳米我创芯科技有限公司</t>
  </si>
  <si>
    <t>利⼝酒;⽶酒;预先混合的酒精饮料（以啤酒为主的除外）;⾷⽤酒精;酒精饮料（啤酒除外）;⾕物制蒸馏酒精饮料;加⾹料的热葡萄酒;⽩酒;烈酒;酒精饮料浓缩汁</t>
  </si>
  <si>
    <t>鹿苗缘</t>
  </si>
  <si>
    <t>岑永康</t>
  </si>
  <si>
    <t>烈酒（饮料）;威⼠忌;鸡尾酒;清酒;含⽔果酒精饮料;酒精饮料原汁;烧酒;果酒（含酒精）;蒸馏饮料;⽩酒</t>
  </si>
  <si>
    <t>碎瓶金</t>
  </si>
  <si>
    <t>葡萄酒;⽶酒;⾕物制蒸馏酒精饮料;威⼠忌;⽩兰地;蒸馏饮料;⽩酒;朗姆酒;伏特加酒;⻩酒</t>
  </si>
  <si>
    <t>臻圣聚</t>
  </si>
  <si>
    <t>曹秋惠</t>
  </si>
  <si>
    <t>⽩酒;蒸馏饮料;烧酒;酒精饮料原汁;鸡尾酒;果酒（含酒精）;含⽔果酒精饮料;清酒;威⼠忌;烈酒（饮料）</t>
  </si>
  <si>
    <t>宾宜梦</t>
  </si>
  <si>
    <t>贵州黄金基酒业有限公司</t>
  </si>
  <si>
    <t>蒸馏饮料;烧酒;鸡尾酒;⽩酒;葡萄酒;果酒;酒精饮料（啤酒除外）;汽酒;威⼠忌;⻩酒</t>
  </si>
  <si>
    <t>明门福</t>
  </si>
  <si>
    <t>遵义容洋汇酒业有限责任公司</t>
  </si>
  <si>
    <t>⻩酒;⾼粱酒;酒精饮料（啤酒除外）;⽩酒;烈酒;⽶酒;烧酒;果酒;⽼酒（中国蒸馏烈酒）;葡萄酒</t>
  </si>
  <si>
    <t>帝尧故里</t>
  </si>
  <si>
    <t>除啤酒外的酒精饮料;清酒;烧酒（烈酒）;酒精饮料（啤酒除外）;烈酒;烧酒;⻩酒;⽶酒;⽩酒;红葡萄酒</t>
  </si>
  <si>
    <t>人至悟</t>
  </si>
  <si>
    <t>烈酒（饮料）;⽼酒（中国蒸馏烈酒）;⽩⼲酒（中国⽩酒）;葡萄酒;⾼粱酒;果酒（含酒精）;⽩酒;⽶酒;⻩酒;以葡萄酒为主的饮料</t>
  </si>
  <si>
    <t>韵哥一壶</t>
  </si>
  <si>
    <t>茌平县亿昌商贸有限责任公司</t>
  </si>
  <si>
    <t>烧酒;除啤酒外的酒精饮料;葡萄酒;⽩⼲酒（中国⽩酒）;⽶酒;⽩兰地;⽩葡萄酒;⽩酒;⻩酒;汽酒</t>
  </si>
  <si>
    <t>中州医圣堂</t>
  </si>
  <si>
    <t>⽶酒;苦艾酒;酒精饮料（啤酒除外）;⻩酒;果酒（含酒精）;⽩酒;蒸馏饮料;葡萄酒;烧酒;⾷⽤酒精</t>
  </si>
  <si>
    <t>夏·露新荷</t>
  </si>
  <si>
    <t>酒精饮料（啤酒除外）;⽩酒;⽼酒（中国蒸馏烈酒）;烧酒（烈酒）;酒精饮料浓缩汁;果酒;⽩⼲酒（中国⽩酒）;由⾕物蒸馏的⽩酒;酒精饮料原汁;蒸馏饮料</t>
  </si>
  <si>
    <t>夏·风盈满</t>
  </si>
  <si>
    <t>酒精饮料浓缩汁;烧酒（烈酒）;酒精饮料（啤酒除外）;⽩酒;由⾕物蒸馏的⽩酒;蒸馏饮料;酒精饮料原汁;果酒;⽩⼲酒（中国⽩酒）;⽼酒（中国蒸馏烈酒）</t>
  </si>
  <si>
    <t>小派鸭</t>
  </si>
  <si>
    <t>威⼠忌;清酒;⾷⽤酒精;⽶酒;烧酒;果酒（含酒精）;开胃酒;鸡尾酒;⽩酒;⻩酒</t>
  </si>
  <si>
    <t>智朴西山农场</t>
  </si>
  <si>
    <t>北京市西山农场有限责任公司</t>
  </si>
  <si>
    <t>果酒（含酒精）;鸡尾酒;蒸馏饮料;烧酒;⽩酒;⽩兰地;⽶酒;葡萄酒;威⼠忌;⻩酒</t>
  </si>
  <si>
    <t>皖乡人</t>
  </si>
  <si>
    <t>马相菊</t>
  </si>
  <si>
    <t>鸡尾酒;酒精饮料（啤酒除外）;⽩酒;⽩兰地;含⽔果酒精饮料;葡萄酒;⻩酒;⾷⽤酒精;果酒（含酒精）;⽶酒</t>
  </si>
  <si>
    <t>鸿造</t>
  </si>
  <si>
    <t>鸡尾酒;⽶酒;威⼠忌;⻩酒;⽩酒;酒精饮料（啤酒除外）;烧酒;果酒（含酒精）;葡萄酒;蒸馏饮料</t>
  </si>
  <si>
    <t>窖丰仙</t>
  </si>
  <si>
    <t>朱强</t>
  </si>
  <si>
    <t>⽶酒;果酒（含酒精）;伏特加酒;鸡尾酒;果酒;威⼠忌;⽩酒;梅酒;⻩酒;葡萄酒</t>
  </si>
  <si>
    <t>熙来遥</t>
  </si>
  <si>
    <t>山西蛋妞商贸有限公司</t>
  </si>
  <si>
    <t>烧酒;果酒(含酒精);⽩酒;⾷⽤酒精;⻩酒;酒精饮料(啤酒除外);葡萄酒;蒸馏饮料;开胃酒;⽶酒</t>
  </si>
  <si>
    <t>准燃</t>
  </si>
  <si>
    <t>武汉连玉堂生物科技有限公司</t>
  </si>
  <si>
    <t>酒精饮料（啤酒除外）;露酒;⻩酒;果酒（含酒精）;含酒精的⽓泡⽔;蒸煮提取物（利⼝酒和烈酒）;蒸馏饮料;酒精饮料浓缩汁;含⽔果酒精饮料;酒精饮料原汁</t>
  </si>
  <si>
    <t>唐拉图</t>
  </si>
  <si>
    <t>杨娟</t>
  </si>
  <si>
    <t>利⼝酒;葡萄酒;⻩酒;⽩酒;威⼠忌;果酒（含酒精）;烈酒（饮料）;⽶酒;预先混合的酒精饮料（以啤酒为主的除外）;烧酒</t>
  </si>
  <si>
    <t>桃圃</t>
  </si>
  <si>
    <t>张运富</t>
  </si>
  <si>
    <t>鸡尾酒;果酒（含酒精）;葡萄酒;烧酒;清酒（⽇本⽶酒）;⽶酒;⽩酒;酒精饮料（啤酒除外）;含⽔果酒精饮料;蜂蜜酒</t>
  </si>
  <si>
    <t>世空</t>
  </si>
  <si>
    <t>⾷⽤酒精;葡萄酒;含⽔果酒精饮料;⻩酒;果酒（含酒精）;酒精饮料（啤酒除外）;⽶酒;鸡尾酒;⽩酒;⽩兰地</t>
  </si>
  <si>
    <t>江上客</t>
  </si>
  <si>
    <t>江朝根330823********8150</t>
  </si>
  <si>
    <t>蒸馏饮料;烈酒（饮料）;⽩酒;酒精饮料（啤酒除外）;葡萄酒;烧酒;⻩酒;果酒（含酒精）;鸡尾酒;⽶酒</t>
  </si>
  <si>
    <t>夫魁</t>
  </si>
  <si>
    <t>刘鑫</t>
  </si>
  <si>
    <t>⾼粱酒;⻩酒;果酒（含酒精）;梅酒;葡萄酒;⻘稞酒;梨酒;⽩酒;利⼝酒;清酒</t>
  </si>
  <si>
    <t>全友相聚 酒</t>
  </si>
  <si>
    <t>⽩酒;⽶酒;葡萄酒;烧酒;果酒;含⽔果酒精饮料</t>
  </si>
  <si>
    <t>灼地</t>
  </si>
  <si>
    <t>晋江市安海汇润五金厂</t>
  </si>
  <si>
    <t>果酒（含酒精）;利⼝酒;酒精饮料原汁;⽩酒;⽶酒;烧酒;酒精饮料（啤酒除外）;开胃酒;含⽔果酒精饮料;鸡尾酒</t>
  </si>
  <si>
    <t>谢馥春</t>
  </si>
  <si>
    <t>鸡尾酒;酒精饮料（啤酒除外）;蒸馏饮料;葡萄酒;⽶酒;烈酒（饮料）;汽酒;⽩酒;果酒（含酒精）;⾷⽤酒精</t>
  </si>
  <si>
    <t>葡萄酒;⽶酒;预先混合的酒精饮料（以啤酒为主的除外）;⽩兰地;含酒精的充⽓饮料（啤酒除外）;果酒（含酒精）;酒精饮料（啤酒除外）;威⼠忌;⽩酒;⻩酒</t>
  </si>
  <si>
    <t>FORTUNE-KNOT 吉运绵绵</t>
  </si>
  <si>
    <t>⽩酒;葡萄酒;⻩酒;伏特加酒;威⼠忌;酒精饮料（啤酒除外）;烈酒（饮料）;烧酒;餐后酒（利⼝酒和烈酒）</t>
  </si>
  <si>
    <t>且臻古酿</t>
  </si>
  <si>
    <t>⻩酒;葡萄酒;⽶酒;⾷⽤酒精;汽酒;烧酒;烈酒;⽩酒;酒精饮料原汁;蒸煮提取物（利⼝酒和烈酒）</t>
  </si>
  <si>
    <t>葡萄酒;⽶酒;汽酒;蒸馏饮料;烈酒（饮料）;⽩酒;鸡尾酒;酒精饮料（啤酒除外）;⾷⽤酒精;果酒（含酒精）</t>
  </si>
  <si>
    <t>却时谈</t>
  </si>
  <si>
    <t>张进</t>
  </si>
  <si>
    <t>葡萄酒;薄荷酒;⾕物制蒸馏酒精饮料;汽酒;刺五加酒;以蒸馏酒为主的开胃酒;果酒（含酒精）;已调味的蒸馏酒;⽩酒;含酒精的饮料（啤酒除外）</t>
  </si>
  <si>
    <t>文王贡真时</t>
  </si>
  <si>
    <t>⽩酒;⻩酒;果酒;葡萄酒;⾷⽤酒精;酒精饮料（啤酒除外）;烧酒;清酒;酒精饮料原汁;烈酒</t>
  </si>
  <si>
    <t>众合沉</t>
  </si>
  <si>
    <t>吴海云</t>
  </si>
  <si>
    <t>甜果酒;⻩酒;朗姆酒;酸酒（低等葡萄酒）;⻘稞酒;⽶酒;清酒（⽇本⽶酒）;烧酒;⽩酒;苹果酒</t>
  </si>
  <si>
    <t>江玖黔</t>
  </si>
  <si>
    <t>贵州黔蜀坊酒业有限公司</t>
  </si>
  <si>
    <t>酒精饮料原汁;⽩酒;⽶酒;酒精饮料（啤酒除外）;预先混合的酒精饮料（以啤酒为主的除外）;⾷⽤酒精;葡萄酒;蒸煮提取物（利⼝酒和烈酒）;酒精饮料浓缩汁;含⽔果酒精饮料</t>
  </si>
  <si>
    <t>夏·惊昼眠</t>
  </si>
  <si>
    <t>⽼酒（中国蒸馏烈酒）;果酒;由⾕物蒸馏的⽩酒;酒精饮料浓缩汁;⽩⼲酒（中国⽩酒）;蒸馏饮料;酒精饮料原汁;⽩酒;烧酒（烈酒）;酒精饮料（啤酒除外）</t>
  </si>
  <si>
    <t>莒星河</t>
  </si>
  <si>
    <t>日照津豪商贸有限公司</t>
  </si>
  <si>
    <t>酒精饮料（啤酒除外）;⻩酒;果酒（含酒精）;⽩兰地;⽶酒;⽩酒;鸡尾酒;葡萄酒;威⼠忌;含⽔果酒精饮料</t>
  </si>
  <si>
    <t>苍墨洱韵</t>
  </si>
  <si>
    <t>云南苍墨洱韵数字文创有限公司</t>
  </si>
  <si>
    <t>清酒（⽇本⽶酒）;烧酒;⻩酒;薄荷酒;⽩酒;开胃酒;⽶酒;蒸馏饮料;烈酒（饮料）;果酒（含酒精）</t>
  </si>
  <si>
    <t>同暨堂</t>
  </si>
  <si>
    <t>广东国药医药连锁企业有限公司</t>
  </si>
  <si>
    <t>威⼠忌;开胃酒;⽩酒;⻩酒;⽩兰地;果酒（含酒精）;葡萄酒;⽶酒;清酒（⽇本⽶酒）;蒸煮提取物（利⼝酒和烈酒）</t>
  </si>
  <si>
    <t>津醇江</t>
  </si>
  <si>
    <t>⽩酒;酒精饮料（啤酒除外）;酒精饮料原汁;⽶酒;⾷⽤酒精;酒精饮料浓缩汁;含⽔果酒精饮料;葡萄酒;预先混合的酒精饮料（以啤酒为主的除外）;蒸煮提取物（利⼝酒和烈酒）</t>
  </si>
  <si>
    <t>流芳天下</t>
  </si>
  <si>
    <t>已调味的蒸馏酒;果酒;含酒精的饮料（啤酒除外）;由⾕物蒸馏的⽩酒;⽩⼲酒（中国⽩酒）;⾼粱酒;⽼酒（中国蒸馏烈酒）;酒精饮料（啤酒除外）;⽩酒;烧酒（烈酒）</t>
  </si>
  <si>
    <t>梦华顺</t>
  </si>
  <si>
    <t>非你莫属（北京）文化传媒有限公司</t>
  </si>
  <si>
    <t>红葡萄酒;加烈葡萄酒;果酒（含酒精）;鸡尾酒;威⼠忌;葡萄酒;⽩酒;起泡红葡萄酒;⻨芽威⼠忌</t>
  </si>
  <si>
    <t>慧灵魂</t>
  </si>
  <si>
    <t>河南泰全酒业有限公司</t>
  </si>
  <si>
    <t>葡萄酒;烧酒;果酒;含⽔果酒精饮料;⽩酒;伏特加酒;烈酒;威⼠忌;⽶酒;酒精饮料原汁</t>
  </si>
  <si>
    <t>滦将</t>
  </si>
  <si>
    <t>唐山市城坤科技有限公司</t>
  </si>
  <si>
    <t>酒精饮料（啤酒除外）;果酒（含酒精）;樱桃酒;烧酒;伏特加酒;烈酒（饮料）;⽩酒;葡萄酒;威⼠忌;⽶酒</t>
  </si>
  <si>
    <t>VENUS BLUE</t>
  </si>
  <si>
    <t>⻩酒;起泡⽩葡萄酒;果酒（含酒精）;烧酒;⽶酒;葡萄酒;威⼠忌;烈酒（饮料）;⽩酒;含⽔果酒精饮料</t>
  </si>
  <si>
    <t>浮金醇</t>
  </si>
  <si>
    <t>广东德日光伏科技有限公司</t>
  </si>
  <si>
    <t>⾕物制蒸馏酒精饮料;烈酒（饮料）;烧酒;含⽔果酒精饮料;果酒（含酒精）;⻩酒;⽩酒;⽶酒;⽩兰地;开胃酒</t>
  </si>
  <si>
    <t>茗光行</t>
  </si>
  <si>
    <t>山东中网卫士科技有限公司</t>
  </si>
  <si>
    <t>果酒（含酒精）;⾷⽤酒精;清酒（⽇本⽶酒）;⽩酒;威⼠忌;⻩酒;亚⼒酒;蒸馏饮料;利⼝酒;⽩兰地</t>
  </si>
  <si>
    <t>夏虫唤暑</t>
  </si>
  <si>
    <t>蒸馏饮料;⽩酒;果酒;酒精饮料（啤酒除外）;由⾕物蒸馏的⽩酒;⽩⼲酒（中国⽩酒）;酒精饮料原汁;酒精饮料浓缩汁;⽼酒（中国蒸馏烈酒）;烧酒（烈酒）</t>
  </si>
  <si>
    <t>渝燊华</t>
  </si>
  <si>
    <t>熊祥斌512201********4032</t>
  </si>
  <si>
    <t>果酒（含酒精）;蒸馏饮料;⽩酒;葡萄酒;⽶酒;烈酒（饮料）;预先混合的酒精饮料（以啤酒为主的除外）;烧酒;汽酒;⻘稞酒</t>
  </si>
  <si>
    <t>果璞</t>
  </si>
  <si>
    <t>王建森</t>
  </si>
  <si>
    <t>酒精饮料原汁;清酒（⽇本⽶酒）;以葡萄酒为主的饮料;威⼠忌;⻩酒;⽩酒;烧酒;⽶酒;⻘稞酒;果酒（含酒精）</t>
  </si>
  <si>
    <t>美在昆仑</t>
  </si>
  <si>
    <t>刘东伟</t>
  </si>
  <si>
    <t>汽酒;⾷⽤酒精;⻩酒;开胃酒;葡萄酒;⽩酒;果酒;清酒;⽶酒;甜酒</t>
  </si>
  <si>
    <t>御圣林</t>
  </si>
  <si>
    <t>吴玲</t>
  </si>
  <si>
    <t>葡萄酒;果酒（含酒精）;利⼝酒;⽩酒;烧酒;⽶酒;开胃酒;蒸煮提取物（利⼝酒和烈酒）;⻩酒;蜂蜜酒</t>
  </si>
  <si>
    <t>超然密州把</t>
  </si>
  <si>
    <t>⽩酒;汽酒;烧酒;开胃酒;⾷⽤酒精;⽶酒;果酒;清酒;葡萄酒;酒精饮料（啤酒除外）</t>
  </si>
  <si>
    <t>灵瑞阳</t>
  </si>
  <si>
    <t>灵瑞阳（广东）健康科技有限公司</t>
  </si>
  <si>
    <t>酒精饮料浓缩汁;开胃酒;⻩酒;葡萄酒;⽩酒;预先混合的酒精饮料（以啤酒为主的除外）;餐后酒（利⼝酒和烈酒）;甜果酒;甜酒;果酒</t>
  </si>
  <si>
    <t>领兜酒</t>
  </si>
  <si>
    <t>深圳市云野也云文化创意有限公司</t>
  </si>
  <si>
    <t>⻩酒;⽶酒;烈酒（饮料）;酒精饮料（啤酒除外）;鸡尾酒;⽩酒;烧酒;葡萄酒;果酒（含酒精）;清酒（⽇本⽶酒）</t>
  </si>
  <si>
    <t>2024/06/22</t>
  </si>
  <si>
    <t>谷堂</t>
  </si>
  <si>
    <t>泉州市泉港区世可日用百货商行</t>
  </si>
  <si>
    <t>葡萄酒;利⼝酒;威⼠忌;苹果酒;开胃酒;烈酒（饮料）;⻩酒;⽩酒;清酒;鸡尾酒</t>
  </si>
  <si>
    <t>甜苗苗</t>
  </si>
  <si>
    <t>何前忠</t>
  </si>
  <si>
    <t>清酒;甜酒;⾷⽤酒精;⽶酒;含酒精的⽓泡⽔;酒精饮料（啤酒除外）;果酒;已调味的蒸馏酒;葡萄酒;⽩酒</t>
  </si>
  <si>
    <t>青露冰莉</t>
  </si>
  <si>
    <t>龙火凤（四川）电子商务有限公司</t>
  </si>
  <si>
    <t>烈酒（饮料）;烧酒;果酒（含酒精）;蜂蜜酒;除啤酒外的酒精饮料;樱桃酒;葡萄酒;⽩兰地;梨酒;⽩酒</t>
  </si>
  <si>
    <t>蒙罕王无上王者</t>
  </si>
  <si>
    <t>石振华</t>
  </si>
  <si>
    <t>蒸馏饮料;果酒;葡萄酒;⽩兰地;蒸煮提取物（利⼝酒和烈酒）;烧酒;烈酒;酒精饮料（啤酒除外）;⽩酒;⾷⽤酒精</t>
  </si>
  <si>
    <t>李明明</t>
  </si>
  <si>
    <t>烈酒（饮料）;酒精饮料原汁;⽩酒;鸡尾酒;葡萄酒;果酒（含酒精）;蒸馏饮料;汽酒;威⼠忌;酒精饮料（啤酒除外）</t>
  </si>
  <si>
    <t>丁典</t>
  </si>
  <si>
    <t>酒精饮料（啤酒除外）;⻩酒;葡萄酒;含酒精的⽓泡⽔;⽩⼲酒（中国⽩酒）;⽶酒;烧酒;汽酒;果酒;⽩酒</t>
  </si>
  <si>
    <t>雨渡</t>
  </si>
  <si>
    <t>金峰科技有限公司</t>
  </si>
  <si>
    <t>果酒（含酒精）;⽩兰地;⽶酒;葡萄酒;⽩酒;⾷⽤酒精;鸡尾酒;含⽔果酒精饮料;酒精饮料（啤酒除外）;⻩酒</t>
  </si>
  <si>
    <t>前汉三花</t>
  </si>
  <si>
    <t>吴飞</t>
  </si>
  <si>
    <t>果酒;果酒（含酒精）;威⼠忌;含⽔果酒精饮料;⻩酒;⽩酒;葡萄酒;烈酒（饮料）;⽩兰地;烧酒</t>
  </si>
  <si>
    <t>道焃</t>
  </si>
  <si>
    <t>高利杰</t>
  </si>
  <si>
    <t>⽩酒;威⼠忌;葡萄酒;果酒（含酒精）;含⽔果酒精饮料;酒精饮料原汁;以葡萄酒为主的饮料;以葡萄酒为主的开胃酒;利⼝酒;⽶酒</t>
  </si>
  <si>
    <t>古沙春</t>
  </si>
  <si>
    <t>黄汉尧</t>
  </si>
  <si>
    <t>⾕物制蒸馏酒精饮料;⽩兰地;酒精饮料（啤酒除外）;⻩酒;⽩酒;果酒（含酒精）;蒸馏饮料;餐后酒（利⼝酒和烈酒）;葡萄酒;清酒（⽇本⽶酒）</t>
  </si>
  <si>
    <t>武东风</t>
  </si>
  <si>
    <t>吴棣明</t>
  </si>
  <si>
    <t>⽩⼲酒（中国⽩酒）;含酒精的⽓泡⽔;酒精饮料（啤酒除外）;烧酒;⽩酒;葡萄酒;汽酒;⻩酒;果酒;⽶酒</t>
  </si>
  <si>
    <t>粤然香</t>
  </si>
  <si>
    <t>广州粤然香生物科技有限公司</t>
  </si>
  <si>
    <t>伏特加酒;鸡尾酒;⾕物制蒸馏酒精饮料;葡萄酒;利⼝酒;朗姆酒;⽶酒;果酒（含酒精）;⽩酒;⻩酒</t>
  </si>
  <si>
    <t>杨大业</t>
  </si>
  <si>
    <t>海南雨林古树茶业有限公司</t>
  </si>
  <si>
    <t>开胃酒;蒸煮提取物（利⼝酒和烈酒）;鸡尾酒;酒精饮料（啤酒除外）;汽酒;含⽔果酒精饮料;⾷⽤酒精;果酒（含酒精）;蒸馏饮料;葡萄酒</t>
  </si>
  <si>
    <t>夷双泉</t>
  </si>
  <si>
    <t>熊晓红</t>
  </si>
  <si>
    <t>葡萄酒;⽩酒;酒精饮料（啤酒除外）;烧酒;⾼粱酒;汽酒;⽶酒;⻩酒;烈酒（饮料）;果酒（含酒精）</t>
  </si>
  <si>
    <t>玉礼上品</t>
  </si>
  <si>
    <t>果酒;⽶酒;⽩酒;烈酒;威⼠忌;葡萄酒;⽩兰地;清酒;⻩酒;鸡尾酒</t>
  </si>
  <si>
    <t>药百道</t>
  </si>
  <si>
    <t>云南柏寿健康产业集团有限公司</t>
  </si>
  <si>
    <t>⽶酒;⻩酒;⽩酒;果酒（含酒精）;⽩兰地;烧酒;葡萄酒;杜松⼦酒;烈酒（饮料）;酒精饮料（啤酒除外）</t>
  </si>
  <si>
    <t>饮府</t>
  </si>
  <si>
    <t>⽩酒;清酒;烈酒（饮料）;苹果酒;鸡尾酒;⻩酒;威⼠忌;开胃酒;利⼝酒;葡萄酒</t>
  </si>
  <si>
    <t>云百道</t>
  </si>
  <si>
    <t>钟清香</t>
  </si>
  <si>
    <t>威⼠忌;⻩酒;蒸馏饮料;果酒（含酒精）;烧酒（烈酒）;薄荷酒;酒精饮料（啤酒除外）;⽩酒;含⽔果酒精饮料;开胃酒</t>
  </si>
  <si>
    <t>冰晶莉露</t>
  </si>
  <si>
    <t>烧酒;⽩酒;樱桃酒;梨酒;⽩兰地;蜂蜜酒;果酒（含酒精）;葡萄酒;烈酒（饮料）;除啤酒外的酒精饮料</t>
  </si>
  <si>
    <t>多尔得</t>
  </si>
  <si>
    <t>解习本</t>
  </si>
  <si>
    <t>伏特加酒;鸡尾酒;⽩兰地;威⼠忌;⽩酒;酒精饮料（啤酒除外）;烧酒;⾷⽤酒精;朗姆酒;果酒（含酒精）</t>
  </si>
  <si>
    <t>识知恋</t>
  </si>
  <si>
    <t>武陟县怀天下怀药种植专业合作社</t>
  </si>
  <si>
    <t>酒精饮料（啤酒除外）;烧酒;烈酒（饮料）;蒸馏饮料;含⽔果酒精饮料;果酒（含酒精）;⽩酒;葡萄酒;酒精饮料浓缩汁;⽶酒</t>
  </si>
  <si>
    <t>品之骄子</t>
  </si>
  <si>
    <t>黎华胜</t>
  </si>
  <si>
    <t>⽼酒（中国蒸馏烈酒）;⾷⽤酒精;⻘梅酒;⾼粱酒;⾕物制蒸馏酒精饮料;露酒;酒精饮料（啤酒除外）;果酒（含酒精）;⽩酒;葡萄酒</t>
  </si>
  <si>
    <t>金郅诚</t>
  </si>
  <si>
    <t>张永驰</t>
  </si>
  <si>
    <t>预先混合的酒精饮料（以啤酒为主的除外）;烧酒;⻩酒;⽶酒;葡萄酒;酒精饮料（啤酒除外）;⾕物制蒸馏酒精饮料;⽩酒;含⽔果酒精饮料;果酒（含酒精）</t>
  </si>
  <si>
    <t>庄堂</t>
  </si>
  <si>
    <t>清酒;开胃酒;⽩酒;苹果酒;葡萄酒;烈酒（饮料）;⻩酒;利⼝酒;威⼠忌;鸡尾酒</t>
  </si>
  <si>
    <t>苗正龙</t>
  </si>
  <si>
    <t>贵州苗正堂医药科技有限公司</t>
  </si>
  <si>
    <t>烈酒（饮料）;葡萄酒;威⼠忌;烧酒;果酒（含酒精）;蒸馏饮料;⽶酒;酒精饮料（啤酒除外）;⽩酒;鸡尾酒</t>
  </si>
  <si>
    <t>载千秋</t>
  </si>
  <si>
    <t>烧酒;⽩酒;清酒;果酒;露酒;葡萄酒;⻩酒;⽶酒;⻘稞酒;⽼酒（中国蒸馏烈酒）</t>
  </si>
  <si>
    <t>露园</t>
  </si>
  <si>
    <t>苹果酒;利⼝酒;开胃酒;鸡尾酒;⽩酒;烈酒（饮料）;清酒;威⼠忌;⻩酒;葡萄酒</t>
  </si>
  <si>
    <t>桃盏</t>
  </si>
  <si>
    <t>永康市五月物业管理有限公司</t>
  </si>
  <si>
    <t>烧酒;⽩兰地;含⽔果酒精饮料;葡萄酒;蜂蜜酒;威⼠忌;⽩酒;⻘稞酒;⻩酒;开胃酒</t>
  </si>
  <si>
    <t>2024/06/23</t>
  </si>
  <si>
    <t>菠域</t>
  </si>
  <si>
    <t>西藏波密帮肯山货加工有限公司</t>
  </si>
  <si>
    <t>朗姆酒;果酒（含酒精）;⽩酒;葡萄酒;酒精饮料（啤酒除外）;开胃酒;鸡尾酒;含⽔果酒精饮料;威⼠忌;甜酒</t>
  </si>
  <si>
    <t>雪山箐</t>
  </si>
  <si>
    <t>柏先平</t>
  </si>
  <si>
    <t>酒精饮料（啤酒除外）;烧酒;果酒（含酒精）;⽩酒;清酒;⽶酒;⻩酒;开胃酒;⾷⽤酒精;烈酒（饮料）</t>
  </si>
  <si>
    <t>赣香谭</t>
  </si>
  <si>
    <t>兰小燕</t>
  </si>
  <si>
    <t>⾼粱酒;清酒;⻩酒;烧酒;⽶酒;烈酒;⽩酒;果酒（含酒精）;葡萄酒;苦荞酒</t>
  </si>
  <si>
    <t>桂惊云</t>
  </si>
  <si>
    <t>广西惊涛科技有限公司</t>
  </si>
  <si>
    <t>⻩酒;朗姆酒;⾷⽤酒精;⽶酒;烧酒;露酒;⽩酒;清酒;⾼粱酒;甜果酒</t>
  </si>
  <si>
    <t>允文允武</t>
  </si>
  <si>
    <t>葡萄酒;⽶酒;⻘稞酒;⻩酒;含酒精的饮料（啤酒除外）;⽩酒;梅酒;⾼粱酒;果酒;烧酒</t>
  </si>
  <si>
    <t>求陈</t>
  </si>
  <si>
    <t>贵州官醅电子商务有限公司</t>
  </si>
  <si>
    <t>葡萄酒;⽶酒;果酒（含酒精）;⽩酒;烈酒;酒精饮料（啤酒除外）;酒精饮料原汁;鸡尾酒;⻩酒;烧酒</t>
  </si>
  <si>
    <t>山运</t>
  </si>
  <si>
    <t>王星星</t>
  </si>
  <si>
    <t>开胃酒;烈酒（饮料）;果酒;清酒;威⼠忌;⽩酒;苹果酒;葡萄酒;利⼝酒;鸡尾酒</t>
  </si>
  <si>
    <t>海哥皮</t>
  </si>
  <si>
    <t>贵州省造梦者贸易有限公司</t>
  </si>
  <si>
    <t>⾷⽤酒精;烧酒;开胃酒;⽩酒;果酒;葡萄酒;威⼠忌;⻩酒;⽶酒;⻘稞酒</t>
  </si>
  <si>
    <t>传世药林</t>
  </si>
  <si>
    <t>于红</t>
  </si>
  <si>
    <t>⽩酒;⻘稞酒;果酒（含酒精）;⽩兰地;⻩酒;烧酒;葡萄酒;清酒（⽇本⽶酒）;酒精饮料（啤酒除外）;⽶酒</t>
  </si>
  <si>
    <t>玉小匠</t>
  </si>
  <si>
    <t>开胃酒;苹果酒;鸡尾酒;烈酒（饮料）;利⼝酒;清酒;⽩酒;威⼠忌;葡萄酒;果酒</t>
  </si>
  <si>
    <t>怼火黔</t>
  </si>
  <si>
    <t>秦留坤</t>
  </si>
  <si>
    <t>葡萄酒;酒精饮料（啤酒除外）;⽶酒;⻩酒;果酒;烧酒;烈酒;⽼酒（中国蒸馏烈酒）;⾼粱酒;⽩酒</t>
  </si>
  <si>
    <t>波塘众合</t>
  </si>
  <si>
    <t>林观宗</t>
  </si>
  <si>
    <t>烧酒;⻩酒;预先混合的酒精饮料（以啤酒为主的除外）;开胃酒;烈酒（饮料）;⾼粱酒;⽩酒;⾕物制蒸馏酒精饮料;含⽔果酒精饮料;⽶酒</t>
  </si>
  <si>
    <t>元酒匠</t>
  </si>
  <si>
    <t>开胃酒;鸡尾酒;葡萄酒;果酒;⽩酒;清酒;苹果酒;烈酒（饮料）;利⼝酒;威⼠忌</t>
  </si>
  <si>
    <t>大正朱礼</t>
  </si>
  <si>
    <t>⻩酒;⾕物制蒸馏酒精饮料;⾷⽤酒精;鸡尾酒;⽩酒;⽶酒;威⼠忌;含⽔果酒精饮料;酒精饮料原汁;葡萄酒</t>
  </si>
  <si>
    <t>祖仙谷</t>
  </si>
  <si>
    <t>中国国际粮农集团有限公司</t>
  </si>
  <si>
    <t>餐后酒（利⼝酒和烈酒）;伏特加酒;⽶酒;烈酒（饮料）;葡萄酒;⽩酒;朗姆酒;⻩酒;果酒（含酒精）;威⼠忌</t>
  </si>
  <si>
    <t>马小槐</t>
  </si>
  <si>
    <t>李营</t>
  </si>
  <si>
    <t>甜酒;蒸煮提取物（利⼝酒和烈酒）;以蒸馏酒为主的开胃酒;利⼝酒;⾼粱酒;⽩酒;⽩⼲酒（中国⽩酒）;露酒;⽼酒（中国蒸馏烈酒）;烧酒</t>
  </si>
  <si>
    <t>篼篼出山</t>
  </si>
  <si>
    <t>重庆暗能星球文化创意有限公司</t>
  </si>
  <si>
    <t>果酒（含酒精）;利⼝酒;烈酒（饮料）;烧酒;葡萄酒;⾷⽤酒精;⽩酒;⻩酒;清酒（⽇本⽶酒）;⽶酒</t>
  </si>
  <si>
    <t>OUDIKAMU</t>
  </si>
  <si>
    <t>伏特加酒;⽩酒;葡萄酒;果酒（含酒精）;威⼠忌;除啤酒外的酒精饮料;露酒;利⼝酒;⽩兰地;蜂蜜酒</t>
  </si>
  <si>
    <t>艾珍凰</t>
  </si>
  <si>
    <t>高重山</t>
  </si>
  <si>
    <t>⽩酒;甜酒;葡萄酒;烧酒;汽酒;酒精饮料（啤酒除外）;⽶酒;⻩酒;果酒;烈酒</t>
  </si>
  <si>
    <t>源启甲高河</t>
  </si>
  <si>
    <t>云阳县故陵镇桥亭村经济联合社</t>
  </si>
  <si>
    <t>清酒;葡萄酒;⻩酒;⾷⽤酒精;⽩酒;⽶酒;⾼粱酒;果酒;烈酒;烧酒</t>
  </si>
  <si>
    <t>2024/06/24</t>
  </si>
  <si>
    <t>虔蛇</t>
  </si>
  <si>
    <t>李颍见</t>
  </si>
  <si>
    <t>⽶酒;烧酒;威⼠忌;果酒（含酒精）;清酒（⽇本⽶酒）;酒精饮料（啤酒除外）;⽩酒;⻩酒;葡萄酒;鸡尾酒</t>
  </si>
  <si>
    <t>华颂纯</t>
  </si>
  <si>
    <t>陈敬果</t>
  </si>
  <si>
    <t>⽶酒;果酒（含酒精）;酒精饮料（啤酒除外）;酒精饮料原汁;蒸煮提取物（利⼝酒和烈酒）;⽩酒;葡萄酒;烧酒;⾷⽤酒精;⻩酒</t>
  </si>
  <si>
    <t>灵秀宝琳</t>
  </si>
  <si>
    <t>李宝琳</t>
  </si>
  <si>
    <t>清酒;含酒精的充⽓饮料（啤酒除外）;果酒;朗姆酒;葡萄酒;⾷⽤酒精;汽酒;⽶酒;烧酒;⽩酒</t>
  </si>
  <si>
    <t>梨椿棠</t>
  </si>
  <si>
    <t>安徽百择科技有限公司</t>
  </si>
  <si>
    <t>⽶酒;⻩酒;葡萄酒;⽩酒;烈酒;鸡尾酒;汽酒;含⽔果酒精饮料;烧酒;果酒（含酒精）</t>
  </si>
  <si>
    <t>大连阔神生物发酵制品有限公司</t>
  </si>
  <si>
    <t>⽶酒;清酒（⽇本⽶酒）;烈酒（饮料）;⽩酒;酒精饮料（啤酒除外）;果酒（含酒精）;⻩酒;葡萄酒;⾷⽤酒精;烧酒</t>
  </si>
  <si>
    <t>兰令</t>
  </si>
  <si>
    <t>成都鼎晟坊商贸有限公司</t>
  </si>
  <si>
    <t>开胃酒;酒精饮料（啤酒除外）;蒸馏饮料;果酒（含酒精）;⽶酒;⾕物制蒸馏酒精饮料;⽢蔗制酒精饮料;含⽔果酒精饮料;以葡萄酒为主的饮料;蜂蜜酒</t>
  </si>
  <si>
    <t>圣君泰岁</t>
  </si>
  <si>
    <t>潍坊健昌盛国医馆（个人独资）</t>
  </si>
  <si>
    <t>果酒（含酒精）;鸡尾酒;酒精饮料（啤酒除外）;含⽔果酒精饮料;⽩酒;烧酒;⻩酒;开胃酒;蜂蜜酒;⽶酒</t>
  </si>
  <si>
    <t>御府精品三十</t>
  </si>
  <si>
    <t>葡萄酒;利⼝酒;⽩酒;⻩酒;清酒（⽇本⽶酒）;酒精饮料（啤酒除外）;果酒（含酒精）;开胃酒;⽶酒;⽼酒（中国蒸馏烈酒）</t>
  </si>
  <si>
    <t>桶掌柜</t>
  </si>
  <si>
    <t>四川省川雨酒业有限公司</t>
  </si>
  <si>
    <t>果酒;葡萄酒;以葡萄酒为主的饮料;⻩酒;⽩酒;含酒精的⽔果鸡尾酒饮料;⽶酒;⽩⼲酒（中国⽩酒）;甜酒;烧酒（烈酒）</t>
  </si>
  <si>
    <t>都市外乡人</t>
  </si>
  <si>
    <t>伏特加酒;烧酒;葡萄酒;鸡尾酒;⾷⽤酒精;果酒;烈酒;⽩酒;朗姆酒;⻩酒</t>
  </si>
  <si>
    <t>汉词含翠</t>
  </si>
  <si>
    <t>葡萄酒;⽩酒;蒸馏饮料;⽶酒;餐后酒（利⼝酒和烈酒）;露酒;果酒（含酒精）;苹果酒;烈酒（饮料）;⾕物制蒸馏酒精饮料</t>
  </si>
  <si>
    <t>在梅间</t>
  </si>
  <si>
    <t>绍兴虞之梦食品有限公司</t>
  </si>
  <si>
    <t>⽩酒;杨梅酒;烧酒;甜酒;烈酒;⾼粱酒;鸡尾酒;果酒;⻩酒;葡萄酒</t>
  </si>
  <si>
    <t>卿乔凡</t>
  </si>
  <si>
    <t>姜云磊</t>
  </si>
  <si>
    <t>含⽔果酒精饮料;果酒（含酒精）;清酒;⽩酒;蒸馏饮料;酒精饮料原汁;鸡尾酒;烧酒;威⼠忌;烈酒（饮料）</t>
  </si>
  <si>
    <t>甄菲</t>
  </si>
  <si>
    <t>田柳</t>
  </si>
  <si>
    <t>威⼠忌;果酒（含酒精）;⻘稞酒;⻩酒;烧酒;含⽔果酒精饮料;⽶酒;烈酒（饮料）;⾷⽤酒精;⽩酒</t>
  </si>
  <si>
    <t>豫邻里公社</t>
  </si>
  <si>
    <t>河南邻里公社供应链有限公司</t>
  </si>
  <si>
    <t>开胃酒;果酒（含酒精）;烧酒;葡萄酒;⻘稞酒;⻩酒;⽶酒;⽩酒;酒精饮料（啤酒除外）;鸡尾酒</t>
  </si>
  <si>
    <t>驰久赞</t>
  </si>
  <si>
    <t>重庆中燚生物科技有限公司</t>
  </si>
  <si>
    <t>烧酒;⻩酒;葡萄酒;烈酒（饮料）;⽩酒;鸡尾酒;含⽔果酒精饮料;果酒（含酒精）;⾷⽤酒精;⾼粱酒</t>
  </si>
  <si>
    <t>承朝名</t>
  </si>
  <si>
    <t>贵州子仁酒业有限公司</t>
  </si>
  <si>
    <t>开胃酒;⻘稞酒;果酒;果酒（含酒精）;朗姆酒;威⼠忌;烧酒;⽩酒;⻩酒;葡萄酒</t>
  </si>
  <si>
    <t>奈斯帝</t>
  </si>
  <si>
    <t>广州科大创新科技有限公司</t>
  </si>
  <si>
    <t>伏特加酒;⽩酒;果酒;⽩兰地;威⼠忌;葡萄酒;酒精饮料（啤酒除外）;⽶酒;已调味的⻨芽酿制的酒精饮料（啤酒除外）;朗姆酒</t>
  </si>
  <si>
    <t>福见神</t>
  </si>
  <si>
    <t>福酒（福建）投资集团有限公司</t>
  </si>
  <si>
    <t>葡萄酒;清酒（⽇本⽶酒）;威⼠忌;果酒;⽩酒;⽩兰地;酒精饮料（啤酒除外）;⽶酒;烧酒;⻩酒</t>
  </si>
  <si>
    <t>黔凌门</t>
  </si>
  <si>
    <t>鸡尾酒;⻩酒;⽶酒;葡萄酒;⽩酒;⽩兰地;威⼠忌;⻘稞酒;烧酒;烈酒</t>
  </si>
  <si>
    <t>五仙谭</t>
  </si>
  <si>
    <t>宜宾邓祖企业管理有限公司</t>
  </si>
  <si>
    <t>以葡萄酒为主的饮料;红葡萄酒;⻘稞酒;⽩⼲酒（中国⽩酒）;梨酒;⽩酒;利⼝酒;烈酒;烧酒;⻩酒</t>
  </si>
  <si>
    <t>鸿运知交</t>
  </si>
  <si>
    <t>河南省福天香酒业有限公司</t>
  </si>
  <si>
    <t>果酒;开胃酒;含⽔果酒精饮料;⽩酒;葡萄酒;⾼粱酒;烧酒;⻩酒;鸡尾酒;烈酒</t>
  </si>
  <si>
    <t>陈瀑</t>
  </si>
  <si>
    <t>王怀国</t>
  </si>
  <si>
    <t>清酒（⽇本⽶酒）;⽩兰地;鸡尾酒;烧酒;果酒;利⼝酒;⽩酒;葡萄酒;薄荷酒;⻩酒</t>
  </si>
  <si>
    <t>鹿运当头</t>
  </si>
  <si>
    <t>建始县鹿群生物有限责任公司</t>
  </si>
  <si>
    <t>果酒（含酒精）;蒸馏饮料;⽶酒;蒸煮提取物（利⼝酒和烈酒）;⽩酒;⻩酒;含⽔果酒精饮料;⾷⽤酒精;蜂蜜酒;葡萄酒</t>
  </si>
  <si>
    <t>花中西施</t>
  </si>
  <si>
    <t>酒精饮料（啤酒除外）;果酒（含酒精）;薄荷酒;蒸馏饮料;含⽔果酒精饮料;威⼠忌;⽩酒;开胃酒;⻩酒;葡萄酒</t>
  </si>
  <si>
    <t>青岛中微台文化传媒有限公司</t>
  </si>
  <si>
    <t>除啤酒外的酒精饮料;葡萄酒;烧酒;⽩酒;⽼酒（中国蒸馏烈酒）;⻘稞酒;⽩⼲酒（中国⽩酒）;威⼠忌;⻩酒;樱桃酒</t>
  </si>
  <si>
    <t>毛仁塔拉</t>
  </si>
  <si>
    <t>张发</t>
  </si>
  <si>
    <t>烧酒;汽酒;烈酒（饮料）;酒精饮料（啤酒除外）;⻩酒;果酒（含酒精）;伏特加酒;⽩酒;葡萄酒;⽶酒</t>
  </si>
  <si>
    <t>精地草木</t>
  </si>
  <si>
    <t>唐山道万物科技有限公司</t>
  </si>
  <si>
    <t>蜂蜜酒;⽩酒;鸡尾酒;酒精饮料（啤酒除外）;⻩酒;果酒（含酒精）;烈酒（饮料）;⽶酒;葡萄酒;烧酒</t>
  </si>
  <si>
    <t>英宇飞</t>
  </si>
  <si>
    <t>曹英</t>
  </si>
  <si>
    <t>蒸馏饮料;⽶酒;果酒;⻩酒;汽酒;⾷⽤酒精;⽩酒;葡萄酒;酒精饮料（啤酒除外）;烧酒</t>
  </si>
  <si>
    <t>财花瓷</t>
  </si>
  <si>
    <t>镇平县嘉艮百货店（个体工商户）</t>
  </si>
  <si>
    <t>清酒（⽇本⽶酒）;⽩酒;酒精饮料（啤酒除外）;蒸馏饮料;⻘稞酒;⾷⽤酒精;⻩酒;果酒（含酒精）;葡萄酒;⽶酒</t>
  </si>
  <si>
    <t>汤幺妹</t>
  </si>
  <si>
    <t>汤义三</t>
  </si>
  <si>
    <t>果酒（含酒精）;烈酒（饮料）;⽩⼲酒（中国⽩酒）;⽼酒（中国蒸馏烈酒）;⽶酒;⻩酒;⽩酒;餐后酒（利⼝酒和烈酒）;烧酒;葡萄酒</t>
  </si>
  <si>
    <t>柳泰卿</t>
  </si>
  <si>
    <t>焦骋</t>
  </si>
  <si>
    <t>果酒（含酒精）;蒸馏饮料;鸡尾酒;含⽔果酒精饮料;威⼠忌;⽩酒;酒精饮料原汁;清酒;烈酒（饮料）;烧酒</t>
  </si>
  <si>
    <t>鸢草屋</t>
  </si>
  <si>
    <t>徐青青</t>
  </si>
  <si>
    <t>酒精饮料（啤酒除外）;烧酒;⽶酒;果酒;⽩酒;葡萄酒;鸡尾酒;⻩酒;威⼠忌;果酒（含酒精）</t>
  </si>
  <si>
    <t>虎瀑</t>
  </si>
  <si>
    <t>鸡尾酒;⻩酒;⽩酒;清酒（⽇本⽶酒）;果酒;利⼝酒;葡萄酒;薄荷酒;烧酒;⽩兰地</t>
  </si>
  <si>
    <t>九鼎顺</t>
  </si>
  <si>
    <t>李宁博</t>
  </si>
  <si>
    <t>⾷⽤酒精;果酒（含酒精）;⽩酒;⻩酒;⽩兰地;鸡尾酒;含⽔果酒精饮料;葡萄酒;酒精饮料（啤酒除外）;⽶酒</t>
  </si>
  <si>
    <t>徽馈</t>
  </si>
  <si>
    <t>徽商农业（黑龙江）有限公司</t>
  </si>
  <si>
    <t>果酒（含酒精）;⽶酒;烧酒;清酒;葡萄酒;⾼粱酒;⽩酒;甜酒;⻩酒;⻘稞酒</t>
  </si>
  <si>
    <t>瑞荷居</t>
  </si>
  <si>
    <t>镇江市瑞荷居餐饮管理有限公司</t>
  </si>
  <si>
    <t>薄荷酒;果酒（含酒精）;⻩酒;烧酒;⽶酒;利⼝酒;⽩酒;开胃酒;鸡尾酒;葡萄酒</t>
  </si>
  <si>
    <t>满榆香</t>
  </si>
  <si>
    <t>唐敏</t>
  </si>
  <si>
    <t>⾷⽤酒精;蒸馏饮料;烧酒;⽩酒;⾕物制蒸馏酒精饮料;含⽔果酒精饮料;果酒（含酒精）;⽶酒;⻩酒;酒精饮料（啤酒除外）</t>
  </si>
  <si>
    <t>彝凉液</t>
  </si>
  <si>
    <t>孙国会</t>
  </si>
  <si>
    <t>喻泰</t>
  </si>
  <si>
    <t>张映奇522130********0010</t>
  </si>
  <si>
    <t>⾼粱酒;开胃酒;⽩兰地;⽶酒;烈酒;⽼酒（中国蒸馏烈酒）;露酒;⽩酒;果酒;酒精饮料（啤酒除外）</t>
  </si>
  <si>
    <t>驭祖</t>
  </si>
  <si>
    <t>烈酒（饮料）;威⼠忌;⽩酒;⽶酒;⻩酒;蜂蜜酒;果酒（含酒精）;酒精饮料（啤酒除外）;烧酒;葡萄酒</t>
  </si>
  <si>
    <t>醺馫鳟</t>
  </si>
  <si>
    <t>郑州万麦商贸有限公司</t>
  </si>
  <si>
    <t>含酒精的⽓泡⽔;含⽔果酒精饮料;威⼠忌;烈酒;果酒（含酒精）;清酒（⽇本⽶酒）;⽶酒;⽩酒;⾷⽤酒精;葡萄酒</t>
  </si>
  <si>
    <t>TIMVIELLE</t>
  </si>
  <si>
    <t>王红梅</t>
  </si>
  <si>
    <t>含酒精的⽔果鸡尾酒饮料;果酒（含酒精）;⾼粱酒;蜂蜜酒;⽶酒;预调甜酒;鸡尾酒;威⼠忌;⽩酒;汽酒</t>
  </si>
  <si>
    <t>甘藏府</t>
  </si>
  <si>
    <t>靳晓丹</t>
  </si>
  <si>
    <t>佐餐酒;果酒（含酒精）;⽶酒;⽩酒;⾷⽤酒精;酒精饮料（啤酒除外）;酒精饮料浓缩汁;葡萄酒;烧酒;蒸煮提取物（利⼝酒和烈酒）</t>
  </si>
  <si>
    <t>洽竹碧</t>
  </si>
  <si>
    <t>姜水坤</t>
  </si>
  <si>
    <t>果酒（含酒精）;含⽔果酒精饮料;清酒;鸡尾酒;蒸馏饮料;⽩酒;烈酒（饮料）;酒精饮料原汁;威⼠忌;烧酒</t>
  </si>
  <si>
    <t>稻田甄</t>
  </si>
  <si>
    <t>王梦换</t>
  </si>
  <si>
    <t>烧酒;⽶酒;烈酒（饮料）;⽩酒;⻘稞酒;含⽔果酒精饮料;⻩酒;威⼠忌;果酒（含酒精）;⾷⽤酒精</t>
  </si>
  <si>
    <t>汉词匠</t>
  </si>
  <si>
    <t>苹果酒;葡萄酒;烈酒（饮料）;果酒（含酒精）;餐后酒（利⼝酒和烈酒）;⽩酒;蒸馏饮料;⽶酒;⾕物制蒸馏酒精饮料;露酒</t>
  </si>
  <si>
    <t>桶老大</t>
  </si>
  <si>
    <t>⽩酒;含酒精的⽔果鸡尾酒饮料;⻩酒;⽩⼲酒（中国⽩酒）;以葡萄酒为主的饮料;果酒;甜酒;烧酒（烈酒）;⽶酒;葡萄酒</t>
  </si>
  <si>
    <t>黔百井</t>
  </si>
  <si>
    <t>⽩酒;烧酒;葡萄酒;烈酒;⽶酒;鸡尾酒;⽩兰地;威⼠忌;⻩酒;⻘稞酒</t>
  </si>
  <si>
    <t>山四回</t>
  </si>
  <si>
    <t>成都茶小礼餐饮管理有限责任公司</t>
  </si>
  <si>
    <t>酒精饮料（啤酒除外）;以葡萄酒为主的饮料;果酒（含酒精）;⻩酒;⻘梅酒;⽶酒;鸡尾酒;葡萄酒;⻘稞酒;含酒精⽔果饮料</t>
  </si>
  <si>
    <t>要旺水</t>
  </si>
  <si>
    <t>元气（金华）食品有限公司</t>
  </si>
  <si>
    <t>含酒精⽔果饮料;⽶酒;⻩酒;⽩酒;葡萄酒;果酒;果酒（含酒精）;杨梅酒;薄荷酒;含酒精的⽓泡⽔</t>
  </si>
  <si>
    <t>汉词舒匠</t>
  </si>
  <si>
    <t>苹果酒;⾕物制蒸馏酒精饮料;餐后酒（利⼝酒和烈酒）;露酒;葡萄酒;蒸馏饮料;⽶酒;⽩酒;果酒（含酒精）;烈酒（饮料）</t>
  </si>
  <si>
    <t>觥酲酩酒</t>
  </si>
  <si>
    <t>郭团团</t>
  </si>
  <si>
    <t>⽩兰地;⻩酒;葡萄酒;威⼠忌;烈酒（饮料）;⽶酒;酒精饮料（啤酒除外）;⽩酒;鸡尾酒;果酒（含酒精）</t>
  </si>
  <si>
    <t>赑焱</t>
  </si>
  <si>
    <t>云南赑焱商贸有限公司</t>
  </si>
  <si>
    <t>⻘稞酒;⾷⽤酒精;果酒（含酒精）;含⽔果酒精饮料;⻩酒;威⼠忌;烧酒（烈酒）;烧酒;⽩酒;⽶酒</t>
  </si>
  <si>
    <t>吹梦到西洲</t>
  </si>
  <si>
    <t>文昌融达金玛投资有限公司</t>
  </si>
  <si>
    <t>⽩酒;⽶酒;蒸馏饮料;烈酒（饮料）;酒精饮料（啤酒除外）;果酒（含酒精）;汽酒;含⽔果酒精饮料;以葡萄酒为主的饮料;威⼠忌</t>
  </si>
  <si>
    <t>楞山智慧老者</t>
  </si>
  <si>
    <t>四川省射洪市洋溪酿酒厂</t>
  </si>
  <si>
    <t>⽶酒;清酒（⽇本⽶酒）;鸡尾酒;葡萄酒;⽩酒;烧酒;果酒（含酒精）;烈酒（饮料）;⻩酒;酒精饮料（啤酒除外）</t>
  </si>
  <si>
    <t>葛老太</t>
  </si>
  <si>
    <t>新乡市高新区葛老太食品加工经营部（个体工商户）</t>
  </si>
  <si>
    <t>开胃酒;⻩酒;蒸馏饮料;起泡⽩葡萄酒;红葡萄酒;果酒（含酒精）;烈酒（饮料）;⽩酒;⽼酒（中国蒸馏烈酒）;葡萄酒</t>
  </si>
  <si>
    <t>禾遇林间</t>
  </si>
  <si>
    <t>湖北禾遇林间健康产业有限公司</t>
  </si>
  <si>
    <t>烧酒;⽩酒;预先混合的酒精饮料（以啤酒为主的除外）;蒸馏饮料;酒精饮料原汁;利⼝酒;含⽔果酒精饮料;⽶酒;葡萄酒;酒精饮料（啤酒除外）</t>
  </si>
  <si>
    <t>遇拓谷</t>
  </si>
  <si>
    <t>向德茂</t>
  </si>
  <si>
    <t>樱桃酒;蜂蜜酒;⽩酒;苹果酒;鸡尾酒;威⼠忌;⾷⽤酒精;⻘稞酒;⽩兰地;烈酒;伏特加酒;⻩酒;⽶酒;葡萄酒</t>
  </si>
  <si>
    <t>塞上一树一叶</t>
  </si>
  <si>
    <t>榆林一树一叶商业管理有限公司</t>
  </si>
  <si>
    <t>果酒（含酒精）;⽩兰地;⽶酒;⽩酒;⻘稞酒;伏特加酒;⻩酒;朗姆酒;汽酒;葡萄酒</t>
  </si>
  <si>
    <t>御窖梦</t>
  </si>
  <si>
    <t>鸡尾酒;利⼝酒;葡萄酒;开胃酒;⽩酒;果酒;朗姆酒;酒精饮料（啤酒除外）;烧酒;清酒（⽇本⽶酒）</t>
  </si>
  <si>
    <t>克拉瑞斯塔</t>
  </si>
  <si>
    <t>广西航盛锐翔贸易有限公司</t>
  </si>
  <si>
    <t>葡萄酒;⽩兰地;威⼠忌;果酒;清酒;伏特加酒;以葡萄酒为主的饮料;蒸煮提取物（利⼝酒和烈酒）;⻘稞酒;含酒精⽔果饮料</t>
  </si>
  <si>
    <t>酌圈</t>
  </si>
  <si>
    <t>蜂蜜酒;含⽔果酒精饮料;蒸馏饮料;果酒（含酒精）;以葡萄酒为主的饮料;开胃酒;⽢蔗制酒精饮料;⾕物制蒸馏酒精饮料;酒精饮料（啤酒除外）;⽶酒</t>
  </si>
  <si>
    <t>桃都君子之邑</t>
  </si>
  <si>
    <t>北京皇龙酒业有限公司</t>
  </si>
  <si>
    <t>葡萄酒;开胃酒;⽩酒;苹果酒;酒精饮料原汁;果酒（含酒精）;酒精饮料（啤酒除外）;⽶酒;樱桃酒;烧酒</t>
  </si>
  <si>
    <t>龄红春</t>
  </si>
  <si>
    <t>郭建伟</t>
  </si>
  <si>
    <t>清酒（⽇本⽶酒）;⽶酒;果酒（含酒精）;⽩兰地;威⼠忌;鸡尾酒;含⽔果酒精饮料;⽩酒;开胃酒;⻩酒</t>
  </si>
  <si>
    <t>紫欧欢伯</t>
  </si>
  <si>
    <t>上海长川朝垣商贸有限公司</t>
  </si>
  <si>
    <t>⽶酒;⽩酒;清酒（⽇本⽶酒）;蒸馏饮料;鸡尾酒;葡萄酒;⻩酒;果酒（含酒精）;烈酒（饮料）;威⼠忌</t>
  </si>
  <si>
    <t>回溶江</t>
  </si>
  <si>
    <t>威⼠忌;⻩酒;烈酒（饮料）;⽩兰地;⽶酒;蒸馏饮料;酒精饮料（啤酒除外）;⽩酒;果酒（含酒精）;葡萄酒</t>
  </si>
  <si>
    <t>仲养纪</t>
  </si>
  <si>
    <t>四川益善滋养健康管理有限公司</t>
  </si>
  <si>
    <t>葡萄酒;⽩酒;烧酒;含酒精的⽓泡⽔;⻩酒;苦荞酒;苦艾酒;酒精饮料（啤酒除外）;⽶酒;刺五加酒</t>
  </si>
  <si>
    <t>幸福知交</t>
  </si>
  <si>
    <t>含⽔果酒精饮料;鸡尾酒;⽩酒;果酒;烈酒;开胃酒;⾼粱酒;烧酒;⻩酒;葡萄酒</t>
  </si>
  <si>
    <t>星之白</t>
  </si>
  <si>
    <t>王忠华</t>
  </si>
  <si>
    <t>烧酒;果酒（含酒精）;开胃酒;鸡尾酒;⻘稞酒;薄荷酒;⽩酒;⾼粱酒;由⾕物蒸馏的⽩酒;葡萄酒</t>
  </si>
  <si>
    <t>裕卡斯</t>
  </si>
  <si>
    <t>含⽔果酒精饮料;威⼠忌;⽶酒;⽩酒;烈酒（饮料）;⾷⽤酒精;⻘稞酒;烧酒;果酒（含酒精）;⻩酒</t>
  </si>
  <si>
    <t>牧大咖</t>
  </si>
  <si>
    <t>杭州汇巨农产品有限公司</t>
  </si>
  <si>
    <t>果酒（含酒精）;葡萄酒;⽶酒;清酒;杨梅酒;⾼粱酒;⻩酒;⽩酒;⽩⼲酒（中国⽩酒）;烧酒（烈酒）</t>
  </si>
  <si>
    <t>御府精品五十</t>
  </si>
  <si>
    <t>酒精饮料（啤酒除外）;⻩酒;清酒（⽇本⽶酒）;⽩酒;开胃酒;⽶酒;利⼝酒;⽼酒（中国蒸馏烈酒）;果酒（含酒精）;葡萄酒</t>
  </si>
  <si>
    <t>榀源</t>
  </si>
  <si>
    <t>刘林</t>
  </si>
  <si>
    <t>⽼酒（中国蒸馏烈酒）;果酒（含酒精）;葡萄酒;⽶酒;梅酒;⾼粱酒;烈酒（饮料）;汽酒;⽩酒;清酒</t>
  </si>
  <si>
    <t>汉词窖主</t>
  </si>
  <si>
    <t>果酒（含酒精）;苹果酒;烈酒（饮料）;蒸馏饮料;⽩酒;⽶酒;露酒;葡萄酒;⾕物制蒸馏酒精饮料;餐后酒（利⼝酒和烈酒）</t>
  </si>
  <si>
    <t>云群</t>
  </si>
  <si>
    <t>南京汉成传媒有限公司</t>
  </si>
  <si>
    <t>含⽔果酒精饮料;⽩酒;果酒（含酒精）;开胃酒;酒精饮料（啤酒除外）;葡萄酒;薄荷酒;⻩酒;⽩兰地;鸡尾酒</t>
  </si>
  <si>
    <t>古滇杨老大</t>
  </si>
  <si>
    <t>云南良香食品有限公司</t>
  </si>
  <si>
    <t>⻩酒;⾼粱酒;果酒;⽩酒;⻘稞酒;含⽔果酒精饮料;烧酒;果酒（含酒精）;⽶酒;葡萄酒</t>
  </si>
  <si>
    <t>沧州御河酒业有限公司</t>
  </si>
  <si>
    <t>⾷⽤酒精;烧酒;酒精饮料原汁;由⾕物蒸馏的⽩酒;蒸馏饮料;含⽔果酒精饮料;⽩酒;⽼酒（中国蒸馏烈酒）;葡萄酒;⽶酒</t>
  </si>
  <si>
    <t>翰泽坊</t>
  </si>
  <si>
    <t>刘春辉</t>
  </si>
  <si>
    <t>⻘稞酒;鸡尾酒;烧酒;⽩酒;酒精饮料原汁;开胃酒;⽶酒;葡萄酒;蒸馏饮料;烈酒（饮料）</t>
  </si>
  <si>
    <t>峡谷花青</t>
  </si>
  <si>
    <t>乐山市金口河兴农农业开发有限公司</t>
  </si>
  <si>
    <t>樱桃酒;开胃酒;葡萄酒;酒精饮料（啤酒除外）;果酒（含酒精）;烈酒（饮料）;⽩酒;梨酒;⽶酒;苹果酒</t>
  </si>
  <si>
    <t>虔马</t>
  </si>
  <si>
    <t>清酒（⽇本⽶酒）;⻩酒;威⼠忌;⽶酒;⽩酒;烧酒;葡萄酒;果酒（含酒精）;鸡尾酒;酒精饮料（啤酒除外）</t>
  </si>
  <si>
    <t>桶小二</t>
  </si>
  <si>
    <t>⽩⼲酒（中国⽩酒）;葡萄酒;果酒;烧酒（烈酒）;⽶酒;甜酒;⽩酒;以葡萄酒为主的饮料;含酒精的⽔果鸡尾酒饮料;⻩酒</t>
  </si>
  <si>
    <t>北京国科中医院</t>
  </si>
  <si>
    <t>开胃酒;利⼝酒;果酒（含酒精）;烈酒;⻘稞酒;汽酒;葡萄酒;烧酒;⽶酒;⽩酒</t>
  </si>
  <si>
    <t>华芊娜</t>
  </si>
  <si>
    <t>河南梦源文化传媒有限公司</t>
  </si>
  <si>
    <t>⾷⽤酒精;蒸煮提取物（利⼝酒和烈酒）;果酒（含酒精）;⽩酒;⻩酒;⽶酒;酒精饮料（啤酒除外）;葡萄酒;烧酒;酒精饮料原汁</t>
  </si>
  <si>
    <t>湖南盆金建筑劳务有限公司</t>
  </si>
  <si>
    <t>预先混合的酒精饮料（以啤酒为主的除外）;以葡萄酒为主的饮料;蒸馏饮料;酒精饮料（啤酒除外）;含⽔果酒精饮料;烧酒（烈酒）;⽩酒;薄荷酒;果酒（含酒精）;⽶酒;⾕物制蒸馏酒精饮料;烧酒</t>
  </si>
  <si>
    <t>梦心媛</t>
  </si>
  <si>
    <t>李洪岩</t>
  </si>
  <si>
    <t>烧酒;酸酒（低等葡萄酒）;清酒;果酒（含酒精）;⽩酒;⾼粱酒;⽶酒;烈酒（饮料）;酒精饮料（啤酒除外）;葡萄酒</t>
  </si>
  <si>
    <t>CHANGZHENGYUANG</t>
  </si>
  <si>
    <t>钟定祥</t>
  </si>
  <si>
    <t>烈酒（饮料）;⽩酒;葡萄酒;酒精饮料（啤酒除外）;⽶酒;果酒（含酒精）;烧酒;鸡尾酒;清酒（⽇本⽶酒）;⻩酒</t>
  </si>
  <si>
    <t>贡崟</t>
  </si>
  <si>
    <t>鸡尾酒;威⼠忌;⻘稞酒;⽩酒;烧酒;⽶酒;葡萄酒;烈酒;⽩兰地;⻩酒</t>
  </si>
  <si>
    <t>环鲜㟜甘</t>
  </si>
  <si>
    <t>新沂绿鲜威果蔬品质研究所</t>
  </si>
  <si>
    <t>酒精饮料浓缩汁;酒精饮料（啤酒除外）;⽩酒;⾷⽤酒精;预先混合的酒精饮料（以啤酒为主的除外）;葡萄酒;清酒（⽇本⽶酒）;果酒（含酒精）;⽩兰地;蒸馏饮料</t>
  </si>
  <si>
    <t>蚂蚁洞</t>
  </si>
  <si>
    <t>李东旭</t>
  </si>
  <si>
    <t>开胃酒;⽩兰地;威⼠忌;⻩酒;⽶酒;果酒;清酒;含酒精的⽓泡⽔;烈酒（饮料）;⽩酒</t>
  </si>
  <si>
    <t>YUHELAOJIU</t>
  </si>
  <si>
    <t>⽶酒;葡萄酒;蒸馏饮料;⾷⽤酒精;⽼酒（中国蒸馏烈酒）;含⽔果酒精饮料;由⾕物蒸馏的⽩酒;酒精饮料原汁;⽩酒;烧酒</t>
  </si>
  <si>
    <t>悦特斯</t>
  </si>
  <si>
    <t>⽩酒;烧酒;果酒（含酒精）;⾷⽤酒精;⽶酒;烈酒（饮料）;⻘稞酒;⻩酒;含⽔果酒精饮料;威⼠忌</t>
  </si>
  <si>
    <t>鹿康燃</t>
  </si>
  <si>
    <t>鸡尾酒;⽶酒;烈酒;威⼠忌;烧酒;葡萄酒;⽩兰地;⻘稞酒;⻩酒;⽩酒</t>
  </si>
  <si>
    <t>楞山智慧才子</t>
  </si>
  <si>
    <t>烧酒;鸡尾酒;酒精饮料（啤酒除外）;葡萄酒;⽶酒;⽩酒;果酒（含酒精）;烈酒（饮料）;⻩酒;清酒（⽇本⽶酒）</t>
  </si>
  <si>
    <t>让饮</t>
  </si>
  <si>
    <t>李超男</t>
  </si>
  <si>
    <t>⾷⽤酒精;葡萄酒;烧酒;蒸馏饮料;汽酒;酒精饮料（啤酒除外）;⽶酒;⽩酒;果酒;⻩酒</t>
  </si>
  <si>
    <t>酕绛</t>
  </si>
  <si>
    <t>四川圣仙城商贸有限公司</t>
  </si>
  <si>
    <t>鸡尾酒;⽩兰地;含⽔果酒精饮料;⽶酒;葡萄酒;果酒（含酒精）;⻩酒;预先混合的酒精饮料（以啤酒为主的除外）;烧酒;⽩酒</t>
  </si>
  <si>
    <t>月臻承</t>
  </si>
  <si>
    <t>贺舒磊</t>
  </si>
  <si>
    <t>烧酒;威⼠忌;鸡尾酒;烈酒（饮料）;蒸馏饮料;含⽔果酒精饮料;⽩酒;果酒（含酒精）;酒精饮料原汁;清酒</t>
  </si>
  <si>
    <t>乌蓝敏盖</t>
  </si>
  <si>
    <t>李永刚</t>
  </si>
  <si>
    <t>烈酒;清酒;烧酒;葡萄酒;⽩酒;汽酒;⻩酒;⽶酒;⾼粱酒;⾷⽤酒精</t>
  </si>
  <si>
    <t>常禧</t>
  </si>
  <si>
    <t>开胃酒;酒精饮料（啤酒除外）;烈酒;⻩酒;果酒（含酒精）;清酒（⽇本⽶酒）;威⼠忌;鸡尾酒;葡萄酒;⽩酒</t>
  </si>
  <si>
    <t>楞山智慧人家</t>
  </si>
  <si>
    <t>果酒（含酒精）;酒精饮料（啤酒除外）;葡萄酒;⽶酒;⻩酒;⽩酒;烧酒;鸡尾酒;烈酒（饮料）;清酒（⽇本⽶酒）</t>
  </si>
  <si>
    <t>陈县令</t>
  </si>
  <si>
    <t>果酒;⻩酒;清酒（⽇本⽶酒）;薄荷酒;利⼝酒;葡萄酒;鸡尾酒;烧酒;⽩酒;⽩兰地</t>
  </si>
  <si>
    <t>玉滘主</t>
  </si>
  <si>
    <t>王改成</t>
  </si>
  <si>
    <t>烈酒（饮料）;果酒;开胃酒;酒精饮料（啤酒除外）;威⼠忌;清酒（⽇本⽶酒）;⻩酒;⽩酒;葡萄酒;鸡尾酒</t>
  </si>
  <si>
    <t>观峥山</t>
  </si>
  <si>
    <t>杭州智创通联科技有限公司</t>
  </si>
  <si>
    <t>开胃酒;⽩酒;果酒（含酒精）;预先混合的酒精饮料（以啤酒为主的除外）;⻩酒;烈酒（饮料）;含⽔果酒精饮料;⽶酒;汽酒;葡萄酒</t>
  </si>
  <si>
    <t>融菲</t>
  </si>
  <si>
    <t>⽩酒;果酒（含酒精）;⻩酒;⾷⽤酒精;⽶酒;⻘稞酒;威⼠忌;烧酒;含⽔果酒精饮料;烈酒（饮料）</t>
  </si>
  <si>
    <t>汉醉天</t>
  </si>
  <si>
    <t>甜酒;果酒;葡萄酒;⽶酒;⽩酒;清酒;⽼酒（中国蒸馏烈酒）;⻩酒;含酒精的饮料（啤酒除外）;烧酒</t>
  </si>
  <si>
    <t>新疆生产建设兵团第四师七十五团文体广电服务中心</t>
  </si>
  <si>
    <t>果酒（含酒精）;烈酒（饮料）;⽶酒;汽酒;烧酒;⽩酒;蒸馏饮料;开胃酒;葡萄酒;鸡尾酒</t>
  </si>
  <si>
    <t>居隐芸</t>
  </si>
  <si>
    <t>北京云隐居文化科技有限公司</t>
  </si>
  <si>
    <t>开胃酒;烈酒;果酒（含酒精）;利⼝酒;⽩酒;⻩酒;烈酒（饮料）;⽶酒;含⽔果酒精饮料;葡萄酒</t>
  </si>
  <si>
    <t>卆鹤</t>
  </si>
  <si>
    <t>田涛</t>
  </si>
  <si>
    <t>果酒;烈酒;葡萄酒;开胃酒;清酒;烧酒;⽶酒;⽩酒;酒精饮料（啤酒除外）;⻩酒</t>
  </si>
  <si>
    <t>奏今朝</t>
  </si>
  <si>
    <t>葡萄酒;威⼠忌;烧酒;果酒（含酒精）;⽩酒;烈酒（饮料）;酒精饮料（啤酒除外）;⽶酒;⻩酒;蜂蜜酒</t>
  </si>
  <si>
    <t>英婔迪恪</t>
  </si>
  <si>
    <t>⽩兰地;预先混合的酒精饮料（以啤酒为主的除外）;酒精饮料浓缩汁;⾷⽤酒精;酒精饮料（啤酒除外）;蒸馏饮料;清酒（⽇本⽶酒）;果酒（含酒精）;葡萄酒;⽩酒</t>
  </si>
  <si>
    <t>榀源珍藏</t>
  </si>
  <si>
    <t>果酒（含酒精）;汽酒;⽼酒（中国蒸馏烈酒）;烈酒（饮料）;⾼粱酒;葡萄酒;梅酒;⽶酒;清酒;⽩酒</t>
  </si>
  <si>
    <t>巴蜀彬哥</t>
  </si>
  <si>
    <t>万彬</t>
  </si>
  <si>
    <t>⻩酒;葡萄酒;伏特加酒;朗姆酒;含⽔果酒精饮料;⽶酒;烧酒;鸡尾酒;⽩酒;威⼠忌</t>
  </si>
  <si>
    <t>云中玺</t>
  </si>
  <si>
    <t>贵州中玺文化传媒有限公司</t>
  </si>
  <si>
    <t>酒精饮料（啤酒除外）;由⾕物蒸馏的⽩酒;草莓酒;杨梅酒;除啤酒外的酒精饮料;⽶酒;含酒精的饮料（啤酒除外）;苦荞酒;露酒;⽩酒;⽼酒（中国蒸馏烈酒）;果酒（含酒精）;⻩酒;果酒;含酒精⽔果饮料;⽩葡萄酒;红葡萄酒;烈酒;苹果酒;葡萄酒;蜂蜜酒;⾼粱酒;⻘梅酒;含⽔果酒精饮料</t>
  </si>
  <si>
    <t>封窟坊</t>
  </si>
  <si>
    <t>丁茉莉</t>
  </si>
  <si>
    <t>果酒（含酒精）;烧酒;酒精饮料（啤酒除外）;⻩酒;汽酒;烈酒（饮料）;清酒（⽇本⽶酒）;葡萄酒;⽩酒;⽶酒</t>
  </si>
  <si>
    <t>马十三</t>
  </si>
  <si>
    <t>大连比帝堡国际贸易有限公司</t>
  </si>
  <si>
    <t>⽩酒;⽶酒;鸡尾酒;葡萄酒;⽩兰地;果酒;酒精饮料（啤酒除外）;汽酒;含⽔果酒精饮料;⻩酒</t>
  </si>
  <si>
    <t>末禾広</t>
  </si>
  <si>
    <t>酒精饮料（啤酒除外）;果酒（含酒精）;葡萄酒;清酒（⽇本⽶酒）;烧酒;⽩酒;⽶酒;⾷⽤酒精;⻩酒;烈酒（饮料）</t>
  </si>
  <si>
    <t>梵悉</t>
  </si>
  <si>
    <t>金威龙</t>
  </si>
  <si>
    <t>葡萄酒;蜂蜜酒;清酒;果酒（含酒精）;烈酒（饮料）;⽩兰地;烧酒;⻘稞酒;⽩酒;⻩酒</t>
  </si>
  <si>
    <t>扳住来</t>
  </si>
  <si>
    <t>烈酒（饮料）;烧酒;⽩酒;甜酒;⻩酒;葡萄酒;蜂蜜酒;酒精饮料（啤酒除外）;⽶酒;果酒（含酒精）</t>
  </si>
  <si>
    <t>响乙</t>
  </si>
  <si>
    <t>⽶酒;⻩酒;果酒;⽩酒;开胃酒;清酒;烧酒;酒精饮料（啤酒除外）;葡萄酒;烈酒</t>
  </si>
  <si>
    <t>蜀驭</t>
  </si>
  <si>
    <t>烈酒（饮料）;威⼠忌;酒精饮料（啤酒除外）;蜂蜜酒;果酒（含酒精）;烧酒;葡萄酒;⻩酒;⽩酒;⽶酒</t>
  </si>
  <si>
    <t>荣陈酒坊</t>
  </si>
  <si>
    <t>朱春桃</t>
  </si>
  <si>
    <t>葡萄酒;⽩酒;⽩⼲酒（中国⽩酒）;⾼粱酒;⾕物制蒸馏酒精饮料;酒精饮料（啤酒除外）;烧酒（烈酒）;⽼酒（中国蒸馏烈酒）;⽶酒;苦荞酒</t>
  </si>
  <si>
    <t>RUIHEJU</t>
  </si>
  <si>
    <t>鸡尾酒;⽩酒;果酒（含酒精）;烧酒;葡萄酒;⽶酒;薄荷酒;⻩酒;开胃酒;利⼝酒</t>
  </si>
  <si>
    <t>宛佑堂</t>
  </si>
  <si>
    <t>河南宛佑堂生物科技有限公司</t>
  </si>
  <si>
    <t>⾕物制蒸馏酒精饮料;⽩酒;烈酒;餐后酒（利⼝酒和烈酒）;蒸馏饮料;苹果酒;露酒;果酒;葡萄酒;⽶酒</t>
  </si>
  <si>
    <t>耀庆山</t>
  </si>
  <si>
    <t>绍兴市上虞耀庆山生态农业开发有限公司</t>
  </si>
  <si>
    <t>⻩酒;果酒（含酒精）;烧酒;葡萄酒;⾷⽤酒精;⽩酒;⽩兰地;酒精饮料（啤酒除外）;⽶酒;含⽔果酒精饮料</t>
  </si>
  <si>
    <t>古尼菲</t>
  </si>
  <si>
    <t>葡萄酒;⾷⽤酒精;烧酒;蒸煮提取物（利⼝酒和烈酒）;杨梅酒;果酒（含酒精）;⽩酒;酒精饮料（啤酒除外）;酒精饮料浓缩汁;威⼠忌</t>
  </si>
  <si>
    <t>诣邦仁</t>
  </si>
  <si>
    <t>⻩酒;蒸馏饮料;果酒（含酒精）;⽩⼲酒（中国⽩酒）;由⾕物蒸馏的⽩酒;⽩酒;酒精饮料（啤酒除外）;鸡尾酒;葡萄酒;含酒精的充⽓饮料（啤酒除外）</t>
  </si>
  <si>
    <t>知味叁巡</t>
  </si>
  <si>
    <t>郑州叁巡文化传播有限公司</t>
  </si>
  <si>
    <t>烧酒;果酒（含酒精）;蒸馏饮料;葡萄酒;威⼠忌;⽩兰地;伏特加酒;薄荷酒;开胃酒;亚⼒酒</t>
  </si>
  <si>
    <t>汉醉九</t>
  </si>
  <si>
    <t>烧酒;⽶酒;甜酒;葡萄酒;果酒;⽼酒（中国蒸馏烈酒）;含酒精的饮料（啤酒除外）;⻩酒;清酒;⽩酒</t>
  </si>
  <si>
    <t>黔顺祖</t>
  </si>
  <si>
    <t>鸡尾酒;⽩兰地;⻩酒;烈酒;⽩酒;烧酒;⻘稞酒;⽶酒;葡萄酒;威⼠忌</t>
  </si>
  <si>
    <t>缤纷惠佳</t>
  </si>
  <si>
    <t>林冠丹</t>
  </si>
  <si>
    <t>清酒（⽇本⽶酒）;甜酒;⽩兰地;⽩酒;果酒（含酒精）;⽶酒;葡萄酒;蜂蜜酒;⻩酒;烧酒</t>
  </si>
  <si>
    <t>汉词名匠庄</t>
  </si>
  <si>
    <t>苹果酒;⽶酒;⾕物制蒸馏酒精饮料;葡萄酒;露酒;餐后酒（利⼝酒和烈酒）;果酒（含酒精）;烈酒（饮料）;蒸馏饮料;⽩酒</t>
  </si>
  <si>
    <t>疆之泉</t>
  </si>
  <si>
    <t>蒸煮提取物（利⼝酒和烈酒）;酒精饮料（啤酒除外）;烧酒;⽶酒;⽩酒;葡萄酒;⾷⽤酒精;佐餐酒;果酒（含酒精）;酒精饮料浓缩汁</t>
  </si>
  <si>
    <t>咏朋</t>
  </si>
  <si>
    <t>酒精饮料（啤酒除外）;⻩酒;威⼠忌;葡萄酒;鸡尾酒;烈酒;果酒（含酒精）;⽩酒;清酒（⽇本⽶酒）;开胃酒</t>
  </si>
  <si>
    <t>如辞</t>
  </si>
  <si>
    <t>卢真真</t>
  </si>
  <si>
    <t>⽶酒;酒精饮料（啤酒除外）;⾷⽤酒精;佐餐酒;葡萄酒;蒸煮提取物（利⼝酒和烈酒）;果酒（含酒精）;⽩酒;酒精饮料浓缩汁;烧酒</t>
  </si>
  <si>
    <t>枫望山</t>
  </si>
  <si>
    <t>何维</t>
  </si>
  <si>
    <t>清酒;⽩酒;果酒（含酒精）;鸡尾酒;酒精饮料原汁;蒸馏饮料;烧酒;烈酒（饮料）;威⼠忌;含⽔果酒精饮料</t>
  </si>
  <si>
    <t>溏乾艳</t>
  </si>
  <si>
    <t>周德付</t>
  </si>
  <si>
    <t>⽩酒;葡萄酒;⻩酒;果酒（含酒精）;⽩兰地;苹果酒;⽶酒;开胃酒;伏特加酒;烧酒</t>
  </si>
  <si>
    <t>蜀道云楼山</t>
  </si>
  <si>
    <t>杜斌</t>
  </si>
  <si>
    <t>由⾕物蒸馏的⽩酒;⾼粱酒;⾕物制蒸馏酒精饮料;⽩⼲酒（中国⽩酒）;⽶酒;⽩酒;⻘稞酒;烧酒;果酒（含酒精）;⽼酒（中国蒸馏烈酒）</t>
  </si>
  <si>
    <t>艺畅山鲜</t>
  </si>
  <si>
    <t>陇南市武都区艺畅生态种植农民专业合作社</t>
  </si>
  <si>
    <t>果酒（含酒精）;葡萄酒;⽶酒;餐后酒（利⼝酒和烈酒）;⻘稞酒;⽩酒;蜂蜜酒;含⽔果酒精饮料;蒸馏饮料;预先混合的酒精饮料（以啤酒为主的除外）</t>
  </si>
  <si>
    <t>KASHO</t>
  </si>
  <si>
    <t>鸡尾酒;烧酒;葡萄酒;酒精饮料（啤酒除外）;⻩酒;果酒（含酒精）;⾷⽤酒精;清酒;⽩酒;含⽔果酒精饮料</t>
  </si>
  <si>
    <t>义表白</t>
  </si>
  <si>
    <t>广州钲泓贸易有限公司</t>
  </si>
  <si>
    <t>⽩酒;⽼酒（中国蒸馏烈酒）;酒精饮料（啤酒除外）;⽶酒;葡萄酒;⻩酒;果酒;烈酒;烧酒;⾼粱酒</t>
  </si>
  <si>
    <t>仙衔</t>
  </si>
  <si>
    <t>缙云仙衔生物科技有限公司</t>
  </si>
  <si>
    <t>葡萄酒;烧酒;⽩酒;果酒;清酒（⽇本⽶酒）;⾼粱酒;⽶酒;⻩酒;⻘梅酒;佐餐酒</t>
  </si>
  <si>
    <t>枫山红</t>
  </si>
  <si>
    <t>⽩酒;⽶酒;蒸煮提取物（利⼝酒和烈酒）;酒精饮料（啤酒除外）;⾷⽤酒精;果酒（含酒精）;烧酒;葡萄酒;酒精饮料浓缩汁;佐餐酒</t>
  </si>
  <si>
    <t>金马慈母</t>
  </si>
  <si>
    <t>四川金马慈母贸易有限责任公司</t>
  </si>
  <si>
    <t>⻩酒;鸡尾酒;开胃酒;葡萄酒;威⼠忌;果酒（含酒精）;烈酒（饮料）;⽩兰地;⽶酒;⽩酒</t>
  </si>
  <si>
    <t>贵禧凰</t>
  </si>
  <si>
    <t>⽼酒（中国蒸馏烈酒）;⽶酒;梅酒;⾼粱酒;除啤酒外的酒精饮料;果酒（含酒精）;烧酒;葡萄酒;⽩⼲酒（中国⽩酒）;⽩酒</t>
  </si>
  <si>
    <t>黄龙坡羲皇</t>
  </si>
  <si>
    <t>李长银342129********2833</t>
  </si>
  <si>
    <t>葡萄酒;⽶酒;⾼粱酒;烧酒;酒精饮料（啤酒除外）;⻩酒;清酒;果酒;烈酒;⽩酒</t>
  </si>
  <si>
    <t>毛邺</t>
  </si>
  <si>
    <t>烈酒;⻘稞酒;鸡尾酒;葡萄酒;⽶酒;⻩酒;烧酒;威⼠忌;⽩酒;⽩兰地</t>
  </si>
  <si>
    <t>宝头山</t>
  </si>
  <si>
    <t>曹勤</t>
  </si>
  <si>
    <t>果酒（含酒精）;烈酒（饮料）;葡萄酒;利⼝酒;开胃酒;酒精饮料（啤酒除外）;⽩酒;烧酒;⽶酒;鸡尾酒</t>
  </si>
  <si>
    <t>崔姑姑</t>
  </si>
  <si>
    <t>天津崔姑姑食品有限公司</t>
  </si>
  <si>
    <t>开胃酒;⽩酒;烧酒;苹果酒;⾷⽤酒精;伏特加酒;酒精饮料（啤酒除外）;葡萄酒;⻩酒;酒精饮料原汁</t>
  </si>
  <si>
    <t>杜赢</t>
  </si>
  <si>
    <t>⽶酒;佐餐酒;⽩酒;葡萄酒;烧酒;酒精饮料浓缩汁;⾷⽤酒精;果酒（含酒精）;酒精饮料（啤酒除外）;蒸煮提取物（利⼝酒和烈酒）</t>
  </si>
  <si>
    <t>魂情</t>
  </si>
  <si>
    <t>鸡尾酒;⽩酒;烧酒;利⼝酒;酒精饮料（啤酒除外）;朗姆酒;开胃酒;清酒（⽇本⽶酒）;果酒;葡萄酒</t>
  </si>
  <si>
    <t>蜀不尽</t>
  </si>
  <si>
    <t>烈酒（饮料）;烧酒;酒精饮料原汁;⽶酒;开胃酒;鸡尾酒;⽩酒;葡萄酒;⻘稞酒;蒸馏饮料</t>
  </si>
  <si>
    <t>洛尺</t>
  </si>
  <si>
    <t>蔡军</t>
  </si>
  <si>
    <t>⽩兰地;⾕物制蒸馏酒精饮料;苹果酒;酒精饮料（啤酒除外）;含⽔果酒精饮料;预先混合的酒精饮料（以啤酒为主的除外）;果酒;葡萄酒;酸酒（低等葡萄酒）;⽶酒;⽩酒</t>
  </si>
  <si>
    <t>瑰云</t>
  </si>
  <si>
    <t>果酒（含酒精）;蜂蜜酒;⽶酒;⽢蔗制酒精饮料;含⽔果酒精饮料;酒精饮料（啤酒除外）;以葡萄酒为主的饮料;蒸馏饮料;开胃酒;⾕物制蒸馏酒精饮料</t>
  </si>
  <si>
    <t>黑巷子</t>
  </si>
  <si>
    <t>四川磐星网络科技有限公司</t>
  </si>
  <si>
    <t>含⽔果酒精饮料;⽔果汽酒;⻘梅酒;⽶酒;甜酒;含酒精的饮料（啤酒除外）;含酒精的⽓泡⽔;已调味的⻨芽酿制的酒精饮料（啤酒除外）;⽩酒;含酒精⽔果饮料</t>
  </si>
  <si>
    <t>禧兴</t>
  </si>
  <si>
    <t>⽩酒;威⼠忌;⻩酒;清酒（⽇本⽶酒）;果酒（含酒精）;葡萄酒;开胃酒;烈酒;鸡尾酒;酒精饮料（啤酒除外）</t>
  </si>
  <si>
    <t>花相知</t>
  </si>
  <si>
    <t>江西喜讯科技有限公司</t>
  </si>
  <si>
    <t>⽩酒;果酒(含酒精);烈酒(饮料);开胃酒;鸡尾酒;⻩酒;含酒精的充⽓饮料(啤酒除外);烧酒(烈酒);⽼酒(中国蒸馏烈酒);葡萄酒</t>
  </si>
  <si>
    <t>觉目</t>
  </si>
  <si>
    <t>长沙英工智能科技有限公司</t>
  </si>
  <si>
    <t>鸡尾酒;酒精饮料（啤酒除外）;⽶酒;⾷⽤酒精;⻩酒;利⼝酒;⽩酒;露酒;果酒（含酒精）;葡萄酒</t>
  </si>
  <si>
    <t>正吾林</t>
  </si>
  <si>
    <t>程正兰</t>
  </si>
  <si>
    <t>⽶酒;⽩酒;开胃酒;以葡萄酒为主的饮料;⾷⽤酒精;酒精饮料原汁;果酒（含酒精）;酒精饮料（啤酒除外）;⾕物制蒸馏酒精饮料;蜂蜜酒</t>
  </si>
  <si>
    <t>花冠</t>
  </si>
  <si>
    <t>烈酒（饮料）;⽩酒;鸡尾酒;酒精饮料（啤酒除外）;烧酒;果酒（含酒精）;苹果酒;葡萄酒;酒精饮料原汁;⽶酒</t>
  </si>
  <si>
    <t>2024/06/25</t>
  </si>
  <si>
    <t>吕农</t>
  </si>
  <si>
    <t>刺五加酒;烧酒;果酒（含酒精）;烈酒;⻩酒;⽼酒（中国蒸馏烈酒）;⾼粱酒;五加⽪酒（中国混合烈酒）;葡萄酒;⽩酒</t>
  </si>
  <si>
    <t>御果乐</t>
  </si>
  <si>
    <t>杨燕文</t>
  </si>
  <si>
    <t>果酒（含酒精）;⻘稞酒;威⼠忌;含⽔果酒精饮料;⻩酒;烧酒;⽩酒;⾷⽤酒精;烈酒（饮料）;⽶酒</t>
  </si>
  <si>
    <t>鑫京造</t>
  </si>
  <si>
    <t>李昊男</t>
  </si>
  <si>
    <t>酒精饮料（啤酒除外）;烈酒（饮料）;樱桃酒;烧酒;威⼠忌;伏特加酒;⽩酒;果酒（含酒精）;葡萄酒;⽶酒</t>
  </si>
  <si>
    <t>古莒御贡</t>
  </si>
  <si>
    <t>⽩酒;⾼粱酒;果酒;⽩兰地;酒精饮料（啤酒除外）;烈酒（饮料）;烧酒;开胃酒;葡萄酒;甜酒</t>
  </si>
  <si>
    <t>燕语湖</t>
  </si>
  <si>
    <t>金华市婺城区燕语湖综合开发有限公司</t>
  </si>
  <si>
    <t>酒精饮料浓缩汁;果酒;清酒（⽇本⽶酒）;⽶酒;烧酒;鸡尾酒;⽩酒;⻩酒;烈酒（饮料）;葡萄酒</t>
  </si>
  <si>
    <t>塞艾斯</t>
  </si>
  <si>
    <t>塞艾斯(河北)工业发展有限公司</t>
  </si>
  <si>
    <t>⽶酒;酒精饮料（啤酒除外）;葡萄酒;⻩酒;含⽔果酒精饮料;⽩兰地;威⼠忌;烧酒;⽩酒;烈酒（饮料）</t>
  </si>
  <si>
    <t>书香屈子</t>
  </si>
  <si>
    <t>果酒（含酒精）;烈酒（饮料）;清酒（⽇本⽶酒）;鸡尾酒;烧酒;酒精饮料（啤酒除外）;⽶酒;⽩酒;葡萄酒;⻩酒</t>
  </si>
  <si>
    <t>粮膳元</t>
  </si>
  <si>
    <t>王佳辉</t>
  </si>
  <si>
    <t>⽩酒;⽶酒;鸡尾酒;烈酒（饮料）;⽩兰地;果酒（含酒精）;葡萄酒;蜂蜜酒;烧酒;甜酒</t>
  </si>
  <si>
    <t>中原龙凤呈祥</t>
  </si>
  <si>
    <t>不言企业管理（山东）有限公司</t>
  </si>
  <si>
    <t>⽶酒;⻩酒;⾷⽤酒精;蒸馏饮料;⻘稞酒;汽酒;⽩酒;⽩兰地;烧酒;葡萄酒</t>
  </si>
  <si>
    <t>陈小帅</t>
  </si>
  <si>
    <t>绍兴御邦城市服务有限公司</t>
  </si>
  <si>
    <t>⽩酒;⻩酒;果酒（含酒精）;葡萄酒;⽶酒;鸡尾酒;威⼠忌;酒精饮料（啤酒除外）;含⽔果酒精饮料;伏特加酒</t>
  </si>
  <si>
    <t>贵州黔民汇农业（集团）有限公司</t>
  </si>
  <si>
    <t>⽩酒;开胃酒;含⽔果酒精饮料;酒精饮料（啤酒除外）;梨酒;烧酒;酒精饮料浓缩汁;⽶酒;汽酒;果酒（含酒精）</t>
  </si>
  <si>
    <t>陇之禧</t>
  </si>
  <si>
    <t>甘肃青蓝商贸有限公司</t>
  </si>
  <si>
    <t>⽩酒;⻘稞酒;利⼝酒;⽶酒;⻩酒;葡萄酒;含酒精⽔果饮料;果酒（含酒精）;烧酒;苦荞酒</t>
  </si>
  <si>
    <t>SAROS LAVISVIA</t>
  </si>
  <si>
    <t>库玛诺国际服饰有限公司</t>
  </si>
  <si>
    <t>⽩兰地;葡萄酒;⻘稞酒;含酒精的鸡尾酒混合饮品;果酒;⽶酒;⻩酒;⾼粱酒;烧酒;⽩酒</t>
  </si>
  <si>
    <t>御德泰</t>
  </si>
  <si>
    <t>⽩兰地;果酒（含酒精）;烧酒;含酒精⽔果饮料;威⼠忌;⽶酒;⾕物制蒸馏酒精饮料;⻩酒;⽩酒;葡萄酒</t>
  </si>
  <si>
    <t>洛亥友强泉</t>
  </si>
  <si>
    <t>刘友强</t>
  </si>
  <si>
    <t>⽶酒;果酒（含酒精）;酒精饮料原汁;⾷⽤酒精;烈酒（饮料）;葡萄酒;烧酒;⽩酒;蒸馏饮料;酒精饮料（啤酒除外）</t>
  </si>
  <si>
    <t>秦址</t>
  </si>
  <si>
    <t>鸡尾酒;⽶酒;果酒（含酒精）;蒸馏饮料;⽩酒;威⼠忌;蜂蜜酒;含⽔果酒精饮料;葡萄酒;⽩兰地</t>
  </si>
  <si>
    <t>玺帕</t>
  </si>
  <si>
    <t>新疆众惠睿智文化传媒有限公司</t>
  </si>
  <si>
    <t>⽩兰地;⽩酒;鸡尾酒;蜂蜜酒;烈酒（饮料）;葡萄酒;⾕物制蒸馏酒精饮料;果酒（含酒精）;樱桃酒;⻩酒</t>
  </si>
  <si>
    <t>烟小阁</t>
  </si>
  <si>
    <t>曾建彬</t>
  </si>
  <si>
    <t>⽩酒;薄荷酒;伏特加酒;鸡尾酒;⽶酒;清酒;含⽔果酒精饮料;烈酒（饮料）;⽩兰地;威⼠忌</t>
  </si>
  <si>
    <t>喀司特</t>
  </si>
  <si>
    <t>安顺市成威科技有限公司</t>
  </si>
  <si>
    <t>⽩酒;烈酒;⽼酒（中国蒸馏烈酒）;含酒精的鸡尾酒混合饮品;⽩⼲酒（中国⽩酒）;蒸煮提取物（利⼝酒和烈酒）;由⾕物蒸馏的⽩酒;⽶酒;烈性⼲酒;葡萄酒</t>
  </si>
  <si>
    <t>眠眠猫</t>
  </si>
  <si>
    <t>湖南李小舒品牌管理有限公司</t>
  </si>
  <si>
    <t>含⽔果酒精饮料;⻘稞酒;⽶酒;⻩酒;樱桃酒;⽩酒;开胃酒;葡萄酒;鸡尾酒;果酒（含酒精）</t>
  </si>
  <si>
    <t>飞航鸿图</t>
  </si>
  <si>
    <t>四川飞航鸿图农业科技有限公司</t>
  </si>
  <si>
    <t>果酒;葡萄酒;烧酒;威⼠忌;⽶酒;清酒;⽩酒;⻘稞酒;⽩兰地;梅酒</t>
  </si>
  <si>
    <t>傅眉</t>
  </si>
  <si>
    <t>翟光耀232131********1930</t>
  </si>
  <si>
    <t>烧酒;已调味的⻨芽酿制的酒精饮料（啤酒除外）;果酒（含酒精）;⽶酒;⾕物制蒸馏酒精饮料;⽩酒;酒精饮料（啤酒除外）;葡萄酒;预先混合的酒精饮料（以啤酒为主的除外）;含⽔果酒精饮料</t>
  </si>
  <si>
    <t>凯萨贵族骑士</t>
  </si>
  <si>
    <t>海淘易购供应链（广州）有限公司</t>
  </si>
  <si>
    <t>利⼝酒;⽩兰地;伏特加酒;葡萄酒;鸡尾酒;开胃酒;混合威⼠忌酒;威⼠忌;朗姆酒;烈酒（饮料）</t>
  </si>
  <si>
    <t>赫狮</t>
  </si>
  <si>
    <t>域景国际贸易（上海）有限公司</t>
  </si>
  <si>
    <t>杜松⼦酒;果酒（含酒精）;⽩兰地;含酒精的饮料（啤酒除外）;利⼝酒;威⼠忌;⾕物制蒸馏酒精饮料;葡萄酒;朗姆酒;⽢蔗制酒精饮料</t>
  </si>
  <si>
    <t>福知悦</t>
  </si>
  <si>
    <t>胡讲文</t>
  </si>
  <si>
    <t>⽩酒;⾷⽤酒精;烈酒（饮料）;⻘稞酒;⽶酒;含⽔果酒精饮料;⻩酒;威⼠忌;果酒（含酒精）;烧酒</t>
  </si>
  <si>
    <t>薰爵</t>
  </si>
  <si>
    <t>徐后孝522130********4819</t>
  </si>
  <si>
    <t>⾼粱酒;⽼酒（中国蒸馏烈酒）;葡萄酒;烧酒;果酒;⽶酒;烈酒（饮料）;⻩酒;⽩酒;酒精饮料（啤酒除外）</t>
  </si>
  <si>
    <t>浙南道酒酝司</t>
  </si>
  <si>
    <t>汤士全</t>
  </si>
  <si>
    <t>烧酒;⽶酒;汽酒;清酒;果酒;葡萄酒;梅酒;⽩酒;⽼酒（中国蒸馏烈酒）;⻩酒</t>
  </si>
  <si>
    <t>东圣紫泉酒坊</t>
  </si>
  <si>
    <t>四川省东圣酒业股份有限公司</t>
  </si>
  <si>
    <t>餐后酒（利⼝酒和烈酒）;果酒（含酒精）;⽼酒（中国蒸馏烈酒）;⽩⼲酒（中国⽩酒）;烧酒;蒸煮提取物（利⼝酒和烈酒）;含酒精的饮料（啤酒除外）;⽩酒;烈酒;⾷⽤酒精</t>
  </si>
  <si>
    <t>游牧坝坝</t>
  </si>
  <si>
    <t>深圳市哲科实业有限公司</t>
  </si>
  <si>
    <t>⽩酒;蒸馏饮料;鸡尾酒;⻩酒;葡萄酒;威⼠忌;开胃酒;果酒（含酒精）;⻘稞酒;以葡萄酒为主的饮料</t>
  </si>
  <si>
    <t>仰颂</t>
  </si>
  <si>
    <t>蒸馏饮料;开胃酒;葡萄酒;⽶酒;烈酒（饮料）;⾕物制蒸馏酒精饮料;清酒（⽇本⽶酒）;⻩酒;⽩酒;烧酒</t>
  </si>
  <si>
    <t>鲁汀</t>
  </si>
  <si>
    <t>陈兵</t>
  </si>
  <si>
    <t>⽩⼲酒（中国⽩酒）;果酒;⽩酒;威⼠忌;⽶酒;⻩酒;葡萄酒;烈酒;鸡尾酒;⾼粱酒</t>
  </si>
  <si>
    <t>吴姓团圆</t>
  </si>
  <si>
    <t>潘兴</t>
  </si>
  <si>
    <t>烈酒（饮料）;烈酒;⽩⼲酒（中国⽩酒）;葡萄酒;酒精饮料（啤酒除外）;⽩酒;⽼酒（中国蒸馏烈酒）;鸡尾酒;果酒;⾼粱酒</t>
  </si>
  <si>
    <t>乐芙瑞</t>
  </si>
  <si>
    <t>上海篅祺国际贸易有限公司</t>
  </si>
  <si>
    <t>烈酒（饮料）;鸡尾酒;蜂蜜酒;⽩兰地;威⼠忌;⽩酒;烧酒;果酒（含酒精）;葡萄酒;含⽔果酒精饮料</t>
  </si>
  <si>
    <t>为君咏</t>
  </si>
  <si>
    <t>陈永</t>
  </si>
  <si>
    <t>⻩酒;⽩酒;开胃酒;威⼠忌;烧酒;⽶酒;葡萄酒;鸡尾酒;果酒;烈酒（饮料）</t>
  </si>
  <si>
    <t>植本道</t>
  </si>
  <si>
    <t>杭州凤舞九天品牌管理有限公司</t>
  </si>
  <si>
    <t>餐后酒（利⼝酒和烈酒）;葡萄酒;⻘稞酒;果酒（含酒精）;⾷⽤酒精;⽩酒;鸡尾酒;酒精饮料原汁;含酒精⽔果饮料;含⽔果酒精饮料</t>
  </si>
  <si>
    <t>裕升泰</t>
  </si>
  <si>
    <t>⽶酒;烧酒;⽩酒;葡萄酒;果酒（含酒精）;伏特加酒;⾕物制蒸馏酒精饮料;⻩酒;⾷⽤酒精;⽩兰地</t>
  </si>
  <si>
    <t>钱占里</t>
  </si>
  <si>
    <t>姚江伟</t>
  </si>
  <si>
    <t>⾷⽤酒精;葡萄酒;汽酒;烧酒;酒精饮料（啤酒除外）;⻩酒;蒸馏饮料;果酒（含酒精）;⽩酒;清酒</t>
  </si>
  <si>
    <t>酌廷</t>
  </si>
  <si>
    <t>王康辉</t>
  </si>
  <si>
    <t>酒精饮料（啤酒除外）;⽶酒;鸡尾酒;⻩酒;葡萄酒;果酒（含酒精）;威⼠忌;烈酒（饮料）;酒精饮料原汁;⽩酒</t>
  </si>
  <si>
    <t>凯萨贵族伯爵</t>
  </si>
  <si>
    <t>鸡尾酒;开胃酒;混合威⼠忌酒;⽩兰地;烈酒（饮料）;利⼝酒;伏特加酒;葡萄酒;朗姆酒;威⼠忌</t>
  </si>
  <si>
    <t>国王的恩赐</t>
  </si>
  <si>
    <t>应智明</t>
  </si>
  <si>
    <t>蒸馏饮料;酒精饮料（啤酒除外）;⻩酒;果酒;⽩酒;果酒（含酒精）;清酒（⽇本⽶酒）;烈酒（饮料）;鸡尾酒;⽩⼲酒（中国⽩酒）</t>
  </si>
  <si>
    <t>福顺令</t>
  </si>
  <si>
    <t>曹清华</t>
  </si>
  <si>
    <t>开胃酒;酒精饮料（啤酒除外）;朗姆酒;⽶酒;酒精饮料浓缩汁;⻩酒;果酒（含酒精）;清酒（⽇本⽶酒）;蒸馏饮料;鸡尾酒</t>
  </si>
  <si>
    <t>怀酒人</t>
  </si>
  <si>
    <t>熊竹</t>
  </si>
  <si>
    <t>开胃酒;⽶酒;鸡尾酒;樱桃酒;⻩酒;葡萄酒;⽩兰地;梨酒;烧酒;⽩酒</t>
  </si>
  <si>
    <t>华富洋</t>
  </si>
  <si>
    <t>深圳市家喻科技有限公司</t>
  </si>
  <si>
    <t>鸡尾酒;⻩酒;⽩葡萄酒;红葡萄酒;⽶酒;朗姆酒;烧酒;葡萄酒;⽩酒;威⼠忌</t>
  </si>
  <si>
    <t>井窟坊</t>
  </si>
  <si>
    <t>金宇锋</t>
  </si>
  <si>
    <t>果酒（含酒精）;葡萄酒;汽酒;⻩酒;烧酒（烈酒）;烈酒（饮料）;清酒（⽇本⽶酒）;⽩酒;⽶酒;酒精饮料（啤酒除外）</t>
  </si>
  <si>
    <t>琬台</t>
  </si>
  <si>
    <t>孙治国</t>
  </si>
  <si>
    <t>鸡尾酒;葡萄酒;⽶酒;烧酒;果酒（含酒精）;清酒（⽇本⽶酒）;⽩酒;⾷⽤酒精;酒精饮料（啤酒除外）;⻩酒</t>
  </si>
  <si>
    <t>嘉半朝</t>
  </si>
  <si>
    <t>湖北三泉酒业有限公司</t>
  </si>
  <si>
    <t>烈酒（饮料）;清酒;葡萄酒;⽢蔗制酒精饮料;果酒（含酒精）;烧酒;⽶酒;酒精饮料（啤酒除外）;⽩酒;蜂蜜酒</t>
  </si>
  <si>
    <t>狄拉图</t>
  </si>
  <si>
    <t>⽶酒;烧酒;苹果酒;酒精饮料（啤酒除外）;⻩酒;蒸馏饮料;葡萄酒;⽩酒;果酒（含酒精）;鸡尾酒</t>
  </si>
  <si>
    <t>子曰春秋（苏州）文化发展有限公司</t>
  </si>
  <si>
    <t>烈酒（饮料）;⽶酒;葡萄酒;含⽔果酒精饮料;果酒（含酒精）;⻩酒;⽩酒;⾷⽤酒精;蒸馏饮料;⽩兰地</t>
  </si>
  <si>
    <t>艳良臻选</t>
  </si>
  <si>
    <t>昌图县丰满源玉米种植专业合作社</t>
  </si>
  <si>
    <t>烧酒;蜂蜜酒;烈酒;威⼠忌;酒精饮料（啤酒除外）;葡萄酒;果酒;⽩兰地;⽩酒;鸡尾酒</t>
  </si>
  <si>
    <t>鲁年</t>
  </si>
  <si>
    <t>葡萄酒;烈酒（饮料）;酒精饮料（啤酒除外）;苹果酒;⽩酒;鸡尾酒;烧酒;果酒（含酒精）;酒精饮料原汁;⽶酒</t>
  </si>
  <si>
    <t>古莒贡陶</t>
  </si>
  <si>
    <t>酒精饮料（啤酒除外）;开胃酒;⾼粱酒;⽩酒;甜酒;葡萄酒;烧酒;⽩兰地;烈酒（饮料）;果酒</t>
  </si>
  <si>
    <t>三笑胭脂</t>
  </si>
  <si>
    <t>苏州胭脂米酒业有限责任公司</t>
  </si>
  <si>
    <t>⽩⼲酒（中国⽩酒）;烧酒;⽶酒;蒸馏⽶酒（泡盛酒）;酒精饮料（啤酒除外）;⽩酒;由⾕物蒸馏的⽩酒;果酒（含酒精）;⻩酒;清酒</t>
  </si>
  <si>
    <t>潭公辞</t>
  </si>
  <si>
    <t>新华美食品有限公司</t>
  </si>
  <si>
    <t>含⽔果酒精饮料;⾷⽤酒精;⻩酒;鸡尾酒;⽶酒;葡萄酒;酒精饮料（啤酒除外）;⽩酒;⽩兰地;果酒（含酒精）</t>
  </si>
  <si>
    <t>年画鸿</t>
  </si>
  <si>
    <t>果酒（含酒精）;⾷⽤酒精;⽼酒（中国蒸馏烈酒）;烧酒;烈酒;⽩酒;含酒精的饮料（啤酒除外）;⽩⼲酒（中国⽩酒）;蒸煮提取物（利⼝酒和烈酒）;餐后酒（利⼝酒和烈酒）</t>
  </si>
  <si>
    <t>李与圣</t>
  </si>
  <si>
    <t>悦茂食品有限公司</t>
  </si>
  <si>
    <t>⽩酒;⾷⽤酒精;含⽔果酒精饮料;⽩兰地;酒精饮料（啤酒除外）;⻩酒;鸡尾酒;果酒（含酒精）;葡萄酒;⽶酒</t>
  </si>
  <si>
    <t>融果乐</t>
  </si>
  <si>
    <t>⽩酒;⾷⽤酒精;烧酒;含⽔果酒精饮料;⻘稞酒;烈酒（饮料）;⻩酒;⽶酒;果酒（含酒精）;威⼠忌</t>
  </si>
  <si>
    <t>棘丽仙</t>
  </si>
  <si>
    <t>宁夏盘隆果业有限公司</t>
  </si>
  <si>
    <t>蒸馏饮料;葡萄酒;威⼠忌;果酒;⽩兰地;⽶酒;鸡尾酒;⻩酒;烧酒;⽩酒</t>
  </si>
  <si>
    <t>ZHONGTUOZHONGCHUANG</t>
  </si>
  <si>
    <t>中拓众创（河北）建设工程有限公司</t>
  </si>
  <si>
    <t>⽩酒;葡萄酒;酒精饮料（啤酒除外）;烧酒;⾷⽤酒精;利⼝酒;苹果酒;⻩酒;鸡尾酒;果酒（含酒精）</t>
  </si>
  <si>
    <t>法之浪漫</t>
  </si>
  <si>
    <t>杨利强</t>
  </si>
  <si>
    <t>葡萄酒;清酒;⽩兰地;朗姆酒;苦艾酒;⻩酒;威⼠忌;伏特加酒;⽶酒;⽩酒</t>
  </si>
  <si>
    <t>老谷庄</t>
  </si>
  <si>
    <t>沈阳市御清泉酒业有限公司</t>
  </si>
  <si>
    <t>汽酒;⽩酒;⽶酒;烧酒;威⼠忌;鸡尾酒;⽩兰地;葡萄酒;烈酒（饮料）;清酒</t>
  </si>
  <si>
    <t>深圳市八开新零售有限公司</t>
  </si>
  <si>
    <t>⽶酒;蒸馏饮料;⽩酒;葡萄酒;烧酒;⽩兰地;鸡尾酒;利⼝酒;威⼠忌;开胃酒</t>
  </si>
  <si>
    <t>湾尼诗</t>
  </si>
  <si>
    <t>⽩兰地;烧酒;⻩酒;⽶酒;酒精饮料（啤酒除外）;含⽔果酒精饮料;葡萄酒;威⼠忌;⽩酒;蒸馏饮料</t>
  </si>
  <si>
    <t>鲸焱</t>
  </si>
  <si>
    <t>南宁国品参福堂食品有限公司</t>
  </si>
  <si>
    <t>葡萄酒;威⼠忌;清酒;果酒;烈酒;含酒精⽔果饮料;酒精饮料原汁;⽩兰地;⽩酒;酒精饮料（啤酒除外）</t>
  </si>
  <si>
    <t>义美天下</t>
  </si>
  <si>
    <t>蒸馏饮料;餐后酒（利⼝酒和烈酒）;⽶酒;⻩酒;⽩酒;⽼酒（中国蒸馏烈酒）;⾼粱酒;露酒;葡萄酒;烧酒（烈酒）</t>
  </si>
  <si>
    <t>凯萨贵族城堡</t>
  </si>
  <si>
    <t>葡萄酒;⽩兰地;烈酒（饮料）;朗姆酒;开胃酒;利⼝酒;伏特加酒;混合威⼠忌酒;威⼠忌;鸡尾酒</t>
  </si>
  <si>
    <t>双宫大昌</t>
  </si>
  <si>
    <t>宁波鑫利大昌食品有限公司</t>
  </si>
  <si>
    <t>⽶酒;⽩酒;葡萄酒;蒸馏饮料;⾼粱酒;烈性⼲酒;⽩⼲酒（中国⽩酒）;含⽔果酒精饮料;⾕物制蒸馏酒精饮料;果酒（含酒精）</t>
  </si>
  <si>
    <t>盈如意</t>
  </si>
  <si>
    <t>徐崇</t>
  </si>
  <si>
    <t>开胃酒;朗姆酒;清酒（⽇本⽶酒）;鸡尾酒;⻩酒;酒精饮料浓缩汁;酒精饮料（啤酒除外）;果酒（含酒精）;⽶酒;蒸馏饮料</t>
  </si>
  <si>
    <t>兴一善</t>
  </si>
  <si>
    <t>张倩</t>
  </si>
  <si>
    <t>⽶酒;朗姆酒;果酒（含酒精）;含⽔果酒精饮料;酒精饮料（啤酒除外）;⽩酒;餐后酒（利⼝酒和烈酒）;葡萄酒;烈酒（饮料）;烧酒</t>
  </si>
  <si>
    <t>瓶击</t>
  </si>
  <si>
    <t>徐州瓶击酒业有限公司</t>
  </si>
  <si>
    <t>⽶酒;烈酒（饮料）;鸡尾酒;朗姆酒;葡萄酒;清酒;果酒（含酒精）;⽩兰地;⽩酒;烧酒</t>
  </si>
  <si>
    <t>梦福源酒圣</t>
  </si>
  <si>
    <t>汝阳梦福坊酿酒有限公司</t>
  </si>
  <si>
    <t>餐后酒（利⼝酒和烈酒）;开胃酒;威⼠忌;伏特加酒;烧酒;烈酒（饮料）;葡萄酒;⽩兰地;朗姆酒;⽩酒</t>
  </si>
  <si>
    <t>台醇禧</t>
  </si>
  <si>
    <t>果酒（含酒精）;⻩酒;含酒精的饮料（啤酒除外）;梅酒;⽩酒;威⼠忌;以葡萄酒为主的饮料;酒精饮料（啤酒除外）;⽩兰地;烈酒（饮料）</t>
  </si>
  <si>
    <t>晋泉九酿</t>
  </si>
  <si>
    <t>太原酒厂有限责任公司</t>
  </si>
  <si>
    <t>烧酒;葡萄酒;⽶酒;清酒;⽼酒（中国蒸馏烈酒）;果酒;烈酒;露酒;⾼粱酒;⽩酒</t>
  </si>
  <si>
    <t>一条拙人街</t>
  </si>
  <si>
    <t>拙人街品牌管理（深圳）有限公司</t>
  </si>
  <si>
    <t>蒸馏饮料;含⽔果酒精饮料;烈酒（饮料）;⽩酒;汽酒;樱桃酒;⽶酒;果酒（含酒精）;预先混合的酒精饮料（以啤酒为主的除外）;餐后酒（利⼝酒和烈酒）</t>
  </si>
  <si>
    <t>粮满运</t>
  </si>
  <si>
    <t>开胃酒;酒精饮料（啤酒除外）;果酒（含酒精）;⽶酒;⻩酒;酒精饮料浓缩汁;鸡尾酒;清酒（⽇本⽶酒）;蒸馏饮料;朗姆酒</t>
  </si>
  <si>
    <t>问天峰</t>
  </si>
  <si>
    <t>陈立万</t>
  </si>
  <si>
    <t>露酒;烧酒;⽶酒;⻘稞酒;⾼粱酒;葡萄酒;梅酒;果酒;甜酒;⽩酒</t>
  </si>
  <si>
    <t>理凯</t>
  </si>
  <si>
    <t>李凯</t>
  </si>
  <si>
    <t>烈酒（饮料）;威⼠忌;烧酒;开胃酒;⽩酒;预先混合的酒精饮料（以啤酒为主的除外）;⽶酒;含酒精的⽓泡⽔;葡萄酒;果酒（含酒精）</t>
  </si>
  <si>
    <t>易道得一</t>
  </si>
  <si>
    <t>安徽易道得一健康管理有限公司</t>
  </si>
  <si>
    <t>⽢蔗制酒精饮料;果酒（含酒精）;酒精饮料浓缩汁;酒精饮料（啤酒除外）;葡萄酒;⻩酒;⽩酒;苦味酒;蒸馏饮料;⽶酒</t>
  </si>
  <si>
    <t>梵琳娜</t>
  </si>
  <si>
    <t>⽶酒;⽩酒;蒸煮提取物（利⼝酒和烈酒）;⽩兰地;威⼠忌;⽼酒（中国蒸馏烈酒）;葡萄酒;清酒;果酒;⻩酒</t>
  </si>
  <si>
    <t>兴环泉</t>
  </si>
  <si>
    <t>李廷强</t>
  </si>
  <si>
    <t>⽩酒;酒精饮料原汁;⽶酒;⾷⽤酒精;果酒（含酒精）;葡萄酒;烧酒;蒸馏饮料;烈酒（饮料）;酒精饮料（啤酒除外）</t>
  </si>
  <si>
    <t>清照厚礼</t>
  </si>
  <si>
    <t>葡萄酒;酸酒（低等葡萄酒）;汽酒;果酒（含酒精）;⽩酒;⽶酒;开胃酒;苹果酒;⻩酒;酒精饮料（啤酒除外）</t>
  </si>
  <si>
    <t>米婆颂</t>
  </si>
  <si>
    <t>刘振夫</t>
  </si>
  <si>
    <t>⻩酒;威⼠忌;烧酒;⽶酒;果酒（含酒精）;烈酒（饮料）;⻘稞酒;⽩酒;含⽔果酒精饮料;⾷⽤酒精</t>
  </si>
  <si>
    <t>韵谷幽兰</t>
  </si>
  <si>
    <t>曾大玉</t>
  </si>
  <si>
    <t>⻩酒;烧酒;⽩酒;酒精饮料（啤酒除外）;开胃酒;含⽔果酒精饮料;⽶酒;果酒（含酒精）;烈酒（饮料）;利⼝酒</t>
  </si>
  <si>
    <t>启仙迅</t>
  </si>
  <si>
    <t>黄炎鸿</t>
  </si>
  <si>
    <t>酒精饮料原汁;威⼠忌;蒸馏饮料;烈酒（饮料）;烧酒;鸡尾酒;含⽔果酒精饮料;清酒;⽩酒;果酒（含酒精）</t>
  </si>
  <si>
    <t>友菜友饭</t>
  </si>
  <si>
    <t>杭州同城密码科技有限公司</t>
  </si>
  <si>
    <t>餐后酒（利⼝酒和烈酒）;杨梅酒;蜂蜜酒;果酒（含酒精）;⽩酒;开胃酒;鸡尾酒;葡萄酒;利⼝酒;烧酒</t>
  </si>
  <si>
    <t>泸喜缘</t>
  </si>
  <si>
    <t>颜杰</t>
  </si>
  <si>
    <t>果酒（含酒精）;葡萄酒;酒精饮料（啤酒除外）;⻩酒;烧酒;烈酒（饮料）;清酒（⽇本⽶酒）;⽶酒;⽩酒;鸡尾酒</t>
  </si>
  <si>
    <t>叹八方</t>
  </si>
  <si>
    <t>酒精饮料（啤酒除外）;⽩酒;⽶酒;⻩酒;鸡尾酒;清酒;甜酒;果酒;烧酒;葡萄酒</t>
  </si>
  <si>
    <t>蜜泉湖</t>
  </si>
  <si>
    <t>酒精饮料（啤酒除外）;清酒;葡萄酒;⽶酒;果酒（含酒精）;烧酒;烈酒（饮料）;⽢蔗制酒精饮料;⽩酒;蜂蜜酒</t>
  </si>
  <si>
    <t>东科星力量 DONGKE STAR POWER</t>
  </si>
  <si>
    <t>武汉东科创星创业投资管理有限公司</t>
  </si>
  <si>
    <t>⻩酒;烈酒（饮料）;⽩酒;酒精饮料（啤酒除外）;果酒（含酒精）;葡萄酒;汽酒;烧酒;餐后酒（利⼝酒和烈酒）;酒精饮料浓缩汁</t>
  </si>
  <si>
    <t>追花令</t>
  </si>
  <si>
    <t>兰杨</t>
  </si>
  <si>
    <t>⾷⽤酒精;葡萄酒;果酒（含酒精）;威⼠忌;⽩兰地;伏特加酒;⽩酒;⻩酒;烈酒（饮料）;朗姆酒</t>
  </si>
  <si>
    <t>七彩凰</t>
  </si>
  <si>
    <t>张家口瀚烁环保工程有限公司</t>
  </si>
  <si>
    <t>汽酒;⻩酒;利⼝酒;烧酒;葡萄酒;⽶酒;酒精饮料原汁;烈酒（饮料）;果酒（含酒精）;⽩酒</t>
  </si>
  <si>
    <t>彩陶琬</t>
  </si>
  <si>
    <t>鸡尾酒;⻩酒;清酒（⽇本⽶酒）;烧酒;酒精饮料（啤酒除外）;葡萄酒;⽩酒;⽶酒;⾷⽤酒精;果酒（含酒精）</t>
  </si>
  <si>
    <t>百果馨</t>
  </si>
  <si>
    <t>⽼酒（中国蒸馏烈酒）;威⼠忌;蒸煮提取物（利⼝酒和烈酒）;⻩酒;果酒;⽩兰地;清酒;⽩酒;葡萄酒;⽶酒</t>
  </si>
  <si>
    <t>伍丁维之舞</t>
  </si>
  <si>
    <t>伍丁维尔威士忌有限责任公司</t>
  </si>
  <si>
    <t>威⼠忌;酒精饮料浓缩汁;利⼝酒;酒精饮料原汁;⽩兰地;酒精饮料（啤酒除外）</t>
  </si>
  <si>
    <t>汇德泰</t>
  </si>
  <si>
    <t>⽶酒;伏特加酒;⾕物制蒸馏酒精饮料;⾷⽤酒精;⽩酒;果酒（含酒精）;葡萄酒;⽩兰地;烧酒;⻩酒</t>
  </si>
  <si>
    <t>潘姓团圆</t>
  </si>
  <si>
    <t>葡萄酒;烈酒（饮料）;鸡尾酒;⽩酒;果酒;酒精饮料（啤酒除外）;⽼酒（中国蒸馏烈酒）;烈酒;⾼粱酒;⽩⼲酒（中国⽩酒）</t>
  </si>
  <si>
    <t>清照天梦</t>
  </si>
  <si>
    <t>酒精饮料（啤酒除外）;⽩酒;开胃酒;⽶酒;葡萄酒;果酒（含酒精）;苹果酒;酸酒（低等葡萄酒）;⻩酒;汽酒</t>
  </si>
  <si>
    <t>征捷</t>
  </si>
  <si>
    <t>清酒;果酒（含酒精）;烈酒;⾼粱酒;烧酒;葡萄酒;⻩酒;⽩酒;露酒;⽶酒</t>
  </si>
  <si>
    <t>侃今朝</t>
  </si>
  <si>
    <t>李政良</t>
  </si>
  <si>
    <t>酒精饮料（啤酒除外）;烈酒（饮料）;烧酒;威⼠忌;果酒;薄荷酒;⽩酒;清酒（⽇本⽶酒）;⻩酒;葡萄酒</t>
  </si>
  <si>
    <t>绿佳景迈</t>
  </si>
  <si>
    <t>普洱绿佳食品有限公司</t>
  </si>
  <si>
    <t>烧酒;⻘稞酒;葡萄酒;⽩酒;预先混合的酒精饮料（以啤酒为主的除外）;烈酒（饮料）;⽶酒;杜松⼦酒;利⼝酒;果酒</t>
  </si>
  <si>
    <t>椒乡徽印</t>
  </si>
  <si>
    <t>全椒椒岭文化旅游发展有限公司</t>
  </si>
  <si>
    <t>⽶酒;开胃酒;清酒（⽇本⽶酒）;⻩酒;酒精饮料（啤酒除外）;果酒;葡萄酒;烧酒;蒸煮提取物（利⼝酒和烈酒）;⽩酒</t>
  </si>
  <si>
    <t>龙欢麦麦三</t>
  </si>
  <si>
    <t>文山龙欢酒业有限责任公司</t>
  </si>
  <si>
    <t>鸡尾酒;⽩酒;苦味酒;⽶酒;果酒;烧酒;⽩⼲酒（中国⽩酒）;清酒（⽇本⽶酒）;葡萄酒;烈酒（饮料）</t>
  </si>
  <si>
    <t>龙欢荞小二</t>
  </si>
  <si>
    <t>清酒（⽇本⽶酒）;苦味酒;葡萄酒;⽩⼲酒（中国⽩酒）;⽶酒;烧酒;果酒;烈酒（饮料）;⽩酒;鸡尾酒</t>
  </si>
  <si>
    <t>奥森凯 AOSUNKAR</t>
  </si>
  <si>
    <t>李爱桂440882********5440</t>
  </si>
  <si>
    <t>⻘梅酒;⽼酒（中国蒸馏烈酒）;果酒（含酒精）;⻩酒;⾼粱酒;⽩酒;⽶酒;甜酒;杨梅酒;烈酒</t>
  </si>
  <si>
    <t>臻麦利</t>
  </si>
  <si>
    <t>福州众益合供应链管理有限公司</t>
  </si>
  <si>
    <t>葡萄酒;烈酒（饮料）;⾷⽤酒精;预先混合的酒精饮料（以啤酒为主的除外）;含酒精⽔果饮料;果酒（含酒精）;威⼠忌;酒精饮料（啤酒除外）;蒸馏饮料;薄荷酒</t>
  </si>
  <si>
    <t>凯萨贵族公爵</t>
  </si>
  <si>
    <t>烈酒（饮料）;鸡尾酒;混合威⼠忌酒;利⼝酒;朗姆酒;开胃酒;威⼠忌;⽩兰地;伏特加酒;葡萄酒</t>
  </si>
  <si>
    <t>醺仕</t>
  </si>
  <si>
    <t>陈鑫乾</t>
  </si>
  <si>
    <t>果酒（含酒精）;鸡尾酒;酒精饮料（啤酒除外）;⻩酒;葡萄酒;⽩酒;威⼠忌;开胃酒;烧酒;清酒（⽇本⽶酒）</t>
  </si>
  <si>
    <t>法之风光</t>
  </si>
  <si>
    <t>⽶酒;威⼠忌;伏特加酒;⻩酒;苦艾酒;朗姆酒;⽩酒;清酒;⽩兰地;葡萄酒</t>
  </si>
  <si>
    <t>FUYUANSHANYUAN</t>
  </si>
  <si>
    <t>曲俊宣</t>
  </si>
  <si>
    <t>汽酒;⻩酒;⾷⽤酒精;⽩兰地;烈酒（饮料）;⻘稞酒;以葡萄酒为主的饮料;⽩酒;果酒（含酒精）;烧酒</t>
  </si>
  <si>
    <t>天文美</t>
  </si>
  <si>
    <t>刘忠明</t>
  </si>
  <si>
    <t>⽶酒;果酒（含酒精）;蜂蜜酒;含⽔果酒精饮料;清酒（⽇本⽶酒）;⽩酒;葡萄酒;鸡尾酒;酒精饮料（啤酒除外）;烧酒</t>
  </si>
  <si>
    <t>ZIYUECHUNQIU</t>
  </si>
  <si>
    <t>⻩酒;⽩酒;烈酒（饮料）;⽶酒;葡萄酒;果酒（含酒精）;⽩兰地;⾷⽤酒精;含⽔果酒精饮料;蒸馏饮料</t>
  </si>
  <si>
    <t>王南空</t>
  </si>
  <si>
    <t>蒸馏饮料;烈酒（饮料）;酒精饮料（啤酒除外）;烧酒;⽩酒;果酒（含酒精）;葡萄酒;酒精饮料原汁;⽶酒;⾷⽤酒精</t>
  </si>
  <si>
    <t>减担</t>
  </si>
  <si>
    <t>上海屿汽科技有限公司</t>
  </si>
  <si>
    <t>果酒（含酒精）;酒精饮料（啤酒除外）;露酒;含酒精的饮料（啤酒除外）;鸡尾酒;杜松⼦酒;含⽔果酒精饮料;利⼝酒;以葡萄酒为主的饮料;预先混合的酒精饮料（以啤酒为主的除外）</t>
  </si>
  <si>
    <t>沿江阿妈</t>
  </si>
  <si>
    <t>曹晋菘</t>
  </si>
  <si>
    <t>烧酒;开胃酒;果酒;⻩酒;⾷⽤酒精;葡萄酒;酒精饮料（啤酒除外）;汽酒;⻘稞酒;⽩酒</t>
  </si>
  <si>
    <t>皇庭帝韵</t>
  </si>
  <si>
    <t>含酒精⽔果饮料;果酒（含酒精）;⾕物制蒸馏酒精饮料;⽶酒;⽩酒;⽩兰地;威⼠忌;⻩酒;葡萄酒;烧酒</t>
  </si>
  <si>
    <t>准粮</t>
  </si>
  <si>
    <t>内蒙古农乡丰工贸有限公司</t>
  </si>
  <si>
    <t>已调味的蒸馏酒;⾼粱酒;葡萄酒;烧酒;果酒;清酒（⽇本⽶酒）;⽩酒;预先混合的酒精饮料（以啤酒为主的除外）;⻩酒;⽼酒（中国蒸馏烈酒）</t>
  </si>
  <si>
    <t>2024/06/26</t>
  </si>
  <si>
    <t>实信达</t>
  </si>
  <si>
    <t>深圳市实信达科技开发有限公司</t>
  </si>
  <si>
    <t>葡萄酒;⽶酒;⽩酒;果酒（含酒精）</t>
  </si>
  <si>
    <t>泸福齐天</t>
  </si>
  <si>
    <t>曾建国</t>
  </si>
  <si>
    <t>果酒（含酒精）;⽩酒;烧酒;威⼠忌;⽩兰地;⻩酒;鸡尾酒;葡萄酒;清酒（⽇本⽶酒）;酒精饮料（啤酒除外）</t>
  </si>
  <si>
    <t>杏师一壶老</t>
  </si>
  <si>
    <t>烧酒;⽼酒（中国蒸馏烈酒）;酒精饮料（啤酒除外）;葡萄酒;⾷⽤酒精;果酒（含酒精）;⻩酒;烈酒（饮料）;鸡尾酒;⽩酒</t>
  </si>
  <si>
    <t>金羑一露</t>
  </si>
  <si>
    <t>湖北词源教育投资管理有限公司</t>
  </si>
  <si>
    <t>葡萄酒;预先混合的酒精饮料（以啤酒为主的除外）;⽩酒;威⼠忌;⾷⽤酒精;果酒（含酒精）;蒸馏饮料;清酒（⽇本⽶酒）;酒精饮料（啤酒除外）;酒精饮料原汁</t>
  </si>
  <si>
    <t>椒仙</t>
  </si>
  <si>
    <t>深圳市椒香传奇投资控股有限公司</t>
  </si>
  <si>
    <t>酒精饮料（啤酒除外）;含⽔果酒精饮料;⾕物制蒸馏酒精饮料;露酒;⽩酒;⽶酒;烈酒（饮料）;⾷⽤酒精;烧酒;⽩兰地</t>
  </si>
  <si>
    <t>福裕顺</t>
  </si>
  <si>
    <t>张云义</t>
  </si>
  <si>
    <t>酒精饮料（啤酒除外）;含⽔果酒精饮料;酒精饮料原汁;⾕物制蒸馏酒精饮料;含酒精的饮料（啤酒除外）;⽼酒（中国蒸馏烈酒）;烈酒;蒸馏饮料;⽩酒;⾷⽤酒精</t>
  </si>
  <si>
    <t>桃小蒙</t>
  </si>
  <si>
    <t>山东沂蒙萃农业科技有限公司</t>
  </si>
  <si>
    <t>酒精饮料（啤酒除外）;酒精饮料原汁;含⽔果酒精饮料;⻩酒;预先混合的酒精饮料（以啤酒为主的除外）;蒸馏饮料;⽩酒;葡萄酒;⽶酒;果酒（含酒精）</t>
  </si>
  <si>
    <t>曾记帝王酒</t>
  </si>
  <si>
    <t>曾锦文</t>
  </si>
  <si>
    <t>汽酒;⽩酒;⽩兰地;⻘稞酒;⻩酒;蜂蜜酒;烈酒（饮料）;樱桃酒;酸酒（低等葡萄酒）;⾷⽤酒精</t>
  </si>
  <si>
    <t>湘九州</t>
  </si>
  <si>
    <t>李云</t>
  </si>
  <si>
    <t>⽶酒;果酒（含酒精）;酒精饮料（啤酒除外）;鸡尾酒;酒精饮料原汁;葡萄酒;威⼠忌;⽩酒;烈酒（饮料）;⻩酒</t>
  </si>
  <si>
    <t>锦醇祥</t>
  </si>
  <si>
    <t>李云梅</t>
  </si>
  <si>
    <t>酒精饮料（啤酒除外）;⾷⽤酒精;蒸煮提取物（利⼝酒和烈酒）;⽶酒;⽩酒;烧酒;果酒（含酒精）;烧酒（烈酒）;酒精饮料浓缩汁;葡萄酒</t>
  </si>
  <si>
    <t>宴醺</t>
  </si>
  <si>
    <t>孟存英</t>
  </si>
  <si>
    <t>鸡尾酒;果酒（含酒精）;⻩酒;葡萄酒;酒精饮料（啤酒除外）;⽩酒;开胃酒;蒸馏饮料;威⼠忌;⽶酒</t>
  </si>
  <si>
    <t>君禧美</t>
  </si>
  <si>
    <t>纪故元</t>
  </si>
  <si>
    <t>⽩兰地;梅酒;烧酒;汽酒;酒精饮料（啤酒除外）;葡萄酒;⻩酒;⽩酒;⽶酒;清酒</t>
  </si>
  <si>
    <t>秦楚芈</t>
  </si>
  <si>
    <t>米健</t>
  </si>
  <si>
    <t>⻩酒;葡萄酒;果酒（含酒精）;酒精饮料（啤酒除外）;预先混合的酒精饮料（以啤酒为主的除外）;清酒（⽇本⽶酒）;烧酒;⽶酒;⽩酒;含⽔果酒精饮料</t>
  </si>
  <si>
    <t>金羌一露</t>
  </si>
  <si>
    <t>果酒（含酒精）;蒸馏饮料;清酒（⽇本⽶酒）;酒精饮料原汁;预先混合的酒精饮料（以啤酒为主的除外）;⽩酒;⾷⽤酒精;威⼠忌;酒精饮料（啤酒除外）;葡萄酒</t>
  </si>
  <si>
    <t>田山金尊</t>
  </si>
  <si>
    <t>候小红</t>
  </si>
  <si>
    <t>⽩酒;烈酒;烧酒;⾼粱酒</t>
  </si>
  <si>
    <t>墨华翰韵</t>
  </si>
  <si>
    <t>张亚晖411381********7133</t>
  </si>
  <si>
    <t>⽶酒;酒精饮料（啤酒除外）;⽩酒;果酒（含酒精）;烈酒（饮料）;⻩酒;鸡尾酒;⽢蔗制烈酒;葡萄酒;烧酒</t>
  </si>
  <si>
    <t>懿品诵</t>
  </si>
  <si>
    <t>⽩酒;酒精饮料（啤酒除外）;⽶酒;⻩酒;果酒;含酒精的⽓泡⽔;葡萄酒;烧酒;汽酒;⽩⼲酒（中国⽩酒）</t>
  </si>
  <si>
    <t>奢董会</t>
  </si>
  <si>
    <t>传品集团有限公司</t>
  </si>
  <si>
    <t>⾼粱酒;红葡萄酒;⻘稞酒;⻩酒;佐餐酒;威⼠忌;⽩葡萄酒;鸡尾酒;葡萄酒;⽩酒</t>
  </si>
  <si>
    <t>藏河情</t>
  </si>
  <si>
    <t>丁琨</t>
  </si>
  <si>
    <t>烧酒（烈酒）;葡萄酒;烧酒;果酒（含酒精）;蒸煮提取物（利⼝酒和烈酒）;酒精饮料浓缩汁;酒精饮料（啤酒除外）;⽶酒;⽩酒;⾷⽤酒精</t>
  </si>
  <si>
    <t>龙匠天承</t>
  </si>
  <si>
    <t>⽶酒;果酒（含酒精）;⻩酒;以葡萄酒为主的饮料;⽩酒;⽩兰地;酒精饮料（啤酒除外）;汽酒;甜酒;烧酒</t>
  </si>
  <si>
    <t>世盖沃</t>
  </si>
  <si>
    <t>美夏国际贸易（上海）有限公司</t>
  </si>
  <si>
    <t>果酒（含酒精）;⽩兰地;酒精饮料原汁;烈酒（饮料）;酒精饮料浓缩汁;酒精饮料（啤酒除外）;含⽔果酒精饮料;葡萄酒;汽酒;酸酒（低等葡萄酒）</t>
  </si>
  <si>
    <t>观天辞</t>
  </si>
  <si>
    <t>郭中岐</t>
  </si>
  <si>
    <t>⻩酒;⽶酒;⾷⽤酒精;含⽔果酒精饮料;鸡尾酒;果酒（含酒精）;葡萄酒;酒精饮料（啤酒除外）;⽩酒;⽩兰地</t>
  </si>
  <si>
    <t>STATEORG</t>
  </si>
  <si>
    <t>田军英</t>
  </si>
  <si>
    <t>⽩酒;烈酒（饮料）;烧酒;葡萄酒;⾷⽤酒精;果酒（含酒精）;酒精饮料（啤酒除外）;鸡尾酒;蒸馏饮料;预先混合的酒精饮料（以啤酒为主的除外）</t>
  </si>
  <si>
    <t>四川预多宝科技股份有限公司</t>
  </si>
  <si>
    <t>⻘稞酒;⻩酒;清酒（⽇本⽶酒）;果酒（含酒精）;⽶酒;酒精饮料（啤酒除外）;葡萄酒;⽩酒;⾼粱酒;⾕物制蒸馏酒精饮料</t>
  </si>
  <si>
    <t>杏创</t>
  </si>
  <si>
    <t>刘晓龙</t>
  </si>
  <si>
    <t>宴造</t>
  </si>
  <si>
    <t>鸡尾酒;葡萄酒;威⼠忌;酒精饮料（啤酒除外）;⽩酒;果酒（含酒精）;蒸馏饮料;⻩酒;⽶酒;酒精饮料原汁</t>
  </si>
  <si>
    <t>寿老汉</t>
  </si>
  <si>
    <t>杭州玉都实业有限公司</t>
  </si>
  <si>
    <t>鸡尾酒;⻩酒;葡萄酒;烧酒;⽩酒;蜂蜜酒;酒精饮料（啤酒除外）;⽩兰地;果酒（含酒精）;清酒（⽇本⽶酒）</t>
  </si>
  <si>
    <t>文兄</t>
  </si>
  <si>
    <t>深圳市龙眼投资有限公司</t>
  </si>
  <si>
    <t>酒精饮料（啤酒除外）;蜂蜜酒;威⼠忌;⽶酒;鸡尾酒;⻩酒;⽩酒;果酒（含酒精）;⽩兰地;烧酒</t>
  </si>
  <si>
    <t>潮味一心匠品</t>
  </si>
  <si>
    <t>广州市一心惠农贸易有限公司</t>
  </si>
  <si>
    <t>五加⽪酒（中国混合烈酒）;⽩兰地;⾕物制蒸馏酒精饮料;⽩酒;葡萄酒;威⼠忌;烈酒;⽶酒;果酒（含酒精）;⽼酒（中国蒸馏烈酒）</t>
  </si>
  <si>
    <t>寿玄明</t>
  </si>
  <si>
    <t>鸡尾酒;⽩酒;酒精饮料（啤酒除外）;⻩酒;蜂蜜酒;葡萄酒;果酒（含酒精）;清酒（⽇本⽶酒）;烧酒;⽩兰地</t>
  </si>
  <si>
    <t>桑小九</t>
  </si>
  <si>
    <t>肖小俄</t>
  </si>
  <si>
    <t>鸡尾酒;威⼠忌;酒精饮料（啤酒除外）;果酒（含酒精）;⽶酒;含⽔果酒精饮料;⻩酒;⽩酒;葡萄酒;烈酒（饮料）</t>
  </si>
  <si>
    <t>宋县令</t>
  </si>
  <si>
    <t>⻩酒;葡萄酒;清酒（⽇本⽶酒）;⽩兰地;⽩酒;利⼝酒;鸡尾酒;烧酒;果酒;薄荷酒</t>
  </si>
  <si>
    <t>君帅美</t>
  </si>
  <si>
    <t>果酒（含酒精）;烧酒;⽩兰地;⽶酒;甜酒;以葡萄酒为主的饮料;酒精饮料（啤酒除外）;⽩酒;汽酒;⻩酒</t>
  </si>
  <si>
    <t>懿境</t>
  </si>
  <si>
    <t>毛瀛</t>
  </si>
  <si>
    <t>⽩兰地;⾷⽤酒精;果酒（含酒精）;葡萄酒;鸡尾酒;⻩酒;酒精饮料（啤酒除外）;⽩酒;⽶酒;含⽔果酒精饮料</t>
  </si>
  <si>
    <t>华鼎天</t>
  </si>
  <si>
    <t>冉长飞</t>
  </si>
  <si>
    <t>烈酒（饮料）;含⽔果酒精饮料;⾼粱酒;烧酒;烈酒;清酒（⽇本⽶酒）;葡萄酒;⽩⼲酒（中国⽩酒）;⽶酒;⽩酒</t>
  </si>
  <si>
    <t>同福运</t>
  </si>
  <si>
    <t>清酒（⽇本⽶酒）;⽩⼲酒（中国⽩酒）;⾼粱酒;烈酒;含⽔果酒精饮料;⽩酒;烈酒（饮料）;⽶酒;葡萄酒;烧酒</t>
  </si>
  <si>
    <t>赢王禧</t>
  </si>
  <si>
    <t>⽶酒;⻩酒;烧酒;以葡萄酒为主的饮料;⽩酒;果酒（含酒精）;酒精饮料（啤酒除外）;汽酒;甜酒;⽩兰地</t>
  </si>
  <si>
    <t>Z</t>
  </si>
  <si>
    <t>南京醉花池酒业有限责任公司</t>
  </si>
  <si>
    <t>鸡尾酒;蜂蜜酒;果酒;葡萄酒;餐后酒（利⼝酒和烈酒）;烈酒;蒸馏饮料;⻩酒;⽩酒;⽶酒</t>
  </si>
  <si>
    <t>盏川沏</t>
  </si>
  <si>
    <t>酒精饮料浓缩汁;⾷⽤酒精;蒸煮提取物（利⼝酒和烈酒）;⽶酒;果酒（含酒精）;葡萄酒;⽩酒;酒精饮料（啤酒除外）;烧酒;烧酒（烈酒）</t>
  </si>
  <si>
    <t>帝爹拉蓝图</t>
  </si>
  <si>
    <t>蜂蜜酒;果酒（含酒精）;葡萄酒;利⼝酒;⻩酒;⽩酒;威⼠忌;⽶酒;开胃酒;⽩兰地</t>
  </si>
  <si>
    <t>不略</t>
  </si>
  <si>
    <t>莱州市镜月商贸有限公司</t>
  </si>
  <si>
    <t>利⼝酒;⽩酒;甜酒;果酒（含酒精）;汽酒;鸡尾酒;预先混合的酒精饮料（以啤酒为主的除外）;烈酒（饮料）;酒精饮料（啤酒除外）;葡萄酒</t>
  </si>
  <si>
    <t>同福潭</t>
  </si>
  <si>
    <t>⽩酒;⽩⼲酒（中国⽩酒）;烈酒;⾼粱酒;含⽔果酒精饮料;清酒（⽇本⽶酒）;⽶酒;葡萄酒;烈酒（饮料）;烧酒</t>
  </si>
  <si>
    <t>义乡醇</t>
  </si>
  <si>
    <t>重庆永游酒业有限公司</t>
  </si>
  <si>
    <t>葡萄酒;⽩兰地;汽酒;开胃酒;威⼠忌;⻩酒;伏特加酒;朗姆酒;鸡尾酒;⽩酒</t>
  </si>
  <si>
    <t>度仙翁</t>
  </si>
  <si>
    <t>王连义</t>
  </si>
  <si>
    <t>威⼠忌;葡萄酒;开胃酒;鸡尾酒;⻩酒;酒精饮料（啤酒除外）;果酒（含酒精）;清酒（⽇本⽶酒）;⽩酒;烈酒</t>
  </si>
  <si>
    <t>长兴兰香</t>
  </si>
  <si>
    <t>长兴三歌旅游开发有限公司</t>
  </si>
  <si>
    <t>开胃酒;⻩酒;葡萄酒;果酒;⽩酒;含⽔果酒精饮料;鸡尾酒;⽶酒;烧酒;烈酒</t>
  </si>
  <si>
    <t>君王潭</t>
  </si>
  <si>
    <t>陈小玲</t>
  </si>
  <si>
    <t>葡萄酒;甜酒;以葡萄酒为主的饮料;⽩兰地;果酒(含酒精);⽶酒;⻩酒;含酒精的饮料(啤酒除外);威⼠忌;⽩酒</t>
  </si>
  <si>
    <t>亚汀</t>
  </si>
  <si>
    <t>洪雨顺</t>
  </si>
  <si>
    <t>开胃酒;葡萄酒;烈酒（饮料）;清酒（⽇本⽶酒）;⽩酒;威⼠忌;鸡尾酒;酒精饮料（啤酒除外）;⻩酒;果酒</t>
  </si>
  <si>
    <t>湘县令</t>
  </si>
  <si>
    <t>烧酒;⻩酒;⽩酒;葡萄酒;薄荷酒;果酒;利⼝酒;清酒（⽇本⽶酒）;⽩兰地;鸡尾酒</t>
  </si>
  <si>
    <t>时珍唐</t>
  </si>
  <si>
    <t>贵匠祥和</t>
  </si>
  <si>
    <t>郑州青和林服饰有限公司</t>
  </si>
  <si>
    <t>⻩酒;葡萄酒;已调味的蒸馏酒;果酒（含酒精）;预先混合的酒精饮料（以啤酒为主的除外）;⽩酒;⾼粱酒;露酒;⽶酒;烧酒</t>
  </si>
  <si>
    <t>那香海</t>
  </si>
  <si>
    <t>山东万恒置业投资有限公司</t>
  </si>
  <si>
    <t>⻩酒;烧酒;⽩兰地;葡萄酒;鸡尾酒;⽶酒;⽩酒;威⼠忌;果酒（含酒精）;酒精饮料（啤酒除外）</t>
  </si>
  <si>
    <t>君乘</t>
  </si>
  <si>
    <t>⽶酒;果酒（含酒精）;以葡萄酒为主的饮料;⽩兰地;⻩酒;甜酒;⽩酒;烧酒;汽酒;酒精饮料（啤酒除外）</t>
  </si>
  <si>
    <t>原凤</t>
  </si>
  <si>
    <t>陕西原池凤香酒业有限公司</t>
  </si>
  <si>
    <t>酒精饮料浓缩汁;含酒精的饮料（啤酒除外）;⽩⼲酒（中国⽩酒）;葡萄酒;⽼酒（中国蒸馏烈酒）;烈酒（饮料）;⾕物制蒸馏酒精饮料;⻩酒;烧酒;⽩酒</t>
  </si>
  <si>
    <t>亿樽酒乡</t>
  </si>
  <si>
    <t>覃先兰</t>
  </si>
  <si>
    <t>果酒（含酒精）;烈酒（饮料）;⾕物制蒸馏酒精饮料;烧酒;⻩酒;⽶酒;鸡尾酒;葡萄酒;酒精饮料（啤酒除外）;⽩酒</t>
  </si>
  <si>
    <t>JINJIANGYELU</t>
  </si>
  <si>
    <t>洪进</t>
  </si>
  <si>
    <t>果酒（含酒精）;预先混合的酒精饮料（以啤酒为主的除外）;葡萄酒;⾷⽤酒精;⽩酒;威⼠忌;酒精饮料（啤酒除外）;蒸馏饮料;酒精饮料原汁;清酒（⽇本⽶酒）</t>
  </si>
  <si>
    <t>漕溪颐园</t>
  </si>
  <si>
    <t>四川佳乐酒业股份有限公司</t>
  </si>
  <si>
    <t>果酒（含酒精）;威⼠忌;烧酒;烈酒（饮料）;含⽔果酒精饮料;利⼝酒;酒精饮料（啤酒除外）;⻩酒;葡萄酒;⽩酒</t>
  </si>
  <si>
    <t>恍美人</t>
  </si>
  <si>
    <t>陈科全</t>
  </si>
  <si>
    <t>鸡尾酒;樱桃酒;⽶酒;果酒（含酒精）;⽩酒;葡萄酒;开胃酒;烧酒;酒精饮料（啤酒除外）;朗姆酒</t>
  </si>
  <si>
    <t>天门祥</t>
  </si>
  <si>
    <t>⽩酒;清酒（⽇本⽶酒）;烈酒;含⽔果酒精饮料;烈酒（饮料）;葡萄酒;⽩⼲酒（中国⽩酒）;⾼粱酒;烧酒;⽶酒</t>
  </si>
  <si>
    <t>高洲花好月圆</t>
  </si>
  <si>
    <t>四川省宜宾高洲酒业有限责任公司</t>
  </si>
  <si>
    <t>露酒;果酒（含酒精）;苹果酒;烈酒（饮料）;餐后酒（利⼝酒和烈酒）;⾕物制蒸馏酒精饮料;⽶酒;葡萄酒;蒸馏饮料;⽩酒</t>
  </si>
  <si>
    <t>酝古今</t>
  </si>
  <si>
    <t>鸡尾酒;葡萄酒;⽩酒;威⼠忌;烈酒;果酒（含酒精）;⻩酒;开胃酒;清酒（⽇本⽶酒）;酒精饮料（啤酒除外）</t>
  </si>
  <si>
    <t>昌恒酒坊</t>
  </si>
  <si>
    <t>利⼝酒;含⽔果酒精饮料;烧酒;烈酒（饮料）;⻩酒;果酒（含酒精）;葡萄酒;威⼠忌;⽩酒;酒精饮料（啤酒除外）</t>
  </si>
  <si>
    <t>酌造</t>
  </si>
  <si>
    <t>汪苏娟</t>
  </si>
  <si>
    <t>葡萄酒;⻩酒;鸡尾酒;威⼠忌;⽩酒;酒精饮料原汁;果酒（含酒精）;蒸馏饮料;⽶酒;酒精饮料（啤酒除外）</t>
  </si>
  <si>
    <t>顺九欢</t>
  </si>
  <si>
    <t>开胃酒;清酒（⽇本⽶酒）;⽩酒;果酒（含酒精）;葡萄酒;鸡尾酒;⻩酒;威⼠忌;烈酒;酒精饮料（啤酒除外）</t>
  </si>
  <si>
    <t>EARLROYAL</t>
  </si>
  <si>
    <t>广东哈力高大健康产业有限公司</t>
  </si>
  <si>
    <t>蒸馏饮料;伏特加酒;果酒（含酒精）;鸡尾酒;朗姆酒;⽩兰地;威⼠忌;葡萄酒;⽶酒;柑⾹酒</t>
  </si>
  <si>
    <t>深圳市钟大姐健康产业发展有限公司</t>
  </si>
  <si>
    <t>蒸馏⽶酒（泡盛酒）;果酒;佐餐酒;⽶酒;⾕物制蒸馏酒精饮料;⻩酒;⽩酒;已调味的蒸馏酒;烧酒;⽼酒（中国蒸馏烈酒）</t>
  </si>
  <si>
    <t>问飞仙</t>
  </si>
  <si>
    <t>烈酒;烧酒;⽩酒;清酒（⽇本⽶酒）;⽶酒;⾼粱酒;烈酒（饮料）;葡萄酒;含⽔果酒精饮料;⽩⼲酒（中国⽩酒）</t>
  </si>
  <si>
    <t>露娜诗</t>
  </si>
  <si>
    <t>郁树林</t>
  </si>
  <si>
    <t>葡萄酒;伏特加酒;果酒（含酒精）;⽩兰地;朗姆酒;烧酒;汽酒;⽩酒;威⼠忌;⽶酒</t>
  </si>
  <si>
    <t>索河·堓边宿集</t>
  </si>
  <si>
    <t>武汉市蔡甸区索河街道文化体育服务中心</t>
  </si>
  <si>
    <t>⻩酒;⽩酒;⾕物制蒸馏酒精饮料;清酒（⽇本⽶酒）;酒精饮料原汁;含酒精的⽓泡⽔;酒精饮料（啤酒除外）;鸡尾酒;葡萄酒;果酒（含酒精）</t>
  </si>
  <si>
    <t>骏旅</t>
  </si>
  <si>
    <t>⽩酒;鸡尾酒;果酒（含酒精）;⽩兰地;⻩酒;葡萄酒;清酒;威⼠忌;烧酒;⽶酒</t>
  </si>
  <si>
    <t>VITA KEY</t>
  </si>
  <si>
    <t>李瑞庆</t>
  </si>
  <si>
    <t>果酒（含酒精）;鸡尾酒;葡萄酒;苹果酒;酒精饮料（啤酒除外）;亚⼒酒;清酒;含⽔果酒精饮料;烧酒;杜松⼦酒</t>
  </si>
  <si>
    <t>预多宝</t>
  </si>
  <si>
    <t>⻩酒;⾕物制蒸馏酒精饮料;⻘稞酒;⾼粱酒;果酒（含酒精）;清酒（⽇本⽶酒）;⽩酒;酒精饮料（啤酒除外）;葡萄酒;⽶酒</t>
  </si>
  <si>
    <t>仰厚康</t>
  </si>
  <si>
    <t>地龙力生物工程（天津）有限公司</t>
  </si>
  <si>
    <t>开胃酒;汽酒;利⼝酒;⽩酒;果酒（含酒精）;烧酒;葡萄酒;⻩酒;酒精饮料（啤酒除外）;烈酒（饮料）</t>
  </si>
  <si>
    <t>庆丰乐</t>
  </si>
  <si>
    <t>霍东宇</t>
  </si>
  <si>
    <t>酒精饮料原汁;⽩酒;果酒（含酒精）;葡萄酒;⻩酒;开胃酒;鸡尾酒;利⼝酒;酒精饮料（啤酒除外）;⽶酒</t>
  </si>
  <si>
    <t>喜梧桐</t>
  </si>
  <si>
    <t>鸡尾酒;葡萄酒;利⼝酒;酒精饮料原汁;开胃酒;⽶酒;⻩酒;⽩酒;果酒（含酒精）;酒精饮料（啤酒除外）</t>
  </si>
  <si>
    <t>浆飨</t>
  </si>
  <si>
    <t>昆明医萃多美容服务有限公司</t>
  </si>
  <si>
    <t>⻩酒;⾼粱酒;⽼酒（中国蒸馏烈酒）;⽩⼲酒（中国⽩酒）;⽢蔗制酒精饮料;烧酒;烧酒（烈酒）;烈酒;蒸馏⽶酒（泡盛酒）;⽩酒</t>
  </si>
  <si>
    <t>BAOLIXIONG</t>
  </si>
  <si>
    <t>长沙港大贸易有限公司</t>
  </si>
  <si>
    <t>果酒（含酒精）;⽶酒;鸡尾酒;烈酒（饮料）;⾼粱酒;甜酒;葡萄酒;酒精饮料（啤酒除外）;⾕物制蒸馏酒精饮料;⽩酒</t>
  </si>
  <si>
    <t>云南盛翔鸿商贸有限公司</t>
  </si>
  <si>
    <t>葡萄酒;蒸馏饮料;威⼠忌;⽶酒;天然汽酒;果酒;蜂蜜酒;⽩酒;烈酒;开胃酒</t>
  </si>
  <si>
    <t>妙酒翁</t>
  </si>
  <si>
    <t>果酒（含酒精）;葡萄酒;⽶酒;酒精饮料（啤酒除外）;⽩酒;烈酒（饮料）;烧酒;威⼠忌;⻩酒;鸡尾酒</t>
  </si>
  <si>
    <t>露盟小客</t>
  </si>
  <si>
    <t>温州市露萌食品有限公司</t>
  </si>
  <si>
    <t>果酒（含酒精）;烈酒（饮料）;伏特加酒;⾷⽤酒精;葡萄酒;⻩酒;威⼠忌;⽩酒;⽩兰地;朗姆酒</t>
  </si>
  <si>
    <t>猫瀑</t>
  </si>
  <si>
    <t>果酒;⽩兰地;鸡尾酒;烧酒;葡萄酒;薄荷酒;⻩酒;清酒（⽇本⽶酒）;利⼝酒;⽩酒</t>
  </si>
  <si>
    <t>醉意龙宴</t>
  </si>
  <si>
    <t>⽩兰地;⽩酒;酒精饮料（啤酒除外）;威⼠忌;梅酒;⽼酒（中国蒸馏烈酒）;露酒;葡萄酒;⾼粱酒;⾕物制蒸馏酒精饮料</t>
  </si>
  <si>
    <t>砖满满</t>
  </si>
  <si>
    <t>佛山市浩峰贸易有限公司</t>
  </si>
  <si>
    <t>蒸馏饮料;果酒（含酒精）;烧酒;开胃酒;酒精饮料（啤酒除外）;薄荷酒;⽩兰地;⽶酒;⻩酒;葡萄酒</t>
  </si>
  <si>
    <t>郭逍遥</t>
  </si>
  <si>
    <t>⽩兰地;⻩酒;威⼠忌;果酒（含酒精）;⽩酒;⽶酒;葡萄酒;鸡尾酒;烧酒;清酒</t>
  </si>
  <si>
    <t>高洲春酿</t>
  </si>
  <si>
    <t>蒸馏饮料;露酒;⽶酒;果酒（含酒精）;葡萄酒;烈酒（饮料）;⽩酒;餐后酒（利⼝酒和烈酒）;⾕物制蒸馏酒精饮料;苹果酒</t>
  </si>
  <si>
    <t>人鱼洞</t>
  </si>
  <si>
    <t>深圳市金联和旅游服务有限公司</t>
  </si>
  <si>
    <t>鸡尾酒;⽩兰地;威⼠忌;薄荷酒;⻩酒;⽩酒;果酒（含酒精）;葡萄酒;⽶酒;含⽔果酒精饮料</t>
  </si>
  <si>
    <t>江南宗</t>
  </si>
  <si>
    <t>酒精饮料（啤酒除外）;⽩兰地;果酒（含酒精）;⽩酒;甜酒;烧酒;⽶酒;汽酒;⻩酒;以葡萄酒为主的饮料</t>
  </si>
  <si>
    <t>刘利娜</t>
  </si>
  <si>
    <t>清酒（⽇本⽶酒）;酒精饮料（啤酒除外）;酒精饮料原汁;⾷⽤酒精;葡萄酒;预先混合的酒精饮料（以啤酒为主的除外）;果酒（含酒精）;威⼠忌;⽩酒;蒸馏饮料</t>
  </si>
  <si>
    <t>PRECEDE</t>
  </si>
  <si>
    <t>北京普利斯特科技有限公司</t>
  </si>
  <si>
    <t>⽶酒;蒸煮提取物（利⼝酒和烈酒）;酒精饮料（啤酒除外）;茴芹酒（利⼝酒）;梨酒;酒精饮料原汁;含⽔果酒精饮料;薄荷酒;威⼠忌;酸酒（低等葡萄酒）</t>
  </si>
  <si>
    <t>猫二皮</t>
  </si>
  <si>
    <t>果酒;利⼝酒;⻩酒;⽩酒;鸡尾酒;清酒（⽇本⽶酒）;⽩兰地;葡萄酒;薄荷酒;烧酒</t>
  </si>
  <si>
    <t>高炉实干家</t>
  </si>
  <si>
    <t>安徽双轮酒业有限责任公司</t>
  </si>
  <si>
    <t>果酒（含酒精）;清酒（⽇本⽶酒）;威⼠忌;⻩酒;汽酒;⽶酒;烧酒（烈酒）;烧酒;葡萄酒;⽩酒</t>
  </si>
  <si>
    <t>沂崖官庄</t>
  </si>
  <si>
    <t>临沂庆云山餐饮经营有限公司</t>
  </si>
  <si>
    <t>烧酒;朗姆酒;⻘稞酒;葡萄酒;烈酒（饮料）;伏特加酒;⽩酒;果酒（含酒精）;鸡尾酒;⽶酒</t>
  </si>
  <si>
    <t>贡虢王将</t>
  </si>
  <si>
    <t>成文慧610324********0021</t>
  </si>
  <si>
    <t>果酒（含酒精）;⽶酒;⽩⼲酒（中国⽩酒）;烧酒;以葡萄酒为主的饮料;⾼粱酒;⽩酒;蜂蜜酒;⻘稞酒;酒精饮料（啤酒除外）</t>
  </si>
  <si>
    <t>趣车良品</t>
  </si>
  <si>
    <t>深圳市先多科技有限公司</t>
  </si>
  <si>
    <t>葡萄酒;⽩酒;果酒（含酒精）;薄荷酒;⻩酒;蒸馏饮料;酒精饮料（啤酒除外）;威⼠忌;含⽔果酒精饮料;开胃酒</t>
  </si>
  <si>
    <t>雁君梦</t>
  </si>
  <si>
    <t>金科杰</t>
  </si>
  <si>
    <t>烧酒;威⼠忌;蒸馏饮料;酒精饮料原汁;清酒;烈酒（饮料）;鸡尾酒;含⽔果酒精饮料;果酒（含酒精）;⽩酒</t>
  </si>
  <si>
    <t>呈蓝</t>
  </si>
  <si>
    <t>李文彩532423********0334</t>
  </si>
  <si>
    <t>⽩兰地;酒精饮料（啤酒除外）;果酒（含酒精）;烈酒;酒精饮料浓缩汁;烧酒;⽩酒;⾷⽤酒精;清酒;⽶酒</t>
  </si>
  <si>
    <t>醉观山</t>
  </si>
  <si>
    <t>河南润瀚玻璃有限公司</t>
  </si>
  <si>
    <t>蜂蜜酒;⽩酒;果酒;威⼠忌;⻩酒;烧酒;⽶酒;葡萄酒;清酒;伏特加酒</t>
  </si>
  <si>
    <t>WILLTOURY</t>
  </si>
  <si>
    <t>未旅品牌运营（深圳）有限公司</t>
  </si>
  <si>
    <t>葡萄酒;清酒（⽇本⽶酒）;⽶酒;⻩酒;⽩酒;烈酒（饮料）;果酒（含酒精）;酒精饮料（啤酒除外）;烧酒;鸡尾酒</t>
  </si>
  <si>
    <t>高洲工匠大师</t>
  </si>
  <si>
    <t>果酒（含酒精）;蒸馏饮料;⽶酒;苹果酒;葡萄酒;餐后酒（利⼝酒和烈酒）;烈酒（饮料）;露酒;⾕物制蒸馏酒精饮料;⽩酒</t>
  </si>
  <si>
    <t>古蜀金窑</t>
  </si>
  <si>
    <t>四川古蜀坊酒业有限责任公司</t>
  </si>
  <si>
    <t>⽩酒;葡萄酒;酒精饮料（啤酒除外）;果酒（含酒精）;鸡尾酒;酒精饮料原汁;清酒（⽇本⽶酒）;烈酒;⾼粱酒;⽩⼲酒（中国⽩酒）</t>
  </si>
  <si>
    <t>晃美人</t>
  </si>
  <si>
    <t>果酒（含酒精）;樱桃酒;酒精饮料（啤酒除外）;朗姆酒;葡萄酒;开胃酒;⽩酒;鸡尾酒;烧酒;⽶酒</t>
  </si>
  <si>
    <t>仲领康</t>
  </si>
  <si>
    <t>南阳仲领康科技有限公司</t>
  </si>
  <si>
    <t>甜果酒;蒸煮提取物（利⼝酒和烈酒）;伏特加酒;果酒（含酒精）;⻩酒;⽶酒;葡萄酒;⻘稞酒;鸡尾酒;⽩酒</t>
  </si>
  <si>
    <t>猫小满</t>
  </si>
  <si>
    <t>果酒;⻩酒;⽩酒;烧酒;鸡尾酒;⽩兰地;利⼝酒;葡萄酒;薄荷酒;清酒（⽇本⽶酒）</t>
  </si>
  <si>
    <t>酷小九</t>
  </si>
  <si>
    <t>殷爱芹</t>
  </si>
  <si>
    <t>威⼠忌;⽩酒;酒精饮料浓缩汁;蒸馏饮料;⽶酒;酒精饮料（啤酒除外）;果酒（含酒精）;鸡尾酒;⻩酒;葡萄酒</t>
  </si>
  <si>
    <t>春梁泱</t>
  </si>
  <si>
    <t>烧酒（烈酒）;⾷⽤酒精;葡萄酒;烧酒;⽩酒;酒精饮料浓缩汁;蒸煮提取物（利⼝酒和烈酒）;⽶酒;酒精饮料（啤酒除外）;果酒（含酒精）</t>
  </si>
  <si>
    <t>刘建君</t>
  </si>
  <si>
    <t>果酒（含酒精）;⽶酒;朗姆酒;烧酒;预先混合的酒精饮料（以啤酒为主的除外）;威⼠忌;⽩酒;⽩兰地;⻩酒;葡萄酒</t>
  </si>
  <si>
    <t>栀昕 GARDESUNIA</t>
  </si>
  <si>
    <t>北京时光栀语科技有限公司</t>
  </si>
  <si>
    <t>果酒（含酒精）;鸡尾酒;⽩兰地;杜松⼦酒;酒精饮料（啤酒除外）;清酒;餐后酒（利⼝酒和烈酒）;薄荷酒;开胃酒;佐餐酒</t>
  </si>
  <si>
    <t>2024/06/27</t>
  </si>
  <si>
    <t>首江</t>
  </si>
  <si>
    <t>河南首江实业集团有限公司</t>
  </si>
  <si>
    <t>果酒（含酒精）;酒精饮料（啤酒除外）;⾕物制蒸馏酒精饮料;⾷⽤酒精;葡萄酒;⽶酒;以葡萄酒为主的饮料;⻘稞酒;⻩酒;⽩酒</t>
  </si>
  <si>
    <t>将贺坊</t>
  </si>
  <si>
    <t>烧酒;⾷⽤酒精;由⾕物蒸馏的⽩酒;⾼粱酒;⾕物制蒸馏酒精饮料;烈酒;蒸煮提取物（利⼝酒和烈酒）;⽩酒;⽶酒;果酒</t>
  </si>
  <si>
    <t>舆悦</t>
  </si>
  <si>
    <t>河南月旦评酒业有限责任公司</t>
  </si>
  <si>
    <t>烧酒;⽶酒;果酒（含酒精）;⽩兰地;烈酒（饮料）;⻩酒;葡萄酒;威⼠忌;鸡尾酒;⽩酒</t>
  </si>
  <si>
    <t>知子令</t>
  </si>
  <si>
    <t>登封市天商商贸有限公司</t>
  </si>
  <si>
    <t>葡萄酒;含⽔果酒精饮料;⾷⽤酒精;酒精饮料（啤酒除外）;果酒（含酒精）;烈酒（饮料）;鸡尾酒;⻩酒;酒精饮料原汁;⽩酒</t>
  </si>
  <si>
    <t>百贡城</t>
  </si>
  <si>
    <t>慈利县供销投资发展有限公司</t>
  </si>
  <si>
    <t>威⼠忌;果酒（含酒精）;⽩兰地;葡萄酒;⽩酒;鸡尾酒;烈酒（饮料）;酒精饮料（啤酒除外）;⾼粱酒;⽶酒</t>
  </si>
  <si>
    <t>皮哈哈</t>
  </si>
  <si>
    <t>浙江德瑞供应链管理有限公司</t>
  </si>
  <si>
    <t>酒精饮料浓缩汁;⽩葡萄酒;以葡萄酒为主的饮料;葡萄汽酒;利⼝酒;烈酒（饮料）;酒精饮料原汁;酒精饮料（啤酒除外）;含⽔果酒精饮料;⻩酒;果酒（含酒精）;鸡尾酒;葡萄酒;⽩兰地;⽩酒;蒸馏饮料;威⼠忌;桃红葡萄酒;红葡萄酒;伏特加酒</t>
  </si>
  <si>
    <t>礼钻</t>
  </si>
  <si>
    <t>梨酒;⽶酒;烧酒;开胃酒;⻘稞酒;利⼝酒;⻩酒;⽩酒;清酒（⽇本⽶酒）;葡萄酒</t>
  </si>
  <si>
    <t>醉江晏</t>
  </si>
  <si>
    <t>熊代超</t>
  </si>
  <si>
    <t>⻩酒;烈酒（饮料）;⽩酒;酒精饮料（啤酒除外）;清酒（⽇本⽶酒）;果酒（含酒精）;烧酒;葡萄酒;⽶酒;鸡尾酒</t>
  </si>
  <si>
    <t>花相守</t>
  </si>
  <si>
    <t>酒精饮料（啤酒除外）;开胃酒;葡萄酒;果酒(含酒精);鸡尾酒;⻩酒;⽩酒;烈酒(饮料);烧酒(烈酒);⽼酒(中国蒸馏烈酒)</t>
  </si>
  <si>
    <t>赣红泉</t>
  </si>
  <si>
    <t>江西省红泉酒业有限公司</t>
  </si>
  <si>
    <t>⻩酒;⽶酒;⾼粱酒;果酒;葡萄酒;烈酒;⽼酒（中国蒸馏烈酒）;⽩酒;⽩兰地;烧酒（烈酒）</t>
  </si>
  <si>
    <t>知吃甄选</t>
  </si>
  <si>
    <t>上海知吃文化传媒有限公司</t>
  </si>
  <si>
    <t>威⼠忌;葡萄酒;果酒（含酒精）;酒精饮料原汁;预先混合的酒精饮料（以啤酒为主的除外）;⽩酒;酒精饮料（啤酒除外）;烧酒;鸡尾酒;清酒（⽇本⽶酒）</t>
  </si>
  <si>
    <t>玖龙丰功棠</t>
  </si>
  <si>
    <t>张伟</t>
  </si>
  <si>
    <t>果酒（含酒精）;鸡尾酒;⻩酒;⽶酒;⽢蔗制烈酒;葡萄酒;酒精饮料（啤酒除外）;烧酒;烈酒（饮料）;⽩酒</t>
  </si>
  <si>
    <t>黄金蔚</t>
  </si>
  <si>
    <t>海口琼山区三秋食品经营部（个体工商户）</t>
  </si>
  <si>
    <t>烧酒;⽶酒;⻩酒;威⼠忌;⽩酒;梅酒;⽼酒（中国蒸馏烈酒）;含酒精的饮料（啤酒除外）;葡萄酒;果酒</t>
  </si>
  <si>
    <t>豪酒杰</t>
  </si>
  <si>
    <t>深圳市书豪文杰信息科技有限公司</t>
  </si>
  <si>
    <t>⻩酒;烈酒（饮料）;⾷⽤酒精;⽩酒;酒精饮料原汁;⾕物制蒸馏酒精饮料;⽶酒;⻘稞酒;汽酒;烧酒</t>
  </si>
  <si>
    <t>燃状元</t>
  </si>
  <si>
    <t>王臣磊</t>
  </si>
  <si>
    <t>果酒（含酒精）;⻩酒;鸡尾酒;威⼠忌;清酒（⽇本⽶酒）;酒精饮料（啤酒除外）;开胃酒;葡萄酒;⽩酒;烈酒</t>
  </si>
  <si>
    <t>管姐姐</t>
  </si>
  <si>
    <t>江阴市管姐姐健康科技服务有限公司</t>
  </si>
  <si>
    <t>⻩酒;鸡尾酒;果酒（含酒精）;苹果酒;⽩酒;蜂蜜酒;⾷⽤酒精;葡萄酒;清酒（⽇本⽶酒）;威⼠忌</t>
  </si>
  <si>
    <t>鼠小于</t>
  </si>
  <si>
    <t>于少金</t>
  </si>
  <si>
    <t>⽩酒;葡萄酒;含酒精的⽓泡⽔;含⽔果酒精饮料;开胃酒;蒸煮提取物（利⼝酒和烈酒）;果酒（含酒精）;⻩酒;⽶酒;利⼝酒</t>
  </si>
  <si>
    <t>金钻韵</t>
  </si>
  <si>
    <t>⻩酒;⽩酒;开胃酒;葡萄酒;烧酒;梨酒;清酒（⽇本⽶酒）;威⼠忌;⻘稞酒;利⼝酒</t>
  </si>
  <si>
    <t>桃花朵朵开</t>
  </si>
  <si>
    <t>鸡尾酒;果酒（含酒精）;清酒（⽇本⽶酒）;烧酒;威⼠忌;含⽔果酒精饮料;⽩酒;葡萄酒;烈酒（饮料）;酸酒（低等葡萄酒）</t>
  </si>
  <si>
    <t>舆礼</t>
  </si>
  <si>
    <t>威⼠忌;鸡尾酒;烈酒（饮料）;果酒（含酒精）;⽶酒;⽩酒;⻩酒;葡萄酒;烧酒;⽩兰地</t>
  </si>
  <si>
    <t>顺酩清</t>
  </si>
  <si>
    <t>烧酒（烈酒）;酒精饮料浓缩汁;酒精饮料（啤酒除外）;葡萄酒;果酒（含酒精）;⾷⽤酒精;蒸煮提取物（利⼝酒和烈酒）;⽶酒;⽩酒;烧酒</t>
  </si>
  <si>
    <t>多彩松</t>
  </si>
  <si>
    <t>吴秋月</t>
  </si>
  <si>
    <t>⽩⼲酒（中国⽩酒）;含酒精的⽓泡⽔;酒精饮料（啤酒除外）;⽩酒;果酒;汽酒;葡萄酒;烧酒;⻩酒;⽶酒</t>
  </si>
  <si>
    <t>花云边</t>
  </si>
  <si>
    <t>⽶酒;果酒（含酒精）;鸡尾酒;烧酒;⽩酒;蒸馏饮料;⽩兰地;⻩酒;威⼠忌;葡萄酒</t>
  </si>
  <si>
    <t>CHUANGYOU</t>
  </si>
  <si>
    <t>中山市创优科技研发有限公司</t>
  </si>
  <si>
    <t>果酒;鸡尾酒;葡萄酒;⽩兰地;威⼠忌;⽶酒;⽩酒;⻩酒;烈酒（饮料）;含⽔果酒精饮料</t>
  </si>
  <si>
    <t>池风雾</t>
  </si>
  <si>
    <t>江西永健六粮酒业有限公司</t>
  </si>
  <si>
    <t>蒸馏饮料;烧酒;⽩酒;酒精饮料（啤酒除外）;果酒;⻩酒;⾷⽤酒精;⽶酒;甜酒;⾼粱酒</t>
  </si>
  <si>
    <t>川粱台</t>
  </si>
  <si>
    <t>魏昕宇</t>
  </si>
  <si>
    <t>⽩酒;果酒（含酒精）;⽶酒;酒精饮料（啤酒除外）;葡萄酒;烧酒;蒸煮提取物（利⼝酒和烈酒）;⾷⽤酒精;⾼粱酒;酒精饮料浓缩汁</t>
  </si>
  <si>
    <t>丰仙醉</t>
  </si>
  <si>
    <t>⾷⽤酒精;⾼粱酒;葡萄酒;酒精饮料浓缩汁;酒精饮料（啤酒除外）;蒸煮提取物（利⼝酒和烈酒）;果酒（含酒精）;⽩酒;⽶酒;烧酒</t>
  </si>
  <si>
    <t>浙江宓大昌农业发展有限公司</t>
  </si>
  <si>
    <t>徽寻</t>
  </si>
  <si>
    <t>⽇本梅⼦酒;威⼠忌;⽶酒;露酒;含酒精的饮料（啤酒除外）;薄荷酒;⻩酒;除啤酒外的酒精饮料;⾕物制蒸馏酒精饮料;⽩酒</t>
  </si>
  <si>
    <t>佬村民</t>
  </si>
  <si>
    <t>林海琴</t>
  </si>
  <si>
    <t>烧酒;⽩酒;⽼酒（中国蒸馏烈酒）;⻘稞酒;蜂蜜酒;⽶酒;⻩酒;清酒;葡萄酒;果酒（含酒精）</t>
  </si>
  <si>
    <t>源来兴</t>
  </si>
  <si>
    <t>林中贤</t>
  </si>
  <si>
    <t>蜂蜜酒;⽶酒;⾷⽤酒精;⽩酒;烧酒;果酒（含酒精）;开胃酒;葡萄酒;⻩酒;蒸煮提取物（利⼝酒和烈酒）</t>
  </si>
  <si>
    <t>绵金樽</t>
  </si>
  <si>
    <t>杨静</t>
  </si>
  <si>
    <t>酒精饮料（啤酒除外）;酒精饮料浓缩汁;⾷⽤酒精;⾼粱酒;蒸煮提取物（利⼝酒和烈酒）;果酒（含酒精）;⽩酒;烧酒;葡萄酒;⽶酒</t>
  </si>
  <si>
    <t>赫御龙</t>
  </si>
  <si>
    <t>闫书鹏</t>
  </si>
  <si>
    <t>果酒（含酒精）;蒸煮提取物（利⼝酒和烈酒）;酒精饮料浓缩汁;⾷⽤酒精;酒精饮料（啤酒除外）;烧酒;⽩酒;⽶酒;葡萄酒;⾼粱酒</t>
  </si>
  <si>
    <t>彩王</t>
  </si>
  <si>
    <t>张连410423********6422</t>
  </si>
  <si>
    <t>⽩酒;含酒精的饮料（啤酒除外）;苹果酒;果酒;葡萄酒;开胃酒;烈酒（饮料）;鸡尾酒;清酒;⻘稞酒</t>
  </si>
  <si>
    <t>蕴钻</t>
  </si>
  <si>
    <t>利⼝酒;⽩酒;开胃酒;⽶酒;烧酒;梨酒;⻘稞酒;清酒（⽇本⽶酒）;⻩酒;葡萄酒</t>
  </si>
  <si>
    <t>柠潭</t>
  </si>
  <si>
    <t>河南飨品酒业有限公司</t>
  </si>
  <si>
    <t>葡萄酒;鸡尾酒;⽩酒;⻩酒;⽶酒;威⼠忌;预先混合的酒精饮料（以啤酒为主的除外）;烧酒;开胃酒;蜂蜜酒</t>
  </si>
  <si>
    <t>舆耀</t>
  </si>
  <si>
    <t>果酒（含酒精）;烈酒（饮料）;⽶酒;葡萄酒;威⼠忌;⽩兰地;⽩酒;⻩酒;烧酒;鸡尾酒</t>
  </si>
  <si>
    <t>古仙天</t>
  </si>
  <si>
    <t>深圳市枫桦教育有限公司</t>
  </si>
  <si>
    <t>葡萄酒;酒精饮料原汁;⽩酒;蒸煮提取物（利⼝酒和烈酒）;果酒;酒精饮料（啤酒除外）;⽶酒;烧酒;⻩酒;酒精饮料浓缩汁</t>
  </si>
  <si>
    <t>虎柔</t>
  </si>
  <si>
    <t>魏新岳</t>
  </si>
  <si>
    <t>烧酒;⽶酒;⽩酒;蒸煮提取物（利⼝酒和烈酒）;葡萄酒;酒精饮料（啤酒除外）;酒精饮料浓缩汁;⾷⽤酒精;果酒（含酒精）;⾼粱酒</t>
  </si>
  <si>
    <t>游荞馚</t>
  </si>
  <si>
    <t>龙游荷宝酒坊</t>
  </si>
  <si>
    <t>蒸馏⽶酒（泡盛酒）;由⾕物蒸馏的⽩酒;梨酒;⾼粱酒;草莓酒;含酒精的⽔果鸡尾酒饮料;⽶酒;⾕物制蒸馏酒精饮料;蒸煮提取物（利⼝酒和烈酒）;苦荞酒</t>
  </si>
  <si>
    <t>缘来良辰</t>
  </si>
  <si>
    <t>易企政（厦门）供应链管理有限公司</t>
  </si>
  <si>
    <t>⽶酒;烈酒（饮料）;⽩兰地;⻩酒;葡萄酒;鸡尾酒;果酒（含酒精）;威⼠忌;⽩酒;开胃酒</t>
  </si>
  <si>
    <t>喜绕玄德</t>
  </si>
  <si>
    <t>唐山福德泉健康科技有限公司</t>
  </si>
  <si>
    <t>烈酒（饮料）;酒精饮料（啤酒除外）;⻘稞酒;烧酒;⾷⽤酒精;果酒（含酒精）;蒸馏饮料;⻩酒;含⽔果酒精饮料;⽩酒</t>
  </si>
  <si>
    <t>书豪文杰</t>
  </si>
  <si>
    <t>⽩酒;烧酒;汽酒;⻩酒;⻘稞酒;烈酒（饮料）;⽶酒;⾕物制蒸馏酒精饮料;酒精饮料原汁;⾷⽤酒精</t>
  </si>
  <si>
    <t>钰天哥</t>
  </si>
  <si>
    <t>香河福福鲜餐饮服务有限公司</t>
  </si>
  <si>
    <t>甜果酒;⽩酒;⽶酒;葡萄酒;烈酒（饮料）;鸡尾酒;烧酒;果酒（含酒精）;酒精饮料（啤酒除外）;⾷⽤酒精</t>
  </si>
  <si>
    <t>古东谣</t>
  </si>
  <si>
    <t>史建东</t>
  </si>
  <si>
    <t>果酒（含酒精）;利⼝酒;含⽔果酒精饮料;⽩酒;以葡萄酒为主的饮料;开胃酒;⾼粱酒;⽩⼲酒（中国⽩酒）;烧酒;除啤酒外的酒精饮料</t>
  </si>
  <si>
    <t>妃洁尔</t>
  </si>
  <si>
    <t>⽶酒;酒精饮料（啤酒除外）;⻩酒;⻘稞酒;葡萄酒;⽩酒;清酒（⽇本⽶酒）;烧酒;⽩兰地;果酒（含酒精）</t>
  </si>
  <si>
    <t>KINTORE</t>
  </si>
  <si>
    <t>客礼司多福有限公司</t>
  </si>
  <si>
    <t>烈酒（饮料）;⽩酒;鸡尾酒;果酒（含酒精）;葡萄酒;利⼝酒;威⼠忌;酒精饮料（啤酒除外）;⽶酒;蒸馏饮料</t>
  </si>
  <si>
    <t>周禀恒</t>
  </si>
  <si>
    <t>贵州周茅酒业有限公司</t>
  </si>
  <si>
    <t>⾷⽤酒精;烈酒（饮料）;⽩酒;酒精饮料（啤酒除外）;酒精饮料浓缩汁;烧酒;葡萄酒;⽶酒;果酒（含酒精）;⻩酒</t>
  </si>
  <si>
    <t>TKEKE</t>
  </si>
  <si>
    <t>枣庄巴承嘉百货有限公司</t>
  </si>
  <si>
    <t>葡萄酒;鸡尾酒;⽩酒;果酒（含酒精）;果酒;⽶酒;⻨芽威⼠忌;露酒;蒸馏饮料;⻩酒</t>
  </si>
  <si>
    <t>宜达福</t>
  </si>
  <si>
    <t>陈德桂</t>
  </si>
  <si>
    <t>甜果酒;开胃酒;蒸馏饮料;茴⾹酒（利⼝酒）;⽩酒;蒸煮提取物（利⼝酒和烈酒）;⻩酒;烧酒;葡萄酒;含⽔果酒精饮料</t>
  </si>
  <si>
    <t>凤宜</t>
  </si>
  <si>
    <t>开胃酒;⽩酒;甜果酒;蒸馏饮料;蒸煮提取物（利⼝酒和烈酒）;茴⾹酒（利⼝酒）;烧酒;葡萄酒;含⽔果酒精饮料;⻩酒</t>
  </si>
  <si>
    <t>滕阁流霞</t>
  </si>
  <si>
    <t>邱凯乐</t>
  </si>
  <si>
    <t>⻩酒;烧酒;蜂蜜酒;⽶酒;薄荷酒;⽩酒;果酒（含酒精）;鸡尾酒;葡萄酒;威⼠忌</t>
  </si>
  <si>
    <t>幸福苍洱</t>
  </si>
  <si>
    <t>大理幸福苍洱酒业有限公司</t>
  </si>
  <si>
    <t>蒸馏饮料;威⼠忌;梅酒;⽩酒;⻘稞酒;酒精饮料（啤酒除外）;露酒;烈酒（饮料）;烧酒;果酒（含酒精）</t>
  </si>
  <si>
    <t>旺池</t>
  </si>
  <si>
    <t>杨宏安410403********1538</t>
  </si>
  <si>
    <t>⽩酒;烈酒（饮料）;葡萄酒;苹果酒;⻘稞酒;果酒;清酒;含酒精的饮料（啤酒除外）;鸡尾酒;开胃酒</t>
  </si>
  <si>
    <t>象牙山鹊刀门</t>
  </si>
  <si>
    <t>三亚象牙山文化科技发展有限公司</t>
  </si>
  <si>
    <t>酒精饮料原汁;⾼粱酒;⽩酒;⽩⼲酒（中国⽩酒）;酒精饮料（啤酒除外）;含酒精的饮料（啤酒除外）;含酒精⽔果饮料;⽩葡萄酒;葡萄酒;红葡萄酒</t>
  </si>
  <si>
    <t>匠酒町</t>
  </si>
  <si>
    <t>葡萄酒;⾷⽤酒精;烧酒;酒精饮料（啤酒除外）;蒸煮提取物（利⼝酒和烈酒）;⽩酒;⾼粱酒;果酒（含酒精）;⽶酒;酒精饮料浓缩汁</t>
  </si>
  <si>
    <t>蓝精灵袋鼠 SMURF KANGAROO</t>
  </si>
  <si>
    <t>上臣名爵酒业（深圳）有限公司</t>
  </si>
  <si>
    <t>⻨芽威⼠忌;⽩酒;⽩兰地;葡萄酒;起泡红葡萄酒;果酒;威⼠忌;朗姆酒;奶油利⼝酒;伏特加酒</t>
  </si>
  <si>
    <t>中能建工（北京）技术有限公司</t>
  </si>
  <si>
    <t>⽩酒;伏特加酒;除啤酒外的酒精饮料;⻘稞酒;⻩酒;威⼠忌;⽶酒;⾼粱酒;清酒;葡萄酒</t>
  </si>
  <si>
    <t>吉麓鸣</t>
  </si>
  <si>
    <t>长春市鹿鸣鹿产品经销有限公司</t>
  </si>
  <si>
    <t>烧酒;开胃酒;含酒精的充⽓饮料（啤酒除外）;蒸煮提取物（利⼝酒和烈酒）;⾼粱酒;烈性⼲酒;⽩酒;葡萄酒;⽼酒（中国蒸馏烈酒）;酒精饮料浓缩汁</t>
  </si>
  <si>
    <t>侨妃红</t>
  </si>
  <si>
    <t>广西容县荣隆酒业有限公司</t>
  </si>
  <si>
    <t>开胃酒;果酒（含酒精）;葡萄酒;利⼝酒;⽩酒;烧酒;⽶酒;酒精饮料（啤酒除外）;⻩酒;烈酒（饮料）</t>
  </si>
  <si>
    <t>韩祥发</t>
  </si>
  <si>
    <t>韩瑛</t>
  </si>
  <si>
    <t>清酒（⽇本⽶酒）;⾷⽤酒精;烧酒;⽶酒;烈酒（饮料）;果酒（含酒精）;⻩酒;蒸馏饮料;⽩酒;酒精饮料（啤酒除外）</t>
  </si>
  <si>
    <t>共尔</t>
  </si>
  <si>
    <t>共创（黑龙江）科技有限公司</t>
  </si>
  <si>
    <t>酒精饮料（啤酒除外）;清酒;⽩酒;⽶酒;⽼酒（中国蒸馏烈酒）;烈酒（饮料）;葡萄酒;烧酒;果酒（含酒精）;⻩酒</t>
  </si>
  <si>
    <t>⽶酒;烧酒;⻘梅酒;⻩酒;红葡萄酒;⻘稞酒;⾼粱酒;⽩葡萄酒;⽩酒;梅酒</t>
  </si>
  <si>
    <t>密钻</t>
  </si>
  <si>
    <t>梨酒;清酒（⽇本⽶酒）;⻘稞酒;利⼝酒;⻩酒;葡萄酒;威⼠忌;烧酒;⽩酒;开胃酒</t>
  </si>
  <si>
    <t>德美益众</t>
  </si>
  <si>
    <t>廊坊市万淼商贸有限公司</t>
  </si>
  <si>
    <t>酒精饮料（啤酒除外）;烧酒;开胃酒;葡萄酒;烈酒（饮料）;蜂蜜酒;⽩酒;蒸馏饮料;鸡尾酒;果酒（含酒精）</t>
  </si>
  <si>
    <t>载相</t>
  </si>
  <si>
    <t>施雅婷</t>
  </si>
  <si>
    <t>果酒;预先混合的酒精饮料（以啤酒为主的除外）;烈酒;预调甜酒;烧酒;开胃酒;酒精饮料（啤酒除外）;⽶酒;⻩酒;⽩酒</t>
  </si>
  <si>
    <t>鹿戟天</t>
  </si>
  <si>
    <t>王帅帅</t>
  </si>
  <si>
    <t>⻩酒;含⽔果酒精饮料;酒精饮料（啤酒除外）;鸡尾酒;葡萄酒;⽶酒;⽩酒;⾷⽤酒精;果酒（含酒精）;⽩兰地</t>
  </si>
  <si>
    <t>卢奈尔</t>
  </si>
  <si>
    <t>湖南中慈国际贸易有限公司</t>
  </si>
  <si>
    <t>鸡尾酒;利⼝酒;威⼠忌;⻩酒;烧酒;⽩酒;含酒精的饮料（啤酒除外）;葡萄酒;烈酒（饮料）;⾷⽤酒精</t>
  </si>
  <si>
    <t>舆雅</t>
  </si>
  <si>
    <t>⽩酒;烧酒;⽶酒;鸡尾酒;⽩兰地;威⼠忌;烈酒（饮料）;⻩酒;葡萄酒;果酒（含酒精）</t>
  </si>
  <si>
    <t>誉绍君</t>
  </si>
  <si>
    <t>王利利</t>
  </si>
  <si>
    <t>⽩兰地;⽶酒;果酒（含酒精）;葡萄酒;⾷⽤酒精;⽩酒;酒精饮料（啤酒除外）;含⽔果酒精饮料;⻩酒;鸡尾酒</t>
  </si>
  <si>
    <t>赢青春</t>
  </si>
  <si>
    <t>果酒（含酒精）;葡萄酒;威⼠忌;鸡尾酒;⽩酒;⻩酒;蒸馏饮料;⽩兰地;烧酒;⽶酒</t>
  </si>
  <si>
    <t>正率</t>
  </si>
  <si>
    <t>王兵</t>
  </si>
  <si>
    <t>⽩兰地;酒精饮料（啤酒除外）;葡萄酒;威⼠忌;⻩酒;⽩酒;鸡尾酒;⽶酒;⾷⽤酒精;含⽔果酒精饮料</t>
  </si>
  <si>
    <t>京后</t>
  </si>
  <si>
    <t>海口龙华区木欣食品经营部（个体工商户）</t>
  </si>
  <si>
    <t>鸡尾酒;⻩酒;⻘梅酒;威⼠忌;酒精饮料（啤酒除外）;果酒;⽩酒;烧酒;葡萄酒;⽶酒</t>
  </si>
  <si>
    <t>中兴汉室</t>
  </si>
  <si>
    <t>武和平</t>
  </si>
  <si>
    <t>果酒（含酒精）;鸡尾酒;葡萄酒;酒精饮料浓缩汁;⽶酒;汽酒;威⼠忌;酒精饮料（啤酒除外）;⽩酒;⻩酒</t>
  </si>
  <si>
    <t>枫御龙</t>
  </si>
  <si>
    <t>果酒（含酒精）;蒸煮提取物（利⼝酒和烈酒）;酒精饮料浓缩汁;⾼粱酒;烧酒;葡萄酒;酒精饮料（啤酒除外）;⽶酒;⾷⽤酒精;⽩酒</t>
  </si>
  <si>
    <t>粮武将</t>
  </si>
  <si>
    <t>林艳青</t>
  </si>
  <si>
    <t>果酒（含酒精）;威⼠忌;烧酒;酒精饮料（啤酒除外）;含⽔果酒精饮料;开胃酒;蒸馏饮料;⻩酒;⽩酒;薄荷酒</t>
  </si>
  <si>
    <t>宇肃空间</t>
  </si>
  <si>
    <t>陈忠飞</t>
  </si>
  <si>
    <t>酒精饮料（啤酒除外）;甜酒;⾼粱酒;鸡尾酒;果酒;果酒（含酒精）;苹果酒;⽶酒;梅酒;葡萄酒</t>
  </si>
  <si>
    <t>旺堂</t>
  </si>
  <si>
    <t>⽩酒;苹果酒;鸡尾酒;清酒;含酒精的饮料（啤酒除外）;烈酒（饮料）;开胃酒;果酒;葡萄酒;⻘稞酒</t>
  </si>
  <si>
    <t>旺府</t>
  </si>
  <si>
    <t>葡萄酒;⽩酒;含酒精的饮料（啤酒除外）;苹果酒;⻘稞酒;鸡尾酒;果酒;烈酒（饮料）;清酒;开胃酒</t>
  </si>
  <si>
    <t>醉思韵</t>
  </si>
  <si>
    <t>安徽思创博科智能科技有限公司</t>
  </si>
  <si>
    <t>烧酒;酒精饮料浓缩汁;预先混合的酒精饮料（以啤酒为主的除外）;⽩酒;葡萄酒;含酒精的饮料（啤酒除外）;烈酒;⽶酒;果酒;⾕物制蒸馏酒精饮料</t>
  </si>
  <si>
    <t>公格尔</t>
  </si>
  <si>
    <t>新疆康奥投资有限公司</t>
  </si>
  <si>
    <t>⽶酒;烧酒;果酒（含酒精）;烈酒（饮料）;酒精饮料（啤酒除外）;葡萄酒;清酒（⽇本⽶酒）;⽩酒;鸡尾酒;⻩酒</t>
  </si>
  <si>
    <t>彩堂</t>
  </si>
  <si>
    <t>烈酒（饮料）;⻘稞酒;开胃酒;葡萄酒;清酒;含酒精的饮料（啤酒除外）;苹果酒;果酒;鸡尾酒;⽩酒</t>
  </si>
  <si>
    <t>巍焕楼</t>
  </si>
  <si>
    <t>东莞市九八七科技有限公司</t>
  </si>
  <si>
    <t>葡萄酒;⽶酒;果酒（含酒精）;开胃酒;烈酒（饮料）;鸡尾酒;⽩酒;清酒（⽇本⽶酒）;⻩酒;酒精饮料（啤酒除外）</t>
  </si>
  <si>
    <t>花相识</t>
  </si>
  <si>
    <t>⽼酒(中国蒸馏烈酒);葡萄酒;⻩酒;酒精饮料（啤酒除外）;鸡尾酒;果酒(含酒精);烧酒(烈酒);⽩酒;烈酒(饮料);开胃酒</t>
  </si>
  <si>
    <t>禾金樽</t>
  </si>
  <si>
    <t>烧酒;蒸煮提取物（利⼝酒和烈酒）;⾷⽤酒精;果酒（含酒精）;⾼粱酒;⽶酒;葡萄酒;⽩酒;酒精饮料（啤酒除外）;酒精饮料浓缩汁</t>
  </si>
  <si>
    <t>氿粮赞</t>
  </si>
  <si>
    <t>⾷⽤酒精;⽶酒;酒精饮料浓缩汁;⽩酒;烧酒（烈酒）;酒精饮料（啤酒除外）;蒸煮提取物（利⼝酒和烈酒）;葡萄酒;果酒（含酒精）;烧酒</t>
  </si>
  <si>
    <t>朴小子</t>
  </si>
  <si>
    <t>张山</t>
  </si>
  <si>
    <t>葡萄酒;鸡尾酒;⽶酒;开胃酒;含⽔果酒精饮料;烧酒;烈酒（饮料）;果酒（含酒精）;蜂蜜酒;酒精饮料原汁</t>
  </si>
  <si>
    <t>礼乐承天</t>
  </si>
  <si>
    <t>山东晟贻文化产业有限公司</t>
  </si>
  <si>
    <t>⽼酒（中国蒸馏烈酒）;果酒;⻩酒;烈酒;清酒;烧酒;⽩⼲酒（中国⽩酒）;⽩酒;⾼粱酒;⽶酒</t>
  </si>
  <si>
    <t>OJOI</t>
  </si>
  <si>
    <t>上海云润光学科技有限公司</t>
  </si>
  <si>
    <t>果酒（含酒精）;威⼠忌;烧酒;酒精饮料（啤酒除外）;⽩酒;⽶酒;清酒（⽇本⽶酒）;利⼝酒;葡萄酒;鸡尾酒</t>
  </si>
  <si>
    <t>COLORFULMAOZHUANG</t>
  </si>
  <si>
    <t>贵州仙福酒业销售有限公司</t>
  </si>
  <si>
    <t>威⼠忌;果酒;汽酒;苹果酒;⽩酒;含⽔果酒精饮料;甜酒;⽶酒;烧酒;⽩兰地</t>
  </si>
  <si>
    <t>归宴</t>
  </si>
  <si>
    <t>杨子俊</t>
  </si>
  <si>
    <t>餐后酒（利⼝酒和烈酒）;⽩酒;⽶酒;含酒精的饮料（啤酒除外）;蒸馏饮料;利⼝酒;⽩⼲酒（中国⽩酒）;烧酒（烈酒）;烧酒;烈酒</t>
  </si>
  <si>
    <t>味之极</t>
  </si>
  <si>
    <t>贵州君至酒业有限公司</t>
  </si>
  <si>
    <t>⽶酒;⻩酒;由⾕物蒸馏的⽩酒;烈酒;⾷⽤酒精;烧酒;⽩酒;⾼粱酒;果酒;利⼝酒</t>
  </si>
  <si>
    <t>雪龘龘</t>
  </si>
  <si>
    <t>新乡市大汉进出口贸易有限公司</t>
  </si>
  <si>
    <t>葡萄酒;烈酒（饮料）;果酒（含酒精）;蒸馏饮料;⽶酒;含⽔果酒精饮料;酒精饮料（啤酒除外）;⽩酒;苹果酒;鸡尾酒</t>
  </si>
  <si>
    <t>恒拓缘</t>
  </si>
  <si>
    <t>徐州恒拓酒业销售有限公司</t>
  </si>
  <si>
    <t>鸡尾酒;⽩兰地;清酒（⽇本⽶酒）;酒精饮料（啤酒除外）;烧酒;威⼠忌;⽩⼲酒（中国⽩酒）;薄荷酒;⻩酒;⽩酒</t>
  </si>
  <si>
    <t>玺轩阁</t>
  </si>
  <si>
    <t>宁德市春根文化传播有限公司</t>
  </si>
  <si>
    <t>威⼠忌;酒精饮料（啤酒除外）;⻩酒;⽶酒;⻘稞酒;果酒（含酒精）;汽酒;开胃酒;⽩酒;葡萄酒</t>
  </si>
  <si>
    <t>颐住</t>
  </si>
  <si>
    <t>江苏颐住酒店管理股份有限公司</t>
  </si>
  <si>
    <t>烧酒;甜酒;果酒（含酒精）;酒精饮料（啤酒除外）;⻩酒;清酒（⽇本⽶酒）;⽶酒;葡萄酒;烈酒（饮料）;⽩酒</t>
  </si>
  <si>
    <t>晋千朝</t>
  </si>
  <si>
    <t>开胃酒;清酒（⽇本⽶酒）;烈酒;⽩酒;葡萄酒;果酒（含酒精）;威⼠忌;鸡尾酒;⻩酒;酒精饮料（啤酒除外）</t>
  </si>
  <si>
    <t>帝宾臻</t>
  </si>
  <si>
    <t>葡萄酒;酒精饮料（啤酒除外）;⾼粱酒;果酒（含酒精）;⾷⽤酒精;⽩酒;⽶酒;蒸煮提取物（利⼝酒和烈酒）;酒精饮料浓缩汁;烧酒</t>
  </si>
  <si>
    <t>酒朋易 YI PENG GAO LIANG JIU</t>
  </si>
  <si>
    <t>云梦县易棚村纯酒白酒庄园坊（个体工商户）</t>
  </si>
  <si>
    <t>⽶酒;⻩酒;苦荞酒;清酒;由⾕物蒸馏的⽩酒;⽼酒（中国蒸馏烈酒）;烧酒;⾼粱酒;⽩酒;⽩⼲酒（中国⽩酒）</t>
  </si>
  <si>
    <t>守斛世家</t>
  </si>
  <si>
    <t>霍山守斛世家石斛发展有限公司</t>
  </si>
  <si>
    <t>甜酒;⾼粱酒;含⽔果酒精饮料;⽩酒;葡萄酒;⻩酒;汽酒;烈酒;⽶酒;果酒</t>
  </si>
  <si>
    <t>循划</t>
  </si>
  <si>
    <t>深圳循划科技有限公司</t>
  </si>
  <si>
    <t>⽩兰地;⻩酒;开胃酒;鸡尾酒;烧酒;⽶酒;果酒（含酒精）;蒸馏饮料;⽩酒;葡萄酒</t>
  </si>
  <si>
    <t>便易星</t>
  </si>
  <si>
    <t>郴州国驰贸易有限公司</t>
  </si>
  <si>
    <t>葡萄酒;⾷⽤酒精;⻩酒;果酒（含酒精）;酒精饮料（啤酒除外）;⽩酒;烧酒;蒸馏饮料;鸡尾酒;烈酒（饮料）</t>
  </si>
  <si>
    <t>偶得玉福</t>
  </si>
  <si>
    <t>贵州偶得酒业有限公司</t>
  </si>
  <si>
    <t>鸡尾酒;清酒;烧酒;⻩酒;果酒（含酒精）;⽶酒;含酒精的饮料（啤酒除外）;烈酒（饮料）;⽩酒;葡萄酒</t>
  </si>
  <si>
    <t>河南阿利餐饮企业管理咨询有限公司</t>
  </si>
  <si>
    <t>果酒（含酒精）;鸡尾酒;含⽔果酒精饮料;汽酒;⽶酒;酒精饮料（啤酒除外）;⽩酒;⾼粱酒;烈酒（饮料）;葡萄酒</t>
  </si>
  <si>
    <t>JULY ELVES</t>
  </si>
  <si>
    <t>王建</t>
  </si>
  <si>
    <t>威⼠忌;果酒;葡萄酒;鸡尾酒;⽩酒;烈酒;薄荷酒;清酒（⽇本⽶酒）;伏特加酒;⽩兰地</t>
  </si>
  <si>
    <t>严光碧</t>
  </si>
  <si>
    <t>果酒（含酒精）;鸡尾酒;葡萄酒;含⽔果酒精饮料;⽩酒;⽶酒;烧酒;酒精饮料（啤酒除外）;⻩酒;烈酒（饮料）</t>
  </si>
  <si>
    <t>粮匠和天下</t>
  </si>
  <si>
    <t>贵州熙承恩酒业有限公司</t>
  </si>
  <si>
    <t>酒精饮料（啤酒除外）;烈酒（饮料）;⽶酒;⽩酒;清酒（⽇本⽶酒）;果酒（含酒精）;葡萄酒;烧酒;⻩酒;开胃酒</t>
  </si>
  <si>
    <t>思洣客</t>
  </si>
  <si>
    <t>广州市茗标贸易有限公司</t>
  </si>
  <si>
    <t>⽩酒;开胃酒;⽶酒;⻩酒;清酒;酒精饮料（啤酒除外）;葡萄酒;蒸馏饮料;果酒（含酒精）;烈酒（饮料）</t>
  </si>
  <si>
    <t>百窖诗</t>
  </si>
  <si>
    <t>⽩酒;葡萄酒;果酒（含酒精）;⾷⽤酒精;⾼粱酒;酒精饮料（啤酒除外）;烧酒;蒸煮提取物（利⼝酒和烈酒）;酒精饮料浓缩汁;⽶酒</t>
  </si>
  <si>
    <t>GINO 几诺</t>
  </si>
  <si>
    <t>山东丹尼酒业有限公司</t>
  </si>
  <si>
    <t>果酒（含酒精）;利⼝酒;酒精饮料原汁;葡萄酒;酒精饮料（啤酒除外）;烧酒;薄荷酒;⽶酒;⽩酒;预先混合的酒精饮料（以啤酒为主的除外）</t>
  </si>
  <si>
    <t>松宝贝</t>
  </si>
  <si>
    <t>山西天跃生物科技有限公司</t>
  </si>
  <si>
    <t>⽩酒;果酒（含酒精）;⻩酒;烧酒;酒精饮料（啤酒除外）;葡萄酒;⾷⽤酒精;蒸馏饮料;⽶酒;开胃酒</t>
  </si>
  <si>
    <t>古花粮</t>
  </si>
  <si>
    <t>⽶酒;葡萄酒;烧酒;蒸煮提取物（利⼝酒和烈酒）;酒精饮料（啤酒除外）;⾼粱酒;⽩酒;酒精饮料浓缩汁;果酒（含酒精）;⾷⽤酒精</t>
  </si>
  <si>
    <t>觅芙湘</t>
  </si>
  <si>
    <t>罗镇</t>
  </si>
  <si>
    <t>酒精饮料原汁;含⽔果酒精饮料;果酒;⽶酒;⾷⽤酒精;鸡尾酒;葡萄酒;⽩兰地;⽩酒;烧酒</t>
  </si>
  <si>
    <t>东利福</t>
  </si>
  <si>
    <t>宁波东利文化传媒有限公司</t>
  </si>
  <si>
    <t>⽼酒（中国蒸馏烈酒）;烈酒;烧酒;⽩酒;果酒（含酒精）;⽶酒;⾼粱酒;葡萄酒;⻩酒;⽩⼲酒（中国⽩酒）</t>
  </si>
  <si>
    <t>百济仁泽</t>
  </si>
  <si>
    <t>北京仁泽文鑫科技发展有限公司</t>
  </si>
  <si>
    <t>鸡尾酒;甜酒;含酒精的饮料（啤酒除外）;⻩酒;露酒;⽩酒;⽩兰地;烧酒;葡萄酒;⽶酒</t>
  </si>
  <si>
    <t>奉口</t>
  </si>
  <si>
    <t>刘泽宇</t>
  </si>
  <si>
    <t>清酒（⽇本⽶酒）;⾕物制蒸馏酒精饮料;清酒;⾼粱酒;烧酒（烈酒）;⽩⼲酒（中国⽩酒）;⽩酒;⽼酒（中国蒸馏烈酒）;⽶酒;烧酒</t>
  </si>
  <si>
    <t>百阿</t>
  </si>
  <si>
    <t>福州康健宜品贸易有限公司</t>
  </si>
  <si>
    <t>烈酒（饮料）;⽩酒;⻩酒;葡萄酒;含⽔果酒精饮料;果酒;甜酒;鸡尾酒;酒精饮料原汁;清酒</t>
  </si>
  <si>
    <t>江山喃</t>
  </si>
  <si>
    <t>徐介福</t>
  </si>
  <si>
    <t>⽩⼲酒（中国⽩酒）;烧酒;清酒;威⼠忌;⽩酒;烈酒;开胃酒;⽶酒;果酒（含酒精）;汽酒</t>
  </si>
  <si>
    <t>犇鲜馨</t>
  </si>
  <si>
    <t>杨宏元</t>
  </si>
  <si>
    <t>樱桃酒;含⽔果酒精饮料;⽶酒;果酒（含酒精）;⽩酒;⻩酒;蜂蜜酒;烧酒;葡萄酒;苹果酒</t>
  </si>
  <si>
    <t>酒杰侠</t>
  </si>
  <si>
    <t>⽩酒;酒精饮料浓缩汁;⾷⽤酒精;烧酒;酒精饮料（啤酒除外）;⾼粱酒;果酒（含酒精）;葡萄酒;蒸煮提取物（利⼝酒和烈酒）;⽶酒</t>
  </si>
  <si>
    <t>XISHANGTAOSHE</t>
  </si>
  <si>
    <t>景德镇喜上陶社陶瓷有限公司</t>
  </si>
  <si>
    <t>葡萄酒;⽩兰地;威⼠忌;⽩葡萄酒;鸡尾酒;烧酒;⾼粱酒;以蒸馏酒为主的开胃酒;果酒（含酒精）;甜果酒</t>
  </si>
  <si>
    <t>花相恋</t>
  </si>
  <si>
    <t>开胃酒;烧酒(烈酒);⽼酒(中国蒸馏烈酒);⻩酒;酒精饮料（啤酒除外）;⽩酒;果酒(含酒精);葡萄酒;鸡尾酒;烈酒(饮料)</t>
  </si>
  <si>
    <t>俏皮粮</t>
  </si>
  <si>
    <t>杨道毛</t>
  </si>
  <si>
    <t>鸡尾酒;⻩酒;⾷⽤酒精;⽩酒;⽶酒;蒸馏饮料;蜂蜜酒;果酒（含酒精）;烧酒;酒精饮料（啤酒除外）</t>
  </si>
  <si>
    <t>蒙稒良田</t>
  </si>
  <si>
    <t>包头市腾速百货有限公司</t>
  </si>
  <si>
    <t>果酒;露酒;烧酒;含酒精的饮料（啤酒除外）;⻩酒;⾷⽤酒精;⽩酒;⾼粱酒;红葡萄酒;汽酒</t>
  </si>
  <si>
    <t>AUCHERACHAN</t>
  </si>
  <si>
    <t>蒸馏饮料;葡萄酒;⽶酒;威⼠忌;鸡尾酒;⽩酒;烈酒（饮料）;酒精饮料（啤酒除外）;果酒（含酒精）;利⼝酒</t>
  </si>
  <si>
    <t>竹中竹</t>
  </si>
  <si>
    <t>杨泽吉</t>
  </si>
  <si>
    <t>烧酒;葡萄酒;清酒（⽇本⽶酒）;开胃酒;⽩酒;鸡尾酒;⻩酒;蜂蜜酒;预先混合的酒精饮料（以啤酒为主的除外）;烈酒（饮料）</t>
  </si>
  <si>
    <t>北棠极煦</t>
  </si>
  <si>
    <t>云南罗望子食品有限责任公司</t>
  </si>
  <si>
    <t>清酒（⽇本⽶酒）;⽩兰地;酒精饮料原汁;酒精饮料（啤酒除外）;⽶酒;烧酒;烈酒（饮料）;果酒（含酒精）;⽩酒;葡萄酒</t>
  </si>
  <si>
    <t>茶谷E吻. 清心</t>
  </si>
  <si>
    <t>信阳市鸡公山酒业有限公司</t>
  </si>
  <si>
    <t>樱桃酒;⽩兰地;⽶酒;葡萄酒;⽩酒;鸡尾酒;梨酒;⻩酒;烧酒;开胃酒</t>
  </si>
  <si>
    <t>悦人</t>
  </si>
  <si>
    <t>苹果酒;⽩酒;含酒精的饮料（啤酒除外）;鸡尾酒;清酒;⻘稞酒;果酒;烈酒（饮料）;开胃酒;葡萄酒</t>
  </si>
  <si>
    <t>果酒（含酒精）;威⼠忌;⽩酒;葡萄酒;酒精饮料（啤酒除外）;蒸馏饮料;⽶酒;烧酒;烈酒（饮料）;鸡尾酒</t>
  </si>
  <si>
    <t>闾凌花</t>
  </si>
  <si>
    <t>义县闾凌农业科技有限公司</t>
  </si>
  <si>
    <t>烈酒（饮料）;清酒（⽇本⽶酒）;鸡尾酒;酒精饮料（啤酒除外）;葡萄酒;⽶酒;⻩酒;⽩酒;果酒（含酒精）;烧酒</t>
  </si>
  <si>
    <t>武世益方</t>
  </si>
  <si>
    <t>武学新</t>
  </si>
  <si>
    <t>葡萄酒;由⾕物蒸馏的⽩酒;⽩酒;烧酒;含酒精的饮料（啤酒除外）;清酒;⽶酒;果酒（含酒精）;⾼粱酒;以葡萄酒为主的饮料</t>
  </si>
  <si>
    <t>龙凤锦</t>
  </si>
  <si>
    <t>海口美兰木灵食品经营部（个体工商户）</t>
  </si>
  <si>
    <t>⻩酒;清酒;⽩酒;酒精饮料（啤酒除外）;⻘稞酒;汽酒;果酒;烧酒;威⼠忌;葡萄酒</t>
  </si>
  <si>
    <t>杨昌芹</t>
  </si>
  <si>
    <t>赤水市牵手竹艺发展有限公司</t>
  </si>
  <si>
    <t>苹果酒;清酒（⽇本⽶酒）;⾕物制蒸馏酒精饮料;⽩酒;葡萄酒;⽶酒;苦味酒;酒精饮料（啤酒除外）;含⽔果酒精饮料;果酒（含酒精）</t>
  </si>
  <si>
    <t>禾萱林</t>
  </si>
  <si>
    <t>伊春市禾萱林电子商务有限公司</t>
  </si>
  <si>
    <t>烧酒;开胃酒;葡萄酒;烈酒（饮料）;汽酒;果酒;⽶酒;⽩酒;⾼粱酒;⻩酒</t>
  </si>
  <si>
    <t>望天收</t>
  </si>
  <si>
    <t>北京京糖酒类经营有限公司</t>
  </si>
  <si>
    <t>2024/06/28</t>
  </si>
  <si>
    <t>大方天玺</t>
  </si>
  <si>
    <t>陕西富平大方天玺绿色农业发展有限公司</t>
  </si>
  <si>
    <t>⻩酒;⽩酒;清酒（⽇本⽶酒）;果酒（含酒精）;⽶酒;鸡尾酒;葡萄酒;烧酒;酒精饮料（啤酒除外）;烈酒（饮料）</t>
  </si>
  <si>
    <t>冬之舞</t>
  </si>
  <si>
    <t>沈维萍</t>
  </si>
  <si>
    <t>清酒（⽇本⽶酒）;⽩酒;酒精饮料（啤酒除外）;杜松⼦酒;威⼠忌;⻩酒;果酒（含酒精）;鸡尾酒;葡萄酒;烈酒（饮料）</t>
  </si>
  <si>
    <t>广西大山深处生态农业有限公司</t>
  </si>
  <si>
    <t>果酒（含酒精）;佐餐酒;⾕物制蒸馏酒精饮料;⽶酒;葡萄酒;⽩酒;⽩⼲酒（中国⽩酒）;烈酒;烧酒;红葡萄酒</t>
  </si>
  <si>
    <t>诺康福</t>
  </si>
  <si>
    <t>海南乾程科技实业开发有限公司</t>
  </si>
  <si>
    <t>甜酒;葡萄酒;利⼝酒;含⽔果酒精饮料;⽶酒;烈酒;⻩酒;⽩酒;烧酒（烈酒）;烧酒</t>
  </si>
  <si>
    <t>京泰郭无才</t>
  </si>
  <si>
    <t>河北京泰酒业有限公司</t>
  </si>
  <si>
    <t>⻘稞酒;⽩兰地;⽩酒;苹果酒;烧酒;威⼠忌;开胃酒;⽶酒;伏特加酒;葡萄酒</t>
  </si>
  <si>
    <t>三江客</t>
  </si>
  <si>
    <t>陈意梦</t>
  </si>
  <si>
    <t>鸡尾酒;以葡萄酒为主的饮料;果酒;清酒;⽩酒;⾷⽤酒精;葡萄酒;⽶酒;⻩酒;含酒精⽔果饮料</t>
  </si>
  <si>
    <t>奇遇南北</t>
  </si>
  <si>
    <t>疆山浔</t>
  </si>
  <si>
    <t>陈友涛</t>
  </si>
  <si>
    <t>开胃酒;威⼠忌;葡萄酒;鸡尾酒;⽩酒;果酒（含酒精）;清酒（⽇本⽶酒）;酒精饮料（啤酒除外）;⻩酒;烈酒</t>
  </si>
  <si>
    <t>鹿冠华</t>
  </si>
  <si>
    <t>许昌市魏都区诺记百货零售行(个体工商户)</t>
  </si>
  <si>
    <t>鸡尾酒;葡萄酒;酒精饮料（啤酒除外）;⽶酒;⾷⽤酒精;果酒（含酒精）;含⽔果酒精饮料;⽩酒;⽩兰地;⻩酒</t>
  </si>
  <si>
    <t>硬之钥</t>
  </si>
  <si>
    <t>四川气色堂健康管理有限公司</t>
  </si>
  <si>
    <t>杜松⼦酒;葡萄酒;果酒（含酒精）;⻘梅酒;鸡尾酒;含酒精的饮料（啤酒除外）;刺五加酒;茴⾹酒（利⼝酒）;露酒;茴⾹酒</t>
  </si>
  <si>
    <t>南玉川</t>
  </si>
  <si>
    <t>王富伟</t>
  </si>
  <si>
    <t>烈酒;⽩⼲酒（中国⽩酒）;开胃酒;果酒（含酒精）;⾼粱酒;⽩酒;苦荞酒;⻩酒;⽶酒;烧酒</t>
  </si>
  <si>
    <t>蒙稒部落</t>
  </si>
  <si>
    <t>⽩酒;果酒;⾼粱酒;红葡萄酒;烧酒;⾷⽤酒精;汽酒;⻩酒;含酒精的饮料（啤酒除外）;露酒</t>
  </si>
  <si>
    <t>联帮农</t>
  </si>
  <si>
    <t>个旧市鸡街镇联帮农养殖专业合作社</t>
  </si>
  <si>
    <t>果酒（含酒精）;含⽔果酒精饮料;葡萄酒;烧酒;鸡尾酒;酒精饮料（啤酒除外）;⽩酒;清酒（⽇本⽶酒）;⽶酒;蒸馏饮料</t>
  </si>
  <si>
    <t>南北谣</t>
  </si>
  <si>
    <t>安韶方</t>
  </si>
  <si>
    <t>威⼠忌;⻩酒;⽩酒;葡萄酒;烈酒;清酒（⽇本⽶酒）;开胃酒;果酒（含酒精）;酒精饮料（啤酒除外）;鸡尾酒</t>
  </si>
  <si>
    <t>能之海</t>
  </si>
  <si>
    <t>山东轩威葡萄酒有限公司</t>
  </si>
  <si>
    <t>威⼠忌;葡萄酒;果酒（含酒精）;烧酒;⾼粱酒;红葡萄酒;⽩兰地;开胃酒;利⼝酒;⽩酒</t>
  </si>
  <si>
    <t>WANLIDA</t>
  </si>
  <si>
    <t>万利达集团有限公司</t>
  </si>
  <si>
    <t>⻘稞酒;甜酒;烈酒（饮料）;威⼠忌;⽩兰地;蒸馏饮料;果酒（含酒精）;⽶酒;⽩酒;酒精饮料浓缩汁</t>
  </si>
  <si>
    <t>酒凎仕</t>
  </si>
  <si>
    <t>烧酒;酒精饮料（啤酒除外）;酒精饮料浓缩汁;葡萄酒;⽩酒;⽶酒;红葡萄酒;⾷⽤酒精;烈酒（饮料）;果酒（含酒精）</t>
  </si>
  <si>
    <t>铁砂掌</t>
  </si>
  <si>
    <t>蔺海艳</t>
  </si>
  <si>
    <t>⽶酒;烧酒;葡萄酒;露酒;⽩酒;酒精饮料（啤酒除外）;⾼粱酒;⻘稞酒;⻩酒;果酒（含酒精）</t>
  </si>
  <si>
    <t>鑫八万贯</t>
  </si>
  <si>
    <t>成都荣仁新能源科技有限公司</t>
  </si>
  <si>
    <t>⽩兰地;⽶酒;烧酒;⽩酒;伏特加酒;鸡尾酒;葡萄酒;威⼠忌;含⽔果酒精饮料;开胃酒</t>
  </si>
  <si>
    <t>民盛谷海</t>
  </si>
  <si>
    <t>海南民盛谷海科技有限公司</t>
  </si>
  <si>
    <t>汽酒;已调味的蒸馏酒;⽶酒;⽩酒;开胃酒;烧酒;⻩酒;酒精饮料（啤酒除外）;果酒;葡萄酒</t>
  </si>
  <si>
    <t>醇坛芳</t>
  </si>
  <si>
    <t>蒋佳成</t>
  </si>
  <si>
    <t>果酒（含酒精）;薄荷酒;酒精饮料（啤酒除外）;⽶酒;⽩酒;清酒（⽇本⽶酒）;⻩酒;葡萄酒;烧酒;烈酒（饮料）</t>
  </si>
  <si>
    <t>铂威纳 BOVIENA</t>
  </si>
  <si>
    <t>德国柏林精酿啤酒集团有限公司</t>
  </si>
  <si>
    <t>以葡萄酒为主的饮料;威⼠忌;⽩酒;⻩酒;⽩兰地;葡萄酒;含⽔果酒精饮料;⽶酒;蒸馏饮料;烧酒</t>
  </si>
  <si>
    <t>晋老弟</t>
  </si>
  <si>
    <t>露酒;⽩酒;⽩⼲酒（中国⽩酒）;⽼酒（中国蒸馏烈酒）;由⾕物蒸馏的⽩酒;烈酒（饮料）;烧酒（烈酒）;⾼粱酒;烧酒;果酒（含酒精）</t>
  </si>
  <si>
    <t>古周令</t>
  </si>
  <si>
    <t>贵州周氏烧坊酒业有限公司</t>
  </si>
  <si>
    <t>葡萄酒;蒸煮提取物（利⼝酒和烈酒）;清酒（⽇本⽶酒）;烈酒（饮料）;⽶酒;⽩酒;烧酒;鸡尾酒;果酒（含酒精）;酒精饮料（啤酒除外）</t>
  </si>
  <si>
    <t>古周君</t>
  </si>
  <si>
    <t>果酒（含酒精）;清酒（⽇本⽶酒）;蒸煮提取物（利⼝酒和烈酒）;烧酒;酒精饮料（啤酒除外）;⽶酒;烈酒（饮料）;葡萄酒;鸡尾酒;⽩酒</t>
  </si>
  <si>
    <t>龘龘冰城甄选</t>
  </si>
  <si>
    <t>骆洋</t>
  </si>
  <si>
    <t>⽩酒;⻩酒;⾕物制蒸馏酒精饮料;已调味的蒸馏酒;葡萄酒;果酒（含酒精）;⽶酒;⾷⽤酒精;烈酒;酒精饮料（啤酒除外）</t>
  </si>
  <si>
    <t>旅叙</t>
  </si>
  <si>
    <t>酒精饮料（啤酒除外）;⾷⽤酒精;果酒（含酒精）;鸡尾酒;⻩酒;含⽔果酒精饮料;⽶酒;葡萄酒;⽩兰地;⽩酒</t>
  </si>
  <si>
    <t>企鹅吨吨</t>
  </si>
  <si>
    <t>成都分子引力科技有限公司</t>
  </si>
  <si>
    <t>⾼粱酒;⽩⼲酒（中国⽩酒）;由⾕物蒸馏的⽩酒;⽶酒;⽩酒;果酒（含酒精）;酒精饮料（啤酒除外）;果酒;清酒;梅酒</t>
  </si>
  <si>
    <t>权佳</t>
  </si>
  <si>
    <t>蒸馏饮料;开胃酒;烈酒（饮料）;清酒（⽇本⽶酒）;⻩酒;烧酒;葡萄酒;⾕物制蒸馏酒精饮料;⽩酒;⽶酒</t>
  </si>
  <si>
    <t>御天州</t>
  </si>
  <si>
    <t>⽩酒;葡萄酒;酒精饮料浓缩汁;烧酒;⻩酒;蒸煮提取物（利⼝酒和烈酒）;⽶酒;酒精饮料原汁;酒精饮料（啤酒除外）;果酒</t>
  </si>
  <si>
    <t>万利达</t>
  </si>
  <si>
    <t>酒精饮料浓缩汁;⽩兰地;甜酒;威⼠忌;⻘稞酒;烈酒（饮料）;蒸馏饮料;果酒（含酒精）;⽶酒;⽩酒</t>
  </si>
  <si>
    <t>洞芝一品</t>
  </si>
  <si>
    <t>山东黄河三角洲酒业有限公司</t>
  </si>
  <si>
    <t>⽶酒;烧酒;⽩酒;蒸馏⽶酒（泡盛酒）;⽼酒（中国蒸馏烈酒）;蒸馏饮料;酒精饮料（啤酒除外）;果酒（含酒精）;葡萄酒;⽩兰地</t>
  </si>
  <si>
    <t>哆壹瞄</t>
  </si>
  <si>
    <t>多一点（宁波）科技有限公司</t>
  </si>
  <si>
    <t>烈酒（饮料）;酒精饮料浓缩汁;含⽔果酒精饮料;果酒（含酒精）;葡萄酒;蒸馏饮料;⽶酒;⽩酒;酒精饮料（啤酒除外）;烧酒</t>
  </si>
  <si>
    <t>疆久令</t>
  </si>
  <si>
    <t>杨树燕</t>
  </si>
  <si>
    <t>果酒（含酒精）;鸡尾酒;清酒（⽇本⽶酒）;酒精饮料（啤酒除外）;⽩酒;威⼠忌;烈酒;开胃酒;葡萄酒;⻩酒</t>
  </si>
  <si>
    <t>景盛昌</t>
  </si>
  <si>
    <t>夏邑县橙屹供应链管理有限公司</t>
  </si>
  <si>
    <t>果酒（含酒精）;蒸馏饮料;鸡尾酒;⽶酒;利⼝酒;开胃酒;葡萄酒;苦味酒;⽩酒;烧酒</t>
  </si>
  <si>
    <t>飞懿</t>
  </si>
  <si>
    <t>富风食品有限公司</t>
  </si>
  <si>
    <t>葡萄酒;酒精饮料（啤酒除外）;⽩兰地;鸡尾酒;⻩酒;⽶酒;⾷⽤酒精;果酒（含酒精）;⽩酒;含⽔果酒精饮料</t>
  </si>
  <si>
    <t>晋粮顺</t>
  </si>
  <si>
    <t>⾷⽤酒精;含⽔果酒精饮料;⽩兰地;⽶酒;⽩酒;鸡尾酒;果酒（含酒精）;酒精饮料（啤酒除外）;葡萄酒;⻩酒</t>
  </si>
  <si>
    <t>歌登克洛</t>
  </si>
  <si>
    <t>林链斌</t>
  </si>
  <si>
    <t>葡萄酒;蒸馏饮料;威⼠忌;鸡尾酒;⽩酒;果酒（含酒精）;⽩兰地;⽶酒;清酒（⽇本⽶酒）;⻘稞酒</t>
  </si>
  <si>
    <t>康绿姿</t>
  </si>
  <si>
    <t>许鹏裕</t>
  </si>
  <si>
    <t>杨梅酒;甜酒;⻘梅酒;⻩酒;⽩酒;鸡尾酒;含酒精的饮料（啤酒除外）;⾷⽤酒精;⾼粱酒;由⾕物蒸馏的⽩酒;葡萄酒;果酒;⽶酒</t>
  </si>
  <si>
    <t>斟造</t>
  </si>
  <si>
    <t>田亚鑫</t>
  </si>
  <si>
    <t>威⼠忌;烧酒;蒸馏饮料;葡萄酒;⽩酒;果酒（含酒精）;鸡尾酒;酒精饮料（啤酒除外）;⻩酒;⽶酒</t>
  </si>
  <si>
    <t>仰垚</t>
  </si>
  <si>
    <t>广宁县鹦煌养殖有限责任公司</t>
  </si>
  <si>
    <t>含酒精的⽓泡⽔;⻘稞酒;已调味的⻨芽酿制的酒精饮料（啤酒除外）;汽酒;烧酒;朝鲜族⽶酒;⻩酒;⾷⽤酒精;⽩酒;以葡萄酒为主的饮料</t>
  </si>
  <si>
    <t>同跃龙门</t>
  </si>
  <si>
    <t>⽩酒;威⼠忌;烈酒（饮料）;果酒（含酒精）;含⽔果酒精饮料;鸡尾酒;葡萄酒;⻩酒;烧酒;清酒（⽇本⽶酒）</t>
  </si>
  <si>
    <t>状元堤</t>
  </si>
  <si>
    <t>李存钱</t>
  </si>
  <si>
    <t>威⼠忌;鸡尾酒;清酒（⽇本⽶酒）;烧酒;⽩酒;红葡萄酒;果酒（含酒精）;开胃酒;⽶酒;汽酒</t>
  </si>
  <si>
    <t>企鹅盼盼</t>
  </si>
  <si>
    <t>上海佰港国际贸易有限公司</t>
  </si>
  <si>
    <t>酒精饮料原汁;⽶酒;清酒;威⼠忌;烈酒（饮料）;葡萄酒;鸡尾酒;⽩酒;伏特加酒;酒精饮料（啤酒除外）</t>
  </si>
  <si>
    <t>牛漫山</t>
  </si>
  <si>
    <t>吴素荣</t>
  </si>
  <si>
    <t>威⼠忌;酒精饮料（啤酒除外）;鸡尾酒;酸酒（低等葡萄酒）;⽩酒;利⼝酒;葡萄酒;果酒（含酒精）;烈酒（饮料）;酒精饮料原汁</t>
  </si>
  <si>
    <t>鸿图美</t>
  </si>
  <si>
    <t>沧州宏伟印刷有限公司</t>
  </si>
  <si>
    <t>葡萄酒;果酒（含酒精）;开胃酒;烧酒;鸡尾酒;酒精饮料（啤酒除外）;⽩酒;清酒（⽇本⽶酒）;果酒;⾷⽤酒精</t>
  </si>
  <si>
    <t>常荣华</t>
  </si>
  <si>
    <t>贵州常荣烧坊酒业有限公司</t>
  </si>
  <si>
    <t>开胃酒;鸡尾酒;⽩酒;烈酒（饮料）;薄荷酒;⻩酒;⽩兰地;威⼠忌;果酒（含酒精）;⽶酒</t>
  </si>
  <si>
    <t>昆伦一樽</t>
  </si>
  <si>
    <t>贵州宋樽酒业有限公司</t>
  </si>
  <si>
    <t>⾕物制蒸馏酒精饮料;⽩酒;烧酒;⻩酒;葡萄酒;果酒;苹果酒;甜酒;苦味酒;⾼粱酒</t>
  </si>
  <si>
    <t>建盛名</t>
  </si>
  <si>
    <t>攀枝花惠康优品科技有限公司</t>
  </si>
  <si>
    <t>⾷⽤酒精;烈酒（饮料）;⻘稞酒;利⼝酒;酒精饮料（啤酒除外）;葡萄酒;汽酒;⻩酒;果酒（含酒精）;⽶酒</t>
  </si>
  <si>
    <t>卡比顿</t>
  </si>
  <si>
    <t>高乐佩特（上海）洋酒有限公司</t>
  </si>
  <si>
    <t>餐后酒（利⼝酒和烈酒）;葡萄酒;鸡尾酒;利⼝酒;⽢蔗制酒精饮料;预先混合的酒精饮料（以啤酒为主的除外）;杜松⼦酒;威⼠忌;伏特加酒;朗姆酒</t>
  </si>
  <si>
    <t>红太阳红韵坛香</t>
  </si>
  <si>
    <t>山东红太阳酒业集团有限公司</t>
  </si>
  <si>
    <t>酒精饮料（啤酒除外）;⻩酒;⾷⽤酒精;蒸煮提取物（利⼝酒和烈酒）;烧酒;烈酒（饮料）;果酒（含酒精）;⽶酒;⽩酒;葡萄酒</t>
  </si>
  <si>
    <t>尝鲜婆</t>
  </si>
  <si>
    <t>河南趣码餐饮管理服务有限公司</t>
  </si>
  <si>
    <t>烈酒（饮料）;果酒;⽩酒;⻩酒;烧酒;烈酒;利⼝酒;威⼠忌;以葡萄酒为主的饮料;含酒精的⽔果鸡尾酒饮料</t>
  </si>
  <si>
    <t>御袖</t>
  </si>
  <si>
    <t>⻘稞酒;烈酒（饮料）;果酒（含酒精）;酒精饮料（啤酒除外）;⻩酒;利⼝酒;汽酒;⽶酒;⾷⽤酒精;葡萄酒</t>
  </si>
  <si>
    <t>云燊</t>
  </si>
  <si>
    <t>四川千裕晟祥酒业有限公司</t>
  </si>
  <si>
    <t>葡萄酒;酒精饮料（啤酒除外）;清酒（⽇本⽶酒）;⽶酒;烧酒;蒸馏饮料;杜松⼦酒;烈酒（饮料）;⽩酒;果酒（含酒精）</t>
  </si>
  <si>
    <t>京卫药业</t>
  </si>
  <si>
    <t>山东京卫制药有限公司</t>
  </si>
  <si>
    <t>预先混合的酒精饮料（以啤酒为主的除外）;蒸馏饮料;果酒（含酒精）;酒精饮料（啤酒除外）;烈酒（饮料）;樱桃酒;⽩酒;葡萄酒;蜂蜜酒;含⽔果酒精饮料</t>
  </si>
  <si>
    <t>高泺华</t>
  </si>
  <si>
    <t>星源健康科技（深圳）有限公司</t>
  </si>
  <si>
    <t>果酒（含酒精）;蒸馏饮料;葡萄酒;预先混合的酒精饮料（以啤酒为主的除外）;含酒精的充⽓饮料（啤酒除外）;⽩酒;含酒精⽔果饮料;酒精饮料（啤酒除外）;鸡尾酒;⾷⽤酒精</t>
  </si>
  <si>
    <t>易生有你</t>
  </si>
  <si>
    <t>葡萄酒;含酒精的充⽓饮料（啤酒除外）;蒸馏饮料;鸡尾酒;果酒（含酒精）;⽩酒;含酒精⽔果饮料;预先混合的酒精饮料（以啤酒为主的除外）;⾷⽤酒精;酒精饮料（啤酒除外）</t>
  </si>
  <si>
    <t>贝州春白瓶</t>
  </si>
  <si>
    <t>山东贝州春酿酒有限公司</t>
  </si>
  <si>
    <t>威⼠忌;⾷⽤酒精;果酒;酒精饮料（啤酒除外）;烧酒（烈酒）;烧酒;⽩酒;⽼酒（中国蒸馏烈酒）;⽩⼲酒（中国⽩酒）;⽶酒</t>
  </si>
  <si>
    <t>耍雨滩</t>
  </si>
  <si>
    <t>云阳县耀灵镇柏木村经济联合社</t>
  </si>
  <si>
    <t>苹果酒;果酒（含酒精）;含⽔果酒精饮料;⽶酒;⽢蔗制酒精饮料;柑⾹酒;葡萄酒;⾕物制蒸馏酒精饮料;⽩酒;烧酒</t>
  </si>
  <si>
    <t>PPVG</t>
  </si>
  <si>
    <t>杭州通赛网络科技有限公司</t>
  </si>
  <si>
    <t>开胃酒;⽶酒;苹果酒;以葡萄酒为主的饮料;含⽔果酒精饮料;葡萄酒;果酒（含酒精）;威⼠忌;鸡尾酒;⾕物制蒸馏酒精饮料</t>
  </si>
  <si>
    <t>人太和</t>
  </si>
  <si>
    <t>大布</t>
  </si>
  <si>
    <t>⻩酒;威⼠忌;含⽔果酒精饮料;烈酒（饮料）;鸡尾酒;果酒（含酒精）;葡萄酒;⽩酒;烧酒;⽶酒</t>
  </si>
  <si>
    <t>齐固集铁汉</t>
  </si>
  <si>
    <t>邯郸市知之知新能源科技有限公司</t>
  </si>
  <si>
    <t>果酒（含酒精）;梨酒;⻩酒;葡萄酒;烈酒;⽩酒;烧酒;⾼粱酒;⽶酒;露酒</t>
  </si>
  <si>
    <t>醉甄拾</t>
  </si>
  <si>
    <t>深圳髻狮堂科技有限公司</t>
  </si>
  <si>
    <t>葡萄酒;酒精饮料（啤酒除外）;蒸馏饮料;烧酒;⾷⽤酒精;⻩酒;果酒（含酒精）;⽶酒;⻘稞酒;⽩酒</t>
  </si>
  <si>
    <t>春意间</t>
  </si>
  <si>
    <t>⻩酒;⻘梅酒;果酒;⽩兰地;蒸馏饮料;蜂蜜酒;利⼝酒;烧酒;⽶酒;葡萄酒</t>
  </si>
  <si>
    <t>憬奕世家</t>
  </si>
  <si>
    <t>岳阳憬奕共赢科技有限公司</t>
  </si>
  <si>
    <t>果酒（含酒精）;餐后酒（利⼝酒和烈酒）;葡萄酒;⻩酒;威⼠忌;酒精饮料（啤酒除外）;⽩酒;烧酒;含⽔果酒精饮料;开胃酒</t>
  </si>
  <si>
    <t>邢工</t>
  </si>
  <si>
    <t>河北粮之粮酿酒有限公司</t>
  </si>
  <si>
    <t>果酒（含酒精）;⽶酒;酒精饮料（啤酒除外）;酒精饮料原汁;烧酒;⽩酒;葡萄酒;威⼠忌;开胃酒;鸡尾酒</t>
  </si>
  <si>
    <t>换马魂</t>
  </si>
  <si>
    <t>李明虎</t>
  </si>
  <si>
    <t>利⼝酒;含⽔果酒精饮料;⽩酒;朗姆酒;果酒（含酒精）;威⼠忌;伏特加酒;烈酒（饮料）;⽩兰地;鸡尾酒</t>
  </si>
  <si>
    <t>德行龙</t>
  </si>
  <si>
    <t>果酒（含酒精）;⽶酒;酒精饮料原汁;葡萄酒;⽩兰地;⻩酒;梨酒;⽩酒;⻘稞酒;露酒</t>
  </si>
  <si>
    <t>创优盖</t>
  </si>
  <si>
    <t>含⽔果酒精饮料;果酒（含酒精）;葡萄酒;⽩兰地;烈酒（饮料）;鸡尾酒;⽩酒;⽶酒;⻩酒;威⼠忌</t>
  </si>
  <si>
    <t>陇坛南</t>
  </si>
  <si>
    <t>利⼝酒;烧酒;⽩酒;⻩酒;葡萄酒;烈酒（饮料）;⻘稞酒;果酒</t>
  </si>
  <si>
    <t>阿依源</t>
  </si>
  <si>
    <t>重庆辰龙酒业有限公司</t>
  </si>
  <si>
    <t>果酒（含酒精）;酒精饮料（啤酒除外）;烈酒（饮料）;以葡萄酒为主的饮料;汽酒;⾷⽤酒精;⽩酒;鸡尾酒;烧酒;⻩酒</t>
  </si>
  <si>
    <t>脚彩</t>
  </si>
  <si>
    <t>深圳尝口笑酒业有限公司</t>
  </si>
  <si>
    <t>开胃酒;葡萄酒;酒精饮料（啤酒除外）;果酒（含酒精）;威⼠忌;⽶酒;⽩兰地;苹果酒;鸡尾酒;⽩酒</t>
  </si>
  <si>
    <t>民有为</t>
  </si>
  <si>
    <t>果酒;⽩兰地;⻩酒;利⼝酒;蜂蜜酒;⻘梅酒;烧酒;⽶酒;蒸馏饮料;葡萄酒</t>
  </si>
  <si>
    <t>ANNAROVETE</t>
  </si>
  <si>
    <t>庄志林</t>
  </si>
  <si>
    <t>⻘稞酒;蒸煮提取物（利⼝酒和烈酒）;蒸馏饮料;鸡尾酒;⾷⽤酒精;果酒（含酒精）;葡萄酒;⻩酒;⽩酒;利⼝酒</t>
  </si>
  <si>
    <t>拥知欢</t>
  </si>
  <si>
    <t>安徽中皖酒业有限公司</t>
  </si>
  <si>
    <t>含⽔果酒精饮料;⻩酒;以葡萄酒为主的饮料;烈酒;烧酒;利⼝酒;露酒;预先混合的酒精饮料（以啤酒为主的除外）;⽩酒;果酒（含酒精）</t>
  </si>
  <si>
    <t>越烨台</t>
  </si>
  <si>
    <t>葡萄酒;烧酒;果酒;⽩酒;烈酒;⻩酒;⽩兰地;⽶酒;⻘稞酒;鸡尾酒</t>
  </si>
  <si>
    <t>黄花井</t>
  </si>
  <si>
    <t>擎巨人网络技术（河源）有限公司</t>
  </si>
  <si>
    <t>果酒（含酒精）;⽶酒;含酒精的饮料（啤酒除外）;⾷⽤酒精;由⾕物蒸馏的⽩酒;除啤酒外的酒精饮料;烧酒;蜂蜜酒;⾼粱酒;⻩酒</t>
  </si>
  <si>
    <t>宝坪新集圩</t>
  </si>
  <si>
    <t>云阳县宝坪镇产业发展服务中心</t>
  </si>
  <si>
    <t>汽酒;烈酒;⽩酒;⾼粱酒;烧酒;葡萄酒;⽶酒;清酒;⾷⽤酒精;果酒</t>
  </si>
  <si>
    <t>KONGYANLI</t>
  </si>
  <si>
    <t>广西南宁泽脉生物科技有限公司</t>
  </si>
  <si>
    <t>蒸馏饮料;含⽔果酒精饮料;⻩酒;开胃酒;葡萄酒;⽩酒;威⼠忌;果酒（含酒精）;薄荷酒;朗姆酒（酒精饮料）</t>
  </si>
  <si>
    <t>冷鲸 COLD WHALE</t>
  </si>
  <si>
    <t>清酒（⽇本⽶酒）;⽶酒;汽酒;果酒（含酒精）;⽩酒;葡萄酒;⻩酒;朗姆酒;伏特加酒;鸡尾酒</t>
  </si>
  <si>
    <t>椹世佳源</t>
  </si>
  <si>
    <t>攀枝花明椹源食品有限责任公司</t>
  </si>
  <si>
    <t>⽩兰地;薄荷酒;果酒（含酒精）;果酒;威⼠忌;⽩酒;鸡尾酒;清酒;酒精饮料（啤酒除外）;含⽔果酒精饮料</t>
  </si>
  <si>
    <t>盛生百岁</t>
  </si>
  <si>
    <t>香港盛生堂健康有限公司</t>
  </si>
  <si>
    <t>⻩酒;含⽔果酒精饮料;⽩酒;露酒;烧酒;酒精饮料原汁;果酒;苦荞酒;⻘梅酒;烈酒（饮料）</t>
  </si>
  <si>
    <t>文秀良田</t>
  </si>
  <si>
    <t>葡萄酒;果酒;⽩兰地;⽩酒;烈酒;酒精饮料（啤酒除外）;威⼠忌;鸡尾酒;烧酒;蜂蜜酒</t>
  </si>
  <si>
    <t>百吉堡</t>
  </si>
  <si>
    <t>河南百吉堡餐饮管理有限公司</t>
  </si>
  <si>
    <t>酒精饮料（啤酒除外）;⽩酒;⻩酒;开胃酒;蒸煮提取物（利⼝酒和烈酒）;⻘稞酒;酒精饮料原汁;预先混合的酒精饮料（以啤酒为主的除外）;⾷⽤酒精;烈酒</t>
  </si>
  <si>
    <t>云边与你</t>
  </si>
  <si>
    <t>余阿燕</t>
  </si>
  <si>
    <t>酒精饮料（啤酒除外）;梅酒;烈酒（饮料）;⻩酒;⽩酒;甜酒;⽼酒（中国蒸馏烈酒）;果酒（含酒精）;葡萄酒;⽶酒</t>
  </si>
  <si>
    <t>秘境密玛</t>
  </si>
  <si>
    <t>成都智美朵朵科技有限公司</t>
  </si>
  <si>
    <t>果酒（含酒精）;烈酒（饮料）;烧酒;葡萄酒;⽩酒;⽶酒;酒精饮料（啤酒除外）;⾼粱酒;威⼠忌;鸡尾酒</t>
  </si>
  <si>
    <t>大峡谷云遇</t>
  </si>
  <si>
    <t>贵州大峡谷酿酒有限公司</t>
  </si>
  <si>
    <t>⽩酒;果酒;餐后酒（利⼝酒和烈酒）;威⼠忌;葡萄酒;⽼酒（中国蒸馏烈酒）;⽶酒;鸡尾酒;清酒;⾼粱酒</t>
  </si>
  <si>
    <t>臧酒盛世</t>
  </si>
  <si>
    <t>新沂市港头镇臧家老窖酒厂</t>
  </si>
  <si>
    <t>⽩酒;葡萄酒;⽩⼲酒（中国⽩酒）;⽩兰地;⽶酒;⽩葡萄酒;⻩酒;烧酒;汽酒;除啤酒外的酒精饮料</t>
  </si>
  <si>
    <t>DIYIGAODU</t>
  </si>
  <si>
    <t>沈阳质优选网络科技有限公司</t>
  </si>
  <si>
    <t>以葡萄酒为主的饮料;葡萄酒;烈酒（饮料）;酒精饮料（啤酒除外）;烧酒;⽩酒;⾕物制蒸馏酒精饮料;⾷⽤酒精;酒精饮料浓缩汁;酒精饮料原汁</t>
  </si>
  <si>
    <t>公主露</t>
  </si>
  <si>
    <t>⾷⽤酒精;⻩酒;果酒（含酒精）;利⼝酒;烈酒（饮料）;⻘稞酒;酒精饮料（啤酒除外）;⽶酒;葡萄酒;汽酒</t>
  </si>
  <si>
    <t>⾷⽤酒精;酒精饮料（啤酒除外）;烧酒;鸡尾酒;葡萄酒;开胃酒;⽩酒;果酒;果酒（含酒精）;清酒（⽇本⽶酒）</t>
  </si>
  <si>
    <t>新因素</t>
  </si>
  <si>
    <t>曾文毅</t>
  </si>
  <si>
    <t>烈酒（饮料）;⻩酒;⽩酒;蜂蜜酒;威⼠忌;⽶酒;葡萄酒;果酒（含酒精）;烧酒;酒精饮料（啤酒除外）</t>
  </si>
  <si>
    <t>社运</t>
  </si>
  <si>
    <t>⽩兰地;⽶酒;果酒（含酒精）;葡萄酒;⾷⽤酒精;威⼠忌;烧酒;⻩酒;⽩酒</t>
  </si>
  <si>
    <t>嶲雪醇</t>
  </si>
  <si>
    <t>沈绍林</t>
  </si>
  <si>
    <t>⽶酒;葡萄酒;开胃酒;烧酒;⻘稞酒;含⽔果酒精饮料;烈酒（饮料）;果酒（含酒精）;⽩酒;鸡尾酒</t>
  </si>
  <si>
    <t>羲越集</t>
  </si>
  <si>
    <t>东阳市玺越工艺品有限公司</t>
  </si>
  <si>
    <t>鸡尾酒;清酒（⽇本⽶酒）;⽩兰地;苹果酒;⻩酒;⽩酒;葡萄酒;威⼠忌;伏特加酒;朗姆酒</t>
  </si>
  <si>
    <t>2024/06/29</t>
  </si>
  <si>
    <t>姬能</t>
  </si>
  <si>
    <t>餐后酒（利⼝酒和烈酒）;蜂蜜酒;以葡萄酒为主的饮料;⽶酒;烈酒（饮料）;开胃酒;酒精饮料原汁;果酒（含酒精）</t>
  </si>
  <si>
    <t>曼尼小熊</t>
  </si>
  <si>
    <t>北京宵尧国际贸易有限公司</t>
  </si>
  <si>
    <t>葡萄酒;烈酒（饮料）;伏特加酒;⻩酒;清酒;果酒（含酒精）;烧酒;⽩兰地;⽶酒;威⼠忌</t>
  </si>
  <si>
    <t>茗荃山</t>
  </si>
  <si>
    <t>泉州五域传媒有限公司</t>
  </si>
  <si>
    <t>果酒（含酒精）;鸡尾酒;⾷⽤酒精;⽩酒;⽶酒;开胃酒;葡萄酒;含⽔果酒精饮料;蜂蜜酒;樱桃酒</t>
  </si>
  <si>
    <t>康岳赋</t>
  </si>
  <si>
    <t>杨文鑫</t>
  </si>
  <si>
    <t>酒精饮料（啤酒除外）;蒸煮提取物（利⼝酒和烈酒）;⾷⽤酒精;酒精饮料浓缩汁;果酒（含酒精）;葡萄酒;⽶酒;⽩酒;烧酒;烧酒（烈酒）</t>
  </si>
  <si>
    <t>上柔</t>
  </si>
  <si>
    <t>连亚超410402********4058</t>
  </si>
  <si>
    <t>含酒精的饮料（啤酒除外）;苹果酒;烈酒（饮料）;鸡尾酒;清酒;开胃酒;⻘稞酒;⽩酒;果酒;葡萄酒</t>
  </si>
  <si>
    <t>曲朴</t>
  </si>
  <si>
    <t>张程</t>
  </si>
  <si>
    <t>⻩酒;果酒;鸡尾酒;葡萄酒;梅酒;含酒精⽔果饮料;烧酒;⽩酒;清酒;⽶酒</t>
  </si>
  <si>
    <t>极醇歆</t>
  </si>
  <si>
    <t>刘立金</t>
  </si>
  <si>
    <t>酒精饮料浓缩汁;酒精饮料（啤酒除外）;蒸煮提取物（利⼝酒和烈酒）;葡萄酒;⾷⽤酒精;⽩酒;果酒（含酒精）;烧酒（烈酒）;烧酒;⽶酒</t>
  </si>
  <si>
    <t>顺酩赞</t>
  </si>
  <si>
    <t>⽶酒;烧酒;烧酒（烈酒）;蒸煮提取物（利⼝酒和烈酒）;果酒（含酒精）;⾷⽤酒精;酒精饮料浓缩汁;酒精饮料（啤酒除外）;⽩酒;葡萄酒</t>
  </si>
  <si>
    <t>裕窖梦</t>
  </si>
  <si>
    <t>酒精饮料浓缩汁;蒸煮提取物（利⼝酒和烈酒）;烧酒（烈酒）;酒精饮料（啤酒除外）;烧酒;果酒（含酒精）;⾷⽤酒精;葡萄酒;⽶酒;⽩酒</t>
  </si>
  <si>
    <t>畅代</t>
  </si>
  <si>
    <t>邓明朝</t>
  </si>
  <si>
    <t>开胃酒;葡萄酒;烈酒（饮料）;⻩酒;威⼠忌;酒精饮料（啤酒除外）;果酒;鸡尾酒;清酒（⽇本⽶酒）;⽩酒</t>
  </si>
  <si>
    <t>仁外</t>
  </si>
  <si>
    <t>果酒（含酒精）;葡萄酒;威⼠忌;⽶酒;⻩酒;酒精饮料（啤酒除外）;鸡尾酒;烈酒（饮料）;酒精饮料原汁;⽩酒</t>
  </si>
  <si>
    <t>啇颐</t>
  </si>
  <si>
    <t>郑州珞正数字科技有限公司</t>
  </si>
  <si>
    <t>⾷⽤酒精;果酒（含酒精）;⽶酒;酒精饮料（啤酒除外）;葡萄酒;已调味的蒸馏酒;烈酒;⻩酒;⾕物制蒸馏酒精饮料;⽩酒</t>
  </si>
  <si>
    <t>酩迎禧</t>
  </si>
  <si>
    <t>酒精饮料（啤酒除外）;烧酒;葡萄酒;⽩酒;⾷⽤酒精;蒸煮提取物（利⼝酒和烈酒）;⽶酒;果酒（含酒精）;烧酒（烈酒）;酒精饮料浓缩汁</t>
  </si>
  <si>
    <t>济壶渊</t>
  </si>
  <si>
    <t>酒精饮料（啤酒除外）;果酒（含酒精）;⾷⽤酒精;烧酒;⽩酒;烧酒（烈酒）;蒸煮提取物（利⼝酒和烈酒）;葡萄酒;⽶酒;酒精饮料浓缩汁</t>
  </si>
  <si>
    <t>荣美</t>
  </si>
  <si>
    <t>邵金秀410423********6429</t>
  </si>
  <si>
    <t>⽩酒;烈酒（饮料）;含酒精的饮料（啤酒除外）;葡萄酒;清酒;果酒;苹果酒;开胃酒;鸡尾酒;⻘稞酒</t>
  </si>
  <si>
    <t>圣虎</t>
  </si>
  <si>
    <t>开胃酒;清酒;鸡尾酒;含酒精的饮料（啤酒除外）;⽩酒;果酒;⻘稞酒;苹果酒;烈酒（饮料）;葡萄酒</t>
  </si>
  <si>
    <t>杜全析</t>
  </si>
  <si>
    <t>蜂蜜酒;果酒（含酒精）;葡萄酒;预先混合的酒精饮料（以啤酒为主的除外）;烧酒;⻩酒;酒精饮料原汁;酒精饮料（啤酒除外）;⽩酒;⽶酒</t>
  </si>
  <si>
    <t>禾盏</t>
  </si>
  <si>
    <t>卢锦洪</t>
  </si>
  <si>
    <t>⾼粱酒;⻩酒;⽩兰地;烈酒;烧酒;朗姆酒;⽶酒;甜酒;威⼠忌;⽩酒</t>
  </si>
  <si>
    <t>黑能量</t>
  </si>
  <si>
    <t>北京魁元坊二锅头酒业有限公司</t>
  </si>
  <si>
    <t>酒精饮料（啤酒除外）;预先混合的酒精饮料（以啤酒为主的除外）;露酒;葡萄酒;⻩酒;⽩酒;含⽔果酒精饮料;⽶酒;⻘稞酒;含酒精的⽓泡⽔</t>
  </si>
  <si>
    <t>盛樽迎</t>
  </si>
  <si>
    <t>酒精饮料浓缩汁;酒精饮料（啤酒除外）;葡萄酒;烧酒;果酒（含酒精）;蒸煮提取物（利⼝酒和烈酒）;⽩酒;烧酒（烈酒）;⽶酒;⾷⽤酒精</t>
  </si>
  <si>
    <t>虎品</t>
  </si>
  <si>
    <t>刘文娟410402********5584</t>
  </si>
  <si>
    <t>烈酒（饮料）;鸡尾酒;葡萄酒;清酒;开胃酒;含酒精的饮料（啤酒除外）;苹果酒;果酒;⽩酒;⻘稞酒</t>
  </si>
  <si>
    <t>活潭</t>
  </si>
  <si>
    <t>贾葱41042********7642X</t>
  </si>
  <si>
    <t>苹果酒;果酒;烈酒（饮料）;鸡尾酒;⻘稞酒;清酒;含酒精的饮料（啤酒除外）;⽩酒;开胃酒;葡萄酒</t>
  </si>
  <si>
    <t>益典</t>
  </si>
  <si>
    <t>葡萄酒;⻘稞酒;⽩酒;含酒精的饮料（啤酒除外）;开胃酒;烈酒（饮料）;鸡尾酒;清酒;苹果酒;果酒</t>
  </si>
  <si>
    <t>ESOK</t>
  </si>
  <si>
    <t>泉州朴术科技有限公司</t>
  </si>
  <si>
    <t>鸡尾酒;⽩酒;以葡萄酒为主的饮料;⾕物制蒸馏酒精饮料;含酒精的⽓泡⽔;果酒（含酒精）;⽶酒;烧酒;清酒;含酒精的饮料（啤酒除外）</t>
  </si>
  <si>
    <t>樽季盈</t>
  </si>
  <si>
    <t>烧酒（烈酒）;酒精饮料浓缩汁;蒸煮提取物（利⼝酒和烈酒）;⽩酒;果酒（含酒精）;酒精饮料（啤酒除外）;葡萄酒;⽶酒;烧酒;⾷⽤酒精</t>
  </si>
  <si>
    <t>睿锦</t>
  </si>
  <si>
    <t>贵州睿锦坊酿酒有限公司</t>
  </si>
  <si>
    <t>⻩酒;⾼粱酒;烈酒（饮料）;酒精饮料（啤酒除外）;梅酒;⽩酒;甜酒;果酒（含酒精）;露酒;⽶酒</t>
  </si>
  <si>
    <t>月百姿</t>
  </si>
  <si>
    <t>范县小林子电子商务有限公司</t>
  </si>
  <si>
    <t>酒精饮料（啤酒除外）;已调味的⻨芽酿制的酒精饮料（啤酒除外）;⽩酒;开胃酒;⾼粱酒;果酒（含酒精）;清酒（⽇本⽶酒）;⽶酒;⽔果汽酒;酒精饮料原汁</t>
  </si>
  <si>
    <t>敬酩福</t>
  </si>
  <si>
    <t>酒精饮料（啤酒除外）;葡萄酒;果酒（含酒精）;⽶酒;蒸煮提取物（利⼝酒和烈酒）;⾷⽤酒精;⽩酒;烧酒;酒精饮料浓缩汁;烧酒（烈酒）</t>
  </si>
  <si>
    <t>UNKNOWTAL</t>
  </si>
  <si>
    <t>上官荣坡</t>
  </si>
  <si>
    <t>蜂蜜酒;烈酒（饮料）;烧酒;葡萄酒;⽶酒;酒精饮料（啤酒除外）;⻩酒;⽩酒;果酒（含酒精）;威⼠忌</t>
  </si>
  <si>
    <t>2024/06/30</t>
  </si>
  <si>
    <t>兰苑竹</t>
  </si>
  <si>
    <t>韩办办</t>
  </si>
  <si>
    <t>葡萄酒;利⼝酒;酒精饮料（啤酒除外）;⽶酒;酒精饮料原汁;果酒（含酒精）;清酒;⾷⽤酒精;⽩酒;烧酒</t>
  </si>
  <si>
    <t>樱花诗</t>
  </si>
  <si>
    <t>郭若冉</t>
  </si>
  <si>
    <t>果酒（含酒精）;鸡尾酒;葡萄酒;清酒（⽇本⽶酒）;酒精饮料（啤酒除外）;烈酒;威⼠忌;开胃酒;⻩酒;⽩酒</t>
  </si>
  <si>
    <t>六安清山文化传媒有限公司</t>
  </si>
  <si>
    <t>薄荷酒;酒精饮料（啤酒除外）;鸡尾酒;⽶酒;伏特加酒;葡萄酒;威⼠忌;烧酒;烈酒（饮料）;⽩酒</t>
  </si>
  <si>
    <t>黑牛先生</t>
  </si>
  <si>
    <t>永康市虹林电子科技有限公司</t>
  </si>
  <si>
    <t>烈酒（饮料）;⽶酒;⻩酒;烧酒;⽩酒;清酒;果酒（含酒精）;蒸馏饮料;汽酒;烈酒</t>
  </si>
  <si>
    <t>清山小勇哥</t>
  </si>
  <si>
    <t>烈酒（饮料）;伏特加酒;酒精饮料（啤酒除外）;威⼠忌;薄荷酒;葡萄酒;烧酒;⽩酒;鸡尾酒;⽶酒</t>
  </si>
  <si>
    <t>星空反转</t>
  </si>
  <si>
    <t>钱嘉诚</t>
  </si>
  <si>
    <t>果酒（含酒精）;预先混合的酒精饮料（以啤酒为主的除外）;⻘梅酒;含⽔果酒精饮料;果酒;汽酒;露酒;梅酒;⽔果汽酒;含酒精的充⽓饮料（啤酒除外）;含酒精的饮料（啤酒除外）;含酒精⽔果饮料</t>
  </si>
  <si>
    <t>金总管</t>
  </si>
  <si>
    <t>金邦海</t>
  </si>
  <si>
    <t>威⼠忌;烧酒;⻘稞酒;鸡尾酒;葡萄酒;⽶酒;汽酒;烈酒（饮料）;⽩酒;果酒（含酒精）</t>
  </si>
  <si>
    <t>景相灵</t>
  </si>
  <si>
    <t>无锡金之德科技有限公司</t>
  </si>
  <si>
    <t>葡萄酒;⾕物制蒸馏酒精饮料;烧酒;烈酒（饮料）;⾼粱酒;⽼酒（中国蒸馏烈酒）;烧酒（烈酒）;⻩酒;⽩酒;⽶酒</t>
  </si>
  <si>
    <t>厦暨</t>
  </si>
  <si>
    <t>厦门颐临阁文化传播有限公司</t>
  </si>
  <si>
    <t>果酒（含酒精）;鸡尾酒;酒精饮料（啤酒除外）;含酒精的⽓泡⽔;⽩酒;酒精饮料原汁;烈酒（饮料）;⽶酒;⻩酒;蒸馏饮料</t>
  </si>
  <si>
    <t>海泊树</t>
  </si>
  <si>
    <t>刘绍艇</t>
  </si>
  <si>
    <t>⽩酒;伏特加酒;⽩兰地;威⼠忌;果酒（含酒精）;⻩酒;⾷⽤酒精;朗姆酒;烈酒（饮料）;葡萄酒</t>
  </si>
  <si>
    <t>2024/07/01</t>
  </si>
  <si>
    <t>聚丰博远</t>
  </si>
  <si>
    <t>山东聚丰农资有限公司</t>
  </si>
  <si>
    <t>⾷⽤酒精;⽶酒;⽩酒;清酒;葡萄汽酒;果酒;烧酒;葡萄酒;⻩酒;含酒精的⽓泡⽔</t>
  </si>
  <si>
    <t>金渭原</t>
  </si>
  <si>
    <t>海南中飞国际航空科技有限公司</t>
  </si>
  <si>
    <t>⽶酒;酒精饮料（啤酒除外）;⾼粱酒;鸡尾酒;开胃酒;葡萄酒;⽩酒;⻘稞酒;果酒（含酒精）;烧酒（烈酒）</t>
  </si>
  <si>
    <t>同暚</t>
  </si>
  <si>
    <t>海南玉鹄投资有限公司</t>
  </si>
  <si>
    <t>果酒（含酒精）;清酒（⽇本⽶酒）;伏特加酒;⻘稞酒;葡萄酒;⽩兰地;⻩酒;⽶酒;⽩酒;鸡尾酒</t>
  </si>
  <si>
    <t>芷棠庄园</t>
  </si>
  <si>
    <t>云南宸昂企业管理有限公司</t>
  </si>
  <si>
    <t>蒸馏饮料;葡萄酒;⽩酒;汽酒;鸡尾酒;⻘稞酒;⾷⽤酒精;⽶酒;杜松⼦酒;酒精饮料原汁</t>
  </si>
  <si>
    <t>巴适洲洋臻享</t>
  </si>
  <si>
    <t>巴中市恩阳区柳林镇刘周阳白酒经营部</t>
  </si>
  <si>
    <t>⽩兰地;⽩⼲酒（中国⽩酒）;⽶酒;红葡萄酒;烈酒（饮料）;预先混合的酒精饮料（以啤酒为主的除外）;烧酒;⽼酒（中国蒸馏烈酒）;⽩酒;⾼粱酒</t>
  </si>
  <si>
    <t>WUYITONGXUE</t>
  </si>
  <si>
    <t>吴健</t>
  </si>
  <si>
    <t>开胃酒;威⼠忌;酒精饮料（啤酒除外）;⻩酒;⽩酒;含⽔果酒精饮料;果酒（含酒精）;薄荷酒;蒸馏饮料;葡萄酒</t>
  </si>
  <si>
    <t>微渡花岭</t>
  </si>
  <si>
    <t>武汉新血液品牌管理有限公司</t>
  </si>
  <si>
    <t>蒸馏饮料;果酒;蒸煮提取物（利⼝酒和烈酒）;酒精饮料浓缩汁;⽩酒;鸡尾酒;葡萄酒;⽶酒;⾷⽤酒精;含⽔果酒精饮料</t>
  </si>
  <si>
    <t>广丰德</t>
  </si>
  <si>
    <t>山西杏花杏东藏酒业有限公司</t>
  </si>
  <si>
    <t>⻩酒;烧酒;鸡尾酒;利⼝酒;清酒（⽇本⽶酒）;威⼠忌;⽩酒;果酒（含酒精）;开胃酒;烈酒（饮料）</t>
  </si>
  <si>
    <t>穗小岁</t>
  </si>
  <si>
    <t>王洋</t>
  </si>
  <si>
    <t>烈酒（饮料）;清酒（⽇本⽶酒）;⻩酒;烧酒;⻘稞酒;鸡尾酒;威⼠忌;蜂蜜酒;⽩酒;开胃酒</t>
  </si>
  <si>
    <t>醴言</t>
  </si>
  <si>
    <t>黄山将军米酒有限责任公司</t>
  </si>
  <si>
    <t>⽩兰地;⽶酒;果酒;含⽔果酒精饮料;烧酒;鸡尾酒;酒精饮料（啤酒除外）;葡萄酒;⻩酒;⽩酒</t>
  </si>
  <si>
    <t>归源宁</t>
  </si>
  <si>
    <t>安徽庆春堂药业有限公司</t>
  </si>
  <si>
    <t>酒精饮料（啤酒除外）;⽶酒;⽩酒;⻩酒;伏特加酒;⾕物制蒸馏酒精饮料;烧酒（烈酒）;烧酒;⽼酒（中国蒸馏烈酒）;威⼠忌</t>
  </si>
  <si>
    <t>奥莱咖</t>
  </si>
  <si>
    <t>保定来界产业园管理有限公司</t>
  </si>
  <si>
    <t>蜂蜜酒;⽩兰地;⽶酒;烧酒;酒精饮料（啤酒除外）;蒸馏饮料;⻘稞酒;果酒（含酒精）;含⽔果酒精饮料;葡萄酒</t>
  </si>
  <si>
    <t>醉云樽</t>
  </si>
  <si>
    <t>储彩霞</t>
  </si>
  <si>
    <t>⾷⽤酒精;⽩酒;⻩酒;⽶酒;威⼠忌;果酒（含酒精）;含⽔果酒精饮料;⻘稞酒;烈酒（饮料）;烧酒</t>
  </si>
  <si>
    <t>贡满福</t>
  </si>
  <si>
    <t>⽶酒;酒精饮料（啤酒除外）;⾷⽤酒精;葡萄酒;蒸煮提取物（利⼝酒和烈酒）;烧酒;⽩酒;酒精饮料浓缩汁;佐餐酒;果酒（含酒精）</t>
  </si>
  <si>
    <t>辈响</t>
  </si>
  <si>
    <t>杨飞</t>
  </si>
  <si>
    <t>烈酒（饮料）;烧酒;果酒（含酒精）;葡萄酒;⽶酒;⾷⽤酒精;酒精饮料（啤酒除外）;酒精饮料原汁;⽩酒;⻩酒</t>
  </si>
  <si>
    <t>祝三祺</t>
  </si>
  <si>
    <t>杜丽娟</t>
  </si>
  <si>
    <t>含酒精的饮料（啤酒除外）;果酒;由⾕物蒸馏的⽩酒;葡萄酒;⽶酒;⻩酒;烧酒;⽩酒;⽼酒（中国蒸馏烈酒）;⾼粱酒</t>
  </si>
  <si>
    <t>梵木俪</t>
  </si>
  <si>
    <t>成都梵木俪家具有限公司</t>
  </si>
  <si>
    <t>鸡尾酒;⽩兰地;威⼠忌;⽶酒;苹果酒;开胃酒;烧酒;⽩酒;烈酒;葡萄酒</t>
  </si>
  <si>
    <t>秦春福</t>
  </si>
  <si>
    <t>鸡尾酒;⻩酒;⽩酒;⻘稞酒;清酒（⽇本⽶酒）;蜂蜜酒;烈酒（饮料）;威⼠忌;烧酒;开胃酒</t>
  </si>
  <si>
    <t>庆酩策</t>
  </si>
  <si>
    <t>鸡尾酒;蜂蜜酒;⽩酒;⻩酒;威⼠忌;⻘稞酒;开胃酒;烈酒（饮料）;清酒（⽇本⽶酒）;烧酒</t>
  </si>
  <si>
    <t>YJBURN</t>
  </si>
  <si>
    <t>金华市英尔健身器材科技有限公司</t>
  </si>
  <si>
    <t>⽩酒;葡萄酒;果酒（含酒精）;⽶酒;酒精饮料原汁;蜂蜜酒;⻩酒;开胃酒;鸡尾酒;含⽔果酒精饮料</t>
  </si>
  <si>
    <t>泰福玖</t>
  </si>
  <si>
    <t>高明申</t>
  </si>
  <si>
    <t>烧酒;⽶酒;⾼粱酒;由⾕物蒸馏的⽩酒;果酒;⽩酒;以葡萄酒为主的饮料;梅酒;⽼酒（中国蒸馏烈酒）;烧酒（烈酒）</t>
  </si>
  <si>
    <t>山海江皋</t>
  </si>
  <si>
    <t>山东律格能源科技有限公司</t>
  </si>
  <si>
    <t>烈酒;⽩兰地;⽩酒;⾼粱酒;由⾕物蒸馏的⽩酒;朗姆酒;葡萄酒;⽩⼲酒（中国⽩酒）;⽼酒（中国蒸馏烈酒）;威⼠忌</t>
  </si>
  <si>
    <t>二春缘</t>
  </si>
  <si>
    <t>广汉市租缘网络科技有限公司</t>
  </si>
  <si>
    <t>烈酒（饮料）;⻩酒;蜂蜜酒;⽩酒;果酒（含酒精）;⾷⽤酒精;樱桃酒;汽酒;烧酒;⻘稞酒</t>
  </si>
  <si>
    <t>匠香巅</t>
  </si>
  <si>
    <t>曹小芳</t>
  </si>
  <si>
    <t>⽶酒;⽩酒;⾼粱酒;⽼酒（中国蒸馏烈酒）;烧酒;利⼝酒;⽩葡萄酒;果酒;烈酒;酒精饮料（啤酒除外）</t>
  </si>
  <si>
    <t>南城刘</t>
  </si>
  <si>
    <t>北京南城小刘涮肉有限公司</t>
  </si>
  <si>
    <t>⽶酒;葡萄酒;⻩酒;⽩酒;⾼粱酒;⾷⽤酒精;烧酒;酒精饮料（啤酒除外）;果酒;清酒</t>
  </si>
  <si>
    <t>橙来乐</t>
  </si>
  <si>
    <t>周期养</t>
  </si>
  <si>
    <t>⾷⽤酒精;⽩酒;含⽔果酒精饮料;果酒（含酒精）;烈酒（饮料）;酒精饮料原汁;酒精饮料（啤酒除外）;⽶酒;⻩酒;酒精饮料浓缩汁</t>
  </si>
  <si>
    <t>立千年</t>
  </si>
  <si>
    <t>刘怡36078********7202X</t>
  </si>
  <si>
    <t>⽩酒;含⽔果酒精饮料</t>
  </si>
  <si>
    <t>岙佳</t>
  </si>
  <si>
    <t>利⼝酒;鸡尾酒;⽶酒;果酒（含酒精）;威⼠忌;酒精饮料（啤酒除外）;葡萄酒;清酒（⽇本⽶酒）;⽩酒;烧酒</t>
  </si>
  <si>
    <t>秉黔父子</t>
  </si>
  <si>
    <t>刘洋</t>
  </si>
  <si>
    <t>果酒（含酒精）;蜂蜜酒;清酒（⽇本⽶酒）;⽶酒;鸡尾酒;烧酒;葡萄酒;含⽔果酒精饮料;酒精饮料（啤酒除外）;⽩酒</t>
  </si>
  <si>
    <t>粮思赋</t>
  </si>
  <si>
    <t>⽩酒;⻩酒;葡萄酒;甜酒;酒精饮料（啤酒除外）;烧酒;果酒;鸡尾酒;清酒;⽶酒</t>
  </si>
  <si>
    <t>八斗止饮</t>
  </si>
  <si>
    <t>广州豪戈文化用品有限公司</t>
  </si>
  <si>
    <t>⽩兰地;酒精饮料原汁;⻩酒;⽩酒;烧酒;烈酒（饮料）;蒸馏饮料;餐后酒（利⼝酒和烈酒）;⾕物制蒸馏酒精饮料;葡萄酒</t>
  </si>
  <si>
    <t>禾悦东园</t>
  </si>
  <si>
    <t>佛山市顺德区禾悦东园餐饮服务有限公司</t>
  </si>
  <si>
    <t>烧酒;酒精饮料原汁;酒精饮料（啤酒除外）;⽶酒;葡萄酒;汽酒;⽩酒;清酒;果酒;⻩酒</t>
  </si>
  <si>
    <t>横威</t>
  </si>
  <si>
    <t>郭修斌</t>
  </si>
  <si>
    <t>露酒;⽩酒</t>
  </si>
  <si>
    <t>钤邑</t>
  </si>
  <si>
    <t>分宜县锦鸿农业开发有限公司</t>
  </si>
  <si>
    <t>葡萄酒;蒸馏饮料;⽩酒;薄荷酒;⽔果汽酒;⻩酒;果酒（含酒精）;开胃酒;含⽔果酒精饮料;酒精饮料（啤酒除外）</t>
  </si>
  <si>
    <t>小露川</t>
  </si>
  <si>
    <t>开胃酒;烈酒;⻩酒;⽩酒;威⼠忌;鸡尾酒;酒精饮料（啤酒除外）;葡萄酒;果酒（含酒精）;清酒（⽇本⽶酒）</t>
  </si>
  <si>
    <t>琉璃台</t>
  </si>
  <si>
    <t>广东正典文化产业集团有限公司</t>
  </si>
  <si>
    <t>果酒（含酒精）;烈酒（饮料）;清酒（⽇本⽶酒）;酒精饮料（啤酒除外）;⻩酒;鸡尾酒;威⼠忌;葡萄酒;⽩酒;杜松⼦酒</t>
  </si>
  <si>
    <t>华相传</t>
  </si>
  <si>
    <t>果酒;⾼粱酒;⽼酒（中国蒸馏烈酒）;酒精饮料（啤酒除外）;烈酒;⽶酒;⽩酒;⽩葡萄酒;烧酒;利⼝酒</t>
  </si>
  <si>
    <t>汉鼎天</t>
  </si>
  <si>
    <t>葡萄酒;⽩⼲酒（中国⽩酒）;烈酒（饮料）;清酒（⽇本⽶酒）;烈酒;含⽔果酒精饮料;⽶酒;⾼粱酒;烧酒;⽩酒</t>
  </si>
  <si>
    <t>祝商祺</t>
  </si>
  <si>
    <t>⻩酒;烧酒;⽶酒;⽩酒;果酒;葡萄酒;⽼酒（中国蒸馏烈酒）;由⾕物蒸馏的⽩酒;含酒精的饮料（啤酒除外）;⾼粱酒</t>
  </si>
  <si>
    <t>胜海</t>
  </si>
  <si>
    <t>北京任远商贸有限公司</t>
  </si>
  <si>
    <t>⻩酒;酒精饮料（啤酒除外）;⽶酒;清酒（⽇本⽶酒）;葡萄酒;烧酒;鸡尾酒;烈酒（饮料）;⽩酒;果酒（含酒精）</t>
  </si>
  <si>
    <t>凤祥万里</t>
  </si>
  <si>
    <t>青岛五粮香酿酒有限公司</t>
  </si>
  <si>
    <t>⾼粱酒;⽩⼲酒（中国⽩酒）;烧酒;⽩酒;已调味的蒸馏酒;除啤酒外的酒精饮料;由⾕物蒸馏的⽩酒;⽼酒（中国蒸馏烈酒）;含酒精的饮料（啤酒除外）;露酒</t>
  </si>
  <si>
    <t>辛客乐</t>
  </si>
  <si>
    <t>青岛好达通供应链有限公司</t>
  </si>
  <si>
    <t>由⾕物蒸馏的⽩酒;以葡萄酒为主的饮料;⾷⽤酒精;五加⽪酒（中国混合烈酒）;蒸煮提取物（利⼝酒和烈酒）;⽩⼲酒（中国⽩酒）;果酒（含酒精）;烧酒;⽼酒（中国蒸馏烈酒）;⽶酒</t>
  </si>
  <si>
    <t>福视德</t>
  </si>
  <si>
    <t>酒精饮料（啤酒除外）;葡萄酒;鸡尾酒;清酒（⽇本⽶酒）;威⼠忌;⽩酒;果酒（含酒精）;利⼝酒;烧酒;⽶酒</t>
  </si>
  <si>
    <t>蔻斯科瓦</t>
  </si>
  <si>
    <t>厦门启酝贸易有限公司</t>
  </si>
  <si>
    <t>餐后酒（利⼝酒和烈酒）;鸡尾酒;已调味的⻨芽酿制的酒精饮料（啤酒除外）;烈酒（饮料）;酒精饮料（啤酒除外）;⾕物制蒸馏酒精饮料;含⽔果酒精饮料;利⼝酒;预先混合的酒精饮料（以啤酒为主的除外）;伏特加酒</t>
  </si>
  <si>
    <t>贵长久</t>
  </si>
  <si>
    <t>刘云</t>
  </si>
  <si>
    <t>⻘稞酒;⽩酒;⻩酒;清酒（⽇本⽶酒）;葡萄酒;酒精饮料（啤酒除外）;果酒（含酒精）;烧酒;⽩兰地;⽶酒</t>
  </si>
  <si>
    <t>甄满分</t>
  </si>
  <si>
    <t>山西甄满分供应链有限公司</t>
  </si>
  <si>
    <t>葡萄酒;⽶酒;烧酒;⻩酒;含酒精的⽓泡⽔;汽酒;⽩酒;露酒;果酒（含酒精）;鸡尾酒</t>
  </si>
  <si>
    <t>粮七叔</t>
  </si>
  <si>
    <t>吴昌明</t>
  </si>
  <si>
    <t>鸡尾酒;含⽔果酒精饮料;葡萄酒;⽩兰地;⽶酒;⾷⽤酒精;果酒（含酒精）;⽩酒;酒精饮料（啤酒除外）;⻩酒</t>
  </si>
  <si>
    <t>金鑫泰建工</t>
  </si>
  <si>
    <t>张掖市金鑫泰建筑工程有限公司</t>
  </si>
  <si>
    <t>阿夸维特酒;苦荞酒;苦味酒;朝鲜族⽶酒;蝮蛇酒;黑醋栗酒;含酒精蛋奶酒;柑⾹酒;佐餐酒;五加⽪酒（中国混合烈酒）</t>
  </si>
  <si>
    <t>温誉</t>
  </si>
  <si>
    <t>武汉市安路奇展示用品有限公司</t>
  </si>
  <si>
    <t>果酒（含酒精）;葡萄酒;⽩兰地;⽶酒;鸡尾酒;⽩酒;蜂蜜酒;烧酒;烈酒（饮料）;利⼝酒</t>
  </si>
  <si>
    <t>九德客</t>
  </si>
  <si>
    <t>马明法41032********4963X</t>
  </si>
  <si>
    <t>威⼠忌;酒精饮料（啤酒除外）;⽩兰地;伏特加酒;⽩酒;果酒;⻩酒;鸡尾酒;葡萄酒;⽶酒</t>
  </si>
  <si>
    <t>慢心隐宿</t>
  </si>
  <si>
    <t>湖北田介乡村文旅生态科技有限公司</t>
  </si>
  <si>
    <t>苹果酒;鸡尾酒;果酒（含酒精）;葡萄酒;烧酒;⻩酒;烈酒（饮料）;⽶酒;⽩酒;酒精饮料（啤酒除外）</t>
  </si>
  <si>
    <t>田汁坊</t>
  </si>
  <si>
    <t>上海重久商贸有限公司</t>
  </si>
  <si>
    <t>汽酒;果酒（含酒精）;⽩酒;酒精饮料（啤酒除外）;⻩酒;烈酒;葡萄酒;酒精饮料原汁;⾷⽤酒精;⻘稞酒</t>
  </si>
  <si>
    <t>北京希煜网络科技有限公司</t>
  </si>
  <si>
    <t>鸡尾酒;酒精饮料（啤酒除外）;⽶酒;⽩兰地;烈酒;葡萄酒;⽩酒;烈酒（饮料）;果酒（含酒精）;烧酒</t>
  </si>
  <si>
    <t>福富福</t>
  </si>
  <si>
    <t>烧酒;利⼝酒;⽩酒;⽩葡萄酒;⾼粱酒;酒精饮料（啤酒除外）;⽶酒;果酒;烈酒;⽼酒（中国蒸馏烈酒）</t>
  </si>
  <si>
    <t>堰功道</t>
  </si>
  <si>
    <t>深圳市亚恒科技有限公司</t>
  </si>
  <si>
    <t>果酒（含酒精）;酒精饮料（啤酒除外）;烧酒;清酒（⽇本⽶酒）;⽶酒;烈酒（饮料）;⻩酒;⽩酒;鸡尾酒;葡萄酒</t>
  </si>
  <si>
    <t>福钻</t>
  </si>
  <si>
    <t>楚琼</t>
  </si>
  <si>
    <t>果酒（含酒精）;⽩酒;威⼠忌;葡萄酒;烧酒;⻘稞酒;⽩兰地;⽶酒;鸡尾酒;⻩酒</t>
  </si>
  <si>
    <t>落峪</t>
  </si>
  <si>
    <t>桐乡市石门华诚油漆店</t>
  </si>
  <si>
    <t>⽶酒;⽩酒;烧酒;果酒（含酒精）;葡萄酒;⻩酒;清酒（⽇本⽶酒）;含⽔果酒精饮料;鸡尾酒;酒精饮料（啤酒除外）</t>
  </si>
  <si>
    <t>满立愿</t>
  </si>
  <si>
    <t>意德堂(广州)国学文化传播有限公司</t>
  </si>
  <si>
    <t>酒精饮料（啤酒除外）;葡萄酒;⽼酒（中国蒸馏烈酒）;⻘稞酒;朗姆酒;果酒（含酒精）;⽶酒;⻩酒;以葡萄酒为主的饮料;⽩酒</t>
  </si>
  <si>
    <t>花阡陌</t>
  </si>
  <si>
    <t>葡萄酒;⾷⽤酒精;烧酒;果酒;⽩酒;鸡尾酒;⾼粱酒;蜂蜜酒;⽶酒;⻩酒</t>
  </si>
  <si>
    <t>东杜生</t>
  </si>
  <si>
    <t>沧州包圆了餐饮管理有限公司</t>
  </si>
  <si>
    <t>烈酒（饮料）;酒精饮料（啤酒除外）;酒精饮料浓缩汁;威⼠忌;⽶酒;鸡尾酒;果酒（含酒精）;⻘稞酒;蒸馏饮料;以葡萄酒为主的饮料</t>
  </si>
  <si>
    <t>牖见斋</t>
  </si>
  <si>
    <t>山西金砂紫陶股份有限公司</t>
  </si>
  <si>
    <t>果酒（含酒精）;⾷⽤酒精;威⼠忌;含⽔果酒精饮料;⽩酒;酒精饮料原汁;鸡尾酒;烈酒（饮料）;酒精饮料（啤酒除外）;葡萄酒</t>
  </si>
  <si>
    <t>吴一同学</t>
  </si>
  <si>
    <t>蒸馏饮料;威⼠忌;⽩酒;果酒（含酒精）;薄荷酒;葡萄酒;⻩酒;酒精饮料（啤酒除外）;含⽔果酒精饮料;开胃酒</t>
  </si>
  <si>
    <t>宏福久久</t>
  </si>
  <si>
    <t>大理宏福酒业有限公司</t>
  </si>
  <si>
    <t>果酒（含酒精）;⽶酒;含⽔果酒精饮料;鸡尾酒;酒精饮料（啤酒除外）;烧酒;苹果酒;葡萄酒;清酒（⽇本⽶酒）;樱桃酒</t>
  </si>
  <si>
    <t>秦潼关</t>
  </si>
  <si>
    <t>烧酒（烈酒）;酒精饮料（啤酒除外）;果酒（含酒精）;⽩酒;⾼粱酒;⻘稞酒;鸡尾酒;开胃酒;⽶酒;葡萄酒</t>
  </si>
  <si>
    <t>瑶本源</t>
  </si>
  <si>
    <t>广西南宁简素科技有限公司</t>
  </si>
  <si>
    <t>以葡萄酒为主的饮料;⻩酒;甜酒;⽩酒;酒精饮料原汁;果酒（含酒精）;葡萄酒;⾼粱酒;蜂蜜酒</t>
  </si>
  <si>
    <t>NANYANG TIGER</t>
  </si>
  <si>
    <t>广东省老品牌管理有限公司</t>
  </si>
  <si>
    <t>威⼠忌;果酒（含酒精）;伏特加酒;⾷⽤酒精;葡萄酒;⽩酒;朗姆酒;烈酒（饮料）;⽩兰地;⻩酒</t>
  </si>
  <si>
    <t>求恋</t>
  </si>
  <si>
    <t>汽酒;⻩酒;果酒（含酒精）;樱桃酒;蜂蜜酒;烈酒（饮料）;⽩酒;⻘稞酒;烧酒;⾷⽤酒精</t>
  </si>
  <si>
    <t>霞幂</t>
  </si>
  <si>
    <t>天津市得源商贸有限公司</t>
  </si>
  <si>
    <t>威⼠忌;苹果酒;葡萄酒;清酒（⽇本⽶酒）;⽩兰地;利⼝酒;蜂蜜酒;朗姆酒;鸡尾酒;伏特加酒</t>
  </si>
  <si>
    <t>龙池小龙</t>
  </si>
  <si>
    <t>峨眉山龙池酒业有限公司</t>
  </si>
  <si>
    <t>葡萄酒;蜂蜜酒;烈酒（饮料）;⻘稞酒;⽩酒;清酒（⽇本⽶酒）;烧酒;伏特加酒;含⽔果酒精饮料;蒸馏饮料</t>
  </si>
  <si>
    <t>慧己正阳</t>
  </si>
  <si>
    <t>葡萄酒;甜酒;⽩酒;以葡萄酒为主的饮料;果酒（含酒精）;蜂蜜酒;⾼粱酒;酒精饮料原汁;⻩酒</t>
  </si>
  <si>
    <t>燕南王芝</t>
  </si>
  <si>
    <t>周燕510227********2105</t>
  </si>
  <si>
    <t>烈酒;烧酒;⽩⼲酒（中国⽩酒）;⾼粱酒;⽶酒;⽩酒;酒精饮料（啤酒除外）;蒸煮提取物（利⼝酒和烈酒）;果酒;露酒</t>
  </si>
  <si>
    <t>同闿园</t>
  </si>
  <si>
    <t>深圳同闿园健康生活有限公司</t>
  </si>
  <si>
    <t>清酒（⽇本⽶酒）;蜂蜜酒;⽶酒;⻩酒;⾕物制蒸馏酒精饮料;预先混合的酒精饮料（以啤酒为主的除外）;含⽔果酒精饮料;葡萄酒;⽩酒;酒精饮料（啤酒除外）</t>
  </si>
  <si>
    <t>SCHILKIN</t>
  </si>
  <si>
    <t>柏林胜客酿酒有限两合公司</t>
  </si>
  <si>
    <t>香荐</t>
  </si>
  <si>
    <t>张文博</t>
  </si>
  <si>
    <t>果酒（含酒精）;鸡尾酒;酒精饮料（啤酒除外）;葡萄酒;⽩酒;⾷⽤酒精;⽩兰地;⽶酒;⻩酒;含⽔果酒精饮料</t>
  </si>
  <si>
    <t>宸门</t>
  </si>
  <si>
    <t>陕西宸门投资有限公司</t>
  </si>
  <si>
    <t>薄荷酒;蜂蜜酒;⽶酒;酒精饮料原汁;烈酒（饮料）;伏特加酒;苦味酒;杜松⼦酒;樱桃酒;威⼠忌</t>
  </si>
  <si>
    <t>品噐</t>
  </si>
  <si>
    <t>北京仁知伟业农业技术开发有限公司</t>
  </si>
  <si>
    <t>⽩酒;朗姆酒;葡萄酒;威⼠忌;清酒（⽇本⽶酒）;果酒（含酒精）;伏特加酒;⻘稞酒;鸡尾酒;⻩酒</t>
  </si>
  <si>
    <t>乐乐崽</t>
  </si>
  <si>
    <t>林兴连</t>
  </si>
  <si>
    <t>果酒（含酒精）;葡萄酒;利⼝酒;含⽔果酒精饮料;⻩酒;⽩酒;苹果酒;酒精饮料（啤酒除外）;⽶酒;开胃酒</t>
  </si>
  <si>
    <t>苗泊氏</t>
  </si>
  <si>
    <t>韦金财</t>
  </si>
  <si>
    <t>果酒（含酒精）;⽶酒;含⽔果酒精饮料;⻩酒;⽩酒;⽩兰地;⾷⽤酒精;鸡尾酒;葡萄酒;酒精饮料（啤酒除外）</t>
  </si>
  <si>
    <t>龙头塔</t>
  </si>
  <si>
    <t>上海梦古珠宝有限公司</t>
  </si>
  <si>
    <t>威⼠忌;⻩酒;果酒（含酒精）;鸡尾酒;⽶酒;伏特加酒;葡萄酒;利⼝酒;⽩酒;烈酒（饮料）</t>
  </si>
  <si>
    <t>秉黔美</t>
  </si>
  <si>
    <t>鸡尾酒;果酒（含酒精）;蜂蜜酒;⽩酒;清酒（⽇本⽶酒）;⽶酒;含⽔果酒精饮料;烧酒;酒精饮料（啤酒除外）;葡萄酒</t>
  </si>
  <si>
    <t>碧山月</t>
  </si>
  <si>
    <t>果酒;鸡尾酒;清酒;酒精饮料（啤酒除外）;⻩酒;葡萄酒;⽩酒;⽶酒;烧酒;甜酒</t>
  </si>
  <si>
    <t>祝叁祺</t>
  </si>
  <si>
    <t>烧酒;果酒;⽩酒;⽼酒（中国蒸馏烈酒）;⻩酒;葡萄酒;由⾕物蒸馏的⽩酒;含酒精的饮料（啤酒除外）;⽶酒;⾼粱酒</t>
  </si>
  <si>
    <t>全森健</t>
  </si>
  <si>
    <t>昆明云秀之安城建筑工程有限公司</t>
  </si>
  <si>
    <t>含⽔果酒精饮料;葡萄酒;⽶酒;果酒;蒸煮提取物（利⼝酒和烈酒）;利⼝酒;酒精饮料（啤酒除外）;⽩酒;蒸馏饮料;蜂蜜酒</t>
  </si>
  <si>
    <t>凤璇湖</t>
  </si>
  <si>
    <t>宁晋县远鹏纸箱厂</t>
  </si>
  <si>
    <t>伏特加酒;⽩兰地;酒精饮料（啤酒除外）;烈酒（饮料）;⾷⽤酒精;果酒（含酒精）;⽩酒;葡萄酒;⻩酒;威⼠忌</t>
  </si>
  <si>
    <t>西迎客</t>
  </si>
  <si>
    <t>崔春霞</t>
  </si>
  <si>
    <t>果酒（含酒精）;烈酒（饮料）;利⼝酒;苹果酒;⻩酒;⽶酒;烧酒;苦味酒;酒精饮料（啤酒除外）;葡萄酒</t>
  </si>
  <si>
    <t>金铙山</t>
  </si>
  <si>
    <t>饶炳根</t>
  </si>
  <si>
    <t>葡萄酒;烧酒;⽩酒;⽶酒;⻘稞酒;⽼酒（中国蒸馏烈酒）;⻩酒;威⼠忌;鸡尾酒;果酒（含酒精）</t>
  </si>
  <si>
    <t>枿台</t>
  </si>
  <si>
    <t>清酒（⽇本⽶酒）;果酒（含酒精）;烧酒;⽩酒;葡萄酒;烈酒（饮料）;酒精饮料（啤酒除外）;⽶酒;⻩酒;甜酒</t>
  </si>
  <si>
    <t>哈哈到</t>
  </si>
  <si>
    <t>⻩酒;红葡萄酒;烈酒;烧酒;清酒;鸡尾酒;含⽔果酒精饮料;⽩酒;⽩⼲酒（中国⽩酒）;葡萄酒</t>
  </si>
  <si>
    <t>七馆主</t>
  </si>
  <si>
    <t>北京嘉冠全贸易有限公司</t>
  </si>
  <si>
    <t>⾼粱酒;由⾕物蒸馏的⽩酒;⽶酒;酒精饮料（啤酒除外）;⻩酒;烧酒;⽼酒（中国蒸馏烈酒）;葡萄酒;⽩酒;果酒（含酒精）</t>
  </si>
  <si>
    <t>成都三个伙计商贸有限公司</t>
  </si>
  <si>
    <t>烧酒;葡萄酒;⽶酒;烈酒（饮料）;⽩酒;⽩兰地;⻩酒;威⼠忌;果酒（含酒精）;鸡尾酒</t>
  </si>
  <si>
    <t>止饮八斗</t>
  </si>
  <si>
    <t>餐后酒（利⼝酒和烈酒）;烧酒;葡萄酒;⻩酒;⽩酒;蒸馏饮料;⽩兰地;酒精饮料原汁;⾕物制蒸馏酒精饮料;烈酒（饮料）</t>
  </si>
  <si>
    <t>礼记疏</t>
  </si>
  <si>
    <t>春丽花香（唐山）文化传媒有限公司</t>
  </si>
  <si>
    <t>⾷⽤酒精;蜂蜜酒;⽶酒;汽酒;⽩酒;烧酒（烈酒）;鸡尾酒;果酒（含酒精）;蒸馏饮料;葡萄酒</t>
  </si>
  <si>
    <t>叠水湖</t>
  </si>
  <si>
    <t>杨宗锁</t>
  </si>
  <si>
    <t>⽶酒;⽩酒;预先混合的酒精饮料（以啤酒为主的除外）;果酒（含酒精）;梅酒;葡萄酒;利⼝酒;汽酒;甜酒;鸡尾酒</t>
  </si>
  <si>
    <t>百甲</t>
  </si>
  <si>
    <t>陈开全</t>
  </si>
  <si>
    <t>⾷⽤酒精;蜂蜜酒;⽩酒;⻩酒;蒸馏饮料;烧酒;果酒（含酒精）;葡萄酒;酒精饮料（啤酒除外）;⻘稞酒</t>
  </si>
  <si>
    <t>丘田小炊 QIU TIAN XIAO CUI</t>
  </si>
  <si>
    <t>张琦</t>
  </si>
  <si>
    <t>开胃酒;烈酒（饮料）;酒精饮料原汁;⽶酒;⽩酒;苦味酒;葡萄酒;果酒（含酒精）;鸡尾酒;烧酒</t>
  </si>
  <si>
    <t>2024/07/02</t>
  </si>
  <si>
    <t>聚中威</t>
  </si>
  <si>
    <t>黄圣然</t>
  </si>
  <si>
    <t>⽩酒;鸡尾酒;威⼠忌;果酒（含酒精）;⻩酒;烈酒（饮料）;酒精饮料（啤酒除外）;烧酒;葡萄酒;清酒（⽇本⽶酒）</t>
  </si>
  <si>
    <t>麦迪教育科技（深圳）有限公司</t>
  </si>
  <si>
    <t>⻩酒;烧酒;开胃酒;⽶酒;果酒（含酒精）;⾷⽤酒精;葡萄酒;酒精饮料（啤酒除外）;含⽔果酒精饮料;⽩酒</t>
  </si>
  <si>
    <t>同风雨</t>
  </si>
  <si>
    <t>深圳市三认供应链管理有限公司</t>
  </si>
  <si>
    <t>烧酒;汽酒;⻩酒;果酒（含酒精）;⽩酒;葡萄酒;烈酒（饮料）;苹果酒;⽶酒;鸡尾酒</t>
  </si>
  <si>
    <t>紫翠峰</t>
  </si>
  <si>
    <t>北京沃慕科技有限公司</t>
  </si>
  <si>
    <t>果酒;鸡尾酒;烈酒;酒精饮料（啤酒除外）;⽩酒;含酒精的⽓泡⽔;⾷⽤酒精;开胃酒;葡萄酒;以葡萄酒为主的饮料</t>
  </si>
  <si>
    <t>三晋丽华甄选 SANJIN LIHUA SELECTION</t>
  </si>
  <si>
    <t>山西丽华大酒店</t>
  </si>
  <si>
    <t>葡萄酒;烧酒;酒精饮料（啤酒除外）;⾷⽤酒精;⽼酒（中国蒸馏烈酒）;⽩酒;酒精饮料原汁;含⽔果酒精饮料;烈酒（饮料）;利⼝酒</t>
  </si>
  <si>
    <t>厚阁</t>
  </si>
  <si>
    <t>郭建民</t>
  </si>
  <si>
    <t>鸡尾酒;威⼠忌;酒精饮料（啤酒除外）;果酒;⽩酒;葡萄酒;清酒（⽇本⽶酒）;蒸馏饮料;⽶酒;⾷⽤酒精</t>
  </si>
  <si>
    <t>牛本家</t>
  </si>
  <si>
    <t>杭州诚诺商贸有限公司</t>
  </si>
  <si>
    <t>⽶酒;甜酒;果酒（含酒精）;含酒精的⽓泡⽔;汽酒;葡萄酒;清酒（⽇本⽶酒）;以葡萄酒为主的饮料;已调味的⻨芽酿制的酒精饮料（啤酒除外）;⽩葡萄酒</t>
  </si>
  <si>
    <t>SALT CHIC</t>
  </si>
  <si>
    <t>广州盐执品牌管理有限公司</t>
  </si>
  <si>
    <t>预先混合的酒精饮料（以啤酒为主的除外）;含⽔果酒精饮料;⽼酒（中国蒸馏烈酒）;甜酒;以朗姆酒为主的饮料;烈酒;酒精饮料（啤酒除外）;果酒;⽩酒;⻩酒</t>
  </si>
  <si>
    <t>晁夕</t>
  </si>
  <si>
    <t>北京朝西之旅网络技术有限公司</t>
  </si>
  <si>
    <t>葡萄酒;⽶酒;朗姆酒;⻘稞酒;⽩酒;伏特加酒;以葡萄酒为主的饮料;⻩酒;威⼠忌;⽩兰地</t>
  </si>
  <si>
    <t>精忠荣耀</t>
  </si>
  <si>
    <t>朱允星</t>
  </si>
  <si>
    <t>葡萄酒;⻩酒;⽩酒;酒精饮料（啤酒除外）;烈酒（饮料）;清酒（⽇本⽶酒）;烧酒;⽶酒;果酒（含酒精）;⻘稞酒</t>
  </si>
  <si>
    <t>颂今宵</t>
  </si>
  <si>
    <t>葡萄酒;⻩酒;清酒（⽇本⽶酒）;威⼠忌;果酒（含酒精）;开胃酒;烈酒;⽩酒;酒精饮料（啤酒除外）;鸡尾酒</t>
  </si>
  <si>
    <t>万龙洞</t>
  </si>
  <si>
    <t>⽩酒;清酒（⽇本⽶酒）;威⼠忌;烈酒;鸡尾酒;⻩酒;葡萄酒;酒精饮料（啤酒除外）;开胃酒;果酒（含酒精）</t>
  </si>
  <si>
    <t>SKM</t>
  </si>
  <si>
    <t>刘琼燕</t>
  </si>
  <si>
    <t>葡萄酒;威⼠忌;烈酒;⽩酒;鸡尾酒;开胃酒;果酒（含酒精）;清酒（⽇本⽶酒）;酒精饮料（啤酒除外）;⻩酒</t>
  </si>
  <si>
    <t>物享东方感恩礼</t>
  </si>
  <si>
    <t>上海酒好这杯供应链管理有限公司</t>
  </si>
  <si>
    <t>开胃酒;酒精饮料原汁;葡萄酒;果酒（含酒精）;烧酒;利⼝酒;酒精饮料（啤酒除外）;酸酒（低等葡萄酒）;蒸煮提取物（利⼝酒和烈酒）;⻩酒</t>
  </si>
  <si>
    <t>安徽济人药业股份有限公司</t>
  </si>
  <si>
    <t>果酒（含酒精）;⾷⽤酒精;⽶酒;蒸馏饮料;葡萄酒;清酒;蜂蜜酒;酒精饮料（啤酒除外）;⽩酒;烧酒</t>
  </si>
  <si>
    <t>开玺龙</t>
  </si>
  <si>
    <t>湖南国晏酒业有限公司</t>
  </si>
  <si>
    <t>鸡尾酒;⾕物制蒸馏酒精饮料;⽩⼲酒（中国⽩酒）;⽩酒;酒精饮料（啤酒除外）;⽶酒;含⽔果酒精饮料;葡萄酒;烧酒;蜂蜜酒</t>
  </si>
  <si>
    <t>汕头市品惟文化艺术传播有限公司</t>
  </si>
  <si>
    <t>含⽔果酒精饮料;清酒（⽇本⽶酒）;⻩酒;⽩兰地;威⼠忌;以葡萄酒为主的饮料;葡萄酒;⽶酒;烧酒（烈酒）;果酒（含酒精）</t>
  </si>
  <si>
    <t>瀚庄</t>
  </si>
  <si>
    <t>王飞飞</t>
  </si>
  <si>
    <t>葡萄酒;酒精饮料（啤酒除外）;鸡尾酒;威⼠忌;⽶酒;蒸馏饮料;酒精饮料浓缩汁;⻩酒;果酒（含酒精）;⽩酒</t>
  </si>
  <si>
    <t>包恩友</t>
  </si>
  <si>
    <t>包旭</t>
  </si>
  <si>
    <t>甜酒;⽶酒;⻩酒;⽩酒;清酒;⽼酒（中国蒸馏烈酒）;⾼粱酒;果酒;烈酒;葡萄酒</t>
  </si>
  <si>
    <t>俏致</t>
  </si>
  <si>
    <t>张龙涛</t>
  </si>
  <si>
    <t>葡萄酒;烈酒（饮料）;⻩酒;酒精饮料（啤酒除外）;果酒（含酒精）;⽩酒;鸡尾酒;⽶酒;伏特加酒;利⼝酒</t>
  </si>
  <si>
    <t>璘玢</t>
  </si>
  <si>
    <t>文全桃</t>
  </si>
  <si>
    <t>⾼粱酒;清酒;烈酒（饮料）;⾷⽤酒精;果酒（含酒精）;葡萄酒;⽩酒;烧酒;蒸馏饮料;⽶酒</t>
  </si>
  <si>
    <t>凡尘知己</t>
  </si>
  <si>
    <t>颜德英</t>
  </si>
  <si>
    <t>鸡尾酒;葡萄酒;清酒（⽇本⽶酒）;酒精饮料（啤酒除外）;烈酒;威⼠忌;⻩酒;⽩酒;果酒（含酒精）;开胃酒</t>
  </si>
  <si>
    <t>盛世联侨</t>
  </si>
  <si>
    <t>联侨（广州）数字科技有限公司</t>
  </si>
  <si>
    <t>⻩酒;⽩酒;威⼠忌;⽔果汽酒;鸡尾酒;开胃酒;⽶酒;果酒（含酒精）;葡萄酒;烧酒</t>
  </si>
  <si>
    <t>厚商</t>
  </si>
  <si>
    <t>葡萄酒;⽶酒;⾷⽤酒精;蒸馏饮料;⽩酒;酒精饮料（啤酒除外）;果酒;鸡尾酒;清酒（⽇本⽶酒）;威⼠忌</t>
  </si>
  <si>
    <t>曌弘印</t>
  </si>
  <si>
    <t>北京曌弘国际中医院（个人独资）</t>
  </si>
  <si>
    <t>酒精饮料（啤酒除外）;含⽔果酒精饮料;⾷⽤酒精;⽩酒;葡萄酒;果酒（含酒精）;开胃酒;露酒;苦味酒;餐后酒（利⼝酒和烈酒）</t>
  </si>
  <si>
    <t>石门福</t>
  </si>
  <si>
    <t>无极县顺强鑫商贸有限公司</t>
  </si>
  <si>
    <t>⽶酒;葡萄酒;清酒（⽇本⽶酒）;⻩酒;酒精饮料（啤酒除外）;鸡尾酒;烈酒（饮料）;⽩酒;果酒（含酒精）;烧酒</t>
  </si>
  <si>
    <t>池梦鲤</t>
  </si>
  <si>
    <t>廖志勇</t>
  </si>
  <si>
    <t>酒精饮料（啤酒除外）;⽶酒;⽼酒（中国蒸馏烈酒）;葡萄酒;⾕物制蒸馏酒精饮料;烧酒;⻩酒;⽩酒;鸡尾酒;以葡萄酒为主的饮料</t>
  </si>
  <si>
    <t>老许夫妇</t>
  </si>
  <si>
    <t>黄力敏</t>
  </si>
  <si>
    <t>清酒（⽇本⽶酒）;酒精饮料（啤酒除外）;预先混合的酒精饮料（以啤酒为主的除外）;⽶酒;葡萄酒;杨梅酒;烈酒（饮料）;⻘梅酒;⽩酒;蒸馏饮料;⾕物制蒸馏酒精饮料;果酒（含酒精）</t>
  </si>
  <si>
    <t>麟德莱</t>
  </si>
  <si>
    <t>麟德莱文化发展(江苏)有限公司</t>
  </si>
  <si>
    <t>葡萄酒;含⽔果酒精饮料;⽩酒;烧酒;果酒（含酒精）;蒸馏饮料;鸡尾酒;酒精饮料（啤酒除外）;烈酒（饮料）;酒精饮料原汁</t>
  </si>
  <si>
    <t>QIANYANG FOREST</t>
  </si>
  <si>
    <t>孟磊</t>
  </si>
  <si>
    <t>伏特加酒;起泡红葡萄酒;果酒（含酒精）;蜂蜜酒;汽酒;烈酒（饮料）;刺五加酒;葡萄酒;⻘梅酒;⽩酒</t>
  </si>
  <si>
    <t>匠本纪</t>
  </si>
  <si>
    <t>河南道合酒业营销有限公司</t>
  </si>
  <si>
    <t>含⽔果酒精饮料;蒸馏饮料;预先混合的酒精饮料（以啤酒为主的除外）;烈酒;⽶酒;含酒精的饮料（啤酒除外）;果酒;鸡尾酒;酒精饮料（啤酒除外）;清酒</t>
  </si>
  <si>
    <t>份庐</t>
  </si>
  <si>
    <t>烈酒;⻩酒;烧酒;甜酒;果酒;露酒;清酒;⽩⼲酒（中国⽩酒）;⽩酒;葡萄酒</t>
  </si>
  <si>
    <t>光合宇宙</t>
  </si>
  <si>
    <t>刘大圆</t>
  </si>
  <si>
    <t>葡萄酒;⻩酒;⾷⽤酒精;开胃酒;⽶酒;汽酒;清酒;甜酒;⽩酒;果酒</t>
  </si>
  <si>
    <t>乾三宏</t>
  </si>
  <si>
    <t>湖南皓彤进出口贸易有限公司</t>
  </si>
  <si>
    <t>烈酒（饮料）;酒精饮料原汁;⻩酒;含⽔果酒精饮料;⽩酒;开胃酒;葡萄酒;清酒（⽇本⽶酒）;⽶酒;果酒（含酒精）</t>
  </si>
  <si>
    <t>稻得金</t>
  </si>
  <si>
    <t>范睿</t>
  </si>
  <si>
    <t>⾕物制蒸馏酒精饮料;酒精饮料原汁;葡萄酒;蒸馏饮料;果酒;预先混合的酒精饮料（以啤酒为主的除外）;⻘稞酒;⽶酒;⽩酒;酒精饮料（啤酒除外）</t>
  </si>
  <si>
    <t>未末小红</t>
  </si>
  <si>
    <t>⽩酒;⽩兰地;葡萄酒;朗姆酒;果酒（含酒精）;烈酒（饮料）;威⼠忌;鸡尾酒;杜松⼦酒;伏特加酒</t>
  </si>
  <si>
    <t>顺汕巷</t>
  </si>
  <si>
    <t>康平县顺汕巷酒业厂（个体工商户）</t>
  </si>
  <si>
    <t>酒精饮料（啤酒除外）;露酒;鸡尾酒;葡萄酒;⻩酒;烈酒（饮料）;⽩酒;开胃酒;⽶酒;利⼝酒</t>
  </si>
  <si>
    <t>洛初星辰</t>
  </si>
  <si>
    <t>徐亚丽</t>
  </si>
  <si>
    <t>葡萄酒;⾷⽤酒精;⽩酒;⻩酒;⾕物制蒸馏酒精饮料;甜酒;果酒;⽶酒;汽酒;酒精饮料原汁</t>
  </si>
  <si>
    <t>逆妆</t>
  </si>
  <si>
    <t>上海峻火贸易有限公司</t>
  </si>
  <si>
    <t>苹果酒;含⽔果酒精饮料;酒精饮料（啤酒除外）;果酒（含酒精）;⽩酒;烧酒;烈酒;葡萄酒;蜂蜜酒;⾷⽤酒精</t>
  </si>
  <si>
    <t>千羽凤凰</t>
  </si>
  <si>
    <t>太原市小店区远见教学设备营销中心</t>
  </si>
  <si>
    <t>伏特加酒;烧酒;葡萄酒;果酒（含酒精）;酒精饮料（啤酒除外）;⽶酒;清酒（⽇本⽶酒）;利⼝酒;含⽔果酒精饮料;⽩酒</t>
  </si>
  <si>
    <t>环球潮流域</t>
  </si>
  <si>
    <t>黄世鹏</t>
  </si>
  <si>
    <t>烧酒（烈酒）;⽩⼲酒（中国⽩酒）;汽酒;⻩酒;烈性⼲酒;清酒;⽶酒;⽩酒;⻘稞酒;⽔果汽酒</t>
  </si>
  <si>
    <t>仙黍春</t>
  </si>
  <si>
    <t>李永进</t>
  </si>
  <si>
    <t>⽶酒;⻩酒;⽩酒;⾼粱酒;由⾕物蒸馏的⽩酒;果酒;烧酒（烈酒）;⽩⼲酒（中国⽩酒）;⽼酒（中国蒸馏烈酒）;酒精饮料（啤酒除外）</t>
  </si>
  <si>
    <t>潭旗</t>
  </si>
  <si>
    <t>张楠</t>
  </si>
  <si>
    <t>什里牧歌</t>
  </si>
  <si>
    <t>新疆天盛疆源商贸有限公司</t>
  </si>
  <si>
    <t>⻘稞酒;⽩酒;葡萄酒;⽩⼲酒（中国⽩酒）;⽶酒;果酒（含酒精）;梅酒;果酒;含酒精⽔果饮料;由⾕物蒸馏的⽩酒</t>
  </si>
  <si>
    <t>非岸</t>
  </si>
  <si>
    <t>故城县董学府酿酒厂</t>
  </si>
  <si>
    <t>果酒;⽩酒;烈酒;⽼酒（中国蒸馏烈酒）;利⼝酒;含⽔果酒精饮料;烧酒;⽩⼲酒（中国⽩酒）;葡萄酒;鸡尾酒</t>
  </si>
  <si>
    <t>倌右</t>
  </si>
  <si>
    <t>⽩⼲酒（中国⽩酒）;烈酒;烧酒;鸡尾酒;⽩酒;果酒;葡萄酒;利⼝酒;⽼酒（中国蒸馏烈酒）;含⽔果酒精饮料</t>
  </si>
  <si>
    <t>BOOCHAA</t>
  </si>
  <si>
    <t>安吉本木建筑设计有限公司</t>
  </si>
  <si>
    <t>伏特加酒;蜂蜜酒;葡萄酒;杜松⼦酒;利⼝酒;⽩酒;⽩兰地;含⽔果酒精饮料;鸡尾酒;威⼠忌</t>
  </si>
  <si>
    <t>洛兰世嘉</t>
  </si>
  <si>
    <t>佛山市洛兰世嘉家居科技有限公司</t>
  </si>
  <si>
    <t>⽩酒;葡萄酒;蜂蜜酒;樱桃酒;杜松⼦酒;利⼝酒;⽩兰地;鸡尾酒;⻩酒;烈酒（饮料）</t>
  </si>
  <si>
    <t>活丽西施</t>
  </si>
  <si>
    <t>榧乡（上海）生物科技有限公司</t>
  </si>
  <si>
    <t>开胃酒;鸡尾酒;梨酒;⽶酒;烧酒;⽩兰地;⽩酒;葡萄酒;樱桃酒;⻩酒</t>
  </si>
  <si>
    <t>星落玉盘</t>
  </si>
  <si>
    <t>山东安然纳米实业发展有限公司</t>
  </si>
  <si>
    <t>葡萄酒;⽶酒;⻘稞酒;⽩酒;威⼠忌;果酒（含酒精）;鸡尾酒;⽩兰地;清酒（⽇本⽶酒）;烧酒</t>
  </si>
  <si>
    <t>昊恩润</t>
  </si>
  <si>
    <t>山东大川酿造有限公司</t>
  </si>
  <si>
    <t>酒精饮料（啤酒除外）;⻩酒;⽩酒;葡萄酒;⽶酒;威⼠忌;烧酒;果酒（含酒精）;鸡尾酒;烈酒（饮料）</t>
  </si>
  <si>
    <t>五彩河田</t>
  </si>
  <si>
    <t>攀枝花市河田酒业有限责任公司</t>
  </si>
  <si>
    <t>葡萄酒;威⼠忌;果酒（含酒精）;⻩酒;烧酒;蒸馏饮料;鸡尾酒;⽶酒;⽩兰地;⽩酒</t>
  </si>
  <si>
    <t>逅贝香</t>
  </si>
  <si>
    <t>王山林</t>
  </si>
  <si>
    <t>⽩酒;烈酒;烧酒;⻩酒;烧酒（烈酒）;果酒;清酒;果酒（含酒精）;⽶酒;甜酒</t>
  </si>
  <si>
    <t>享存</t>
  </si>
  <si>
    <t>深圳市互雨国际贸易有限公司</t>
  </si>
  <si>
    <t>⻩酒;鸡尾酒;葡萄酒;酒精饮料（啤酒除外）;⽶酒;⽩酒;甜酒;果酒;露酒;烈酒</t>
  </si>
  <si>
    <t>KRUGER RUMPF</t>
  </si>
  <si>
    <t>北京叁拾锋商贸有限责任公司</t>
  </si>
  <si>
    <t>红葡萄酒;伏特加酒;以葡萄酒为主的饮料;威⼠忌;⽩兰地;果酒（含酒精）;酒精饮料（啤酒除外）;汽酒;鸡尾酒;葡萄酒</t>
  </si>
  <si>
    <t>松多鲜</t>
  </si>
  <si>
    <t>济南创富时代广告有限公司</t>
  </si>
  <si>
    <t>红葡萄酒;果酒（含酒精）;⽩酒;汽酒;⾷⽤酒精;含⽔果酒精饮料;⽼酒（中国蒸馏烈酒）;⽶酒;烧酒;酒精饮料（啤酒除外）</t>
  </si>
  <si>
    <t>蜀醅韵悠</t>
  </si>
  <si>
    <t>都江堰市蜀醇香酒坊</t>
  </si>
  <si>
    <t>⾷⽤酒精;烧酒;⽶酒;清酒（⽇本⽶酒）;葡萄酒;含⽔果酒精饮料;烈酒（饮料）;⽩酒;果酒（含酒精）;酒精饮料（啤酒除外）</t>
  </si>
  <si>
    <t>宁叙</t>
  </si>
  <si>
    <t>王景汝</t>
  </si>
  <si>
    <t>⻩酒;开胃酒;果酒（含酒精）;⽩酒;酒精饮料原汁;⻘稞酒;葡萄酒;含⽔果酒精饮料;酒精饮料浓缩汁;烈酒（饮料）</t>
  </si>
  <si>
    <t>衣者珊然</t>
  </si>
  <si>
    <t>成都润石文化传播有限公司</t>
  </si>
  <si>
    <t>以蒸馏酒为主的开胃酒;葡萄酒;威⼠忌;⽩酒;甜酒;朗姆酒;⽼酒（中国蒸馏烈酒）;烧酒（烈酒）;⽩兰地;果酒</t>
  </si>
  <si>
    <t>心心酿心心念</t>
  </si>
  <si>
    <t>张亦华</t>
  </si>
  <si>
    <t>烈酒;⽶酒;烧酒;⻩酒;清酒（⽇本⽶酒）;清酒;果酒（含酒精）;开胃酒;由⾕物蒸馏的⽩酒;⽩酒</t>
  </si>
  <si>
    <t>曌仁玺</t>
  </si>
  <si>
    <t>北京宇曌国际中医院(个人独资)</t>
  </si>
  <si>
    <t>酒精饮料（啤酒除外）;苦味酒;葡萄酒;⽩酒;含⽔果酒精饮料;开胃酒;⾷⽤酒精;露酒;餐后酒（利⼝酒和烈酒）;果酒（含酒精）</t>
  </si>
  <si>
    <t>北京盘古大通投资管理有限公司</t>
  </si>
  <si>
    <t>开胃酒;葡萄酒;⽩酒;⽶酒;⾼粱酒;鸡尾酒;⻩酒;甜酒;梅酒;果酒</t>
  </si>
  <si>
    <t>红鲤榆</t>
  </si>
  <si>
    <t>扬州韩企新材料科技有限公司</t>
  </si>
  <si>
    <t>⽶酒;葡萄酒;威⼠忌;鸡尾酒;烈酒（饮料）;果酒（含酒精）;⻩酒;烧酒;开胃酒;⽩酒</t>
  </si>
  <si>
    <t>葵姬</t>
  </si>
  <si>
    <t>张丽宁</t>
  </si>
  <si>
    <t>⽶酒;烈酒（饮料）;⽩酒;⻩酒;果酒（含酒精）;鸡尾酒;葡萄酒;伏特加酒;清酒;酒精饮料（啤酒除外）</t>
  </si>
  <si>
    <t>雪窖海大情</t>
  </si>
  <si>
    <t>刘毅</t>
  </si>
  <si>
    <t>⽶酒;清酒;果酒（含酒精）;⽩酒;葡萄酒;酒精饮料（啤酒除外）;烈酒（饮料）;酒精饮料原汁;蒸馏饮料;⻩酒</t>
  </si>
  <si>
    <t>俏野</t>
  </si>
  <si>
    <t>张凯</t>
  </si>
  <si>
    <t>⽩酒;⻩酒;⽶酒;酒精饮料（啤酒除外）;伏特加酒;烈酒（饮料）;果酒（含酒精）;鸡尾酒;葡萄酒;利⼝酒</t>
  </si>
  <si>
    <t>高尖</t>
  </si>
  <si>
    <t>张菊英</t>
  </si>
  <si>
    <t>⽩酒;⻘稞酒;酒精饮料（啤酒除外）;烧酒;葡萄酒;烈酒（饮料）;清酒（⽇本⽶酒）;⽶酒;⻩酒;果酒（含酒精）</t>
  </si>
  <si>
    <t>澜眉久</t>
  </si>
  <si>
    <t>酒精饮料（啤酒除外）;⾕物制蒸馏酒精饮料;⽶酒;预先混合的酒精饮料（以啤酒为主的除外）;⽩酒;⻘稞酒;果酒;酒精饮料原汁;葡萄酒;蒸馏饮料</t>
  </si>
  <si>
    <t>戎马知己</t>
  </si>
  <si>
    <t>黄悦科</t>
  </si>
  <si>
    <t>开胃酒;清酒（⽇本⽶酒）;烈酒;⽩酒;⻩酒;鸡尾酒;葡萄酒;威⼠忌;酒精饮料（啤酒除外）;果酒（含酒精）</t>
  </si>
  <si>
    <t>杏满山</t>
  </si>
  <si>
    <t>文水县杏满山食品销售有限公司</t>
  </si>
  <si>
    <t>⾷⽤酒精;含⽔果酒精饮料;果酒（含酒精）;酒精饮料原汁;葡萄酒;⽩酒;鸡尾酒;餐后酒（利⼝酒和烈酒）;烈酒（饮料）;⻩酒</t>
  </si>
  <si>
    <t>俏感</t>
  </si>
  <si>
    <t>张爱霞</t>
  </si>
  <si>
    <t>⽩酒;⻩酒;伏特加酒;烈酒（饮料）;⽶酒;利⼝酒;果酒（含酒精）;酒精饮料（啤酒除外）;葡萄酒;鸡尾酒</t>
  </si>
  <si>
    <t>晚夏遇李</t>
  </si>
  <si>
    <t>重庆颢蓉农业开发有限公司</t>
  </si>
  <si>
    <t>⻩酒;葡萄酒;果酒（含酒精）;烧酒;⾕物制蒸馏酒精饮料;烈酒（饮料）;预先混合的酒精饮料（以啤酒为主的除外）;⽩酒;开胃酒;⽶酒</t>
  </si>
  <si>
    <t>一小畺</t>
  </si>
  <si>
    <t>北京玫朵农业科技有限公司</t>
  </si>
  <si>
    <t>⽩酒;葡萄酒;果酒;薄荷酒;鸡尾酒;⻘稞酒;⻩酒;⽶酒;酒精饮料原汁;⾕物制蒸馏酒精饮料</t>
  </si>
  <si>
    <t>耿凳儿酒</t>
  </si>
  <si>
    <t>成都金堂世纪怡都娱乐有限责任公司</t>
  </si>
  <si>
    <t>烈酒（饮料）;⾼粱酒;果酒（含酒精）;蒸馏饮料;含酒精的⽔果鸡尾酒饮料;含⽔果酒精饮料;⽩酒;酒精饮料（啤酒除外）;⾷⽤酒精;蜂蜜酒</t>
  </si>
  <si>
    <t>君王久</t>
  </si>
  <si>
    <t>成都华仁合创企业营销策划有限公司</t>
  </si>
  <si>
    <t>鸡尾酒;烧酒;清酒;酒精饮料（啤酒除外）;烈酒;葡萄酒;⻩酒;⽩酒;甜酒;果酒</t>
  </si>
  <si>
    <t>雅世涵舍文化</t>
  </si>
  <si>
    <t>烧酒;果酒;葡萄酒;威⼠忌;鸡尾酒;⽩酒;⽶酒;⻩酒;烈酒;⾼粱酒</t>
  </si>
  <si>
    <t>缙云山</t>
  </si>
  <si>
    <t>重庆江都酒业有限公司</t>
  </si>
  <si>
    <t>⽩酒;酒精饮料（啤酒除外）;果酒（含酒精）;⾕物制蒸馏酒精饮料;烧酒;⻩酒;利⼝酒;烈酒（饮料）</t>
  </si>
  <si>
    <t>梁幺妹</t>
  </si>
  <si>
    <t>重庆贵酱酒业有限公司</t>
  </si>
  <si>
    <t>葡萄酒;果酒（含酒精）;⽩酒;茴⾹酒（利⼝酒）;除啤酒外的酒精饮料;烧酒;⻩酒;⽶酒;蒸煮提取物（利⼝酒和烈酒）;烈酒</t>
  </si>
  <si>
    <t>辰农双丰</t>
  </si>
  <si>
    <t>仙居县农百丰农业发展有限公司</t>
  </si>
  <si>
    <t>利⼝酒;蜂蜜酒;⽶酒;烧酒;烈酒（饮料）;汽酒;开胃酒;果酒（含酒精）;⽩酒;⻩酒</t>
  </si>
  <si>
    <t>蚕皇羽后</t>
  </si>
  <si>
    <t>郭光辉</t>
  </si>
  <si>
    <t>⽩酒;葡萄酒;烧酒;果酒;含⽔果酒精饮料;⽶酒;⻩酒;鸡尾酒;酒精饮料（啤酒除外）;烈酒</t>
  </si>
  <si>
    <t>曌润璋</t>
  </si>
  <si>
    <t>北京曌润国际中医院(个人独资)</t>
  </si>
  <si>
    <t>苦味酒;葡萄酒;含⽔果酒精饮料;酒精饮料（啤酒除外）;露酒;开胃酒;⽩酒;果酒（含酒精）;⾷⽤酒精;餐后酒（利⼝酒和烈酒）</t>
  </si>
  <si>
    <t>闽来喜</t>
  </si>
  <si>
    <t>普宁市佳雄食品有限公司</t>
  </si>
  <si>
    <t>餐后酒（利⼝酒和烈酒）;葡萄酒;果酒（含酒精）;鸡尾酒;⻩酒;⽶酒;蒸馏饮料;烈酒（饮料）;⽩酒;酒精饮料（啤酒除外）</t>
  </si>
  <si>
    <t>醉安九里</t>
  </si>
  <si>
    <t>李秀兰</t>
  </si>
  <si>
    <t>含酒精的饮料（啤酒除外）;⾕物制蒸馏酒精饮料;⻩酒;⽼酒（中国蒸馏烈酒）;⻘稞酒;葡萄酒;⾷⽤酒精;⾼粱酒;⽩酒;果酒（含酒精）</t>
  </si>
  <si>
    <t>心厨房音悦家</t>
  </si>
  <si>
    <t>中视环太国际传媒文化（北京）有限公司</t>
  </si>
  <si>
    <t>酒精饮料原汁;葡萄酒;⽶酒;⽩酒;酒精饮料（啤酒除外）;⻩酒;烧酒;果酒（含酒精）;烈酒（饮料）;含酒精的⽓泡⽔</t>
  </si>
  <si>
    <t>咫尺宽窄</t>
  </si>
  <si>
    <t>华洲控股集团有限公司</t>
  </si>
  <si>
    <t>酒精饮料原汁;烧酒;⻩酒;葡萄酒;⽶酒;果酒（含酒精）;开胃酒;酒精饮料（啤酒除外）;⽩酒;露酒</t>
  </si>
  <si>
    <t>中穆吉庆园</t>
  </si>
  <si>
    <t>中穆新能源有限公司</t>
  </si>
  <si>
    <t>汽酒;⽶酒;葡萄酒;⽩酒;酒精饮料浓缩汁;烧酒;果酒;⻘稞酒;伏特加酒;烈酒</t>
  </si>
  <si>
    <t>奥利惠</t>
  </si>
  <si>
    <t>武汉那野商贸有限公司</t>
  </si>
  <si>
    <t>果酒（含酒精）;葡萄酒;樱桃酒;烈酒（饮料）;汽酒;⾷⽤酒精;⽩酒;⻩酒;酒精饮料（啤酒除外）;酒精饮料原汁</t>
  </si>
  <si>
    <t>畲三岩</t>
  </si>
  <si>
    <t>郑奶彬</t>
  </si>
  <si>
    <t>⻩酒;伏特加酒;葡萄酒;酒精饮料（啤酒除外）;清酒（⽇本⽶酒）;果酒（含酒精）;烧酒;⽩酒;⽩兰地;威⼠忌</t>
  </si>
  <si>
    <t>够团</t>
  </si>
  <si>
    <t>中奥通（福建）工程机械有限公司</t>
  </si>
  <si>
    <t>果酒;烧酒;烈酒;⽩兰地;⻘稞酒;开胃酒;⻩酒;⽩酒;威⼠忌;葡萄酒</t>
  </si>
  <si>
    <t>季月和风</t>
  </si>
  <si>
    <t>扬州市金鹏软管日化有限公司</t>
  </si>
  <si>
    <t>⾕物制蒸馏酒精饮料;⻩酒;葡萄酒;果酒（含酒精）;伏特加酒;鸡尾酒;酒精饮料（啤酒除外）;烧酒;⽶酒;⽩酒</t>
  </si>
  <si>
    <t>缘满分</t>
  </si>
  <si>
    <t>孟良</t>
  </si>
  <si>
    <t>果酒（含酒精）;葡萄酒;酒精饮料（啤酒除外）;鸡尾酒;威⼠忌;烈酒;清酒（⽇本⽶酒）;开胃酒;⽩酒;⻩酒</t>
  </si>
  <si>
    <t>金日团圆</t>
  </si>
  <si>
    <t>张理波</t>
  </si>
  <si>
    <t>果酒（含酒精）;蒸馏饮料;鸡尾酒;葡萄酒;烧酒;威⼠忌;⽶酒;⽩酒;⻩酒;⽩兰地</t>
  </si>
  <si>
    <t>额仁淖尔</t>
  </si>
  <si>
    <t>内蒙古放马鞭酒业有限公司</t>
  </si>
  <si>
    <t>含酒精蛋奶酒;开胃酒;⽩酒;含酒精⽔果饮料;⻩酒;葡萄酒;鸡尾酒;葡萄汽酒;⽶酒;清酒</t>
  </si>
  <si>
    <t>虎丰天盈</t>
  </si>
  <si>
    <t>张学森</t>
  </si>
  <si>
    <t>⽶酒;⾷⽤酒精;酒精饮料（啤酒除外）;烧酒;⽩酒;果酒;汽酒;葡萄酒;酒精饮料原汁;⻩酒</t>
  </si>
  <si>
    <t>鹿中圣</t>
  </si>
  <si>
    <t>开胃酒;威⼠忌;酒精饮料（啤酒除外）;烈酒;鸡尾酒;清酒（⽇本⽶酒）;⽩酒;果酒（含酒精）;⻩酒;葡萄酒</t>
  </si>
  <si>
    <t>诸侯清花</t>
  </si>
  <si>
    <t>朱亚峰</t>
  </si>
  <si>
    <t>鸡尾酒;⻩酒;⽶酒;烧酒;⽩酒;威⼠忌;果酒（含酒精）;蒸馏饮料;⽩兰地;葡萄酒</t>
  </si>
  <si>
    <t>2024/07/03</t>
  </si>
  <si>
    <t>理查三世皇爵</t>
  </si>
  <si>
    <t>开胃酒;混合威⼠忌酒;烈酒（饮料）;⽩兰地;葡萄酒;利⼝酒;鸡尾酒;威⼠忌;伏特加酒;朗姆酒</t>
  </si>
  <si>
    <t>过三街</t>
  </si>
  <si>
    <t>德州山乐食品有限公司</t>
  </si>
  <si>
    <t>⽶酒;开胃酒;⽩兰地;⽩酒;葡萄酒;果酒（含酒精）;⻩酒;烧酒;清酒;酒精饮料（啤酒除外）</t>
  </si>
  <si>
    <t>净大厨</t>
  </si>
  <si>
    <t>北京初观文化传播有限公司</t>
  </si>
  <si>
    <t>⻩酒;含酒精的饮料（啤酒除外）;果酒（含酒精）;葡萄酒;清酒（⽇本⽶酒）;烈酒;⽶酒;⽩酒;蜂蜜酒;⾕物制蒸馏酒精饮料</t>
  </si>
  <si>
    <t>XHUA</t>
  </si>
  <si>
    <t>湖北讯华科技股份有限公司</t>
  </si>
  <si>
    <t>果酒（含酒精）;含⽔果酒精饮料;⽩酒;烧酒;鸡尾酒;⻩酒;开胃酒;薄荷酒;葡萄酒;⾷⽤酒精</t>
  </si>
  <si>
    <t>AIR LIBRE</t>
  </si>
  <si>
    <t>深圳市展致科技有限公司</t>
  </si>
  <si>
    <t>⽶酒;果酒;烈酒（饮料）;利⼝酒;⻩酒;⽩兰地;⽩酒;葡萄酒;酒精饮料（啤酒除外）;烧酒</t>
  </si>
  <si>
    <t>泰世福</t>
  </si>
  <si>
    <t>湖北泰世福联合品牌管理有限公司</t>
  </si>
  <si>
    <t>烧酒;果酒（含酒精）;酒精饮料（啤酒除外）;⽩酒;鸡尾酒;⻩酒;酒精饮料原汁;⽶酒;⾕物制蒸馏酒精饮料;含酒精的⽓泡⽔</t>
  </si>
  <si>
    <t>桂师傅</t>
  </si>
  <si>
    <t>广西桂林兴安猫儿山酿酒厂</t>
  </si>
  <si>
    <t>⽩酒;⽶酒;蒸馏饮料;烧酒;葡萄酒;威⼠忌;鸡尾酒;⽩兰地;果酒（含酒精）;⻩酒</t>
  </si>
  <si>
    <t>凯萨贵族皇爵</t>
  </si>
  <si>
    <t>混合威⼠忌酒;朗姆酒;⽩兰地;伏特加酒;葡萄酒;开胃酒;利⼝酒;烈酒（饮料）;威⼠忌;鸡尾酒</t>
  </si>
  <si>
    <t>草地原野</t>
  </si>
  <si>
    <t>承德皇林山庄酒业有限公司</t>
  </si>
  <si>
    <t>烧酒;⻘稞酒;利⼝酒;⽩酒;果酒（含酒精）;汽酒;鸡尾酒;烈酒（饮料）;⻩酒;酒精饮料（啤酒除外）</t>
  </si>
  <si>
    <t>翥酒论诗</t>
  </si>
  <si>
    <t>浙江朝问智能科技有限公司</t>
  </si>
  <si>
    <t>汽酒;鸡尾酒;⻘稞酒;苹果酒;⽩兰地;烈酒（饮料）;以葡萄酒为主的饮料;⻩酒;烧酒;⽶酒;威⼠忌;餐后酒（利⼝酒和烈酒）;伏特加酒;开胃酒;⽩酒;葡萄酒;蜂蜜酒</t>
  </si>
  <si>
    <t>HAIR CODE</t>
  </si>
  <si>
    <t>广州市芭曲形象策划有限公司</t>
  </si>
  <si>
    <t>⽩兰地;含酒精的饮料（啤酒除外）;果酒（含酒精）;烈酒（饮料）;鸡尾酒;清酒;葡萄酒;⽶酒;威⼠忌;开胃酒</t>
  </si>
  <si>
    <t>顾赏</t>
  </si>
  <si>
    <t>钟健良</t>
  </si>
  <si>
    <t>⻩酒;梨酒;蜂蜜酒;⻘稞酒;果酒（含酒精）;葡萄酒;含⽔果酒精饮料;⽶酒;烈酒（饮料）;⽩酒</t>
  </si>
  <si>
    <t>支云艺</t>
  </si>
  <si>
    <t>支云酒业集团有限公司</t>
  </si>
  <si>
    <t>⻘稞酒;⻩酒;⾷⽤酒精;⽩酒;蒸煮提取物（利⼝酒和烈酒）;酒精饮料（啤酒除外）;烈酒;烧酒;果酒;鸡尾酒</t>
  </si>
  <si>
    <t>支云藏龙</t>
  </si>
  <si>
    <t>烧酒;蒸煮提取物（利⼝酒和烈酒）;酒精饮料（啤酒除外）;⻘稞酒;⻩酒;⾷⽤酒精;烈酒;⽩酒;果酒;鸡尾酒</t>
  </si>
  <si>
    <t>菲尔夫</t>
  </si>
  <si>
    <t>葡萄酒;⽩兰地;开胃酒;威⼠忌;果酒（含酒精）;含酒精的饮料（啤酒除外）;鸡尾酒;烈酒（饮料）;⽶酒;清酒</t>
  </si>
  <si>
    <t>斛珀</t>
  </si>
  <si>
    <t>郑州青桐品牌设计有限公司</t>
  </si>
  <si>
    <t>⽩酒;烈酒（饮料）;⽶酒;葡萄酒;烧酒;酒精饮料（啤酒除外）;⻩酒;果酒（含酒精）;⽩兰地;清酒</t>
  </si>
  <si>
    <t>高略有限公司</t>
  </si>
  <si>
    <t>果酒;⻩酒;⽶酒;葡萄酒;汽酒;甜酒;杨梅酒;⽩酒;⾼粱酒;蜂蜜酒</t>
  </si>
  <si>
    <t>泥靴</t>
  </si>
  <si>
    <t>武汉卓智方健文化有限公司</t>
  </si>
  <si>
    <t>苦味酒;烈酒（饮料）;含⽔果酒精饮料;⽶酒;⾷⽤酒精;酒精饮料原汁;⽩酒;葡萄酒;蒸馏饮料;果酒（含酒精）</t>
  </si>
  <si>
    <t>福杏脉</t>
  </si>
  <si>
    <t>康中斌</t>
  </si>
  <si>
    <t>酒精饮料（啤酒除外）;以葡萄酒为主的饮料;含酒精⽔果饮料;⻩酒;⽶酒;烧酒（烈酒）;果酒;清酒;⽩酒;酒精饮料浓缩汁</t>
  </si>
  <si>
    <t>君楼春</t>
  </si>
  <si>
    <t>⽶酒;梨酒;蜂蜜酒;⻩酒;烈酒（饮料）;⻘稞酒;⽩酒;果酒（含酒精）;葡萄酒;含⽔果酒精饮料</t>
  </si>
  <si>
    <t>满仓浓语</t>
  </si>
  <si>
    <t>姜媚燕</t>
  </si>
  <si>
    <t>果酒（含酒精）;⾕物制蒸馏酒精饮料;⻩酒;⻘稞酒;⽶酒;果酒;杨梅酒;⾼粱酒;烧酒;⽩酒</t>
  </si>
  <si>
    <t>后稷花</t>
  </si>
  <si>
    <t>华润汇丰（天津）农业科技发展有限公司</t>
  </si>
  <si>
    <t>⽶酒;葡萄酒;苹果酒;清酒（⽇本⽶酒）;蒸馏饮料;⽩酒;果酒（含酒精）;鸡尾酒;酒精饮料（啤酒除外）;含⽔果酒精饮料</t>
  </si>
  <si>
    <t>果小朝</t>
  </si>
  <si>
    <t>海口龙华区月鲸食品经营部（个体工商户）</t>
  </si>
  <si>
    <t>清酒;梅酒;威⼠忌;⻩酒;⽩酒;⽶酒;酒精饮料（啤酒除外）;葡萄酒;甜酒;果酒</t>
  </si>
  <si>
    <t>景德宣</t>
  </si>
  <si>
    <t>华星传奇（北京）国际文化传媒有限公司</t>
  </si>
  <si>
    <t>果酒（含酒精）;葡萄酒;威⼠忌;红葡萄酒;⽩兰地;⽩酒;⽶酒;⾼粱酒;⽩⼲酒（中国⽩酒）;⻘稞酒</t>
  </si>
  <si>
    <t>东山川乡</t>
  </si>
  <si>
    <t>郑卫东</t>
  </si>
  <si>
    <t>酒精饮料（啤酒除外）;葡萄酒;烈酒（饮料）;⻩酒;鸡尾酒;⽩酒;烧酒;果酒（含酒精）;清酒（⽇本⽶酒）;⽶酒</t>
  </si>
  <si>
    <t>林都温氏</t>
  </si>
  <si>
    <t>温志礼</t>
  </si>
  <si>
    <t>鸡尾酒;苦味酒;⽩酒;⽶酒;⻩酒;果酒（含酒精）;梨酒;烧酒;薄荷酒;威⼠忌</t>
  </si>
  <si>
    <t>凯萨贵族雄狮</t>
  </si>
  <si>
    <t>利⼝酒;朗姆酒;鸡尾酒;威⼠忌;开胃酒;烈酒（饮料）;⽩兰地;伏特加酒;葡萄酒;混合威⼠忌酒</t>
  </si>
  <si>
    <t>支云云湾</t>
  </si>
  <si>
    <t>鸡尾酒;蒸煮提取物（利⼝酒和烈酒）;⾷⽤酒精;⽩酒;烈酒;酒精饮料（啤酒除外）;⻘稞酒;果酒;⻩酒;烧酒</t>
  </si>
  <si>
    <t>憨憨小二哥</t>
  </si>
  <si>
    <t>邱昱博</t>
  </si>
  <si>
    <t>⽩酒;⽶酒;蒸馏饮料;果酒（含酒精）;餐后酒（利⼝酒和烈酒）;葡萄酒;鸡尾酒;⻩酒;清酒（⽇本⽶酒）;酒精饮料（啤酒除外）</t>
  </si>
  <si>
    <t>福大来</t>
  </si>
  <si>
    <t>郑州市福大来食品有限责任公司</t>
  </si>
  <si>
    <t>⽩酒;果酒;鸡尾酒;开胃酒;酒精饮料（啤酒除外）;⽶酒;烈酒;蜂蜜酒;烧酒;葡萄酒</t>
  </si>
  <si>
    <t>华之商</t>
  </si>
  <si>
    <t>应立斌</t>
  </si>
  <si>
    <t>果酒;⽩酒;清酒（⽇本⽶酒）;烈酒（饮料）;酒精饮料（啤酒除外）;鸡尾酒;⻩酒;果酒（含酒精）;蒸馏饮料;⽩⼲酒（中国⽩酒）</t>
  </si>
  <si>
    <t>凯萨贵族皇庭</t>
  </si>
  <si>
    <t>利⼝酒;⽩兰地;威⼠忌;开胃酒;葡萄酒;伏特加酒;朗姆酒;烈酒（饮料）;鸡尾酒;混合威⼠忌酒</t>
  </si>
  <si>
    <t>海南省一支歌进出口贸易有限公司</t>
  </si>
  <si>
    <t>⽩酒;烈酒（饮料）;⻩酒;酒精饮料原汁;葡萄酒;⽶酒;开胃酒;⽩兰地;果酒（含酒精）;酒精饮料（啤酒除外）</t>
  </si>
  <si>
    <t>南浥酿</t>
  </si>
  <si>
    <t>杭州高信美投资咨询有限公司</t>
  </si>
  <si>
    <t>⽶酒;以葡萄酒为主的饮料;⽩兰地;葡萄酒;威⼠忌;梨酒;鸡尾酒;烧酒;清酒（⽇本⽶酒）;利⼝酒</t>
  </si>
  <si>
    <t>梦醉卡维亚</t>
  </si>
  <si>
    <t>杭州卡维亚酒业有限公司</t>
  </si>
  <si>
    <t>果酒（含酒精）;威⼠忌;含⽔果酒精饮料;葡萄酒;⽶酒;鸡尾酒;⽩兰地;烧酒;⽩酒;⻘稞酒</t>
  </si>
  <si>
    <t>苏瞳</t>
  </si>
  <si>
    <t>仁怀市唯控酒类经营部（个体工商户）</t>
  </si>
  <si>
    <t>果酒;葡萄酒;⽩酒;烧酒;⽶酒;已调味的蒸馏酒;含酒精的饮料（啤酒除外）;烈酒;鸡尾酒;开胃酒</t>
  </si>
  <si>
    <t>墨姥姥</t>
  </si>
  <si>
    <t>金华市传媒集团网络发展有限公司</t>
  </si>
  <si>
    <t>酒精饮料（啤酒除外）;⽩酒;含⽔果酒精饮料;⻩酒;烧酒;蒸馏饮料;葡萄酒;⽶酒;⾕物制蒸馏酒精饮料;果酒（含酒精）</t>
  </si>
  <si>
    <t>第届</t>
  </si>
  <si>
    <t>⽩酒;葡萄酒;烈酒（饮料）;鸡尾酒;⽶酒;⾷⽤酒精;⽼酒（中国蒸馏烈酒）;果酒（含酒精）;蒸馏饮料;烧酒</t>
  </si>
  <si>
    <t>将色天香</t>
  </si>
  <si>
    <t>⻩酒;果酒（含酒精）;烈酒（饮料）;⽩酒;⽩⼲酒（中国⽩酒）;果酒;清酒（⽇本⽶酒）;蒸馏饮料;鸡尾酒;酒精饮料（啤酒除外）</t>
  </si>
  <si>
    <t>风野颂</t>
  </si>
  <si>
    <t>广州在野咖啡有限公司</t>
  </si>
  <si>
    <t>红葡萄酒;起泡⽩葡萄酒;调制好的葡萄酒鸡尾酒;起泡红葡萄酒;佐餐酒;葡萄酒;以葡萄酒为主的开胃酒;⽩葡萄酒;以葡萄酒为主的饮料;果酒（含酒精）</t>
  </si>
  <si>
    <t>凯萨贵族皇禧</t>
  </si>
  <si>
    <t>烈酒（饮料）;利⼝酒;伏特加酒;混合威⼠忌酒;开胃酒;威⼠忌;朗姆酒;鸡尾酒;葡萄酒;⽩兰地</t>
  </si>
  <si>
    <t>清杏初</t>
  </si>
  <si>
    <t>⽶酒;酒精饮料浓缩汁;烧酒（烈酒）;清酒;⻩酒;酒精饮料（啤酒除外）;含酒精⽔果饮料;以葡萄酒为主的饮料;果酒;⽩酒</t>
  </si>
  <si>
    <t>今诩</t>
  </si>
  <si>
    <t>阜阳梵途文化传播有限公司</t>
  </si>
  <si>
    <t>⽩酒;鸡尾酒;⻩酒;⾕物制蒸馏酒精饮料;果酒（含酒精）;烈酒（饮料）;露酒;威⼠忌;酒精饮料（啤酒除外）;葡萄酒</t>
  </si>
  <si>
    <t>福喜香江</t>
  </si>
  <si>
    <t>广州金顺商务科技有限公司</t>
  </si>
  <si>
    <t>蒸馏饮料;利⼝酒;⽶酒;烧酒;葡萄酒;⻩酒;果酒;酒精饮料（啤酒除外）;⽩酒;⻘稞酒</t>
  </si>
  <si>
    <t>芽米煮夫</t>
  </si>
  <si>
    <t>河北厨掌门商务科技有限公司</t>
  </si>
  <si>
    <t>餐后酒（利⼝酒和烈酒）;酒精饮料（啤酒除外）;果酒（含酒精）;开胃酒;⻘稞酒;⽩酒;烈酒（饮料）;酒精饮料原汁;葡萄酒;鸡尾酒</t>
  </si>
  <si>
    <t>中芯云</t>
  </si>
  <si>
    <t>中芯云科技（河北）有限公司</t>
  </si>
  <si>
    <t>鸡尾酒;⽶酒;以葡萄酒为主的饮料;酒精饮料（啤酒除外）;葡萄酒;⽩酒;⽩兰地;含⽔果酒精饮料;酒精饮料原汁;果酒（含酒精）</t>
  </si>
  <si>
    <t>祥云贺喜</t>
  </si>
  <si>
    <t>酒精饮料（啤酒除外）;烧酒;⽩酒;⻩酒;蒸煮提取物（利⼝酒和烈酒）;⾷⽤酒精;烈酒;果酒;鸡尾酒;⻘稞酒</t>
  </si>
  <si>
    <t>樱丰赞</t>
  </si>
  <si>
    <t>山东樱丰农业科技有限公司</t>
  </si>
  <si>
    <t>樱桃酒;果酒;⽩兰地;鸡尾酒;葡萄酒;⽩酒;酒精饮料（啤酒除外）;清酒;⾼粱酒;含⽔果酒精饮料</t>
  </si>
  <si>
    <t>CLOP-CLOP</t>
  </si>
  <si>
    <t>北京歪马科技有限公司</t>
  </si>
  <si>
    <t>威⼠忌;果酒（含酒精）;葡萄酒;开胃酒;鸡尾酒;⽩酒;烈酒（饮料）;汽酒;酒精饮料（啤酒除外）;烧酒</t>
  </si>
  <si>
    <t>满湘嫂</t>
  </si>
  <si>
    <t>满湘嫂（泉州）餐饮管理有限公司</t>
  </si>
  <si>
    <t>威⼠忌;酒精饮料（啤酒除外）;果酒（含酒精）;葡萄酒;⽩酒;⽶酒;⻩酒;鸡尾酒;⾕物制蒸馏酒精饮料;含⽔果酒精饮料</t>
  </si>
  <si>
    <t>识恩</t>
  </si>
  <si>
    <t>⽩酒;威⼠忌;⻩酒;⾕物制蒸馏酒精饮料;露酒;烈酒（饮料）;鸡尾酒;酒精饮料（啤酒除外）;葡萄酒;果酒（含酒精）</t>
  </si>
  <si>
    <t>冠辉悠礼</t>
  </si>
  <si>
    <t>内蒙古冠辉钢结构有限公司</t>
  </si>
  <si>
    <t>酒精饮料（啤酒除外）;⽶酒;清酒（⽇本⽶酒）;⽩酒;烈酒（饮料）;鸡尾酒;葡萄酒;⻩酒;果酒（含酒精）;烧酒</t>
  </si>
  <si>
    <t>支云梦</t>
  </si>
  <si>
    <t>⾷⽤酒精;烈酒;果酒;鸡尾酒;蒸煮提取物（利⼝酒和烈酒）;⽩酒;⻩酒;烧酒;酒精饮料（啤酒除外）;⻘稞酒</t>
  </si>
  <si>
    <t>清杏福</t>
  </si>
  <si>
    <t>清酒;烧酒（烈酒）;含酒精⽔果饮料;果酒;以葡萄酒为主的饮料;⻩酒;⽶酒;酒精饮料（啤酒除外）;酒精饮料浓缩汁;⽩酒</t>
  </si>
  <si>
    <t>翥酒飘香</t>
  </si>
  <si>
    <t>⻩酒;开胃酒;葡萄酒;鸡尾酒;⽩酒;汽酒;烈酒（饮料）;以葡萄酒为主的饮料;⻘稞酒;烧酒;威⼠忌;⽩兰地;蜂蜜酒;餐后酒（利⼝酒和烈酒）;伏特加酒;苹果酒;⽶酒</t>
  </si>
  <si>
    <t>翥酒故事</t>
  </si>
  <si>
    <t>烧酒;开胃酒;葡萄酒;⽩兰地;蜂蜜酒;⽩酒;汽酒;烈酒（饮料）;伏特加酒;以葡萄酒为主的饮料;⻘稞酒;⻩酒;威⼠忌;餐后酒（利⼝酒和烈酒）;鸡尾酒;苹果酒;⽶酒</t>
  </si>
  <si>
    <t>愿兴酒</t>
  </si>
  <si>
    <t>上海萃可品牌管理有限公司</t>
  </si>
  <si>
    <t>汽酒;以葡萄酒为主的饮料;⽩酒;果酒（含酒精）;⽶酒;含⽔果酒精饮料;烧酒;⻘稞酒;酒精饮料原汁;葡萄酒</t>
  </si>
  <si>
    <t>嘉库</t>
  </si>
  <si>
    <t>⻘稞酒;以葡萄酒为主的饮料;汽酒;含⽔果酒精饮料;⽶酒;⽩酒;酒精饮料原汁;果酒（含酒精）;葡萄酒;烧酒</t>
  </si>
  <si>
    <t>五里营</t>
  </si>
  <si>
    <t>昌黎乐活酒庄有限公司</t>
  </si>
  <si>
    <t>果酒（含酒精）;蒸馏饮料;⽩兰地;威⼠忌;鸡尾酒;⽩酒;苹果酒;葡萄酒;樱桃酒;开胃酒</t>
  </si>
  <si>
    <t>锦亭山</t>
  </si>
  <si>
    <t>蜂蜜酒;梨酒;⻘稞酒;⻩酒;烈酒（饮料）;⽶酒;⽩酒;果酒（含酒精）;葡萄酒;含⽔果酒精饮料</t>
  </si>
  <si>
    <t>御井襄</t>
  </si>
  <si>
    <t>湖北谷香酒业有限公司</t>
  </si>
  <si>
    <t>汽酒;⽩酒;鸡尾酒;⻩酒;⻘稞酒;以葡萄酒为主的饮料;利⼝酒;⾷⽤酒精;酒精饮料（啤酒除外）;烧酒</t>
  </si>
  <si>
    <t>雄赋</t>
  </si>
  <si>
    <t>保定市华伟梁行商贸有限公司</t>
  </si>
  <si>
    <t>⽩酒;鸡尾酒;酒精饮料（啤酒除外）;⻩酒;烧酒;⾼粱酒;开胃酒;葡萄酒;果酒;⾷⽤酒精</t>
  </si>
  <si>
    <t>2024/07/04</t>
  </si>
  <si>
    <t>正才食神传</t>
  </si>
  <si>
    <t>张正才</t>
  </si>
  <si>
    <t>郝钢</t>
  </si>
  <si>
    <t>东莞袁初一食品有限公司</t>
  </si>
  <si>
    <t>⻩酒;烧酒;⽼酒（中国蒸馏烈酒）;葡萄酒;⾕物制蒸馏酒精饮料;⽶酒;⽩酒;⾼粱酒;由⾕物蒸馏的⽩酒;烈酒（饮料）</t>
  </si>
  <si>
    <t>餐餐湘</t>
  </si>
  <si>
    <t>广州市汤九九餐饮品牌管理有限公司</t>
  </si>
  <si>
    <t>葡萄酒;⻘稞酒;⽩酒;果酒（含酒精）;烧酒;酒精饮料（啤酒除外）;⽶酒;烈酒;⻩酒;果酒</t>
  </si>
  <si>
    <t>京酩士</t>
  </si>
  <si>
    <t>黄展成</t>
  </si>
  <si>
    <t>威⼠忌;果酒（含酒精）;烈酒;⽩酒;葡萄酒;清酒（⽇本⽶酒）;鸡尾酒;酒精饮料（啤酒除外）;⻩酒;开胃酒</t>
  </si>
  <si>
    <t>贵满一生</t>
  </si>
  <si>
    <t>王科</t>
  </si>
  <si>
    <t>蒸馏饮料;⽶酒;烧酒;果酒（含酒精）;⽩酒;酒精饮料（啤酒除外）;清酒（⽇本⽶酒）;⻘稞酒;⾷⽤酒精;葡萄酒</t>
  </si>
  <si>
    <t>竹林七贤之单涛</t>
  </si>
  <si>
    <t>刘伶醉酿酒股份有限公司</t>
  </si>
  <si>
    <t>鸡尾酒;⽩酒;果酒;⾼粱酒;⽼酒（中国蒸馏烈酒）;果酒（含酒精）;⽶酒;烧酒（烈酒）;葡萄酒;甜酒</t>
  </si>
  <si>
    <t>汤新波</t>
  </si>
  <si>
    <t>鸡尾酒;利⼝酒;⽶酒;⻩酒;酒精饮料（啤酒除外）;烧酒;葡萄酒;烈酒（饮料）;清酒（⽇本⽶酒）;蒸馏饮料</t>
  </si>
  <si>
    <t>VALUOLANTE</t>
  </si>
  <si>
    <t>深圳市瑞丰数码科技有限公司</t>
  </si>
  <si>
    <t>⻘稞酒;含酒精⽔果饮料;酒精饮料（啤酒除外）;⻩酒;以葡萄酒为主的开胃酒;鸡尾酒;利⼝酒;⽩酒;⽶酒;果酒（含酒精）</t>
  </si>
  <si>
    <t>庆品丰</t>
  </si>
  <si>
    <t>刘雨强</t>
  </si>
  <si>
    <t>薄荷酒;⻘稞酒;酒精饮料（啤酒除外）;⻩酒;⽶酒;⽩酒;含⽔果酒精饮料;果酒（含酒精）;葡萄酒;梨酒</t>
  </si>
  <si>
    <t>龙言凤语</t>
  </si>
  <si>
    <t>⽩酒;餐后酒（利⼝酒和烈酒）;烈酒（饮料）;⽶酒;葡萄酒;果酒（含酒精）;⾕物制蒸馏酒精饮料;苹果酒;蒸馏饮料;露酒</t>
  </si>
  <si>
    <t>铭胶情</t>
  </si>
  <si>
    <t>东阿恒雅商贸有限公司</t>
  </si>
  <si>
    <t>酒精饮料（啤酒除外）;⽩酒;烈酒（饮料）;⽶酒;利⼝酒;清酒;葡萄酒;果酒;⻩酒;烧酒</t>
  </si>
  <si>
    <t>竹林七贤之刘伶</t>
  </si>
  <si>
    <t>⽶酒;⽼酒（中国蒸馏烈酒）;⾼粱酒;⽩酒;果酒;果酒（含酒精）;烧酒（烈酒）;鸡尾酒;葡萄酒;甜酒</t>
  </si>
  <si>
    <t>竹林七贤之王融</t>
  </si>
  <si>
    <t>⾼粱酒;果酒（含酒精）;葡萄酒;烧酒（烈酒）;果酒;鸡尾酒;⽩酒;⽼酒（中国蒸馏烈酒）;⽶酒;甜酒</t>
  </si>
  <si>
    <t>稻锦湃</t>
  </si>
  <si>
    <t>邹承浩</t>
  </si>
  <si>
    <t>葡萄酒;⾷⽤酒精;朗姆酒;⻩酒;果酒（含酒精）;威⼠忌;⽩兰地;烈酒（饮料）;伏特加酒;⽩酒</t>
  </si>
  <si>
    <t>拾意须尽欢</t>
  </si>
  <si>
    <t>四川拾意酒业有限公司</t>
  </si>
  <si>
    <t>⽩酒;酒精饮料原汁;酒精饮料（啤酒除外）;⽶酒;⻘稞酒;烧酒;果酒;烈酒（饮料）;含⽔果酒精饮料;⻩酒</t>
  </si>
  <si>
    <t>佐雨</t>
  </si>
  <si>
    <t>⽶酒;烧酒;果酒;烈酒（饮料）;⻩酒;酒精饮料（啤酒除外）;含⽔果酒精饮料;⻘稞酒;⽩酒;酒精饮料原汁</t>
  </si>
  <si>
    <t>贵百财</t>
  </si>
  <si>
    <t>果酒（含酒精）;酒精饮料（啤酒除外）;⽶酒;清酒（⽇本⽶酒）;⽩酒;蒸馏饮料;葡萄酒;⻘稞酒;烧酒;⾷⽤酒精</t>
  </si>
  <si>
    <t>久股泉</t>
  </si>
  <si>
    <t>内蒙古庞泉洒业有限公司</t>
  </si>
  <si>
    <t>果酒（含酒精）;⾷⽤酒精;烧酒;⽩酒;烈酒（饮料）;烈酒浓缩汁;苹果酒;⽩⼲酒（中国⽩酒）;⾼粱酒;餐后酒（利⼝酒和烈酒）;葡萄酒;⻩酒</t>
  </si>
  <si>
    <t>奔念</t>
  </si>
  <si>
    <t>郑州博念商贸有限公司</t>
  </si>
  <si>
    <t>⽶酒;开胃酒;葡萄酒;⻩酒;苹果酒;酒精饮料（啤酒除外）;⻘稞酒;果酒;⽩酒;烧酒</t>
  </si>
  <si>
    <t>西鲜风</t>
  </si>
  <si>
    <t>严佳现</t>
  </si>
  <si>
    <t>⾷⽤酒精;烈酒（饮料）;鸡尾酒;果酒（含酒精）;⽶酒;清酒（⽇本⽶酒）;威⼠忌;利⼝酒;⽩酒;开胃酒</t>
  </si>
  <si>
    <t>斟明月</t>
  </si>
  <si>
    <t>葡萄酒;伏特加酒;烈酒（饮料）;威⼠忌;果酒（含酒精）;⻩酒;⽩酒;⾷⽤酒精;⽩兰地;朗姆酒</t>
  </si>
  <si>
    <t>天子佳丽</t>
  </si>
  <si>
    <t>⻘稞酒;⽩酒;酒精饮料（啤酒除外）;清酒（⽇本⽶酒）;烧酒;果酒（含酒精）;蒸馏饮料;葡萄酒;⽶酒;⾷⽤酒精</t>
  </si>
  <si>
    <t>云贵天下</t>
  </si>
  <si>
    <t>蒸馏饮料;⻘稞酒;⽩酒;烧酒;⾷⽤酒精;清酒（⽇本⽶酒）;果酒（含酒精）;葡萄酒;酒精饮料（啤酒除外）;⽶酒</t>
  </si>
  <si>
    <t>华辉煌</t>
  </si>
  <si>
    <t>葡萄酒;⻘稞酒;烧酒;果酒（含酒精）;⽩酒;⽶酒;酒精饮料（啤酒除外）;清酒（⽇本⽶酒）;⾷⽤酒精;蒸馏饮料</t>
  </si>
  <si>
    <t>科创胜世</t>
  </si>
  <si>
    <t>葡萄酒;⽶酒;酒精饮料（啤酒除外）;⽩酒;清酒（⽇本⽶酒）;⾷⽤酒精;烧酒;果酒（含酒精）;蒸馏饮料;⻘稞酒</t>
  </si>
  <si>
    <t>昱霖晓歌</t>
  </si>
  <si>
    <t>王利军</t>
  </si>
  <si>
    <t>葡萄酒;酒精饮料原汁;⽩酒;⽶酒;果酒;甜酒;汽酒;⾷⽤酒精;烈酒;烧酒</t>
  </si>
  <si>
    <t>湖南艺直玩信息科技有限公司</t>
  </si>
  <si>
    <t>清酒（⽇本⽶酒）;鸡尾酒;果酒（含酒精）;酒精饮料（啤酒除外）;葡萄酒;⽶酒;蜂蜜酒;烧酒;⽩酒;⾕物制蒸馏酒精饮料</t>
  </si>
  <si>
    <t>小宋潮</t>
  </si>
  <si>
    <t>清酒（⽇本⽶酒）;薄荷酒;酒精饮料（啤酒除外）;葡萄酒;酒精饮料原汁;⽩酒;果酒（含酒精）;鸡尾酒;开胃酒;⽶酒</t>
  </si>
  <si>
    <t>正粮赋传奇</t>
  </si>
  <si>
    <t>酒投传说（河南）酒业有限公司</t>
  </si>
  <si>
    <t>⻩酒;鸡尾酒;⽩兰地;清酒（⽇本⽶酒）;含⽔果酒精饮料;⽩酒;烈酒（饮料）;烧酒;果酒（含酒精）;⽶酒</t>
  </si>
  <si>
    <t>米语青春</t>
  </si>
  <si>
    <t>江西窑尚酒业有限公司</t>
  </si>
  <si>
    <t>苹果酒;柑⾹酒;葡萄酒;⻩酒;⽶酒;⽩酒;鸡尾酒;果酒（含酒精）;清酒（⽇本⽶酒）;开胃酒</t>
  </si>
  <si>
    <t>鸿润贵和</t>
  </si>
  <si>
    <t>河南贵和酱香酒业有限公司</t>
  </si>
  <si>
    <t>含⽔果酒精饮料;开胃酒;汽酒;⽩酒;酒精饮料原汁;烧酒;果酒（含酒精）;⽶酒;鸡尾酒;葡萄酒</t>
  </si>
  <si>
    <t>蜀里二马</t>
  </si>
  <si>
    <t>冯成磊</t>
  </si>
  <si>
    <t>果酒（含酒精）;酒精饮料（啤酒除外）;含⽔果酒精饮料;烧酒;⽩酒;鸡尾酒;葡萄酒;⽶酒;⾕物制蒸馏酒精饮料;蒸馏饮料</t>
  </si>
  <si>
    <t>贵来福</t>
  </si>
  <si>
    <t>蒸馏饮料;烧酒;清酒（⽇本⽶酒）;⻘稞酒;⽩酒;酒精饮料（啤酒除外）;葡萄酒;⽶酒;⾷⽤酒精;果酒（含酒精）</t>
  </si>
  <si>
    <t>小龙卧龙山</t>
  </si>
  <si>
    <t>⽶酒;由⾕物蒸馏的⽩酒;葡萄酒;烧酒;⾕物制蒸馏酒精饮料;⻩酒;⽼酒（中国蒸馏烈酒）;⾼粱酒;烈酒（饮料）;⽩酒</t>
  </si>
  <si>
    <t>鹿引福</t>
  </si>
  <si>
    <t>长春市宝润参茸有限公司</t>
  </si>
  <si>
    <t>苹果酒;葡萄酒;开胃酒;蒸馏饮料;鸡尾酒;⻘稞酒;果酒（含酒精）;预先混合的酒精饮料（以啤酒为主的除外）;⽩酒;⽶酒</t>
  </si>
  <si>
    <t>拾意破阵乐</t>
  </si>
  <si>
    <t>果酒;⻘稞酒;酒精饮料原汁;含⽔果酒精饮料;⻩酒;烈酒（饮料）;⽶酒;烧酒;酒精饮料（啤酒除外）;⽩酒</t>
  </si>
  <si>
    <t>冀美天工</t>
  </si>
  <si>
    <t>泸州老窖股份有限公司</t>
  </si>
  <si>
    <t>酒精饮料浓缩汁;酒精饮料（啤酒除外）;含⽔果酒精饮料;⻩酒;烧酒;⽩酒;果酒（含酒精）;葡萄酒;烈酒（饮料）;⽶酒</t>
  </si>
  <si>
    <t>2024/07/12</t>
  </si>
  <si>
    <t>冀美天作</t>
  </si>
  <si>
    <t>酒精饮料浓缩汁;烈酒（饮料）;果酒（含酒精）;葡萄酒;烧酒;⽶酒;⽩酒;含⽔果酒精饮料;⻩酒;酒精饮料（啤酒除外）</t>
  </si>
  <si>
    <t>华润雪花啤酒（中国）有限公司</t>
  </si>
  <si>
    <t>汽酒;蒸馏饮料;开胃酒;⽩酒;果酒;鸡尾酒;威⼠忌;含⽔果酒精饮料;预先混合的酒精饮料(以啤酒为主的除外);葡萄酒</t>
  </si>
  <si>
    <t>2024/07/16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</si>
</sst>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/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4" fillId="0" borderId="1" xfId="1" applyFill="1" applyBorder="1" applyAlignment="1"/>
    <xf numFmtId="0" fontId="3" fillId="0" borderId="1" xfId="2" applyBorder="1" applyAlignment="1">
      <alignment horizontal="right"/>
    </xf>
    <xf numFmtId="0" fontId="3" fillId="0" borderId="1" xfId="2" applyBorder="1"/>
  </cellXfs>
  <cellStyles count="3">
    <cellStyle name="ハイパーリンク" xfId="1" builtinId="8"/>
    <cellStyle name="標準" xfId="0" builtinId="0"/>
    <cellStyle name="標準_1901th" xfId="2" xr:uid="{EA713E9D-C480-45CE-9FD8-4B444DFCB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610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10">
        <v>1</v>
      </c>
      <c r="B2" s="11" t="s">
        <v>9</v>
      </c>
      <c r="C2" s="11" t="s">
        <v>253</v>
      </c>
      <c r="D2" s="11" t="s">
        <v>254</v>
      </c>
      <c r="E2" s="9" t="str">
        <f>+HYPERLINK("http://trademark.i-assist.jp/data/china/image_1903th/37603887.pdf", "37603887")</f>
        <v>37603887</v>
      </c>
      <c r="F2" s="11" t="s">
        <v>255</v>
      </c>
      <c r="G2" s="11" t="s">
        <v>256</v>
      </c>
      <c r="H2" s="11" t="s">
        <v>257</v>
      </c>
      <c r="I2" s="11" t="s">
        <v>258</v>
      </c>
    </row>
    <row r="3" spans="1:9" x14ac:dyDescent="0.15">
      <c r="A3" s="10">
        <v>2</v>
      </c>
      <c r="B3" s="11" t="s">
        <v>9</v>
      </c>
      <c r="C3" s="11" t="s">
        <v>253</v>
      </c>
      <c r="D3" s="11" t="s">
        <v>254</v>
      </c>
      <c r="E3" s="9" t="str">
        <f>+HYPERLINK("http://trademark.i-assist.jp/data/china/image_1903th/49309314.pdf", "49309314")</f>
        <v>49309314</v>
      </c>
      <c r="F3" s="11" t="s">
        <v>255</v>
      </c>
      <c r="G3" s="11" t="s">
        <v>256</v>
      </c>
      <c r="H3" s="11" t="s">
        <v>259</v>
      </c>
      <c r="I3" s="11" t="s">
        <v>260</v>
      </c>
    </row>
    <row r="4" spans="1:9" x14ac:dyDescent="0.15">
      <c r="A4" s="10">
        <v>3</v>
      </c>
      <c r="B4" s="11" t="s">
        <v>9</v>
      </c>
      <c r="C4" s="11" t="s">
        <v>253</v>
      </c>
      <c r="D4" s="11" t="s">
        <v>254</v>
      </c>
      <c r="E4" s="9" t="str">
        <f>+HYPERLINK("http://trademark.i-assist.jp/data/china/image_1903th/50440396.pdf", "50440396")</f>
        <v>50440396</v>
      </c>
      <c r="F4" s="11" t="s">
        <v>261</v>
      </c>
      <c r="G4" s="11" t="s">
        <v>262</v>
      </c>
      <c r="H4" s="11" t="s">
        <v>263</v>
      </c>
      <c r="I4" s="11" t="s">
        <v>264</v>
      </c>
    </row>
    <row r="5" spans="1:9" x14ac:dyDescent="0.15">
      <c r="A5" s="10">
        <v>4</v>
      </c>
      <c r="B5" s="11" t="s">
        <v>9</v>
      </c>
      <c r="C5" s="11" t="s">
        <v>253</v>
      </c>
      <c r="D5" s="11" t="s">
        <v>254</v>
      </c>
      <c r="E5" s="9" t="str">
        <f>+HYPERLINK("http://trademark.i-assist.jp/data/china/image_1903th/52602313.pdf", "52602313")</f>
        <v>52602313</v>
      </c>
      <c r="F5" s="11" t="s">
        <v>265</v>
      </c>
      <c r="G5" s="11" t="s">
        <v>266</v>
      </c>
      <c r="H5" s="11" t="s">
        <v>267</v>
      </c>
      <c r="I5" s="11" t="s">
        <v>268</v>
      </c>
    </row>
    <row r="6" spans="1:9" x14ac:dyDescent="0.15">
      <c r="A6" s="10">
        <v>5</v>
      </c>
      <c r="B6" s="11" t="s">
        <v>9</v>
      </c>
      <c r="C6" s="11" t="s">
        <v>253</v>
      </c>
      <c r="D6" s="11" t="s">
        <v>254</v>
      </c>
      <c r="E6" s="9" t="str">
        <f>+HYPERLINK("http://trademark.i-assist.jp/data/china/image_1903th/57398719.pdf", "57398719")</f>
        <v>57398719</v>
      </c>
      <c r="F6" s="11" t="s">
        <v>269</v>
      </c>
      <c r="G6" s="11" t="s">
        <v>266</v>
      </c>
      <c r="H6" s="11" t="s">
        <v>270</v>
      </c>
      <c r="I6" s="11" t="s">
        <v>271</v>
      </c>
    </row>
    <row r="7" spans="1:9" x14ac:dyDescent="0.15">
      <c r="A7" s="10">
        <v>6</v>
      </c>
      <c r="B7" s="11" t="s">
        <v>9</v>
      </c>
      <c r="C7" s="11" t="s">
        <v>253</v>
      </c>
      <c r="D7" s="11" t="s">
        <v>254</v>
      </c>
      <c r="E7" s="9" t="str">
        <f>+HYPERLINK("http://trademark.i-assist.jp/data/china/image_1903th/59808149.pdf", "59808149")</f>
        <v>59808149</v>
      </c>
      <c r="F7" s="11" t="s">
        <v>272</v>
      </c>
      <c r="G7" s="11" t="s">
        <v>273</v>
      </c>
      <c r="H7" s="11" t="s">
        <v>274</v>
      </c>
      <c r="I7" s="11" t="s">
        <v>275</v>
      </c>
    </row>
    <row r="8" spans="1:9" x14ac:dyDescent="0.15">
      <c r="A8" s="10">
        <v>7</v>
      </c>
      <c r="B8" s="11" t="s">
        <v>9</v>
      </c>
      <c r="C8" s="11" t="s">
        <v>253</v>
      </c>
      <c r="D8" s="11" t="s">
        <v>254</v>
      </c>
      <c r="E8" s="9" t="str">
        <f>+HYPERLINK("http://trademark.i-assist.jp/data/china/image_1903th/60779732.pdf", "60779732")</f>
        <v>60779732</v>
      </c>
      <c r="F8" s="11" t="s">
        <v>276</v>
      </c>
      <c r="G8" s="11" t="s">
        <v>277</v>
      </c>
      <c r="H8" s="11" t="s">
        <v>278</v>
      </c>
      <c r="I8" s="11" t="s">
        <v>279</v>
      </c>
    </row>
    <row r="9" spans="1:9" x14ac:dyDescent="0.15">
      <c r="A9" s="10">
        <v>8</v>
      </c>
      <c r="B9" s="11" t="s">
        <v>9</v>
      </c>
      <c r="C9" s="11" t="s">
        <v>253</v>
      </c>
      <c r="D9" s="11" t="s">
        <v>254</v>
      </c>
      <c r="E9" s="9" t="str">
        <f>+HYPERLINK("http://trademark.i-assist.jp/data/china/image_1903th/61276507.pdf", "61276507")</f>
        <v>61276507</v>
      </c>
      <c r="F9" s="11" t="s">
        <v>280</v>
      </c>
      <c r="G9" s="11" t="s">
        <v>266</v>
      </c>
      <c r="H9" s="11" t="s">
        <v>281</v>
      </c>
      <c r="I9" s="11" t="s">
        <v>282</v>
      </c>
    </row>
    <row r="10" spans="1:9" x14ac:dyDescent="0.15">
      <c r="A10" s="10">
        <v>9</v>
      </c>
      <c r="B10" s="11" t="s">
        <v>9</v>
      </c>
      <c r="C10" s="11" t="s">
        <v>253</v>
      </c>
      <c r="D10" s="11" t="s">
        <v>254</v>
      </c>
      <c r="E10" s="9" t="str">
        <f>+HYPERLINK("http://trademark.i-assist.jp/data/china/image_1903th/64705603.pdf", "64705603")</f>
        <v>64705603</v>
      </c>
      <c r="F10" s="11" t="s">
        <v>283</v>
      </c>
      <c r="G10" s="11" t="s">
        <v>284</v>
      </c>
      <c r="H10" s="11" t="s">
        <v>285</v>
      </c>
      <c r="I10" s="11" t="s">
        <v>286</v>
      </c>
    </row>
    <row r="11" spans="1:9" x14ac:dyDescent="0.15">
      <c r="A11" s="10">
        <v>10</v>
      </c>
      <c r="B11" s="11" t="s">
        <v>9</v>
      </c>
      <c r="C11" s="11" t="s">
        <v>253</v>
      </c>
      <c r="D11" s="11" t="s">
        <v>254</v>
      </c>
      <c r="E11" s="9" t="str">
        <f>+HYPERLINK("http://trademark.i-assist.jp/data/china/image_1903th/66063116.pdf", "66063116")</f>
        <v>66063116</v>
      </c>
      <c r="F11" s="11" t="s">
        <v>287</v>
      </c>
      <c r="G11" s="11" t="s">
        <v>288</v>
      </c>
      <c r="H11" s="11" t="s">
        <v>289</v>
      </c>
      <c r="I11" s="11" t="s">
        <v>290</v>
      </c>
    </row>
    <row r="12" spans="1:9" x14ac:dyDescent="0.15">
      <c r="A12" s="10">
        <v>11</v>
      </c>
      <c r="B12" s="11" t="s">
        <v>9</v>
      </c>
      <c r="C12" s="11" t="s">
        <v>253</v>
      </c>
      <c r="D12" s="11" t="s">
        <v>254</v>
      </c>
      <c r="E12" s="9" t="str">
        <f>+HYPERLINK("http://trademark.i-assist.jp/data/china/image_1903th/66514793.pdf", "66514793")</f>
        <v>66514793</v>
      </c>
      <c r="F12" s="11" t="s">
        <v>12</v>
      </c>
      <c r="G12" s="11" t="s">
        <v>291</v>
      </c>
      <c r="H12" s="11" t="s">
        <v>292</v>
      </c>
      <c r="I12" s="11" t="s">
        <v>293</v>
      </c>
    </row>
    <row r="13" spans="1:9" x14ac:dyDescent="0.15">
      <c r="A13" s="10">
        <v>12</v>
      </c>
      <c r="B13" s="11" t="s">
        <v>9</v>
      </c>
      <c r="C13" s="11" t="s">
        <v>253</v>
      </c>
      <c r="D13" s="11" t="s">
        <v>254</v>
      </c>
      <c r="E13" s="9" t="str">
        <f>+HYPERLINK("http://trademark.i-assist.jp/data/china/image_1903th/66736598.pdf", "66736598")</f>
        <v>66736598</v>
      </c>
      <c r="F13" s="11" t="s">
        <v>294</v>
      </c>
      <c r="G13" s="11" t="s">
        <v>295</v>
      </c>
      <c r="H13" s="11" t="s">
        <v>296</v>
      </c>
      <c r="I13" s="11" t="s">
        <v>297</v>
      </c>
    </row>
    <row r="14" spans="1:9" x14ac:dyDescent="0.15">
      <c r="A14" s="10">
        <v>13</v>
      </c>
      <c r="B14" s="11" t="s">
        <v>9</v>
      </c>
      <c r="C14" s="11" t="s">
        <v>253</v>
      </c>
      <c r="D14" s="11" t="s">
        <v>254</v>
      </c>
      <c r="E14" s="9" t="str">
        <f>+HYPERLINK("http://trademark.i-assist.jp/data/china/image_1903th/67222127.pdf", "67222127")</f>
        <v>67222127</v>
      </c>
      <c r="F14" s="11" t="s">
        <v>298</v>
      </c>
      <c r="G14" s="11" t="s">
        <v>299</v>
      </c>
      <c r="H14" s="11" t="s">
        <v>300</v>
      </c>
      <c r="I14" s="11" t="s">
        <v>301</v>
      </c>
    </row>
    <row r="15" spans="1:9" x14ac:dyDescent="0.15">
      <c r="A15" s="10">
        <v>14</v>
      </c>
      <c r="B15" s="11" t="s">
        <v>9</v>
      </c>
      <c r="C15" s="11" t="s">
        <v>253</v>
      </c>
      <c r="D15" s="11" t="s">
        <v>254</v>
      </c>
      <c r="E15" s="9" t="str">
        <f>+HYPERLINK("http://trademark.i-assist.jp/data/china/image_1903th/67736746.pdf", "67736746")</f>
        <v>67736746</v>
      </c>
      <c r="F15" s="11" t="s">
        <v>302</v>
      </c>
      <c r="G15" s="11" t="s">
        <v>303</v>
      </c>
      <c r="H15" s="11" t="s">
        <v>304</v>
      </c>
      <c r="I15" s="11" t="s">
        <v>305</v>
      </c>
    </row>
    <row r="16" spans="1:9" x14ac:dyDescent="0.15">
      <c r="A16" s="10">
        <v>15</v>
      </c>
      <c r="B16" s="11" t="s">
        <v>9</v>
      </c>
      <c r="C16" s="11" t="s">
        <v>253</v>
      </c>
      <c r="D16" s="11" t="s">
        <v>254</v>
      </c>
      <c r="E16" s="9" t="str">
        <f>+HYPERLINK("http://trademark.i-assist.jp/data/china/image_1903th/68433076.pdf", "68433076")</f>
        <v>68433076</v>
      </c>
      <c r="F16" s="11" t="s">
        <v>306</v>
      </c>
      <c r="G16" s="11" t="s">
        <v>10</v>
      </c>
      <c r="H16" s="11" t="s">
        <v>11</v>
      </c>
      <c r="I16" s="11" t="s">
        <v>68</v>
      </c>
    </row>
    <row r="17" spans="1:9" x14ac:dyDescent="0.15">
      <c r="A17" s="10">
        <v>16</v>
      </c>
      <c r="B17" s="11" t="s">
        <v>9</v>
      </c>
      <c r="C17" s="11" t="s">
        <v>253</v>
      </c>
      <c r="D17" s="11" t="s">
        <v>254</v>
      </c>
      <c r="E17" s="9" t="str">
        <f>+HYPERLINK("http://trademark.i-assist.jp/data/china/image_1903th/68889223.pdf", "68889223")</f>
        <v>68889223</v>
      </c>
      <c r="F17" s="11" t="s">
        <v>12</v>
      </c>
      <c r="G17" s="11" t="s">
        <v>307</v>
      </c>
      <c r="H17" s="11" t="s">
        <v>308</v>
      </c>
      <c r="I17" s="11" t="s">
        <v>309</v>
      </c>
    </row>
    <row r="18" spans="1:9" x14ac:dyDescent="0.15">
      <c r="A18" s="10">
        <v>17</v>
      </c>
      <c r="B18" s="11" t="s">
        <v>9</v>
      </c>
      <c r="C18" s="11" t="s">
        <v>253</v>
      </c>
      <c r="D18" s="11" t="s">
        <v>254</v>
      </c>
      <c r="E18" s="9" t="str">
        <f>+HYPERLINK("http://trademark.i-assist.jp/data/china/image_1903th/68964140.pdf", "68964140")</f>
        <v>68964140</v>
      </c>
      <c r="F18" s="11" t="s">
        <v>310</v>
      </c>
      <c r="G18" s="11" t="s">
        <v>311</v>
      </c>
      <c r="H18" s="11" t="s">
        <v>312</v>
      </c>
      <c r="I18" s="11" t="s">
        <v>313</v>
      </c>
    </row>
    <row r="19" spans="1:9" x14ac:dyDescent="0.15">
      <c r="A19" s="10">
        <v>18</v>
      </c>
      <c r="B19" s="11" t="s">
        <v>9</v>
      </c>
      <c r="C19" s="11" t="s">
        <v>253</v>
      </c>
      <c r="D19" s="11" t="s">
        <v>254</v>
      </c>
      <c r="E19" s="9" t="str">
        <f>+HYPERLINK("http://trademark.i-assist.jp/data/china/image_1903th/69029009.pdf", "69029009")</f>
        <v>69029009</v>
      </c>
      <c r="F19" s="11" t="s">
        <v>314</v>
      </c>
      <c r="G19" s="11" t="s">
        <v>315</v>
      </c>
      <c r="H19" s="11" t="s">
        <v>316</v>
      </c>
      <c r="I19" s="11" t="s">
        <v>317</v>
      </c>
    </row>
    <row r="20" spans="1:9" x14ac:dyDescent="0.15">
      <c r="A20" s="10">
        <v>19</v>
      </c>
      <c r="B20" s="11" t="s">
        <v>9</v>
      </c>
      <c r="C20" s="11" t="s">
        <v>253</v>
      </c>
      <c r="D20" s="11" t="s">
        <v>254</v>
      </c>
      <c r="E20" s="9" t="str">
        <f>+HYPERLINK("http://trademark.i-assist.jp/data/china/image_1903th/69074393.pdf", "69074393")</f>
        <v>69074393</v>
      </c>
      <c r="F20" s="11" t="s">
        <v>318</v>
      </c>
      <c r="G20" s="11" t="s">
        <v>319</v>
      </c>
      <c r="H20" s="11" t="s">
        <v>320</v>
      </c>
      <c r="I20" s="11" t="s">
        <v>321</v>
      </c>
    </row>
    <row r="21" spans="1:9" x14ac:dyDescent="0.15">
      <c r="A21" s="10">
        <v>20</v>
      </c>
      <c r="B21" s="11" t="s">
        <v>9</v>
      </c>
      <c r="C21" s="11" t="s">
        <v>253</v>
      </c>
      <c r="D21" s="11" t="s">
        <v>254</v>
      </c>
      <c r="E21" s="9" t="str">
        <f>+HYPERLINK("http://trademark.i-assist.jp/data/china/image_1903th/69343639.pdf", "69343639")</f>
        <v>69343639</v>
      </c>
      <c r="F21" s="11" t="s">
        <v>322</v>
      </c>
      <c r="G21" s="11" t="s">
        <v>323</v>
      </c>
      <c r="H21" s="11" t="s">
        <v>324</v>
      </c>
      <c r="I21" s="11" t="s">
        <v>325</v>
      </c>
    </row>
    <row r="22" spans="1:9" x14ac:dyDescent="0.15">
      <c r="A22" s="10">
        <v>21</v>
      </c>
      <c r="B22" s="11" t="s">
        <v>9</v>
      </c>
      <c r="C22" s="11" t="s">
        <v>253</v>
      </c>
      <c r="D22" s="11" t="s">
        <v>254</v>
      </c>
      <c r="E22" s="9" t="str">
        <f>+HYPERLINK("http://trademark.i-assist.jp/data/china/image_1903th/69531997.pdf", "69531997")</f>
        <v>69531997</v>
      </c>
      <c r="F22" s="11" t="s">
        <v>326</v>
      </c>
      <c r="G22" s="11" t="s">
        <v>327</v>
      </c>
      <c r="H22" s="11" t="s">
        <v>328</v>
      </c>
      <c r="I22" s="11" t="s">
        <v>329</v>
      </c>
    </row>
    <row r="23" spans="1:9" x14ac:dyDescent="0.15">
      <c r="A23" s="10">
        <v>22</v>
      </c>
      <c r="B23" s="11" t="s">
        <v>9</v>
      </c>
      <c r="C23" s="11" t="s">
        <v>253</v>
      </c>
      <c r="D23" s="11" t="s">
        <v>254</v>
      </c>
      <c r="E23" s="9" t="str">
        <f>+HYPERLINK("http://trademark.i-assist.jp/data/china/image_1903th/69665847.pdf", "69665847")</f>
        <v>69665847</v>
      </c>
      <c r="F23" s="11" t="s">
        <v>330</v>
      </c>
      <c r="G23" s="11" t="s">
        <v>331</v>
      </c>
      <c r="H23" s="11" t="s">
        <v>332</v>
      </c>
      <c r="I23" s="11" t="s">
        <v>333</v>
      </c>
    </row>
    <row r="24" spans="1:9" x14ac:dyDescent="0.15">
      <c r="A24" s="10">
        <v>23</v>
      </c>
      <c r="B24" s="11" t="s">
        <v>9</v>
      </c>
      <c r="C24" s="11" t="s">
        <v>253</v>
      </c>
      <c r="D24" s="11" t="s">
        <v>254</v>
      </c>
      <c r="E24" s="9" t="str">
        <f>+HYPERLINK("http://trademark.i-assist.jp/data/china/image_1903th/70024069.pdf", "70024069")</f>
        <v>70024069</v>
      </c>
      <c r="F24" s="11" t="s">
        <v>334</v>
      </c>
      <c r="G24" s="11" t="s">
        <v>335</v>
      </c>
      <c r="H24" s="11" t="s">
        <v>336</v>
      </c>
      <c r="I24" s="11" t="s">
        <v>337</v>
      </c>
    </row>
    <row r="25" spans="1:9" x14ac:dyDescent="0.15">
      <c r="A25" s="10">
        <v>24</v>
      </c>
      <c r="B25" s="11" t="s">
        <v>9</v>
      </c>
      <c r="C25" s="11" t="s">
        <v>253</v>
      </c>
      <c r="D25" s="11" t="s">
        <v>254</v>
      </c>
      <c r="E25" s="9" t="str">
        <f>+HYPERLINK("http://trademark.i-assist.jp/data/china/image_1903th/70084556.pdf", "70084556")</f>
        <v>70084556</v>
      </c>
      <c r="F25" s="11" t="s">
        <v>12</v>
      </c>
      <c r="G25" s="11" t="s">
        <v>338</v>
      </c>
      <c r="H25" s="11" t="s">
        <v>339</v>
      </c>
      <c r="I25" s="11" t="s">
        <v>340</v>
      </c>
    </row>
    <row r="26" spans="1:9" x14ac:dyDescent="0.15">
      <c r="A26" s="10">
        <v>25</v>
      </c>
      <c r="B26" s="11" t="s">
        <v>9</v>
      </c>
      <c r="C26" s="11" t="s">
        <v>253</v>
      </c>
      <c r="D26" s="11" t="s">
        <v>254</v>
      </c>
      <c r="E26" s="9" t="str">
        <f>+HYPERLINK("http://trademark.i-assist.jp/data/china/image_1903th/70138387.pdf", "70138387")</f>
        <v>70138387</v>
      </c>
      <c r="F26" s="11" t="s">
        <v>341</v>
      </c>
      <c r="G26" s="11" t="s">
        <v>342</v>
      </c>
      <c r="H26" s="11" t="s">
        <v>343</v>
      </c>
      <c r="I26" s="11" t="s">
        <v>344</v>
      </c>
    </row>
    <row r="27" spans="1:9" x14ac:dyDescent="0.15">
      <c r="A27" s="10">
        <v>26</v>
      </c>
      <c r="B27" s="11" t="s">
        <v>9</v>
      </c>
      <c r="C27" s="11" t="s">
        <v>253</v>
      </c>
      <c r="D27" s="11" t="s">
        <v>254</v>
      </c>
      <c r="E27" s="9" t="str">
        <f>+HYPERLINK("http://trademark.i-assist.jp/data/china/image_1903th/70587519.pdf", "70587519")</f>
        <v>70587519</v>
      </c>
      <c r="F27" s="11" t="s">
        <v>345</v>
      </c>
      <c r="G27" s="11" t="s">
        <v>346</v>
      </c>
      <c r="H27" s="11" t="s">
        <v>347</v>
      </c>
      <c r="I27" s="11" t="s">
        <v>348</v>
      </c>
    </row>
    <row r="28" spans="1:9" x14ac:dyDescent="0.15">
      <c r="A28" s="10">
        <v>27</v>
      </c>
      <c r="B28" s="11" t="s">
        <v>9</v>
      </c>
      <c r="C28" s="11" t="s">
        <v>253</v>
      </c>
      <c r="D28" s="11" t="s">
        <v>254</v>
      </c>
      <c r="E28" s="9" t="str">
        <f>+HYPERLINK("http://trademark.i-assist.jp/data/china/image_1903th/71042189.pdf", "71042189")</f>
        <v>71042189</v>
      </c>
      <c r="F28" s="11" t="s">
        <v>349</v>
      </c>
      <c r="G28" s="11" t="s">
        <v>346</v>
      </c>
      <c r="H28" s="11" t="s">
        <v>350</v>
      </c>
      <c r="I28" s="11" t="s">
        <v>351</v>
      </c>
    </row>
    <row r="29" spans="1:9" x14ac:dyDescent="0.15">
      <c r="A29" s="10">
        <v>28</v>
      </c>
      <c r="B29" s="11" t="s">
        <v>9</v>
      </c>
      <c r="C29" s="11" t="s">
        <v>253</v>
      </c>
      <c r="D29" s="11" t="s">
        <v>254</v>
      </c>
      <c r="E29" s="9" t="str">
        <f>+HYPERLINK("http://trademark.i-assist.jp/data/china/image_1903th/71144863.pdf", "71144863")</f>
        <v>71144863</v>
      </c>
      <c r="F29" s="11" t="s">
        <v>352</v>
      </c>
      <c r="G29" s="11" t="s">
        <v>353</v>
      </c>
      <c r="H29" s="11" t="s">
        <v>354</v>
      </c>
      <c r="I29" s="11" t="s">
        <v>355</v>
      </c>
    </row>
    <row r="30" spans="1:9" x14ac:dyDescent="0.15">
      <c r="A30" s="10">
        <v>29</v>
      </c>
      <c r="B30" s="11" t="s">
        <v>9</v>
      </c>
      <c r="C30" s="11" t="s">
        <v>253</v>
      </c>
      <c r="D30" s="11" t="s">
        <v>254</v>
      </c>
      <c r="E30" s="9" t="str">
        <f>+HYPERLINK("http://trademark.i-assist.jp/data/china/image_1903th/71306093.pdf", "71306093")</f>
        <v>71306093</v>
      </c>
      <c r="F30" s="11" t="s">
        <v>356</v>
      </c>
      <c r="G30" s="11" t="s">
        <v>357</v>
      </c>
      <c r="H30" s="11" t="s">
        <v>358</v>
      </c>
      <c r="I30" s="11" t="s">
        <v>359</v>
      </c>
    </row>
    <row r="31" spans="1:9" x14ac:dyDescent="0.15">
      <c r="A31" s="10">
        <v>30</v>
      </c>
      <c r="B31" s="11" t="s">
        <v>9</v>
      </c>
      <c r="C31" s="11" t="s">
        <v>253</v>
      </c>
      <c r="D31" s="11" t="s">
        <v>254</v>
      </c>
      <c r="E31" s="9" t="str">
        <f>+HYPERLINK("http://trademark.i-assist.jp/data/china/image_1903th/71308346.pdf", "71308346")</f>
        <v>71308346</v>
      </c>
      <c r="F31" s="11" t="s">
        <v>360</v>
      </c>
      <c r="G31" s="11" t="s">
        <v>361</v>
      </c>
      <c r="H31" s="11" t="s">
        <v>362</v>
      </c>
      <c r="I31" s="11" t="s">
        <v>359</v>
      </c>
    </row>
    <row r="32" spans="1:9" x14ac:dyDescent="0.15">
      <c r="A32" s="10">
        <v>31</v>
      </c>
      <c r="B32" s="11" t="s">
        <v>9</v>
      </c>
      <c r="C32" s="11" t="s">
        <v>253</v>
      </c>
      <c r="D32" s="11" t="s">
        <v>254</v>
      </c>
      <c r="E32" s="9" t="str">
        <f>+HYPERLINK("http://trademark.i-assist.jp/data/china/image_1903th/71421028.pdf", "71421028")</f>
        <v>71421028</v>
      </c>
      <c r="F32" s="11" t="s">
        <v>363</v>
      </c>
      <c r="G32" s="11" t="s">
        <v>364</v>
      </c>
      <c r="H32" s="11" t="s">
        <v>365</v>
      </c>
      <c r="I32" s="11" t="s">
        <v>69</v>
      </c>
    </row>
    <row r="33" spans="1:9" x14ac:dyDescent="0.15">
      <c r="A33" s="10">
        <v>32</v>
      </c>
      <c r="B33" s="11" t="s">
        <v>9</v>
      </c>
      <c r="C33" s="11" t="s">
        <v>253</v>
      </c>
      <c r="D33" s="11" t="s">
        <v>254</v>
      </c>
      <c r="E33" s="9" t="str">
        <f>+HYPERLINK("http://trademark.i-assist.jp/data/china/image_1903th/71459228.pdf", "71459228")</f>
        <v>71459228</v>
      </c>
      <c r="F33" s="11" t="s">
        <v>366</v>
      </c>
      <c r="G33" s="11" t="s">
        <v>367</v>
      </c>
      <c r="H33" s="11" t="s">
        <v>368</v>
      </c>
      <c r="I33" s="11" t="s">
        <v>70</v>
      </c>
    </row>
    <row r="34" spans="1:9" x14ac:dyDescent="0.15">
      <c r="A34" s="10">
        <v>33</v>
      </c>
      <c r="B34" s="11" t="s">
        <v>9</v>
      </c>
      <c r="C34" s="11" t="s">
        <v>253</v>
      </c>
      <c r="D34" s="11" t="s">
        <v>254</v>
      </c>
      <c r="E34" s="9" t="str">
        <f>+HYPERLINK("http://trademark.i-assist.jp/data/china/image_1903th/71523095.pdf", "71523095")</f>
        <v>71523095</v>
      </c>
      <c r="F34" s="11" t="s">
        <v>369</v>
      </c>
      <c r="G34" s="11" t="s">
        <v>370</v>
      </c>
      <c r="H34" s="11" t="s">
        <v>371</v>
      </c>
      <c r="I34" s="11" t="s">
        <v>372</v>
      </c>
    </row>
    <row r="35" spans="1:9" x14ac:dyDescent="0.15">
      <c r="A35" s="10">
        <v>34</v>
      </c>
      <c r="B35" s="11" t="s">
        <v>9</v>
      </c>
      <c r="C35" s="11" t="s">
        <v>253</v>
      </c>
      <c r="D35" s="11" t="s">
        <v>254</v>
      </c>
      <c r="E35" s="9" t="str">
        <f>+HYPERLINK("http://trademark.i-assist.jp/data/china/image_1903th/71672255.pdf", "71672255")</f>
        <v>71672255</v>
      </c>
      <c r="F35" s="11" t="s">
        <v>373</v>
      </c>
      <c r="G35" s="11" t="s">
        <v>374</v>
      </c>
      <c r="H35" s="11" t="s">
        <v>375</v>
      </c>
      <c r="I35" s="11" t="s">
        <v>13</v>
      </c>
    </row>
    <row r="36" spans="1:9" x14ac:dyDescent="0.15">
      <c r="A36" s="10">
        <v>35</v>
      </c>
      <c r="B36" s="11" t="s">
        <v>9</v>
      </c>
      <c r="C36" s="11" t="s">
        <v>253</v>
      </c>
      <c r="D36" s="11" t="s">
        <v>254</v>
      </c>
      <c r="E36" s="9" t="str">
        <f>+HYPERLINK("http://trademark.i-assist.jp/data/china/image_1903th/71689210.pdf", "71689210")</f>
        <v>71689210</v>
      </c>
      <c r="F36" s="11" t="s">
        <v>376</v>
      </c>
      <c r="G36" s="11" t="s">
        <v>377</v>
      </c>
      <c r="H36" s="11" t="s">
        <v>378</v>
      </c>
      <c r="I36" s="11" t="s">
        <v>13</v>
      </c>
    </row>
    <row r="37" spans="1:9" x14ac:dyDescent="0.15">
      <c r="A37" s="10">
        <v>36</v>
      </c>
      <c r="B37" s="11" t="s">
        <v>9</v>
      </c>
      <c r="C37" s="11" t="s">
        <v>253</v>
      </c>
      <c r="D37" s="11" t="s">
        <v>254</v>
      </c>
      <c r="E37" s="9" t="str">
        <f>+HYPERLINK("http://trademark.i-assist.jp/data/china/image_1903th/71856467.pdf", "71856467")</f>
        <v>71856467</v>
      </c>
      <c r="F37" s="11" t="s">
        <v>379</v>
      </c>
      <c r="G37" s="11" t="s">
        <v>380</v>
      </c>
      <c r="H37" s="11" t="s">
        <v>381</v>
      </c>
      <c r="I37" s="11" t="s">
        <v>72</v>
      </c>
    </row>
    <row r="38" spans="1:9" x14ac:dyDescent="0.15">
      <c r="A38" s="10">
        <v>37</v>
      </c>
      <c r="B38" s="11" t="s">
        <v>9</v>
      </c>
      <c r="C38" s="11" t="s">
        <v>253</v>
      </c>
      <c r="D38" s="11" t="s">
        <v>254</v>
      </c>
      <c r="E38" s="9" t="str">
        <f>+HYPERLINK("http://trademark.i-assist.jp/data/china/image_1903th/71883229.pdf", "71883229")</f>
        <v>71883229</v>
      </c>
      <c r="F38" s="11" t="s">
        <v>382</v>
      </c>
      <c r="G38" s="11" t="s">
        <v>383</v>
      </c>
      <c r="H38" s="11" t="s">
        <v>384</v>
      </c>
      <c r="I38" s="11" t="s">
        <v>385</v>
      </c>
    </row>
    <row r="39" spans="1:9" x14ac:dyDescent="0.15">
      <c r="A39" s="10">
        <v>38</v>
      </c>
      <c r="B39" s="11" t="s">
        <v>9</v>
      </c>
      <c r="C39" s="11" t="s">
        <v>253</v>
      </c>
      <c r="D39" s="11" t="s">
        <v>254</v>
      </c>
      <c r="E39" s="9" t="str">
        <f>+HYPERLINK("http://trademark.i-assist.jp/data/china/image_1903th/71907107.pdf", "71907107")</f>
        <v>71907107</v>
      </c>
      <c r="F39" s="11" t="s">
        <v>386</v>
      </c>
      <c r="G39" s="11" t="s">
        <v>387</v>
      </c>
      <c r="H39" s="11" t="s">
        <v>388</v>
      </c>
      <c r="I39" s="11" t="s">
        <v>389</v>
      </c>
    </row>
    <row r="40" spans="1:9" x14ac:dyDescent="0.15">
      <c r="A40" s="10">
        <v>39</v>
      </c>
      <c r="B40" s="11" t="s">
        <v>9</v>
      </c>
      <c r="C40" s="11" t="s">
        <v>253</v>
      </c>
      <c r="D40" s="11" t="s">
        <v>254</v>
      </c>
      <c r="E40" s="9" t="str">
        <f>+HYPERLINK("http://trademark.i-assist.jp/data/china/image_1903th/72008657.pdf", "72008657")</f>
        <v>72008657</v>
      </c>
      <c r="F40" s="11" t="s">
        <v>390</v>
      </c>
      <c r="G40" s="11" t="s">
        <v>391</v>
      </c>
      <c r="H40" s="11" t="s">
        <v>392</v>
      </c>
      <c r="I40" s="11" t="s">
        <v>393</v>
      </c>
    </row>
    <row r="41" spans="1:9" x14ac:dyDescent="0.15">
      <c r="A41" s="10">
        <v>40</v>
      </c>
      <c r="B41" s="11" t="s">
        <v>9</v>
      </c>
      <c r="C41" s="11" t="s">
        <v>253</v>
      </c>
      <c r="D41" s="11" t="s">
        <v>254</v>
      </c>
      <c r="E41" s="9" t="str">
        <f>+HYPERLINK("http://trademark.i-assist.jp/data/china/image_1903th/72026831.pdf", "72026831")</f>
        <v>72026831</v>
      </c>
      <c r="F41" s="11" t="s">
        <v>394</v>
      </c>
      <c r="G41" s="11" t="s">
        <v>395</v>
      </c>
      <c r="H41" s="11" t="s">
        <v>396</v>
      </c>
      <c r="I41" s="11" t="s">
        <v>15</v>
      </c>
    </row>
    <row r="42" spans="1:9" x14ac:dyDescent="0.15">
      <c r="A42" s="10">
        <v>41</v>
      </c>
      <c r="B42" s="11" t="s">
        <v>9</v>
      </c>
      <c r="C42" s="11" t="s">
        <v>253</v>
      </c>
      <c r="D42" s="11" t="s">
        <v>254</v>
      </c>
      <c r="E42" s="9" t="str">
        <f>+HYPERLINK("http://trademark.i-assist.jp/data/china/image_1903th/72114404.pdf", "72114404")</f>
        <v>72114404</v>
      </c>
      <c r="F42" s="11" t="s">
        <v>397</v>
      </c>
      <c r="G42" s="11" t="s">
        <v>398</v>
      </c>
      <c r="H42" s="11" t="s">
        <v>399</v>
      </c>
      <c r="I42" s="11" t="s">
        <v>400</v>
      </c>
    </row>
    <row r="43" spans="1:9" x14ac:dyDescent="0.15">
      <c r="A43" s="10">
        <v>42</v>
      </c>
      <c r="B43" s="11" t="s">
        <v>9</v>
      </c>
      <c r="C43" s="11" t="s">
        <v>253</v>
      </c>
      <c r="D43" s="11" t="s">
        <v>254</v>
      </c>
      <c r="E43" s="9" t="str">
        <f>+HYPERLINK("http://trademark.i-assist.jp/data/china/image_1903th/72222482.pdf", "72222482")</f>
        <v>72222482</v>
      </c>
      <c r="F43" s="11" t="s">
        <v>401</v>
      </c>
      <c r="G43" s="11" t="s">
        <v>402</v>
      </c>
      <c r="H43" s="11" t="s">
        <v>403</v>
      </c>
      <c r="I43" s="11" t="s">
        <v>404</v>
      </c>
    </row>
    <row r="44" spans="1:9" x14ac:dyDescent="0.15">
      <c r="A44" s="10">
        <v>43</v>
      </c>
      <c r="B44" s="11" t="s">
        <v>9</v>
      </c>
      <c r="C44" s="11" t="s">
        <v>253</v>
      </c>
      <c r="D44" s="11" t="s">
        <v>254</v>
      </c>
      <c r="E44" s="9" t="str">
        <f>+HYPERLINK("http://trademark.i-assist.jp/data/china/image_1903th/72232536.pdf", "72232536")</f>
        <v>72232536</v>
      </c>
      <c r="F44" s="11" t="s">
        <v>405</v>
      </c>
      <c r="G44" s="11" t="s">
        <v>402</v>
      </c>
      <c r="H44" s="11" t="s">
        <v>406</v>
      </c>
      <c r="I44" s="11" t="s">
        <v>404</v>
      </c>
    </row>
    <row r="45" spans="1:9" x14ac:dyDescent="0.15">
      <c r="A45" s="10">
        <v>44</v>
      </c>
      <c r="B45" s="11" t="s">
        <v>9</v>
      </c>
      <c r="C45" s="11" t="s">
        <v>253</v>
      </c>
      <c r="D45" s="11" t="s">
        <v>254</v>
      </c>
      <c r="E45" s="9" t="str">
        <f>+HYPERLINK("http://trademark.i-assist.jp/data/china/image_1903th/72422662.pdf", "72422662")</f>
        <v>72422662</v>
      </c>
      <c r="F45" s="11" t="s">
        <v>407</v>
      </c>
      <c r="G45" s="11" t="s">
        <v>408</v>
      </c>
      <c r="H45" s="11" t="s">
        <v>409</v>
      </c>
      <c r="I45" s="11" t="s">
        <v>410</v>
      </c>
    </row>
    <row r="46" spans="1:9" x14ac:dyDescent="0.15">
      <c r="A46" s="10">
        <v>45</v>
      </c>
      <c r="B46" s="11" t="s">
        <v>9</v>
      </c>
      <c r="C46" s="11" t="s">
        <v>253</v>
      </c>
      <c r="D46" s="11" t="s">
        <v>254</v>
      </c>
      <c r="E46" s="9" t="str">
        <f>+HYPERLINK("http://trademark.i-assist.jp/data/china/image_1903th/72500313.pdf", "72500313")</f>
        <v>72500313</v>
      </c>
      <c r="F46" s="11" t="s">
        <v>411</v>
      </c>
      <c r="G46" s="11" t="s">
        <v>412</v>
      </c>
      <c r="H46" s="11" t="s">
        <v>413</v>
      </c>
      <c r="I46" s="11" t="s">
        <v>414</v>
      </c>
    </row>
    <row r="47" spans="1:9" x14ac:dyDescent="0.15">
      <c r="A47" s="10">
        <v>46</v>
      </c>
      <c r="B47" s="11" t="s">
        <v>9</v>
      </c>
      <c r="C47" s="11" t="s">
        <v>253</v>
      </c>
      <c r="D47" s="11" t="s">
        <v>254</v>
      </c>
      <c r="E47" s="9" t="str">
        <f>+HYPERLINK("http://trademark.i-assist.jp/data/china/image_1903th/72563795.pdf", "72563795")</f>
        <v>72563795</v>
      </c>
      <c r="F47" s="11" t="s">
        <v>415</v>
      </c>
      <c r="G47" s="11" t="s">
        <v>416</v>
      </c>
      <c r="H47" s="11" t="s">
        <v>417</v>
      </c>
      <c r="I47" s="11" t="s">
        <v>418</v>
      </c>
    </row>
    <row r="48" spans="1:9" x14ac:dyDescent="0.15">
      <c r="A48" s="10">
        <v>47</v>
      </c>
      <c r="B48" s="11" t="s">
        <v>9</v>
      </c>
      <c r="C48" s="11" t="s">
        <v>253</v>
      </c>
      <c r="D48" s="11" t="s">
        <v>254</v>
      </c>
      <c r="E48" s="9" t="str">
        <f>+HYPERLINK("http://trademark.i-assist.jp/data/china/image_1903th/72581151.pdf", "72581151")</f>
        <v>72581151</v>
      </c>
      <c r="F48" s="11" t="s">
        <v>419</v>
      </c>
      <c r="G48" s="11" t="s">
        <v>420</v>
      </c>
      <c r="H48" s="11" t="s">
        <v>421</v>
      </c>
      <c r="I48" s="11" t="s">
        <v>74</v>
      </c>
    </row>
    <row r="49" spans="1:9" x14ac:dyDescent="0.15">
      <c r="A49" s="10">
        <v>48</v>
      </c>
      <c r="B49" s="11" t="s">
        <v>9</v>
      </c>
      <c r="C49" s="11" t="s">
        <v>253</v>
      </c>
      <c r="D49" s="11" t="s">
        <v>254</v>
      </c>
      <c r="E49" s="9" t="str">
        <f>+HYPERLINK("http://trademark.i-assist.jp/data/china/image_1903th/72603641.pdf", "72603641")</f>
        <v>72603641</v>
      </c>
      <c r="F49" s="11" t="s">
        <v>422</v>
      </c>
      <c r="G49" s="11" t="s">
        <v>423</v>
      </c>
      <c r="H49" s="11" t="s">
        <v>424</v>
      </c>
      <c r="I49" s="11" t="s">
        <v>74</v>
      </c>
    </row>
    <row r="50" spans="1:9" x14ac:dyDescent="0.15">
      <c r="A50" s="10">
        <v>49</v>
      </c>
      <c r="B50" s="11" t="s">
        <v>9</v>
      </c>
      <c r="C50" s="11" t="s">
        <v>253</v>
      </c>
      <c r="D50" s="11" t="s">
        <v>254</v>
      </c>
      <c r="E50" s="9" t="str">
        <f>+HYPERLINK("http://trademark.i-assist.jp/data/china/image_1903th/72901013.pdf", "72901013")</f>
        <v>72901013</v>
      </c>
      <c r="F50" s="11" t="s">
        <v>425</v>
      </c>
      <c r="G50" s="11" t="s">
        <v>426</v>
      </c>
      <c r="H50" s="11" t="s">
        <v>427</v>
      </c>
      <c r="I50" s="11" t="s">
        <v>428</v>
      </c>
    </row>
    <row r="51" spans="1:9" x14ac:dyDescent="0.15">
      <c r="A51" s="10">
        <v>50</v>
      </c>
      <c r="B51" s="11" t="s">
        <v>9</v>
      </c>
      <c r="C51" s="11" t="s">
        <v>253</v>
      </c>
      <c r="D51" s="11" t="s">
        <v>254</v>
      </c>
      <c r="E51" s="9" t="str">
        <f>+HYPERLINK("http://trademark.i-assist.jp/data/china/image_1903th/73027195.pdf", "73027195")</f>
        <v>73027195</v>
      </c>
      <c r="F51" s="11" t="s">
        <v>429</v>
      </c>
      <c r="G51" s="11" t="s">
        <v>430</v>
      </c>
      <c r="H51" s="11" t="s">
        <v>431</v>
      </c>
      <c r="I51" s="11" t="s">
        <v>432</v>
      </c>
    </row>
    <row r="52" spans="1:9" x14ac:dyDescent="0.15">
      <c r="A52" s="10">
        <v>51</v>
      </c>
      <c r="B52" s="11" t="s">
        <v>9</v>
      </c>
      <c r="C52" s="11" t="s">
        <v>253</v>
      </c>
      <c r="D52" s="11" t="s">
        <v>254</v>
      </c>
      <c r="E52" s="9" t="str">
        <f>+HYPERLINK("http://trademark.i-assist.jp/data/china/image_1903th/73073942.pdf", "73073942")</f>
        <v>73073942</v>
      </c>
      <c r="F52" s="11" t="s">
        <v>433</v>
      </c>
      <c r="G52" s="11" t="s">
        <v>434</v>
      </c>
      <c r="H52" s="11" t="s">
        <v>435</v>
      </c>
      <c r="I52" s="11" t="s">
        <v>436</v>
      </c>
    </row>
    <row r="53" spans="1:9" x14ac:dyDescent="0.15">
      <c r="A53" s="10">
        <v>52</v>
      </c>
      <c r="B53" s="11" t="s">
        <v>9</v>
      </c>
      <c r="C53" s="11" t="s">
        <v>253</v>
      </c>
      <c r="D53" s="11" t="s">
        <v>254</v>
      </c>
      <c r="E53" s="9" t="str">
        <f>+HYPERLINK("http://trademark.i-assist.jp/data/china/image_1903th/73106696.pdf", "73106696")</f>
        <v>73106696</v>
      </c>
      <c r="F53" s="11" t="s">
        <v>437</v>
      </c>
      <c r="G53" s="11" t="s">
        <v>71</v>
      </c>
      <c r="H53" s="11" t="s">
        <v>438</v>
      </c>
      <c r="I53" s="11" t="s">
        <v>439</v>
      </c>
    </row>
    <row r="54" spans="1:9" x14ac:dyDescent="0.15">
      <c r="A54" s="10">
        <v>53</v>
      </c>
      <c r="B54" s="11" t="s">
        <v>9</v>
      </c>
      <c r="C54" s="11" t="s">
        <v>253</v>
      </c>
      <c r="D54" s="11" t="s">
        <v>254</v>
      </c>
      <c r="E54" s="9" t="str">
        <f>+HYPERLINK("http://trademark.i-assist.jp/data/china/image_1903th/73146060.pdf", "73146060")</f>
        <v>73146060</v>
      </c>
      <c r="F54" s="11" t="s">
        <v>440</v>
      </c>
      <c r="G54" s="11" t="s">
        <v>441</v>
      </c>
      <c r="H54" s="11" t="s">
        <v>442</v>
      </c>
      <c r="I54" s="11" t="s">
        <v>75</v>
      </c>
    </row>
    <row r="55" spans="1:9" x14ac:dyDescent="0.15">
      <c r="A55" s="10">
        <v>54</v>
      </c>
      <c r="B55" s="11" t="s">
        <v>9</v>
      </c>
      <c r="C55" s="11" t="s">
        <v>253</v>
      </c>
      <c r="D55" s="11" t="s">
        <v>254</v>
      </c>
      <c r="E55" s="9" t="str">
        <f>+HYPERLINK("http://trademark.i-assist.jp/data/china/image_1903th/73170101.pdf", "73170101")</f>
        <v>73170101</v>
      </c>
      <c r="F55" s="11" t="s">
        <v>443</v>
      </c>
      <c r="G55" s="11" t="s">
        <v>444</v>
      </c>
      <c r="H55" s="11" t="s">
        <v>445</v>
      </c>
      <c r="I55" s="11" t="s">
        <v>446</v>
      </c>
    </row>
    <row r="56" spans="1:9" x14ac:dyDescent="0.15">
      <c r="A56" s="10">
        <v>55</v>
      </c>
      <c r="B56" s="11" t="s">
        <v>9</v>
      </c>
      <c r="C56" s="11" t="s">
        <v>253</v>
      </c>
      <c r="D56" s="11" t="s">
        <v>254</v>
      </c>
      <c r="E56" s="9" t="str">
        <f>+HYPERLINK("http://trademark.i-assist.jp/data/china/image_1903th/73240096.pdf", "73240096")</f>
        <v>73240096</v>
      </c>
      <c r="F56" s="11" t="s">
        <v>447</v>
      </c>
      <c r="G56" s="11" t="s">
        <v>448</v>
      </c>
      <c r="H56" s="11" t="s">
        <v>449</v>
      </c>
      <c r="I56" s="11" t="s">
        <v>450</v>
      </c>
    </row>
    <row r="57" spans="1:9" x14ac:dyDescent="0.15">
      <c r="A57" s="10">
        <v>56</v>
      </c>
      <c r="B57" s="11" t="s">
        <v>9</v>
      </c>
      <c r="C57" s="11" t="s">
        <v>253</v>
      </c>
      <c r="D57" s="11" t="s">
        <v>254</v>
      </c>
      <c r="E57" s="9" t="str">
        <f>+HYPERLINK("http://trademark.i-assist.jp/data/china/image_1903th/73283019.pdf", "73283019")</f>
        <v>73283019</v>
      </c>
      <c r="F57" s="11" t="s">
        <v>451</v>
      </c>
      <c r="G57" s="11" t="s">
        <v>452</v>
      </c>
      <c r="H57" s="11" t="s">
        <v>453</v>
      </c>
      <c r="I57" s="11" t="s">
        <v>76</v>
      </c>
    </row>
    <row r="58" spans="1:9" x14ac:dyDescent="0.15">
      <c r="A58" s="10">
        <v>57</v>
      </c>
      <c r="B58" s="11" t="s">
        <v>9</v>
      </c>
      <c r="C58" s="11" t="s">
        <v>253</v>
      </c>
      <c r="D58" s="11" t="s">
        <v>254</v>
      </c>
      <c r="E58" s="9" t="str">
        <f>+HYPERLINK("http://trademark.i-assist.jp/data/china/image_1903th/73366178.pdf", "73366178")</f>
        <v>73366178</v>
      </c>
      <c r="F58" s="11" t="s">
        <v>454</v>
      </c>
      <c r="G58" s="11" t="s">
        <v>455</v>
      </c>
      <c r="H58" s="11" t="s">
        <v>456</v>
      </c>
      <c r="I58" s="11" t="s">
        <v>457</v>
      </c>
    </row>
    <row r="59" spans="1:9" x14ac:dyDescent="0.15">
      <c r="A59" s="10">
        <v>58</v>
      </c>
      <c r="B59" s="11" t="s">
        <v>9</v>
      </c>
      <c r="C59" s="11" t="s">
        <v>253</v>
      </c>
      <c r="D59" s="11" t="s">
        <v>254</v>
      </c>
      <c r="E59" s="9" t="str">
        <f>+HYPERLINK("http://trademark.i-assist.jp/data/china/image_1903th/73422704.pdf", "73422704")</f>
        <v>73422704</v>
      </c>
      <c r="F59" s="11" t="s">
        <v>458</v>
      </c>
      <c r="G59" s="11" t="s">
        <v>459</v>
      </c>
      <c r="H59" s="11" t="s">
        <v>460</v>
      </c>
      <c r="I59" s="11" t="s">
        <v>461</v>
      </c>
    </row>
    <row r="60" spans="1:9" x14ac:dyDescent="0.15">
      <c r="A60" s="10">
        <v>59</v>
      </c>
      <c r="B60" s="11" t="s">
        <v>9</v>
      </c>
      <c r="C60" s="11" t="s">
        <v>253</v>
      </c>
      <c r="D60" s="11" t="s">
        <v>254</v>
      </c>
      <c r="E60" s="9" t="str">
        <f>+HYPERLINK("http://trademark.i-assist.jp/data/china/image_1903th/73431337.pdf", "73431337")</f>
        <v>73431337</v>
      </c>
      <c r="F60" s="11" t="s">
        <v>462</v>
      </c>
      <c r="G60" s="11" t="s">
        <v>463</v>
      </c>
      <c r="H60" s="11" t="s">
        <v>464</v>
      </c>
      <c r="I60" s="11" t="s">
        <v>77</v>
      </c>
    </row>
    <row r="61" spans="1:9" x14ac:dyDescent="0.15">
      <c r="A61" s="10">
        <v>60</v>
      </c>
      <c r="B61" s="11" t="s">
        <v>9</v>
      </c>
      <c r="C61" s="11" t="s">
        <v>253</v>
      </c>
      <c r="D61" s="11" t="s">
        <v>254</v>
      </c>
      <c r="E61" s="9" t="str">
        <f>+HYPERLINK("http://trademark.i-assist.jp/data/china/image_1903th/73488550.pdf", "73488550")</f>
        <v>73488550</v>
      </c>
      <c r="F61" s="11" t="s">
        <v>465</v>
      </c>
      <c r="G61" s="11" t="s">
        <v>466</v>
      </c>
      <c r="H61" s="11" t="s">
        <v>467</v>
      </c>
      <c r="I61" s="11" t="s">
        <v>468</v>
      </c>
    </row>
    <row r="62" spans="1:9" x14ac:dyDescent="0.15">
      <c r="A62" s="10">
        <v>61</v>
      </c>
      <c r="B62" s="11" t="s">
        <v>9</v>
      </c>
      <c r="C62" s="11" t="s">
        <v>253</v>
      </c>
      <c r="D62" s="11" t="s">
        <v>254</v>
      </c>
      <c r="E62" s="9" t="str">
        <f>+HYPERLINK("http://trademark.i-assist.jp/data/china/image_1903th/73569014.pdf", "73569014")</f>
        <v>73569014</v>
      </c>
      <c r="F62" s="11" t="s">
        <v>469</v>
      </c>
      <c r="G62" s="11" t="s">
        <v>470</v>
      </c>
      <c r="H62" s="11" t="s">
        <v>471</v>
      </c>
      <c r="I62" s="11" t="s">
        <v>472</v>
      </c>
    </row>
    <row r="63" spans="1:9" x14ac:dyDescent="0.15">
      <c r="A63" s="10">
        <v>62</v>
      </c>
      <c r="B63" s="11" t="s">
        <v>9</v>
      </c>
      <c r="C63" s="11" t="s">
        <v>253</v>
      </c>
      <c r="D63" s="11" t="s">
        <v>254</v>
      </c>
      <c r="E63" s="9" t="str">
        <f>+HYPERLINK("http://trademark.i-assist.jp/data/china/image_1903th/73655865.pdf", "73655865")</f>
        <v>73655865</v>
      </c>
      <c r="F63" s="11" t="s">
        <v>473</v>
      </c>
      <c r="G63" s="11" t="s">
        <v>474</v>
      </c>
      <c r="H63" s="11" t="s">
        <v>475</v>
      </c>
      <c r="I63" s="11" t="s">
        <v>79</v>
      </c>
    </row>
    <row r="64" spans="1:9" x14ac:dyDescent="0.15">
      <c r="A64" s="10">
        <v>63</v>
      </c>
      <c r="B64" s="11" t="s">
        <v>9</v>
      </c>
      <c r="C64" s="11" t="s">
        <v>253</v>
      </c>
      <c r="D64" s="11" t="s">
        <v>254</v>
      </c>
      <c r="E64" s="9" t="str">
        <f>+HYPERLINK("http://trademark.i-assist.jp/data/china/image_1903th/73696271.pdf", "73696271")</f>
        <v>73696271</v>
      </c>
      <c r="F64" s="11" t="s">
        <v>476</v>
      </c>
      <c r="G64" s="11" t="s">
        <v>477</v>
      </c>
      <c r="H64" s="11" t="s">
        <v>478</v>
      </c>
      <c r="I64" s="11" t="s">
        <v>80</v>
      </c>
    </row>
    <row r="65" spans="1:9" x14ac:dyDescent="0.15">
      <c r="A65" s="10">
        <v>64</v>
      </c>
      <c r="B65" s="11" t="s">
        <v>9</v>
      </c>
      <c r="C65" s="11" t="s">
        <v>253</v>
      </c>
      <c r="D65" s="11" t="s">
        <v>254</v>
      </c>
      <c r="E65" s="9" t="str">
        <f>+HYPERLINK("http://trademark.i-assist.jp/data/china/image_1903th/73710392.pdf", "73710392")</f>
        <v>73710392</v>
      </c>
      <c r="F65" s="11" t="s">
        <v>479</v>
      </c>
      <c r="G65" s="11" t="s">
        <v>480</v>
      </c>
      <c r="H65" s="11" t="s">
        <v>481</v>
      </c>
      <c r="I65" s="11" t="s">
        <v>80</v>
      </c>
    </row>
    <row r="66" spans="1:9" x14ac:dyDescent="0.15">
      <c r="A66" s="10">
        <v>65</v>
      </c>
      <c r="B66" s="11" t="s">
        <v>9</v>
      </c>
      <c r="C66" s="11" t="s">
        <v>253</v>
      </c>
      <c r="D66" s="11" t="s">
        <v>254</v>
      </c>
      <c r="E66" s="9" t="str">
        <f>+HYPERLINK("http://trademark.i-assist.jp/data/china/image_1903th/73727774.pdf", "73727774")</f>
        <v>73727774</v>
      </c>
      <c r="F66" s="11" t="s">
        <v>482</v>
      </c>
      <c r="G66" s="11" t="s">
        <v>483</v>
      </c>
      <c r="H66" s="11" t="s">
        <v>484</v>
      </c>
      <c r="I66" s="11" t="s">
        <v>485</v>
      </c>
    </row>
    <row r="67" spans="1:9" x14ac:dyDescent="0.15">
      <c r="A67" s="10">
        <v>66</v>
      </c>
      <c r="B67" s="11" t="s">
        <v>9</v>
      </c>
      <c r="C67" s="11" t="s">
        <v>253</v>
      </c>
      <c r="D67" s="11" t="s">
        <v>254</v>
      </c>
      <c r="E67" s="9" t="str">
        <f>+HYPERLINK("http://trademark.i-assist.jp/data/china/image_1903th/73742405.pdf", "73742405")</f>
        <v>73742405</v>
      </c>
      <c r="F67" s="11" t="s">
        <v>486</v>
      </c>
      <c r="G67" s="11" t="s">
        <v>483</v>
      </c>
      <c r="H67" s="11" t="s">
        <v>487</v>
      </c>
      <c r="I67" s="11" t="s">
        <v>485</v>
      </c>
    </row>
    <row r="68" spans="1:9" x14ac:dyDescent="0.15">
      <c r="A68" s="10">
        <v>67</v>
      </c>
      <c r="B68" s="11" t="s">
        <v>9</v>
      </c>
      <c r="C68" s="11" t="s">
        <v>253</v>
      </c>
      <c r="D68" s="11" t="s">
        <v>254</v>
      </c>
      <c r="E68" s="9" t="str">
        <f>+HYPERLINK("http://trademark.i-assist.jp/data/china/image_1903th/73763407.pdf", "73763407")</f>
        <v>73763407</v>
      </c>
      <c r="F68" s="11" t="s">
        <v>488</v>
      </c>
      <c r="G68" s="11" t="s">
        <v>489</v>
      </c>
      <c r="H68" s="11" t="s">
        <v>490</v>
      </c>
      <c r="I68" s="11" t="s">
        <v>81</v>
      </c>
    </row>
    <row r="69" spans="1:9" x14ac:dyDescent="0.15">
      <c r="A69" s="10">
        <v>68</v>
      </c>
      <c r="B69" s="11" t="s">
        <v>9</v>
      </c>
      <c r="C69" s="11" t="s">
        <v>253</v>
      </c>
      <c r="D69" s="11" t="s">
        <v>254</v>
      </c>
      <c r="E69" s="9" t="str">
        <f>+HYPERLINK("http://trademark.i-assist.jp/data/china/image_1903th/73767977.pdf", "73767977")</f>
        <v>73767977</v>
      </c>
      <c r="F69" s="11" t="s">
        <v>491</v>
      </c>
      <c r="G69" s="11" t="s">
        <v>492</v>
      </c>
      <c r="H69" s="11" t="s">
        <v>493</v>
      </c>
      <c r="I69" s="11" t="s">
        <v>81</v>
      </c>
    </row>
    <row r="70" spans="1:9" x14ac:dyDescent="0.15">
      <c r="A70" s="10">
        <v>69</v>
      </c>
      <c r="B70" s="11" t="s">
        <v>9</v>
      </c>
      <c r="C70" s="11" t="s">
        <v>253</v>
      </c>
      <c r="D70" s="11" t="s">
        <v>254</v>
      </c>
      <c r="E70" s="9" t="str">
        <f>+HYPERLINK("http://trademark.i-assist.jp/data/china/image_1903th/73789159.pdf", "73789159")</f>
        <v>73789159</v>
      </c>
      <c r="F70" s="11" t="s">
        <v>12</v>
      </c>
      <c r="G70" s="11" t="s">
        <v>494</v>
      </c>
      <c r="H70" s="11" t="s">
        <v>495</v>
      </c>
      <c r="I70" s="11" t="s">
        <v>496</v>
      </c>
    </row>
    <row r="71" spans="1:9" x14ac:dyDescent="0.15">
      <c r="A71" s="10">
        <v>70</v>
      </c>
      <c r="B71" s="11" t="s">
        <v>9</v>
      </c>
      <c r="C71" s="11" t="s">
        <v>253</v>
      </c>
      <c r="D71" s="11" t="s">
        <v>254</v>
      </c>
      <c r="E71" s="9" t="str">
        <f>+HYPERLINK("http://trademark.i-assist.jp/data/china/image_1903th/73925876.pdf", "73925876")</f>
        <v>73925876</v>
      </c>
      <c r="F71" s="11" t="s">
        <v>497</v>
      </c>
      <c r="G71" s="11" t="s">
        <v>498</v>
      </c>
      <c r="H71" s="11" t="s">
        <v>499</v>
      </c>
      <c r="I71" s="11" t="s">
        <v>500</v>
      </c>
    </row>
    <row r="72" spans="1:9" x14ac:dyDescent="0.15">
      <c r="A72" s="10">
        <v>71</v>
      </c>
      <c r="B72" s="11" t="s">
        <v>9</v>
      </c>
      <c r="C72" s="11" t="s">
        <v>253</v>
      </c>
      <c r="D72" s="11" t="s">
        <v>254</v>
      </c>
      <c r="E72" s="9" t="str">
        <f>+HYPERLINK("http://trademark.i-assist.jp/data/china/image_1903th/73940856.pdf", "73940856")</f>
        <v>73940856</v>
      </c>
      <c r="F72" s="11" t="s">
        <v>12</v>
      </c>
      <c r="G72" s="11" t="s">
        <v>501</v>
      </c>
      <c r="H72" s="11" t="s">
        <v>502</v>
      </c>
      <c r="I72" s="11" t="s">
        <v>82</v>
      </c>
    </row>
    <row r="73" spans="1:9" x14ac:dyDescent="0.15">
      <c r="A73" s="10">
        <v>72</v>
      </c>
      <c r="B73" s="11" t="s">
        <v>9</v>
      </c>
      <c r="C73" s="11" t="s">
        <v>253</v>
      </c>
      <c r="D73" s="11" t="s">
        <v>254</v>
      </c>
      <c r="E73" s="9" t="str">
        <f>+HYPERLINK("http://trademark.i-assist.jp/data/china/image_1903th/73966498.pdf", "73966498")</f>
        <v>73966498</v>
      </c>
      <c r="F73" s="11" t="s">
        <v>503</v>
      </c>
      <c r="G73" s="11" t="s">
        <v>504</v>
      </c>
      <c r="H73" s="11" t="s">
        <v>505</v>
      </c>
      <c r="I73" s="11" t="s">
        <v>17</v>
      </c>
    </row>
    <row r="74" spans="1:9" x14ac:dyDescent="0.15">
      <c r="A74" s="10">
        <v>73</v>
      </c>
      <c r="B74" s="11" t="s">
        <v>9</v>
      </c>
      <c r="C74" s="11" t="s">
        <v>253</v>
      </c>
      <c r="D74" s="11" t="s">
        <v>254</v>
      </c>
      <c r="E74" s="9" t="str">
        <f>+HYPERLINK("http://trademark.i-assist.jp/data/china/image_1903th/74032709.pdf", "74032709")</f>
        <v>74032709</v>
      </c>
      <c r="F74" s="11" t="s">
        <v>506</v>
      </c>
      <c r="G74" s="11" t="s">
        <v>507</v>
      </c>
      <c r="H74" s="11" t="s">
        <v>508</v>
      </c>
      <c r="I74" s="11" t="s">
        <v>509</v>
      </c>
    </row>
    <row r="75" spans="1:9" x14ac:dyDescent="0.15">
      <c r="A75" s="10">
        <v>74</v>
      </c>
      <c r="B75" s="11" t="s">
        <v>9</v>
      </c>
      <c r="C75" s="11" t="s">
        <v>253</v>
      </c>
      <c r="D75" s="11" t="s">
        <v>254</v>
      </c>
      <c r="E75" s="9" t="str">
        <f>+HYPERLINK("http://trademark.i-assist.jp/data/china/image_1903th/74033486.pdf", "74033486")</f>
        <v>74033486</v>
      </c>
      <c r="F75" s="11" t="s">
        <v>510</v>
      </c>
      <c r="G75" s="11" t="s">
        <v>511</v>
      </c>
      <c r="H75" s="11" t="s">
        <v>512</v>
      </c>
      <c r="I75" s="11" t="s">
        <v>509</v>
      </c>
    </row>
    <row r="76" spans="1:9" x14ac:dyDescent="0.15">
      <c r="A76" s="10">
        <v>75</v>
      </c>
      <c r="B76" s="11" t="s">
        <v>9</v>
      </c>
      <c r="C76" s="11" t="s">
        <v>253</v>
      </c>
      <c r="D76" s="11" t="s">
        <v>254</v>
      </c>
      <c r="E76" s="9" t="str">
        <f>+HYPERLINK("http://trademark.i-assist.jp/data/china/image_1903th/74065256.pdf", "74065256")</f>
        <v>74065256</v>
      </c>
      <c r="F76" s="11" t="s">
        <v>513</v>
      </c>
      <c r="G76" s="11" t="s">
        <v>514</v>
      </c>
      <c r="H76" s="11" t="s">
        <v>515</v>
      </c>
      <c r="I76" s="11" t="s">
        <v>18</v>
      </c>
    </row>
    <row r="77" spans="1:9" x14ac:dyDescent="0.15">
      <c r="A77" s="10">
        <v>76</v>
      </c>
      <c r="B77" s="11" t="s">
        <v>9</v>
      </c>
      <c r="C77" s="11" t="s">
        <v>253</v>
      </c>
      <c r="D77" s="11" t="s">
        <v>254</v>
      </c>
      <c r="E77" s="9" t="str">
        <f>+HYPERLINK("http://trademark.i-assist.jp/data/china/image_1903th/74079186.pdf", "74079186")</f>
        <v>74079186</v>
      </c>
      <c r="F77" s="11" t="s">
        <v>516</v>
      </c>
      <c r="G77" s="11" t="s">
        <v>517</v>
      </c>
      <c r="H77" s="11" t="s">
        <v>518</v>
      </c>
      <c r="I77" s="11" t="s">
        <v>519</v>
      </c>
    </row>
    <row r="78" spans="1:9" x14ac:dyDescent="0.15">
      <c r="A78" s="10">
        <v>77</v>
      </c>
      <c r="B78" s="11" t="s">
        <v>9</v>
      </c>
      <c r="C78" s="11" t="s">
        <v>253</v>
      </c>
      <c r="D78" s="11" t="s">
        <v>254</v>
      </c>
      <c r="E78" s="9" t="str">
        <f>+HYPERLINK("http://trademark.i-assist.jp/data/china/image_1903th/74119423.pdf", "74119423")</f>
        <v>74119423</v>
      </c>
      <c r="F78" s="11" t="s">
        <v>520</v>
      </c>
      <c r="G78" s="11" t="s">
        <v>521</v>
      </c>
      <c r="H78" s="11" t="s">
        <v>14</v>
      </c>
      <c r="I78" s="11" t="s">
        <v>522</v>
      </c>
    </row>
    <row r="79" spans="1:9" x14ac:dyDescent="0.15">
      <c r="A79" s="10">
        <v>78</v>
      </c>
      <c r="B79" s="11" t="s">
        <v>9</v>
      </c>
      <c r="C79" s="11" t="s">
        <v>253</v>
      </c>
      <c r="D79" s="11" t="s">
        <v>254</v>
      </c>
      <c r="E79" s="9" t="str">
        <f>+HYPERLINK("http://trademark.i-assist.jp/data/china/image_1903th/74137121.pdf", "74137121")</f>
        <v>74137121</v>
      </c>
      <c r="F79" s="11" t="s">
        <v>523</v>
      </c>
      <c r="G79" s="11" t="s">
        <v>524</v>
      </c>
      <c r="H79" s="11" t="s">
        <v>525</v>
      </c>
      <c r="I79" s="11" t="s">
        <v>526</v>
      </c>
    </row>
    <row r="80" spans="1:9" x14ac:dyDescent="0.15">
      <c r="A80" s="10">
        <v>79</v>
      </c>
      <c r="B80" s="11" t="s">
        <v>9</v>
      </c>
      <c r="C80" s="11" t="s">
        <v>253</v>
      </c>
      <c r="D80" s="11" t="s">
        <v>254</v>
      </c>
      <c r="E80" s="9" t="str">
        <f>+HYPERLINK("http://trademark.i-assist.jp/data/china/image_1903th/74145775.pdf", "74145775")</f>
        <v>74145775</v>
      </c>
      <c r="F80" s="11" t="s">
        <v>527</v>
      </c>
      <c r="G80" s="11" t="s">
        <v>528</v>
      </c>
      <c r="H80" s="11" t="s">
        <v>529</v>
      </c>
      <c r="I80" s="11" t="s">
        <v>526</v>
      </c>
    </row>
    <row r="81" spans="1:9" x14ac:dyDescent="0.15">
      <c r="A81" s="10">
        <v>80</v>
      </c>
      <c r="B81" s="11" t="s">
        <v>9</v>
      </c>
      <c r="C81" s="11" t="s">
        <v>253</v>
      </c>
      <c r="D81" s="11" t="s">
        <v>254</v>
      </c>
      <c r="E81" s="9" t="str">
        <f>+HYPERLINK("http://trademark.i-assist.jp/data/china/image_1903th/74155139.pdf", "74155139")</f>
        <v>74155139</v>
      </c>
      <c r="F81" s="11" t="s">
        <v>530</v>
      </c>
      <c r="G81" s="11" t="s">
        <v>531</v>
      </c>
      <c r="H81" s="11" t="s">
        <v>532</v>
      </c>
      <c r="I81" s="11" t="s">
        <v>526</v>
      </c>
    </row>
    <row r="82" spans="1:9" x14ac:dyDescent="0.15">
      <c r="A82" s="10">
        <v>81</v>
      </c>
      <c r="B82" s="11" t="s">
        <v>9</v>
      </c>
      <c r="C82" s="11" t="s">
        <v>253</v>
      </c>
      <c r="D82" s="11" t="s">
        <v>254</v>
      </c>
      <c r="E82" s="9" t="str">
        <f>+HYPERLINK("http://trademark.i-assist.jp/data/china/image_1903th/74234021.pdf", "74234021")</f>
        <v>74234021</v>
      </c>
      <c r="F82" s="11" t="s">
        <v>533</v>
      </c>
      <c r="G82" s="11" t="s">
        <v>534</v>
      </c>
      <c r="H82" s="11" t="s">
        <v>535</v>
      </c>
      <c r="I82" s="11" t="s">
        <v>83</v>
      </c>
    </row>
    <row r="83" spans="1:9" x14ac:dyDescent="0.15">
      <c r="A83" s="10">
        <v>82</v>
      </c>
      <c r="B83" s="11" t="s">
        <v>9</v>
      </c>
      <c r="C83" s="11" t="s">
        <v>253</v>
      </c>
      <c r="D83" s="11" t="s">
        <v>254</v>
      </c>
      <c r="E83" s="9" t="str">
        <f>+HYPERLINK("http://trademark.i-assist.jp/data/china/image_1903th/74255546.pdf", "74255546")</f>
        <v>74255546</v>
      </c>
      <c r="F83" s="11" t="s">
        <v>536</v>
      </c>
      <c r="G83" s="11" t="s">
        <v>537</v>
      </c>
      <c r="H83" s="11" t="s">
        <v>538</v>
      </c>
      <c r="I83" s="11" t="s">
        <v>539</v>
      </c>
    </row>
    <row r="84" spans="1:9" x14ac:dyDescent="0.15">
      <c r="A84" s="10">
        <v>83</v>
      </c>
      <c r="B84" s="11" t="s">
        <v>9</v>
      </c>
      <c r="C84" s="11" t="s">
        <v>253</v>
      </c>
      <c r="D84" s="11" t="s">
        <v>254</v>
      </c>
      <c r="E84" s="9" t="str">
        <f>+HYPERLINK("http://trademark.i-assist.jp/data/china/image_1903th/74274645.pdf", "74274645")</f>
        <v>74274645</v>
      </c>
      <c r="F84" s="11" t="s">
        <v>540</v>
      </c>
      <c r="G84" s="11" t="s">
        <v>541</v>
      </c>
      <c r="H84" s="11" t="s">
        <v>542</v>
      </c>
      <c r="I84" s="11" t="s">
        <v>84</v>
      </c>
    </row>
    <row r="85" spans="1:9" x14ac:dyDescent="0.15">
      <c r="A85" s="10">
        <v>84</v>
      </c>
      <c r="B85" s="11" t="s">
        <v>9</v>
      </c>
      <c r="C85" s="11" t="s">
        <v>253</v>
      </c>
      <c r="D85" s="11" t="s">
        <v>254</v>
      </c>
      <c r="E85" s="9" t="str">
        <f>+HYPERLINK("http://trademark.i-assist.jp/data/china/image_1903th/74292074.pdf", "74292074")</f>
        <v>74292074</v>
      </c>
      <c r="F85" s="11" t="s">
        <v>543</v>
      </c>
      <c r="G85" s="11" t="s">
        <v>544</v>
      </c>
      <c r="H85" s="11" t="s">
        <v>545</v>
      </c>
      <c r="I85" s="11" t="s">
        <v>84</v>
      </c>
    </row>
    <row r="86" spans="1:9" x14ac:dyDescent="0.15">
      <c r="A86" s="10">
        <v>85</v>
      </c>
      <c r="B86" s="11" t="s">
        <v>9</v>
      </c>
      <c r="C86" s="11" t="s">
        <v>253</v>
      </c>
      <c r="D86" s="11" t="s">
        <v>254</v>
      </c>
      <c r="E86" s="9" t="str">
        <f>+HYPERLINK("http://trademark.i-assist.jp/data/china/image_1903th/74308830.pdf", "74308830")</f>
        <v>74308830</v>
      </c>
      <c r="F86" s="11" t="s">
        <v>546</v>
      </c>
      <c r="G86" s="11" t="s">
        <v>547</v>
      </c>
      <c r="H86" s="11" t="s">
        <v>548</v>
      </c>
      <c r="I86" s="11" t="s">
        <v>85</v>
      </c>
    </row>
    <row r="87" spans="1:9" x14ac:dyDescent="0.15">
      <c r="A87" s="10">
        <v>86</v>
      </c>
      <c r="B87" s="11" t="s">
        <v>9</v>
      </c>
      <c r="C87" s="11" t="s">
        <v>253</v>
      </c>
      <c r="D87" s="11" t="s">
        <v>254</v>
      </c>
      <c r="E87" s="9" t="str">
        <f>+HYPERLINK("http://trademark.i-assist.jp/data/china/image_1903th/74325245.pdf", "74325245")</f>
        <v>74325245</v>
      </c>
      <c r="F87" s="11" t="s">
        <v>549</v>
      </c>
      <c r="G87" s="11" t="s">
        <v>550</v>
      </c>
      <c r="H87" s="11" t="s">
        <v>551</v>
      </c>
      <c r="I87" s="11" t="s">
        <v>86</v>
      </c>
    </row>
    <row r="88" spans="1:9" x14ac:dyDescent="0.15">
      <c r="A88" s="10">
        <v>87</v>
      </c>
      <c r="B88" s="11" t="s">
        <v>9</v>
      </c>
      <c r="C88" s="11" t="s">
        <v>253</v>
      </c>
      <c r="D88" s="11" t="s">
        <v>254</v>
      </c>
      <c r="E88" s="9" t="str">
        <f>+HYPERLINK("http://trademark.i-assist.jp/data/china/image_1903th/74460689.pdf", "74460689")</f>
        <v>74460689</v>
      </c>
      <c r="F88" s="11" t="s">
        <v>552</v>
      </c>
      <c r="G88" s="11" t="s">
        <v>553</v>
      </c>
      <c r="H88" s="11" t="s">
        <v>554</v>
      </c>
      <c r="I88" s="11" t="s">
        <v>19</v>
      </c>
    </row>
    <row r="89" spans="1:9" x14ac:dyDescent="0.15">
      <c r="A89" s="10">
        <v>88</v>
      </c>
      <c r="B89" s="11" t="s">
        <v>9</v>
      </c>
      <c r="C89" s="11" t="s">
        <v>253</v>
      </c>
      <c r="D89" s="11" t="s">
        <v>254</v>
      </c>
      <c r="E89" s="9" t="str">
        <f>+HYPERLINK("http://trademark.i-assist.jp/data/china/image_1903th/74475023.pdf", "74475023")</f>
        <v>74475023</v>
      </c>
      <c r="F89" s="11" t="s">
        <v>555</v>
      </c>
      <c r="G89" s="11" t="s">
        <v>556</v>
      </c>
      <c r="H89" s="11" t="s">
        <v>557</v>
      </c>
      <c r="I89" s="11" t="s">
        <v>558</v>
      </c>
    </row>
    <row r="90" spans="1:9" x14ac:dyDescent="0.15">
      <c r="A90" s="10">
        <v>89</v>
      </c>
      <c r="B90" s="11" t="s">
        <v>9</v>
      </c>
      <c r="C90" s="11" t="s">
        <v>253</v>
      </c>
      <c r="D90" s="11" t="s">
        <v>254</v>
      </c>
      <c r="E90" s="9" t="str">
        <f>+HYPERLINK("http://trademark.i-assist.jp/data/china/image_1903th/74518212.pdf", "74518212")</f>
        <v>74518212</v>
      </c>
      <c r="F90" s="11" t="s">
        <v>559</v>
      </c>
      <c r="G90" s="11" t="s">
        <v>45</v>
      </c>
      <c r="H90" s="11" t="s">
        <v>560</v>
      </c>
      <c r="I90" s="11" t="s">
        <v>87</v>
      </c>
    </row>
    <row r="91" spans="1:9" x14ac:dyDescent="0.15">
      <c r="A91" s="10">
        <v>90</v>
      </c>
      <c r="B91" s="11" t="s">
        <v>9</v>
      </c>
      <c r="C91" s="11" t="s">
        <v>253</v>
      </c>
      <c r="D91" s="11" t="s">
        <v>254</v>
      </c>
      <c r="E91" s="9" t="str">
        <f>+HYPERLINK("http://trademark.i-assist.jp/data/china/image_1903th/74535288.pdf", "74535288")</f>
        <v>74535288</v>
      </c>
      <c r="F91" s="11" t="s">
        <v>561</v>
      </c>
      <c r="G91" s="11" t="s">
        <v>562</v>
      </c>
      <c r="H91" s="11" t="s">
        <v>563</v>
      </c>
      <c r="I91" s="11" t="s">
        <v>87</v>
      </c>
    </row>
    <row r="92" spans="1:9" x14ac:dyDescent="0.15">
      <c r="A92" s="10">
        <v>91</v>
      </c>
      <c r="B92" s="11" t="s">
        <v>9</v>
      </c>
      <c r="C92" s="11" t="s">
        <v>253</v>
      </c>
      <c r="D92" s="11" t="s">
        <v>254</v>
      </c>
      <c r="E92" s="9" t="str">
        <f>+HYPERLINK("http://trademark.i-assist.jp/data/china/image_1903th/74552853.pdf", "74552853")</f>
        <v>74552853</v>
      </c>
      <c r="F92" s="11" t="s">
        <v>564</v>
      </c>
      <c r="G92" s="11" t="s">
        <v>565</v>
      </c>
      <c r="H92" s="11" t="s">
        <v>566</v>
      </c>
      <c r="I92" s="11" t="s">
        <v>567</v>
      </c>
    </row>
    <row r="93" spans="1:9" x14ac:dyDescent="0.15">
      <c r="A93" s="10">
        <v>92</v>
      </c>
      <c r="B93" s="11" t="s">
        <v>9</v>
      </c>
      <c r="C93" s="11" t="s">
        <v>253</v>
      </c>
      <c r="D93" s="11" t="s">
        <v>254</v>
      </c>
      <c r="E93" s="9" t="str">
        <f>+HYPERLINK("http://trademark.i-assist.jp/data/china/image_1903th/74571439.pdf", "74571439")</f>
        <v>74571439</v>
      </c>
      <c r="F93" s="11" t="s">
        <v>568</v>
      </c>
      <c r="G93" s="11" t="s">
        <v>569</v>
      </c>
      <c r="H93" s="11" t="s">
        <v>570</v>
      </c>
      <c r="I93" s="11" t="s">
        <v>571</v>
      </c>
    </row>
    <row r="94" spans="1:9" x14ac:dyDescent="0.15">
      <c r="A94" s="10">
        <v>93</v>
      </c>
      <c r="B94" s="11" t="s">
        <v>9</v>
      </c>
      <c r="C94" s="11" t="s">
        <v>253</v>
      </c>
      <c r="D94" s="11" t="s">
        <v>254</v>
      </c>
      <c r="E94" s="9" t="str">
        <f>+HYPERLINK("http://trademark.i-assist.jp/data/china/image_1903th/74583227.pdf", "74583227")</f>
        <v>74583227</v>
      </c>
      <c r="F94" s="11" t="s">
        <v>572</v>
      </c>
      <c r="G94" s="11" t="s">
        <v>573</v>
      </c>
      <c r="H94" s="11" t="s">
        <v>574</v>
      </c>
      <c r="I94" s="11" t="s">
        <v>575</v>
      </c>
    </row>
    <row r="95" spans="1:9" x14ac:dyDescent="0.15">
      <c r="A95" s="10">
        <v>94</v>
      </c>
      <c r="B95" s="11" t="s">
        <v>9</v>
      </c>
      <c r="C95" s="11" t="s">
        <v>253</v>
      </c>
      <c r="D95" s="11" t="s">
        <v>254</v>
      </c>
      <c r="E95" s="9" t="str">
        <f>+HYPERLINK("http://trademark.i-assist.jp/data/china/image_1903th/74729053.pdf", "74729053")</f>
        <v>74729053</v>
      </c>
      <c r="F95" s="11" t="s">
        <v>576</v>
      </c>
      <c r="G95" s="11" t="s">
        <v>577</v>
      </c>
      <c r="H95" s="11" t="s">
        <v>578</v>
      </c>
      <c r="I95" s="11" t="s">
        <v>579</v>
      </c>
    </row>
    <row r="96" spans="1:9" x14ac:dyDescent="0.15">
      <c r="A96" s="10">
        <v>95</v>
      </c>
      <c r="B96" s="11" t="s">
        <v>9</v>
      </c>
      <c r="C96" s="11" t="s">
        <v>253</v>
      </c>
      <c r="D96" s="11" t="s">
        <v>254</v>
      </c>
      <c r="E96" s="9" t="str">
        <f>+HYPERLINK("http://trademark.i-assist.jp/data/china/image_1903th/74783043.pdf", "74783043")</f>
        <v>74783043</v>
      </c>
      <c r="F96" s="11" t="s">
        <v>580</v>
      </c>
      <c r="G96" s="11" t="s">
        <v>581</v>
      </c>
      <c r="H96" s="11" t="s">
        <v>582</v>
      </c>
      <c r="I96" s="11" t="s">
        <v>88</v>
      </c>
    </row>
    <row r="97" spans="1:9" x14ac:dyDescent="0.15">
      <c r="A97" s="10">
        <v>96</v>
      </c>
      <c r="B97" s="11" t="s">
        <v>9</v>
      </c>
      <c r="C97" s="11" t="s">
        <v>253</v>
      </c>
      <c r="D97" s="11" t="s">
        <v>254</v>
      </c>
      <c r="E97" s="9" t="str">
        <f>+HYPERLINK("http://trademark.i-assist.jp/data/china/image_1903th/74826520.pdf", "74826520")</f>
        <v>74826520</v>
      </c>
      <c r="F97" s="11" t="s">
        <v>583</v>
      </c>
      <c r="G97" s="11" t="s">
        <v>584</v>
      </c>
      <c r="H97" s="11" t="s">
        <v>585</v>
      </c>
      <c r="I97" s="11" t="s">
        <v>586</v>
      </c>
    </row>
    <row r="98" spans="1:9" x14ac:dyDescent="0.15">
      <c r="A98" s="10">
        <v>97</v>
      </c>
      <c r="B98" s="11" t="s">
        <v>9</v>
      </c>
      <c r="C98" s="11" t="s">
        <v>253</v>
      </c>
      <c r="D98" s="11" t="s">
        <v>254</v>
      </c>
      <c r="E98" s="9" t="str">
        <f>+HYPERLINK("http://trademark.i-assist.jp/data/china/image_1903th/74844519.pdf", "74844519")</f>
        <v>74844519</v>
      </c>
      <c r="F98" s="11" t="s">
        <v>587</v>
      </c>
      <c r="G98" s="11" t="s">
        <v>588</v>
      </c>
      <c r="H98" s="11" t="s">
        <v>589</v>
      </c>
      <c r="I98" s="11" t="s">
        <v>89</v>
      </c>
    </row>
    <row r="99" spans="1:9" x14ac:dyDescent="0.15">
      <c r="A99" s="10">
        <v>98</v>
      </c>
      <c r="B99" s="11" t="s">
        <v>9</v>
      </c>
      <c r="C99" s="11" t="s">
        <v>253</v>
      </c>
      <c r="D99" s="11" t="s">
        <v>254</v>
      </c>
      <c r="E99" s="9" t="str">
        <f>+HYPERLINK("http://trademark.i-assist.jp/data/china/image_1903th/74885807.pdf", "74885807")</f>
        <v>74885807</v>
      </c>
      <c r="F99" s="11" t="s">
        <v>590</v>
      </c>
      <c r="G99" s="11" t="s">
        <v>591</v>
      </c>
      <c r="H99" s="11" t="s">
        <v>592</v>
      </c>
      <c r="I99" s="11" t="s">
        <v>593</v>
      </c>
    </row>
    <row r="100" spans="1:9" x14ac:dyDescent="0.15">
      <c r="A100" s="10">
        <v>99</v>
      </c>
      <c r="B100" s="11" t="s">
        <v>9</v>
      </c>
      <c r="C100" s="11" t="s">
        <v>253</v>
      </c>
      <c r="D100" s="11" t="s">
        <v>254</v>
      </c>
      <c r="E100" s="9" t="str">
        <f>+HYPERLINK("http://trademark.i-assist.jp/data/china/image_1903th/74997485.pdf", "74997485")</f>
        <v>74997485</v>
      </c>
      <c r="F100" s="11" t="s">
        <v>594</v>
      </c>
      <c r="G100" s="11" t="s">
        <v>595</v>
      </c>
      <c r="H100" s="11" t="s">
        <v>596</v>
      </c>
      <c r="I100" s="11" t="s">
        <v>597</v>
      </c>
    </row>
    <row r="101" spans="1:9" x14ac:dyDescent="0.15">
      <c r="A101" s="10">
        <v>100</v>
      </c>
      <c r="B101" s="11" t="s">
        <v>9</v>
      </c>
      <c r="C101" s="11" t="s">
        <v>253</v>
      </c>
      <c r="D101" s="11" t="s">
        <v>254</v>
      </c>
      <c r="E101" s="9" t="str">
        <f>+HYPERLINK("http://trademark.i-assist.jp/data/china/image_1903th/75082246.pdf", "75082246")</f>
        <v>75082246</v>
      </c>
      <c r="F101" s="11" t="s">
        <v>598</v>
      </c>
      <c r="G101" s="11" t="s">
        <v>599</v>
      </c>
      <c r="H101" s="11" t="s">
        <v>600</v>
      </c>
      <c r="I101" s="11" t="s">
        <v>601</v>
      </c>
    </row>
    <row r="102" spans="1:9" x14ac:dyDescent="0.15">
      <c r="A102" s="10">
        <v>101</v>
      </c>
      <c r="B102" s="11" t="s">
        <v>9</v>
      </c>
      <c r="C102" s="11" t="s">
        <v>253</v>
      </c>
      <c r="D102" s="11" t="s">
        <v>254</v>
      </c>
      <c r="E102" s="9" t="str">
        <f>+HYPERLINK("http://trademark.i-assist.jp/data/china/image_1903th/75082635.pdf", "75082635")</f>
        <v>75082635</v>
      </c>
      <c r="F102" s="11" t="s">
        <v>602</v>
      </c>
      <c r="G102" s="11" t="s">
        <v>603</v>
      </c>
      <c r="H102" s="11" t="s">
        <v>604</v>
      </c>
      <c r="I102" s="11" t="s">
        <v>601</v>
      </c>
    </row>
    <row r="103" spans="1:9" x14ac:dyDescent="0.15">
      <c r="A103" s="10">
        <v>102</v>
      </c>
      <c r="B103" s="11" t="s">
        <v>9</v>
      </c>
      <c r="C103" s="11" t="s">
        <v>253</v>
      </c>
      <c r="D103" s="11" t="s">
        <v>254</v>
      </c>
      <c r="E103" s="9" t="str">
        <f>+HYPERLINK("http://trademark.i-assist.jp/data/china/image_1903th/75147803.pdf", "75147803")</f>
        <v>75147803</v>
      </c>
      <c r="F103" s="11" t="s">
        <v>605</v>
      </c>
      <c r="G103" s="11" t="s">
        <v>606</v>
      </c>
      <c r="H103" s="11" t="s">
        <v>607</v>
      </c>
      <c r="I103" s="11" t="s">
        <v>608</v>
      </c>
    </row>
    <row r="104" spans="1:9" x14ac:dyDescent="0.15">
      <c r="A104" s="10">
        <v>103</v>
      </c>
      <c r="B104" s="11" t="s">
        <v>9</v>
      </c>
      <c r="C104" s="11" t="s">
        <v>253</v>
      </c>
      <c r="D104" s="11" t="s">
        <v>254</v>
      </c>
      <c r="E104" s="9" t="str">
        <f>+HYPERLINK("http://trademark.i-assist.jp/data/china/image_1903th/75161434.pdf", "75161434")</f>
        <v>75161434</v>
      </c>
      <c r="F104" s="11" t="s">
        <v>609</v>
      </c>
      <c r="G104" s="11" t="s">
        <v>610</v>
      </c>
      <c r="H104" s="11" t="s">
        <v>611</v>
      </c>
      <c r="I104" s="11" t="s">
        <v>612</v>
      </c>
    </row>
    <row r="105" spans="1:9" x14ac:dyDescent="0.15">
      <c r="A105" s="10">
        <v>104</v>
      </c>
      <c r="B105" s="11" t="s">
        <v>9</v>
      </c>
      <c r="C105" s="11" t="s">
        <v>253</v>
      </c>
      <c r="D105" s="11" t="s">
        <v>254</v>
      </c>
      <c r="E105" s="9" t="str">
        <f>+HYPERLINK("http://trademark.i-assist.jp/data/china/image_1903th/75204616.pdf", "75204616")</f>
        <v>75204616</v>
      </c>
      <c r="F105" s="11" t="s">
        <v>613</v>
      </c>
      <c r="G105" s="11" t="s">
        <v>614</v>
      </c>
      <c r="H105" s="11" t="s">
        <v>615</v>
      </c>
      <c r="I105" s="11" t="s">
        <v>616</v>
      </c>
    </row>
    <row r="106" spans="1:9" x14ac:dyDescent="0.15">
      <c r="A106" s="10">
        <v>105</v>
      </c>
      <c r="B106" s="11" t="s">
        <v>9</v>
      </c>
      <c r="C106" s="11" t="s">
        <v>253</v>
      </c>
      <c r="D106" s="11" t="s">
        <v>254</v>
      </c>
      <c r="E106" s="9" t="str">
        <f>+HYPERLINK("http://trademark.i-assist.jp/data/china/image_1903th/75207475.pdf", "75207475")</f>
        <v>75207475</v>
      </c>
      <c r="F106" s="11" t="s">
        <v>12</v>
      </c>
      <c r="G106" s="11" t="s">
        <v>617</v>
      </c>
      <c r="H106" s="11" t="s">
        <v>618</v>
      </c>
      <c r="I106" s="11" t="s">
        <v>619</v>
      </c>
    </row>
    <row r="107" spans="1:9" x14ac:dyDescent="0.15">
      <c r="A107" s="10">
        <v>106</v>
      </c>
      <c r="B107" s="11" t="s">
        <v>9</v>
      </c>
      <c r="C107" s="11" t="s">
        <v>253</v>
      </c>
      <c r="D107" s="11" t="s">
        <v>254</v>
      </c>
      <c r="E107" s="9" t="str">
        <f>+HYPERLINK("http://trademark.i-assist.jp/data/china/image_1903th/75235871.pdf", "75235871")</f>
        <v>75235871</v>
      </c>
      <c r="F107" s="11" t="s">
        <v>620</v>
      </c>
      <c r="G107" s="11" t="s">
        <v>621</v>
      </c>
      <c r="H107" s="11" t="s">
        <v>622</v>
      </c>
      <c r="I107" s="11" t="s">
        <v>623</v>
      </c>
    </row>
    <row r="108" spans="1:9" x14ac:dyDescent="0.15">
      <c r="A108" s="10">
        <v>107</v>
      </c>
      <c r="B108" s="11" t="s">
        <v>9</v>
      </c>
      <c r="C108" s="11" t="s">
        <v>253</v>
      </c>
      <c r="D108" s="11" t="s">
        <v>254</v>
      </c>
      <c r="E108" s="9" t="str">
        <f>+HYPERLINK("http://trademark.i-assist.jp/data/china/image_1903th/75394085.pdf", "75394085")</f>
        <v>75394085</v>
      </c>
      <c r="F108" s="11" t="s">
        <v>310</v>
      </c>
      <c r="G108" s="11" t="s">
        <v>311</v>
      </c>
      <c r="H108" s="11" t="s">
        <v>624</v>
      </c>
      <c r="I108" s="11" t="s">
        <v>625</v>
      </c>
    </row>
    <row r="109" spans="1:9" x14ac:dyDescent="0.15">
      <c r="A109" s="10">
        <v>108</v>
      </c>
      <c r="B109" s="11" t="s">
        <v>9</v>
      </c>
      <c r="C109" s="11" t="s">
        <v>253</v>
      </c>
      <c r="D109" s="11" t="s">
        <v>254</v>
      </c>
      <c r="E109" s="9" t="str">
        <f>+HYPERLINK("http://trademark.i-assist.jp/data/china/image_1903th/75566479.pdf", "75566479")</f>
        <v>75566479</v>
      </c>
      <c r="F109" s="11" t="s">
        <v>626</v>
      </c>
      <c r="G109" s="11" t="s">
        <v>627</v>
      </c>
      <c r="H109" s="11" t="s">
        <v>628</v>
      </c>
      <c r="I109" s="11" t="s">
        <v>629</v>
      </c>
    </row>
    <row r="110" spans="1:9" x14ac:dyDescent="0.15">
      <c r="A110" s="10">
        <v>109</v>
      </c>
      <c r="B110" s="11" t="s">
        <v>9</v>
      </c>
      <c r="C110" s="11" t="s">
        <v>253</v>
      </c>
      <c r="D110" s="11" t="s">
        <v>254</v>
      </c>
      <c r="E110" s="9" t="str">
        <f>+HYPERLINK("http://trademark.i-assist.jp/data/china/image_1903th/75573016.pdf", "75573016")</f>
        <v>75573016</v>
      </c>
      <c r="F110" s="11" t="s">
        <v>630</v>
      </c>
      <c r="G110" s="11" t="s">
        <v>627</v>
      </c>
      <c r="H110" s="11" t="s">
        <v>631</v>
      </c>
      <c r="I110" s="11" t="s">
        <v>629</v>
      </c>
    </row>
    <row r="111" spans="1:9" x14ac:dyDescent="0.15">
      <c r="A111" s="10">
        <v>110</v>
      </c>
      <c r="B111" s="11" t="s">
        <v>9</v>
      </c>
      <c r="C111" s="11" t="s">
        <v>253</v>
      </c>
      <c r="D111" s="11" t="s">
        <v>254</v>
      </c>
      <c r="E111" s="9" t="str">
        <f>+HYPERLINK("http://trademark.i-assist.jp/data/china/image_1903th/75762601.pdf", "75762601")</f>
        <v>75762601</v>
      </c>
      <c r="F111" s="11" t="s">
        <v>632</v>
      </c>
      <c r="G111" s="11" t="s">
        <v>633</v>
      </c>
      <c r="H111" s="11" t="s">
        <v>634</v>
      </c>
      <c r="I111" s="11" t="s">
        <v>635</v>
      </c>
    </row>
    <row r="112" spans="1:9" x14ac:dyDescent="0.15">
      <c r="A112" s="10">
        <v>111</v>
      </c>
      <c r="B112" s="11" t="s">
        <v>9</v>
      </c>
      <c r="C112" s="11" t="s">
        <v>253</v>
      </c>
      <c r="D112" s="11" t="s">
        <v>254</v>
      </c>
      <c r="E112" s="9" t="str">
        <f>+HYPERLINK("http://trademark.i-assist.jp/data/china/image_1903th/75767230.pdf", "75767230")</f>
        <v>75767230</v>
      </c>
      <c r="F112" s="11" t="s">
        <v>345</v>
      </c>
      <c r="G112" s="11" t="s">
        <v>346</v>
      </c>
      <c r="H112" s="11" t="s">
        <v>636</v>
      </c>
      <c r="I112" s="11" t="s">
        <v>635</v>
      </c>
    </row>
    <row r="113" spans="1:9" x14ac:dyDescent="0.15">
      <c r="A113" s="10">
        <v>112</v>
      </c>
      <c r="B113" s="11" t="s">
        <v>9</v>
      </c>
      <c r="C113" s="11" t="s">
        <v>253</v>
      </c>
      <c r="D113" s="11" t="s">
        <v>254</v>
      </c>
      <c r="E113" s="9" t="str">
        <f>+HYPERLINK("http://trademark.i-assist.jp/data/china/image_1903th/75986036.pdf", "75986036")</f>
        <v>75986036</v>
      </c>
      <c r="F113" s="11" t="s">
        <v>637</v>
      </c>
      <c r="G113" s="11" t="s">
        <v>638</v>
      </c>
      <c r="H113" s="11" t="s">
        <v>639</v>
      </c>
      <c r="I113" s="11" t="s">
        <v>640</v>
      </c>
    </row>
    <row r="114" spans="1:9" x14ac:dyDescent="0.15">
      <c r="A114" s="10">
        <v>113</v>
      </c>
      <c r="B114" s="11" t="s">
        <v>9</v>
      </c>
      <c r="C114" s="11" t="s">
        <v>253</v>
      </c>
      <c r="D114" s="11" t="s">
        <v>254</v>
      </c>
      <c r="E114" s="9" t="str">
        <f>+HYPERLINK("http://trademark.i-assist.jp/data/china/image_1903th/76670982.pdf", "76670982")</f>
        <v>76670982</v>
      </c>
      <c r="F114" s="11" t="s">
        <v>641</v>
      </c>
      <c r="G114" s="11" t="s">
        <v>642</v>
      </c>
      <c r="H114" s="11" t="s">
        <v>643</v>
      </c>
      <c r="I114" s="11" t="s">
        <v>644</v>
      </c>
    </row>
    <row r="115" spans="1:9" x14ac:dyDescent="0.15">
      <c r="A115" s="10">
        <v>114</v>
      </c>
      <c r="B115" s="11" t="s">
        <v>9</v>
      </c>
      <c r="C115" s="11" t="s">
        <v>253</v>
      </c>
      <c r="D115" s="11" t="s">
        <v>254</v>
      </c>
      <c r="E115" s="9" t="str">
        <f>+HYPERLINK("http://trademark.i-assist.jp/data/china/image_1903th/77116546.pdf", "77116546")</f>
        <v>77116546</v>
      </c>
      <c r="F115" s="11" t="s">
        <v>645</v>
      </c>
      <c r="G115" s="11" t="s">
        <v>646</v>
      </c>
      <c r="H115" s="11" t="s">
        <v>16</v>
      </c>
      <c r="I115" s="11" t="s">
        <v>647</v>
      </c>
    </row>
    <row r="116" spans="1:9" x14ac:dyDescent="0.15">
      <c r="A116" s="10">
        <v>115</v>
      </c>
      <c r="B116" s="11" t="s">
        <v>9</v>
      </c>
      <c r="C116" s="11" t="s">
        <v>253</v>
      </c>
      <c r="D116" s="11" t="s">
        <v>254</v>
      </c>
      <c r="E116" s="9" t="str">
        <f>+HYPERLINK("http://trademark.i-assist.jp/data/china/image_1903th/77151087.pdf", "77151087")</f>
        <v>77151087</v>
      </c>
      <c r="F116" s="11" t="s">
        <v>648</v>
      </c>
      <c r="G116" s="11" t="s">
        <v>649</v>
      </c>
      <c r="H116" s="11" t="s">
        <v>650</v>
      </c>
      <c r="I116" s="11" t="s">
        <v>651</v>
      </c>
    </row>
    <row r="117" spans="1:9" x14ac:dyDescent="0.15">
      <c r="A117" s="10">
        <v>116</v>
      </c>
      <c r="B117" s="11" t="s">
        <v>9</v>
      </c>
      <c r="C117" s="11" t="s">
        <v>253</v>
      </c>
      <c r="D117" s="11" t="s">
        <v>254</v>
      </c>
      <c r="E117" s="9" t="str">
        <f>+HYPERLINK("http://trademark.i-assist.jp/data/china/image_1903th/77218314.pdf", "77218314")</f>
        <v>77218314</v>
      </c>
      <c r="F117" s="11" t="s">
        <v>652</v>
      </c>
      <c r="G117" s="11" t="s">
        <v>653</v>
      </c>
      <c r="H117" s="11" t="s">
        <v>654</v>
      </c>
      <c r="I117" s="11" t="s">
        <v>21</v>
      </c>
    </row>
    <row r="118" spans="1:9" x14ac:dyDescent="0.15">
      <c r="A118" s="10">
        <v>117</v>
      </c>
      <c r="B118" s="11" t="s">
        <v>9</v>
      </c>
      <c r="C118" s="11" t="s">
        <v>253</v>
      </c>
      <c r="D118" s="11" t="s">
        <v>254</v>
      </c>
      <c r="E118" s="9" t="str">
        <f>+HYPERLINK("http://trademark.i-assist.jp/data/china/image_1903th/77236729.pdf", "77236729")</f>
        <v>77236729</v>
      </c>
      <c r="F118" s="11" t="s">
        <v>655</v>
      </c>
      <c r="G118" s="11" t="s">
        <v>656</v>
      </c>
      <c r="H118" s="11" t="s">
        <v>657</v>
      </c>
      <c r="I118" s="11" t="s">
        <v>658</v>
      </c>
    </row>
    <row r="119" spans="1:9" x14ac:dyDescent="0.15">
      <c r="A119" s="10">
        <v>118</v>
      </c>
      <c r="B119" s="11" t="s">
        <v>9</v>
      </c>
      <c r="C119" s="11" t="s">
        <v>253</v>
      </c>
      <c r="D119" s="11" t="s">
        <v>254</v>
      </c>
      <c r="E119" s="9" t="str">
        <f>+HYPERLINK("http://trademark.i-assist.jp/data/china/image_1903th/77427512.pdf", "77427512")</f>
        <v>77427512</v>
      </c>
      <c r="F119" s="11" t="s">
        <v>659</v>
      </c>
      <c r="G119" s="11" t="s">
        <v>656</v>
      </c>
      <c r="H119" s="11" t="s">
        <v>660</v>
      </c>
      <c r="I119" s="11" t="s">
        <v>661</v>
      </c>
    </row>
    <row r="120" spans="1:9" x14ac:dyDescent="0.15">
      <c r="A120" s="10">
        <v>119</v>
      </c>
      <c r="B120" s="11" t="s">
        <v>9</v>
      </c>
      <c r="C120" s="11" t="s">
        <v>253</v>
      </c>
      <c r="D120" s="11" t="s">
        <v>254</v>
      </c>
      <c r="E120" s="9" t="str">
        <f>+HYPERLINK("http://trademark.i-assist.jp/data/china/image_1903th/77459547.pdf", "77459547")</f>
        <v>77459547</v>
      </c>
      <c r="F120" s="11" t="s">
        <v>662</v>
      </c>
      <c r="G120" s="11" t="s">
        <v>663</v>
      </c>
      <c r="H120" s="11" t="s">
        <v>664</v>
      </c>
      <c r="I120" s="11" t="s">
        <v>22</v>
      </c>
    </row>
    <row r="121" spans="1:9" x14ac:dyDescent="0.15">
      <c r="A121" s="10">
        <v>120</v>
      </c>
      <c r="B121" s="11" t="s">
        <v>9</v>
      </c>
      <c r="C121" s="11" t="s">
        <v>253</v>
      </c>
      <c r="D121" s="11" t="s">
        <v>254</v>
      </c>
      <c r="E121" s="9" t="str">
        <f>+HYPERLINK("http://trademark.i-assist.jp/data/china/image_1903th/77473705.pdf", "77473705")</f>
        <v>77473705</v>
      </c>
      <c r="F121" s="11" t="s">
        <v>665</v>
      </c>
      <c r="G121" s="11" t="s">
        <v>666</v>
      </c>
      <c r="H121" s="11" t="s">
        <v>667</v>
      </c>
      <c r="I121" s="11" t="s">
        <v>90</v>
      </c>
    </row>
    <row r="122" spans="1:9" x14ac:dyDescent="0.15">
      <c r="A122" s="10">
        <v>121</v>
      </c>
      <c r="B122" s="11" t="s">
        <v>9</v>
      </c>
      <c r="C122" s="11" t="s">
        <v>253</v>
      </c>
      <c r="D122" s="11" t="s">
        <v>254</v>
      </c>
      <c r="E122" s="9" t="str">
        <f>+HYPERLINK("http://trademark.i-assist.jp/data/china/image_1903th/77504180.pdf", "77504180")</f>
        <v>77504180</v>
      </c>
      <c r="F122" s="11" t="s">
        <v>12</v>
      </c>
      <c r="G122" s="11" t="s">
        <v>668</v>
      </c>
      <c r="H122" s="11" t="s">
        <v>669</v>
      </c>
      <c r="I122" s="11" t="s">
        <v>670</v>
      </c>
    </row>
    <row r="123" spans="1:9" x14ac:dyDescent="0.15">
      <c r="A123" s="10">
        <v>122</v>
      </c>
      <c r="B123" s="11" t="s">
        <v>9</v>
      </c>
      <c r="C123" s="11" t="s">
        <v>253</v>
      </c>
      <c r="D123" s="11" t="s">
        <v>254</v>
      </c>
      <c r="E123" s="9" t="str">
        <f>+HYPERLINK("http://trademark.i-assist.jp/data/china/image_1903th/77533396.pdf", "77533396")</f>
        <v>77533396</v>
      </c>
      <c r="F123" s="11" t="s">
        <v>12</v>
      </c>
      <c r="G123" s="11" t="s">
        <v>671</v>
      </c>
      <c r="H123" s="11" t="s">
        <v>672</v>
      </c>
      <c r="I123" s="11" t="s">
        <v>670</v>
      </c>
    </row>
    <row r="124" spans="1:9" x14ac:dyDescent="0.15">
      <c r="A124" s="10">
        <v>123</v>
      </c>
      <c r="B124" s="11" t="s">
        <v>9</v>
      </c>
      <c r="C124" s="11" t="s">
        <v>253</v>
      </c>
      <c r="D124" s="11" t="s">
        <v>254</v>
      </c>
      <c r="E124" s="9" t="str">
        <f>+HYPERLINK("http://trademark.i-assist.jp/data/china/image_1903th/77573764.pdf", "77573764")</f>
        <v>77573764</v>
      </c>
      <c r="F124" s="11" t="s">
        <v>673</v>
      </c>
      <c r="G124" s="11" t="s">
        <v>674</v>
      </c>
      <c r="H124" s="11" t="s">
        <v>675</v>
      </c>
      <c r="I124" s="11" t="s">
        <v>676</v>
      </c>
    </row>
    <row r="125" spans="1:9" x14ac:dyDescent="0.15">
      <c r="A125" s="10">
        <v>124</v>
      </c>
      <c r="B125" s="11" t="s">
        <v>9</v>
      </c>
      <c r="C125" s="11" t="s">
        <v>253</v>
      </c>
      <c r="D125" s="11" t="s">
        <v>254</v>
      </c>
      <c r="E125" s="9" t="str">
        <f>+HYPERLINK("http://trademark.i-assist.jp/data/china/image_1903th/77594797.pdf", "77594797")</f>
        <v>77594797</v>
      </c>
      <c r="F125" s="11" t="s">
        <v>677</v>
      </c>
      <c r="G125" s="11" t="s">
        <v>678</v>
      </c>
      <c r="H125" s="11" t="s">
        <v>679</v>
      </c>
      <c r="I125" s="11" t="s">
        <v>676</v>
      </c>
    </row>
    <row r="126" spans="1:9" x14ac:dyDescent="0.15">
      <c r="A126" s="10">
        <v>125</v>
      </c>
      <c r="B126" s="11" t="s">
        <v>9</v>
      </c>
      <c r="C126" s="11" t="s">
        <v>253</v>
      </c>
      <c r="D126" s="11" t="s">
        <v>254</v>
      </c>
      <c r="E126" s="9" t="str">
        <f>+HYPERLINK("http://trademark.i-assist.jp/data/china/image_1903th/77670269.pdf", "77670269")</f>
        <v>77670269</v>
      </c>
      <c r="F126" s="11" t="s">
        <v>680</v>
      </c>
      <c r="G126" s="11" t="s">
        <v>681</v>
      </c>
      <c r="H126" s="11" t="s">
        <v>682</v>
      </c>
      <c r="I126" s="11" t="s">
        <v>683</v>
      </c>
    </row>
    <row r="127" spans="1:9" x14ac:dyDescent="0.15">
      <c r="A127" s="10">
        <v>126</v>
      </c>
      <c r="B127" s="11" t="s">
        <v>9</v>
      </c>
      <c r="C127" s="11" t="s">
        <v>253</v>
      </c>
      <c r="D127" s="11" t="s">
        <v>254</v>
      </c>
      <c r="E127" s="9" t="str">
        <f>+HYPERLINK("http://trademark.i-assist.jp/data/china/image_1903th/77691280.pdf", "77691280")</f>
        <v>77691280</v>
      </c>
      <c r="F127" s="11" t="s">
        <v>92</v>
      </c>
      <c r="G127" s="11" t="s">
        <v>93</v>
      </c>
      <c r="H127" s="11" t="s">
        <v>684</v>
      </c>
      <c r="I127" s="11" t="s">
        <v>23</v>
      </c>
    </row>
    <row r="128" spans="1:9" x14ac:dyDescent="0.15">
      <c r="A128" s="10">
        <v>127</v>
      </c>
      <c r="B128" s="11" t="s">
        <v>9</v>
      </c>
      <c r="C128" s="11" t="s">
        <v>253</v>
      </c>
      <c r="D128" s="11" t="s">
        <v>254</v>
      </c>
      <c r="E128" s="9" t="str">
        <f>+HYPERLINK("http://trademark.i-assist.jp/data/china/image_1903th/77748565.pdf", "77748565")</f>
        <v>77748565</v>
      </c>
      <c r="F128" s="11" t="s">
        <v>685</v>
      </c>
      <c r="G128" s="11" t="s">
        <v>686</v>
      </c>
      <c r="H128" s="11" t="s">
        <v>687</v>
      </c>
      <c r="I128" s="11" t="s">
        <v>24</v>
      </c>
    </row>
    <row r="129" spans="1:9" x14ac:dyDescent="0.15">
      <c r="A129" s="10">
        <v>128</v>
      </c>
      <c r="B129" s="11" t="s">
        <v>9</v>
      </c>
      <c r="C129" s="11" t="s">
        <v>253</v>
      </c>
      <c r="D129" s="11" t="s">
        <v>254</v>
      </c>
      <c r="E129" s="9" t="str">
        <f>+HYPERLINK("http://trademark.i-assist.jp/data/china/image_1903th/77753873.pdf", "77753873")</f>
        <v>77753873</v>
      </c>
      <c r="F129" s="11" t="s">
        <v>688</v>
      </c>
      <c r="G129" s="11" t="s">
        <v>689</v>
      </c>
      <c r="H129" s="11" t="s">
        <v>690</v>
      </c>
      <c r="I129" s="11" t="s">
        <v>24</v>
      </c>
    </row>
    <row r="130" spans="1:9" x14ac:dyDescent="0.15">
      <c r="A130" s="10">
        <v>129</v>
      </c>
      <c r="B130" s="11" t="s">
        <v>9</v>
      </c>
      <c r="C130" s="11" t="s">
        <v>253</v>
      </c>
      <c r="D130" s="11" t="s">
        <v>254</v>
      </c>
      <c r="E130" s="9" t="str">
        <f>+HYPERLINK("http://trademark.i-assist.jp/data/china/image_1903th/77762845.pdf", "77762845")</f>
        <v>77762845</v>
      </c>
      <c r="F130" s="11" t="s">
        <v>691</v>
      </c>
      <c r="G130" s="11" t="s">
        <v>692</v>
      </c>
      <c r="H130" s="11" t="s">
        <v>693</v>
      </c>
      <c r="I130" s="11" t="s">
        <v>24</v>
      </c>
    </row>
    <row r="131" spans="1:9" x14ac:dyDescent="0.15">
      <c r="A131" s="10">
        <v>130</v>
      </c>
      <c r="B131" s="11" t="s">
        <v>9</v>
      </c>
      <c r="C131" s="11" t="s">
        <v>253</v>
      </c>
      <c r="D131" s="11" t="s">
        <v>254</v>
      </c>
      <c r="E131" s="9" t="str">
        <f>+HYPERLINK("http://trademark.i-assist.jp/data/china/image_1903th/77765535.pdf", "77765535")</f>
        <v>77765535</v>
      </c>
      <c r="F131" s="11" t="s">
        <v>694</v>
      </c>
      <c r="G131" s="11" t="s">
        <v>695</v>
      </c>
      <c r="H131" s="11" t="s">
        <v>696</v>
      </c>
      <c r="I131" s="11" t="s">
        <v>697</v>
      </c>
    </row>
    <row r="132" spans="1:9" x14ac:dyDescent="0.15">
      <c r="A132" s="10">
        <v>131</v>
      </c>
      <c r="B132" s="11" t="s">
        <v>9</v>
      </c>
      <c r="C132" s="11" t="s">
        <v>253</v>
      </c>
      <c r="D132" s="11" t="s">
        <v>254</v>
      </c>
      <c r="E132" s="9" t="str">
        <f>+HYPERLINK("http://trademark.i-assist.jp/data/china/image_1903th/77765815.pdf", "77765815")</f>
        <v>77765815</v>
      </c>
      <c r="F132" s="11" t="s">
        <v>698</v>
      </c>
      <c r="G132" s="11" t="s">
        <v>459</v>
      </c>
      <c r="H132" s="11" t="s">
        <v>699</v>
      </c>
      <c r="I132" s="11" t="s">
        <v>697</v>
      </c>
    </row>
    <row r="133" spans="1:9" x14ac:dyDescent="0.15">
      <c r="A133" s="10">
        <v>132</v>
      </c>
      <c r="B133" s="11" t="s">
        <v>9</v>
      </c>
      <c r="C133" s="11" t="s">
        <v>253</v>
      </c>
      <c r="D133" s="11" t="s">
        <v>254</v>
      </c>
      <c r="E133" s="9" t="str">
        <f>+HYPERLINK("http://trademark.i-assist.jp/data/china/image_1903th/77767064.pdf", "77767064")</f>
        <v>77767064</v>
      </c>
      <c r="F133" s="11" t="s">
        <v>700</v>
      </c>
      <c r="G133" s="11" t="s">
        <v>701</v>
      </c>
      <c r="H133" s="11" t="s">
        <v>702</v>
      </c>
      <c r="I133" s="11" t="s">
        <v>697</v>
      </c>
    </row>
    <row r="134" spans="1:9" x14ac:dyDescent="0.15">
      <c r="A134" s="10">
        <v>133</v>
      </c>
      <c r="B134" s="11" t="s">
        <v>9</v>
      </c>
      <c r="C134" s="11" t="s">
        <v>253</v>
      </c>
      <c r="D134" s="11" t="s">
        <v>254</v>
      </c>
      <c r="E134" s="9" t="str">
        <f>+HYPERLINK("http://trademark.i-assist.jp/data/china/image_1903th/77822962.pdf", "77822962")</f>
        <v>77822962</v>
      </c>
      <c r="F134" s="11" t="s">
        <v>703</v>
      </c>
      <c r="G134" s="11" t="s">
        <v>704</v>
      </c>
      <c r="H134" s="11" t="s">
        <v>705</v>
      </c>
      <c r="I134" s="11" t="s">
        <v>26</v>
      </c>
    </row>
    <row r="135" spans="1:9" x14ac:dyDescent="0.15">
      <c r="A135" s="10">
        <v>134</v>
      </c>
      <c r="B135" s="11" t="s">
        <v>9</v>
      </c>
      <c r="C135" s="11" t="s">
        <v>253</v>
      </c>
      <c r="D135" s="11" t="s">
        <v>254</v>
      </c>
      <c r="E135" s="9" t="str">
        <f>+HYPERLINK("http://trademark.i-assist.jp/data/china/image_1903th/77857737.pdf", "77857737")</f>
        <v>77857737</v>
      </c>
      <c r="F135" s="11" t="s">
        <v>706</v>
      </c>
      <c r="G135" s="11" t="s">
        <v>707</v>
      </c>
      <c r="H135" s="11" t="s">
        <v>708</v>
      </c>
      <c r="I135" s="11" t="s">
        <v>709</v>
      </c>
    </row>
    <row r="136" spans="1:9" x14ac:dyDescent="0.15">
      <c r="A136" s="10">
        <v>135</v>
      </c>
      <c r="B136" s="11" t="s">
        <v>9</v>
      </c>
      <c r="C136" s="11" t="s">
        <v>253</v>
      </c>
      <c r="D136" s="11" t="s">
        <v>254</v>
      </c>
      <c r="E136" s="9" t="str">
        <f>+HYPERLINK("http://trademark.i-assist.jp/data/china/image_1903th/77866548.pdf", "77866548")</f>
        <v>77866548</v>
      </c>
      <c r="F136" s="11" t="s">
        <v>710</v>
      </c>
      <c r="G136" s="11" t="s">
        <v>711</v>
      </c>
      <c r="H136" s="11" t="s">
        <v>712</v>
      </c>
      <c r="I136" s="11" t="s">
        <v>27</v>
      </c>
    </row>
    <row r="137" spans="1:9" x14ac:dyDescent="0.15">
      <c r="A137" s="10">
        <v>136</v>
      </c>
      <c r="B137" s="11" t="s">
        <v>9</v>
      </c>
      <c r="C137" s="11" t="s">
        <v>253</v>
      </c>
      <c r="D137" s="11" t="s">
        <v>254</v>
      </c>
      <c r="E137" s="9" t="str">
        <f>+HYPERLINK("http://trademark.i-assist.jp/data/china/image_1903th/77872796.pdf", "77872796")</f>
        <v>77872796</v>
      </c>
      <c r="F137" s="11" t="s">
        <v>713</v>
      </c>
      <c r="G137" s="11" t="s">
        <v>714</v>
      </c>
      <c r="H137" s="11" t="s">
        <v>715</v>
      </c>
      <c r="I137" s="11" t="s">
        <v>27</v>
      </c>
    </row>
    <row r="138" spans="1:9" x14ac:dyDescent="0.15">
      <c r="A138" s="10">
        <v>137</v>
      </c>
      <c r="B138" s="11" t="s">
        <v>9</v>
      </c>
      <c r="C138" s="11" t="s">
        <v>253</v>
      </c>
      <c r="D138" s="11" t="s">
        <v>254</v>
      </c>
      <c r="E138" s="9" t="str">
        <f>+HYPERLINK("http://trademark.i-assist.jp/data/china/image_1903th/77887131.pdf", "77887131")</f>
        <v>77887131</v>
      </c>
      <c r="F138" s="11" t="s">
        <v>716</v>
      </c>
      <c r="G138" s="11" t="s">
        <v>717</v>
      </c>
      <c r="H138" s="11" t="s">
        <v>718</v>
      </c>
      <c r="I138" s="11" t="s">
        <v>27</v>
      </c>
    </row>
    <row r="139" spans="1:9" x14ac:dyDescent="0.15">
      <c r="A139" s="10">
        <v>138</v>
      </c>
      <c r="B139" s="11" t="s">
        <v>9</v>
      </c>
      <c r="C139" s="11" t="s">
        <v>253</v>
      </c>
      <c r="D139" s="11" t="s">
        <v>254</v>
      </c>
      <c r="E139" s="9" t="str">
        <f>+HYPERLINK("http://trademark.i-assist.jp/data/china/image_1903th/77910331.pdf", "77910331")</f>
        <v>77910331</v>
      </c>
      <c r="F139" s="11" t="s">
        <v>719</v>
      </c>
      <c r="G139" s="11" t="s">
        <v>720</v>
      </c>
      <c r="H139" s="11" t="s">
        <v>721</v>
      </c>
      <c r="I139" s="11" t="s">
        <v>29</v>
      </c>
    </row>
    <row r="140" spans="1:9" x14ac:dyDescent="0.15">
      <c r="A140" s="10">
        <v>139</v>
      </c>
      <c r="B140" s="11" t="s">
        <v>9</v>
      </c>
      <c r="C140" s="11" t="s">
        <v>253</v>
      </c>
      <c r="D140" s="11" t="s">
        <v>254</v>
      </c>
      <c r="E140" s="9" t="str">
        <f>+HYPERLINK("http://trademark.i-assist.jp/data/china/image_1903th/77913141.pdf", "77913141")</f>
        <v>77913141</v>
      </c>
      <c r="F140" s="11" t="s">
        <v>12</v>
      </c>
      <c r="G140" s="11" t="s">
        <v>722</v>
      </c>
      <c r="H140" s="11" t="s">
        <v>723</v>
      </c>
      <c r="I140" s="11" t="s">
        <v>29</v>
      </c>
    </row>
    <row r="141" spans="1:9" x14ac:dyDescent="0.15">
      <c r="A141" s="10">
        <v>140</v>
      </c>
      <c r="B141" s="11" t="s">
        <v>9</v>
      </c>
      <c r="C141" s="11" t="s">
        <v>253</v>
      </c>
      <c r="D141" s="11" t="s">
        <v>254</v>
      </c>
      <c r="E141" s="9" t="str">
        <f>+HYPERLINK("http://trademark.i-assist.jp/data/china/image_1903th/77919928.pdf", "77919928")</f>
        <v>77919928</v>
      </c>
      <c r="F141" s="11" t="s">
        <v>724</v>
      </c>
      <c r="G141" s="11" t="s">
        <v>725</v>
      </c>
      <c r="H141" s="11" t="s">
        <v>726</v>
      </c>
      <c r="I141" s="11" t="s">
        <v>30</v>
      </c>
    </row>
    <row r="142" spans="1:9" x14ac:dyDescent="0.15">
      <c r="A142" s="10">
        <v>141</v>
      </c>
      <c r="B142" s="11" t="s">
        <v>9</v>
      </c>
      <c r="C142" s="11" t="s">
        <v>253</v>
      </c>
      <c r="D142" s="11" t="s">
        <v>254</v>
      </c>
      <c r="E142" s="9" t="str">
        <f>+HYPERLINK("http://trademark.i-assist.jp/data/china/image_1903th/77923482.pdf", "77923482")</f>
        <v>77923482</v>
      </c>
      <c r="F142" s="11" t="s">
        <v>727</v>
      </c>
      <c r="G142" s="11" t="s">
        <v>728</v>
      </c>
      <c r="H142" s="11" t="s">
        <v>729</v>
      </c>
      <c r="I142" s="11" t="s">
        <v>30</v>
      </c>
    </row>
    <row r="143" spans="1:9" x14ac:dyDescent="0.15">
      <c r="A143" s="10">
        <v>142</v>
      </c>
      <c r="B143" s="11" t="s">
        <v>9</v>
      </c>
      <c r="C143" s="11" t="s">
        <v>253</v>
      </c>
      <c r="D143" s="11" t="s">
        <v>254</v>
      </c>
      <c r="E143" s="9" t="str">
        <f>+HYPERLINK("http://trademark.i-assist.jp/data/china/image_1903th/77945058.pdf", "77945058")</f>
        <v>77945058</v>
      </c>
      <c r="F143" s="11" t="s">
        <v>730</v>
      </c>
      <c r="G143" s="11" t="s">
        <v>731</v>
      </c>
      <c r="H143" s="11" t="s">
        <v>732</v>
      </c>
      <c r="I143" s="11" t="s">
        <v>30</v>
      </c>
    </row>
    <row r="144" spans="1:9" x14ac:dyDescent="0.15">
      <c r="A144" s="10">
        <v>143</v>
      </c>
      <c r="B144" s="11" t="s">
        <v>9</v>
      </c>
      <c r="C144" s="11" t="s">
        <v>253</v>
      </c>
      <c r="D144" s="11" t="s">
        <v>254</v>
      </c>
      <c r="E144" s="9" t="str">
        <f>+HYPERLINK("http://trademark.i-assist.jp/data/china/image_1903th/77983269.pdf", "77983269")</f>
        <v>77983269</v>
      </c>
      <c r="F144" s="11" t="s">
        <v>733</v>
      </c>
      <c r="G144" s="11" t="s">
        <v>734</v>
      </c>
      <c r="H144" s="11" t="s">
        <v>735</v>
      </c>
      <c r="I144" s="11" t="s">
        <v>32</v>
      </c>
    </row>
    <row r="145" spans="1:9" x14ac:dyDescent="0.15">
      <c r="A145" s="10">
        <v>144</v>
      </c>
      <c r="B145" s="11" t="s">
        <v>9</v>
      </c>
      <c r="C145" s="11" t="s">
        <v>253</v>
      </c>
      <c r="D145" s="11" t="s">
        <v>254</v>
      </c>
      <c r="E145" s="9" t="str">
        <f>+HYPERLINK("http://trademark.i-assist.jp/data/china/image_1903th/77993407.pdf", "77993407")</f>
        <v>77993407</v>
      </c>
      <c r="F145" s="11" t="s">
        <v>736</v>
      </c>
      <c r="G145" s="11" t="s">
        <v>737</v>
      </c>
      <c r="H145" s="11" t="s">
        <v>738</v>
      </c>
      <c r="I145" s="11" t="s">
        <v>34</v>
      </c>
    </row>
    <row r="146" spans="1:9" x14ac:dyDescent="0.15">
      <c r="A146" s="10">
        <v>145</v>
      </c>
      <c r="B146" s="11" t="s">
        <v>9</v>
      </c>
      <c r="C146" s="11" t="s">
        <v>253</v>
      </c>
      <c r="D146" s="11" t="s">
        <v>254</v>
      </c>
      <c r="E146" s="9" t="str">
        <f>+HYPERLINK("http://trademark.i-assist.jp/data/china/image_1903th/77997301.pdf", "77997301")</f>
        <v>77997301</v>
      </c>
      <c r="F146" s="11" t="s">
        <v>739</v>
      </c>
      <c r="G146" s="11" t="s">
        <v>740</v>
      </c>
      <c r="H146" s="11" t="s">
        <v>741</v>
      </c>
      <c r="I146" s="11" t="s">
        <v>34</v>
      </c>
    </row>
    <row r="147" spans="1:9" x14ac:dyDescent="0.15">
      <c r="A147" s="10">
        <v>146</v>
      </c>
      <c r="B147" s="11" t="s">
        <v>9</v>
      </c>
      <c r="C147" s="11" t="s">
        <v>253</v>
      </c>
      <c r="D147" s="11" t="s">
        <v>254</v>
      </c>
      <c r="E147" s="9" t="str">
        <f>+HYPERLINK("http://trademark.i-assist.jp/data/china/image_1903th/77999530.pdf", "77999530")</f>
        <v>77999530</v>
      </c>
      <c r="F147" s="11" t="s">
        <v>742</v>
      </c>
      <c r="G147" s="11" t="s">
        <v>743</v>
      </c>
      <c r="H147" s="11" t="s">
        <v>744</v>
      </c>
      <c r="I147" s="11" t="s">
        <v>34</v>
      </c>
    </row>
    <row r="148" spans="1:9" x14ac:dyDescent="0.15">
      <c r="A148" s="10">
        <v>147</v>
      </c>
      <c r="B148" s="11" t="s">
        <v>9</v>
      </c>
      <c r="C148" s="11" t="s">
        <v>253</v>
      </c>
      <c r="D148" s="11" t="s">
        <v>254</v>
      </c>
      <c r="E148" s="9" t="str">
        <f>+HYPERLINK("http://trademark.i-assist.jp/data/china/image_1903th/78000075.pdf", "78000075")</f>
        <v>78000075</v>
      </c>
      <c r="F148" s="11" t="s">
        <v>745</v>
      </c>
      <c r="G148" s="11" t="s">
        <v>746</v>
      </c>
      <c r="H148" s="11" t="s">
        <v>747</v>
      </c>
      <c r="I148" s="11" t="s">
        <v>34</v>
      </c>
    </row>
    <row r="149" spans="1:9" x14ac:dyDescent="0.15">
      <c r="A149" s="10">
        <v>148</v>
      </c>
      <c r="B149" s="11" t="s">
        <v>9</v>
      </c>
      <c r="C149" s="11" t="s">
        <v>253</v>
      </c>
      <c r="D149" s="11" t="s">
        <v>254</v>
      </c>
      <c r="E149" s="9" t="str">
        <f>+HYPERLINK("http://trademark.i-assist.jp/data/china/image_1903th/78004213.pdf", "78004213")</f>
        <v>78004213</v>
      </c>
      <c r="F149" s="11" t="s">
        <v>748</v>
      </c>
      <c r="G149" s="11" t="s">
        <v>737</v>
      </c>
      <c r="H149" s="11" t="s">
        <v>749</v>
      </c>
      <c r="I149" s="11" t="s">
        <v>34</v>
      </c>
    </row>
    <row r="150" spans="1:9" x14ac:dyDescent="0.15">
      <c r="A150" s="10">
        <v>149</v>
      </c>
      <c r="B150" s="11" t="s">
        <v>9</v>
      </c>
      <c r="C150" s="11" t="s">
        <v>253</v>
      </c>
      <c r="D150" s="11" t="s">
        <v>254</v>
      </c>
      <c r="E150" s="9" t="str">
        <f>+HYPERLINK("http://trademark.i-assist.jp/data/china/image_1903th/78010318.pdf", "78010318")</f>
        <v>78010318</v>
      </c>
      <c r="F150" s="11" t="s">
        <v>750</v>
      </c>
      <c r="G150" s="11" t="s">
        <v>737</v>
      </c>
      <c r="H150" s="11" t="s">
        <v>751</v>
      </c>
      <c r="I150" s="11" t="s">
        <v>34</v>
      </c>
    </row>
    <row r="151" spans="1:9" x14ac:dyDescent="0.15">
      <c r="A151" s="10">
        <v>150</v>
      </c>
      <c r="B151" s="11" t="s">
        <v>9</v>
      </c>
      <c r="C151" s="11" t="s">
        <v>253</v>
      </c>
      <c r="D151" s="11" t="s">
        <v>254</v>
      </c>
      <c r="E151" s="9" t="str">
        <f>+HYPERLINK("http://trademark.i-assist.jp/data/china/image_1903th/78012836.pdf", "78012836")</f>
        <v>78012836</v>
      </c>
      <c r="F151" s="11" t="s">
        <v>752</v>
      </c>
      <c r="G151" s="11" t="s">
        <v>743</v>
      </c>
      <c r="H151" s="11" t="s">
        <v>753</v>
      </c>
      <c r="I151" s="11" t="s">
        <v>34</v>
      </c>
    </row>
    <row r="152" spans="1:9" x14ac:dyDescent="0.15">
      <c r="A152" s="10">
        <v>151</v>
      </c>
      <c r="B152" s="11" t="s">
        <v>9</v>
      </c>
      <c r="C152" s="11" t="s">
        <v>253</v>
      </c>
      <c r="D152" s="11" t="s">
        <v>254</v>
      </c>
      <c r="E152" s="9" t="str">
        <f>+HYPERLINK("http://trademark.i-assist.jp/data/china/image_1903th/78016696.pdf", "78016696")</f>
        <v>78016696</v>
      </c>
      <c r="F152" s="11" t="s">
        <v>754</v>
      </c>
      <c r="G152" s="11" t="s">
        <v>737</v>
      </c>
      <c r="H152" s="11" t="s">
        <v>755</v>
      </c>
      <c r="I152" s="11" t="s">
        <v>34</v>
      </c>
    </row>
    <row r="153" spans="1:9" x14ac:dyDescent="0.15">
      <c r="A153" s="10">
        <v>152</v>
      </c>
      <c r="B153" s="11" t="s">
        <v>9</v>
      </c>
      <c r="C153" s="11" t="s">
        <v>253</v>
      </c>
      <c r="D153" s="11" t="s">
        <v>254</v>
      </c>
      <c r="E153" s="9" t="str">
        <f>+HYPERLINK("http://trademark.i-assist.jp/data/china/image_1903th/78018328.pdf", "78018328")</f>
        <v>78018328</v>
      </c>
      <c r="F153" s="11" t="s">
        <v>756</v>
      </c>
      <c r="G153" s="11" t="s">
        <v>757</v>
      </c>
      <c r="H153" s="11" t="s">
        <v>758</v>
      </c>
      <c r="I153" s="11" t="s">
        <v>34</v>
      </c>
    </row>
    <row r="154" spans="1:9" x14ac:dyDescent="0.15">
      <c r="A154" s="10">
        <v>153</v>
      </c>
      <c r="B154" s="11" t="s">
        <v>9</v>
      </c>
      <c r="C154" s="11" t="s">
        <v>253</v>
      </c>
      <c r="D154" s="11" t="s">
        <v>254</v>
      </c>
      <c r="E154" s="9" t="str">
        <f>+HYPERLINK("http://trademark.i-assist.jp/data/china/image_1903th/78041300.pdf", "78041300")</f>
        <v>78041300</v>
      </c>
      <c r="F154" s="11" t="s">
        <v>759</v>
      </c>
      <c r="G154" s="11" t="s">
        <v>760</v>
      </c>
      <c r="H154" s="11" t="s">
        <v>761</v>
      </c>
      <c r="I154" s="11" t="s">
        <v>35</v>
      </c>
    </row>
    <row r="155" spans="1:9" x14ac:dyDescent="0.15">
      <c r="A155" s="10">
        <v>154</v>
      </c>
      <c r="B155" s="11" t="s">
        <v>9</v>
      </c>
      <c r="C155" s="11" t="s">
        <v>253</v>
      </c>
      <c r="D155" s="11" t="s">
        <v>254</v>
      </c>
      <c r="E155" s="9" t="str">
        <f>+HYPERLINK("http://trademark.i-assist.jp/data/china/image_1903th/78060528.pdf", "78060528")</f>
        <v>78060528</v>
      </c>
      <c r="F155" s="11" t="s">
        <v>12</v>
      </c>
      <c r="G155" s="11" t="s">
        <v>762</v>
      </c>
      <c r="H155" s="11" t="s">
        <v>763</v>
      </c>
      <c r="I155" s="11" t="s">
        <v>36</v>
      </c>
    </row>
    <row r="156" spans="1:9" x14ac:dyDescent="0.15">
      <c r="A156" s="10">
        <v>155</v>
      </c>
      <c r="B156" s="11" t="s">
        <v>9</v>
      </c>
      <c r="C156" s="11" t="s">
        <v>253</v>
      </c>
      <c r="D156" s="11" t="s">
        <v>254</v>
      </c>
      <c r="E156" s="9" t="str">
        <f>+HYPERLINK("http://trademark.i-assist.jp/data/china/image_1903th/78104740.pdf", "78104740")</f>
        <v>78104740</v>
      </c>
      <c r="F156" s="11" t="s">
        <v>764</v>
      </c>
      <c r="G156" s="11" t="s">
        <v>765</v>
      </c>
      <c r="H156" s="11" t="s">
        <v>766</v>
      </c>
      <c r="I156" s="11" t="s">
        <v>767</v>
      </c>
    </row>
    <row r="157" spans="1:9" x14ac:dyDescent="0.15">
      <c r="A157" s="10">
        <v>156</v>
      </c>
      <c r="B157" s="11" t="s">
        <v>9</v>
      </c>
      <c r="C157" s="11" t="s">
        <v>253</v>
      </c>
      <c r="D157" s="11" t="s">
        <v>254</v>
      </c>
      <c r="E157" s="9" t="str">
        <f>+HYPERLINK("http://trademark.i-assist.jp/data/china/image_1903th/78125058.pdf", "78125058")</f>
        <v>78125058</v>
      </c>
      <c r="F157" s="11" t="s">
        <v>768</v>
      </c>
      <c r="G157" s="11" t="s">
        <v>769</v>
      </c>
      <c r="H157" s="11" t="s">
        <v>770</v>
      </c>
      <c r="I157" s="11" t="s">
        <v>771</v>
      </c>
    </row>
    <row r="158" spans="1:9" x14ac:dyDescent="0.15">
      <c r="A158" s="10">
        <v>157</v>
      </c>
      <c r="B158" s="11" t="s">
        <v>9</v>
      </c>
      <c r="C158" s="11" t="s">
        <v>253</v>
      </c>
      <c r="D158" s="11" t="s">
        <v>254</v>
      </c>
      <c r="E158" s="9" t="str">
        <f>+HYPERLINK("http://trademark.i-assist.jp/data/china/image_1903th/78127413.pdf", "78127413")</f>
        <v>78127413</v>
      </c>
      <c r="F158" s="11" t="s">
        <v>772</v>
      </c>
      <c r="G158" s="11" t="s">
        <v>773</v>
      </c>
      <c r="H158" s="11" t="s">
        <v>774</v>
      </c>
      <c r="I158" s="11" t="s">
        <v>771</v>
      </c>
    </row>
    <row r="159" spans="1:9" x14ac:dyDescent="0.15">
      <c r="A159" s="10">
        <v>158</v>
      </c>
      <c r="B159" s="11" t="s">
        <v>9</v>
      </c>
      <c r="C159" s="11" t="s">
        <v>253</v>
      </c>
      <c r="D159" s="11" t="s">
        <v>254</v>
      </c>
      <c r="E159" s="9" t="str">
        <f>+HYPERLINK("http://trademark.i-assist.jp/data/china/image_1903th/78129311.pdf", "78129311")</f>
        <v>78129311</v>
      </c>
      <c r="F159" s="11" t="s">
        <v>775</v>
      </c>
      <c r="G159" s="11" t="s">
        <v>776</v>
      </c>
      <c r="H159" s="11" t="s">
        <v>777</v>
      </c>
      <c r="I159" s="11" t="s">
        <v>771</v>
      </c>
    </row>
    <row r="160" spans="1:9" x14ac:dyDescent="0.15">
      <c r="A160" s="10">
        <v>159</v>
      </c>
      <c r="B160" s="11" t="s">
        <v>9</v>
      </c>
      <c r="C160" s="11" t="s">
        <v>253</v>
      </c>
      <c r="D160" s="11" t="s">
        <v>254</v>
      </c>
      <c r="E160" s="9" t="str">
        <f>+HYPERLINK("http://trademark.i-assist.jp/data/china/image_1903th/78139850.pdf", "78139850")</f>
        <v>78139850</v>
      </c>
      <c r="F160" s="11" t="s">
        <v>778</v>
      </c>
      <c r="G160" s="11" t="s">
        <v>779</v>
      </c>
      <c r="H160" s="11" t="s">
        <v>780</v>
      </c>
      <c r="I160" s="11" t="s">
        <v>771</v>
      </c>
    </row>
    <row r="161" spans="1:9" x14ac:dyDescent="0.15">
      <c r="A161" s="10">
        <v>160</v>
      </c>
      <c r="B161" s="11" t="s">
        <v>9</v>
      </c>
      <c r="C161" s="11" t="s">
        <v>253</v>
      </c>
      <c r="D161" s="11" t="s">
        <v>254</v>
      </c>
      <c r="E161" s="9" t="str">
        <f>+HYPERLINK("http://trademark.i-assist.jp/data/china/image_1903th/78148294.pdf", "78148294")</f>
        <v>78148294</v>
      </c>
      <c r="F161" s="11" t="s">
        <v>781</v>
      </c>
      <c r="G161" s="11" t="s">
        <v>107</v>
      </c>
      <c r="H161" s="11" t="s">
        <v>782</v>
      </c>
      <c r="I161" s="11" t="s">
        <v>771</v>
      </c>
    </row>
    <row r="162" spans="1:9" x14ac:dyDescent="0.15">
      <c r="A162" s="10">
        <v>161</v>
      </c>
      <c r="B162" s="11" t="s">
        <v>9</v>
      </c>
      <c r="C162" s="11" t="s">
        <v>253</v>
      </c>
      <c r="D162" s="11" t="s">
        <v>254</v>
      </c>
      <c r="E162" s="9" t="str">
        <f>+HYPERLINK("http://trademark.i-assist.jp/data/china/image_1903th/78148311.pdf", "78148311")</f>
        <v>78148311</v>
      </c>
      <c r="F162" s="11" t="s">
        <v>783</v>
      </c>
      <c r="G162" s="11" t="s">
        <v>784</v>
      </c>
      <c r="H162" s="11" t="s">
        <v>785</v>
      </c>
      <c r="I162" s="11" t="s">
        <v>771</v>
      </c>
    </row>
    <row r="163" spans="1:9" x14ac:dyDescent="0.15">
      <c r="A163" s="10">
        <v>162</v>
      </c>
      <c r="B163" s="11" t="s">
        <v>9</v>
      </c>
      <c r="C163" s="11" t="s">
        <v>253</v>
      </c>
      <c r="D163" s="11" t="s">
        <v>254</v>
      </c>
      <c r="E163" s="9" t="str">
        <f>+HYPERLINK("http://trademark.i-assist.jp/data/china/image_1903th/78162114.pdf", "78162114")</f>
        <v>78162114</v>
      </c>
      <c r="F163" s="11" t="s">
        <v>786</v>
      </c>
      <c r="G163" s="11" t="s">
        <v>787</v>
      </c>
      <c r="H163" s="11" t="s">
        <v>788</v>
      </c>
      <c r="I163" s="11" t="s">
        <v>37</v>
      </c>
    </row>
    <row r="164" spans="1:9" x14ac:dyDescent="0.15">
      <c r="A164" s="10">
        <v>163</v>
      </c>
      <c r="B164" s="11" t="s">
        <v>9</v>
      </c>
      <c r="C164" s="11" t="s">
        <v>253</v>
      </c>
      <c r="D164" s="11" t="s">
        <v>254</v>
      </c>
      <c r="E164" s="9" t="str">
        <f>+HYPERLINK("http://trademark.i-assist.jp/data/china/image_1903th/78169282.pdf", "78169282")</f>
        <v>78169282</v>
      </c>
      <c r="F164" s="11" t="s">
        <v>789</v>
      </c>
      <c r="G164" s="11" t="s">
        <v>790</v>
      </c>
      <c r="H164" s="11" t="s">
        <v>791</v>
      </c>
      <c r="I164" s="11" t="s">
        <v>37</v>
      </c>
    </row>
    <row r="165" spans="1:9" x14ac:dyDescent="0.15">
      <c r="A165" s="10">
        <v>164</v>
      </c>
      <c r="B165" s="11" t="s">
        <v>9</v>
      </c>
      <c r="C165" s="11" t="s">
        <v>253</v>
      </c>
      <c r="D165" s="11" t="s">
        <v>254</v>
      </c>
      <c r="E165" s="9" t="str">
        <f>+HYPERLINK("http://trademark.i-assist.jp/data/china/image_1903th/78182448.pdf", "78182448")</f>
        <v>78182448</v>
      </c>
      <c r="F165" s="11" t="s">
        <v>789</v>
      </c>
      <c r="G165" s="11" t="s">
        <v>790</v>
      </c>
      <c r="H165" s="11" t="s">
        <v>792</v>
      </c>
      <c r="I165" s="11" t="s">
        <v>37</v>
      </c>
    </row>
    <row r="166" spans="1:9" x14ac:dyDescent="0.15">
      <c r="A166" s="10">
        <v>165</v>
      </c>
      <c r="B166" s="11" t="s">
        <v>9</v>
      </c>
      <c r="C166" s="11" t="s">
        <v>253</v>
      </c>
      <c r="D166" s="11" t="s">
        <v>254</v>
      </c>
      <c r="E166" s="9" t="str">
        <f>+HYPERLINK("http://trademark.i-assist.jp/data/china/image_1903th/78189697.pdf", "78189697")</f>
        <v>78189697</v>
      </c>
      <c r="F166" s="11" t="s">
        <v>793</v>
      </c>
      <c r="G166" s="11" t="s">
        <v>794</v>
      </c>
      <c r="H166" s="11" t="s">
        <v>795</v>
      </c>
      <c r="I166" s="11" t="s">
        <v>796</v>
      </c>
    </row>
    <row r="167" spans="1:9" x14ac:dyDescent="0.15">
      <c r="A167" s="10">
        <v>166</v>
      </c>
      <c r="B167" s="11" t="s">
        <v>9</v>
      </c>
      <c r="C167" s="11" t="s">
        <v>253</v>
      </c>
      <c r="D167" s="11" t="s">
        <v>254</v>
      </c>
      <c r="E167" s="9" t="str">
        <f>+HYPERLINK("http://trademark.i-assist.jp/data/china/image_1903th/78212568.pdf", "78212568")</f>
        <v>78212568</v>
      </c>
      <c r="F167" s="11" t="s">
        <v>797</v>
      </c>
      <c r="G167" s="11" t="s">
        <v>798</v>
      </c>
      <c r="H167" s="11" t="s">
        <v>799</v>
      </c>
      <c r="I167" s="11" t="s">
        <v>796</v>
      </c>
    </row>
    <row r="168" spans="1:9" x14ac:dyDescent="0.15">
      <c r="A168" s="10">
        <v>167</v>
      </c>
      <c r="B168" s="11" t="s">
        <v>9</v>
      </c>
      <c r="C168" s="11" t="s">
        <v>253</v>
      </c>
      <c r="D168" s="11" t="s">
        <v>254</v>
      </c>
      <c r="E168" s="9" t="str">
        <f>+HYPERLINK("http://trademark.i-assist.jp/data/china/image_1903th/78215158.pdf", "78215158")</f>
        <v>78215158</v>
      </c>
      <c r="F168" s="11" t="s">
        <v>800</v>
      </c>
      <c r="G168" s="11" t="s">
        <v>94</v>
      </c>
      <c r="H168" s="11" t="s">
        <v>801</v>
      </c>
      <c r="I168" s="11" t="s">
        <v>39</v>
      </c>
    </row>
    <row r="169" spans="1:9" x14ac:dyDescent="0.15">
      <c r="A169" s="10">
        <v>168</v>
      </c>
      <c r="B169" s="11" t="s">
        <v>9</v>
      </c>
      <c r="C169" s="11" t="s">
        <v>253</v>
      </c>
      <c r="D169" s="11" t="s">
        <v>254</v>
      </c>
      <c r="E169" s="9" t="str">
        <f>+HYPERLINK("http://trademark.i-assist.jp/data/china/image_1903th/78216250.pdf", "78216250")</f>
        <v>78216250</v>
      </c>
      <c r="F169" s="11" t="s">
        <v>802</v>
      </c>
      <c r="G169" s="11" t="s">
        <v>91</v>
      </c>
      <c r="H169" s="11" t="s">
        <v>803</v>
      </c>
      <c r="I169" s="11" t="s">
        <v>39</v>
      </c>
    </row>
    <row r="170" spans="1:9" x14ac:dyDescent="0.15">
      <c r="A170" s="10">
        <v>169</v>
      </c>
      <c r="B170" s="11" t="s">
        <v>9</v>
      </c>
      <c r="C170" s="11" t="s">
        <v>253</v>
      </c>
      <c r="D170" s="11" t="s">
        <v>254</v>
      </c>
      <c r="E170" s="9" t="str">
        <f>+HYPERLINK("http://trademark.i-assist.jp/data/china/image_1903th/78217612.pdf", "78217612")</f>
        <v>78217612</v>
      </c>
      <c r="F170" s="11" t="s">
        <v>804</v>
      </c>
      <c r="G170" s="11" t="s">
        <v>91</v>
      </c>
      <c r="H170" s="11" t="s">
        <v>805</v>
      </c>
      <c r="I170" s="11" t="s">
        <v>39</v>
      </c>
    </row>
    <row r="171" spans="1:9" x14ac:dyDescent="0.15">
      <c r="A171" s="10">
        <v>170</v>
      </c>
      <c r="B171" s="11" t="s">
        <v>9</v>
      </c>
      <c r="C171" s="11" t="s">
        <v>253</v>
      </c>
      <c r="D171" s="11" t="s">
        <v>254</v>
      </c>
      <c r="E171" s="9" t="str">
        <f>+HYPERLINK("http://trademark.i-assist.jp/data/china/image_1903th/78219322.pdf", "78219322")</f>
        <v>78219322</v>
      </c>
      <c r="F171" s="11" t="s">
        <v>806</v>
      </c>
      <c r="G171" s="11" t="s">
        <v>91</v>
      </c>
      <c r="H171" s="11" t="s">
        <v>807</v>
      </c>
      <c r="I171" s="11" t="s">
        <v>39</v>
      </c>
    </row>
    <row r="172" spans="1:9" x14ac:dyDescent="0.15">
      <c r="A172" s="10">
        <v>171</v>
      </c>
      <c r="B172" s="11" t="s">
        <v>9</v>
      </c>
      <c r="C172" s="11" t="s">
        <v>253</v>
      </c>
      <c r="D172" s="11" t="s">
        <v>254</v>
      </c>
      <c r="E172" s="9" t="str">
        <f>+HYPERLINK("http://trademark.i-assist.jp/data/china/image_1903th/78226387.pdf", "78226387")</f>
        <v>78226387</v>
      </c>
      <c r="F172" s="11" t="s">
        <v>808</v>
      </c>
      <c r="G172" s="11" t="s">
        <v>91</v>
      </c>
      <c r="H172" s="11" t="s">
        <v>809</v>
      </c>
      <c r="I172" s="11" t="s">
        <v>39</v>
      </c>
    </row>
    <row r="173" spans="1:9" x14ac:dyDescent="0.15">
      <c r="A173" s="10">
        <v>172</v>
      </c>
      <c r="B173" s="11" t="s">
        <v>9</v>
      </c>
      <c r="C173" s="11" t="s">
        <v>253</v>
      </c>
      <c r="D173" s="11" t="s">
        <v>254</v>
      </c>
      <c r="E173" s="9" t="str">
        <f>+HYPERLINK("http://trademark.i-assist.jp/data/china/image_1903th/78239818.pdf", "78239818")</f>
        <v>78239818</v>
      </c>
      <c r="F173" s="11" t="s">
        <v>810</v>
      </c>
      <c r="G173" s="11" t="s">
        <v>811</v>
      </c>
      <c r="H173" s="11" t="s">
        <v>43</v>
      </c>
      <c r="I173" s="11" t="s">
        <v>39</v>
      </c>
    </row>
    <row r="174" spans="1:9" x14ac:dyDescent="0.15">
      <c r="A174" s="10">
        <v>173</v>
      </c>
      <c r="B174" s="11" t="s">
        <v>9</v>
      </c>
      <c r="C174" s="11" t="s">
        <v>253</v>
      </c>
      <c r="D174" s="11" t="s">
        <v>254</v>
      </c>
      <c r="E174" s="9" t="str">
        <f>+HYPERLINK("http://trademark.i-assist.jp/data/china/image_1903th/78253246.pdf", "78253246")</f>
        <v>78253246</v>
      </c>
      <c r="F174" s="11" t="s">
        <v>812</v>
      </c>
      <c r="G174" s="11" t="s">
        <v>96</v>
      </c>
      <c r="H174" s="11" t="s">
        <v>813</v>
      </c>
      <c r="I174" s="11" t="s">
        <v>40</v>
      </c>
    </row>
    <row r="175" spans="1:9" x14ac:dyDescent="0.15">
      <c r="A175" s="10">
        <v>174</v>
      </c>
      <c r="B175" s="11" t="s">
        <v>9</v>
      </c>
      <c r="C175" s="11" t="s">
        <v>253</v>
      </c>
      <c r="D175" s="11" t="s">
        <v>254</v>
      </c>
      <c r="E175" s="9" t="str">
        <f>+HYPERLINK("http://trademark.i-assist.jp/data/china/image_1903th/78254341.pdf", "78254341")</f>
        <v>78254341</v>
      </c>
      <c r="F175" s="11" t="s">
        <v>814</v>
      </c>
      <c r="G175" s="11" t="s">
        <v>94</v>
      </c>
      <c r="H175" s="11" t="s">
        <v>16</v>
      </c>
      <c r="I175" s="11" t="s">
        <v>40</v>
      </c>
    </row>
    <row r="176" spans="1:9" x14ac:dyDescent="0.15">
      <c r="A176" s="10">
        <v>175</v>
      </c>
      <c r="B176" s="11" t="s">
        <v>9</v>
      </c>
      <c r="C176" s="11" t="s">
        <v>253</v>
      </c>
      <c r="D176" s="11" t="s">
        <v>254</v>
      </c>
      <c r="E176" s="9" t="str">
        <f>+HYPERLINK("http://trademark.i-assist.jp/data/china/image_1903th/78256338.pdf", "78256338")</f>
        <v>78256338</v>
      </c>
      <c r="F176" s="11" t="s">
        <v>815</v>
      </c>
      <c r="G176" s="11" t="s">
        <v>816</v>
      </c>
      <c r="H176" s="11" t="s">
        <v>817</v>
      </c>
      <c r="I176" s="11" t="s">
        <v>40</v>
      </c>
    </row>
    <row r="177" spans="1:9" x14ac:dyDescent="0.15">
      <c r="A177" s="10">
        <v>176</v>
      </c>
      <c r="B177" s="11" t="s">
        <v>9</v>
      </c>
      <c r="C177" s="11" t="s">
        <v>253</v>
      </c>
      <c r="D177" s="11" t="s">
        <v>254</v>
      </c>
      <c r="E177" s="9" t="str">
        <f>+HYPERLINK("http://trademark.i-assist.jp/data/china/image_1903th/78256775.pdf", "78256775")</f>
        <v>78256775</v>
      </c>
      <c r="F177" s="11" t="s">
        <v>818</v>
      </c>
      <c r="G177" s="11" t="s">
        <v>94</v>
      </c>
      <c r="H177" s="11" t="s">
        <v>819</v>
      </c>
      <c r="I177" s="11" t="s">
        <v>40</v>
      </c>
    </row>
    <row r="178" spans="1:9" x14ac:dyDescent="0.15">
      <c r="A178" s="10">
        <v>177</v>
      </c>
      <c r="B178" s="11" t="s">
        <v>9</v>
      </c>
      <c r="C178" s="11" t="s">
        <v>253</v>
      </c>
      <c r="D178" s="11" t="s">
        <v>254</v>
      </c>
      <c r="E178" s="9" t="str">
        <f>+HYPERLINK("http://trademark.i-assist.jp/data/china/image_1903th/78269298.pdf", "78269298")</f>
        <v>78269298</v>
      </c>
      <c r="F178" s="11" t="s">
        <v>820</v>
      </c>
      <c r="G178" s="11" t="s">
        <v>821</v>
      </c>
      <c r="H178" s="11" t="s">
        <v>822</v>
      </c>
      <c r="I178" s="11" t="s">
        <v>40</v>
      </c>
    </row>
    <row r="179" spans="1:9" x14ac:dyDescent="0.15">
      <c r="A179" s="10">
        <v>178</v>
      </c>
      <c r="B179" s="11" t="s">
        <v>9</v>
      </c>
      <c r="C179" s="11" t="s">
        <v>253</v>
      </c>
      <c r="D179" s="11" t="s">
        <v>254</v>
      </c>
      <c r="E179" s="9" t="str">
        <f>+HYPERLINK("http://trademark.i-assist.jp/data/china/image_1903th/78271017.pdf", "78271017")</f>
        <v>78271017</v>
      </c>
      <c r="F179" s="11" t="s">
        <v>823</v>
      </c>
      <c r="G179" s="11" t="s">
        <v>824</v>
      </c>
      <c r="H179" s="11" t="s">
        <v>825</v>
      </c>
      <c r="I179" s="11" t="s">
        <v>40</v>
      </c>
    </row>
    <row r="180" spans="1:9" x14ac:dyDescent="0.15">
      <c r="A180" s="10">
        <v>179</v>
      </c>
      <c r="B180" s="11" t="s">
        <v>9</v>
      </c>
      <c r="C180" s="11" t="s">
        <v>253</v>
      </c>
      <c r="D180" s="11" t="s">
        <v>254</v>
      </c>
      <c r="E180" s="9" t="str">
        <f>+HYPERLINK("http://trademark.i-assist.jp/data/china/image_1903th/78272487.pdf", "78272487")</f>
        <v>78272487</v>
      </c>
      <c r="F180" s="11" t="s">
        <v>826</v>
      </c>
      <c r="G180" s="11" t="s">
        <v>94</v>
      </c>
      <c r="H180" s="11" t="s">
        <v>825</v>
      </c>
      <c r="I180" s="11" t="s">
        <v>40</v>
      </c>
    </row>
    <row r="181" spans="1:9" x14ac:dyDescent="0.15">
      <c r="A181" s="10">
        <v>180</v>
      </c>
      <c r="B181" s="11" t="s">
        <v>9</v>
      </c>
      <c r="C181" s="11" t="s">
        <v>253</v>
      </c>
      <c r="D181" s="11" t="s">
        <v>254</v>
      </c>
      <c r="E181" s="9" t="str">
        <f>+HYPERLINK("http://trademark.i-assist.jp/data/china/image_1903th/78274826.pdf", "78274826")</f>
        <v>78274826</v>
      </c>
      <c r="F181" s="11" t="s">
        <v>827</v>
      </c>
      <c r="G181" s="11" t="s">
        <v>828</v>
      </c>
      <c r="H181" s="11" t="s">
        <v>829</v>
      </c>
      <c r="I181" s="11" t="s">
        <v>830</v>
      </c>
    </row>
    <row r="182" spans="1:9" x14ac:dyDescent="0.15">
      <c r="A182" s="10">
        <v>181</v>
      </c>
      <c r="B182" s="11" t="s">
        <v>9</v>
      </c>
      <c r="C182" s="11" t="s">
        <v>253</v>
      </c>
      <c r="D182" s="11" t="s">
        <v>254</v>
      </c>
      <c r="E182" s="9" t="str">
        <f>+HYPERLINK("http://trademark.i-assist.jp/data/china/image_1903th/78296879.pdf", "78296879")</f>
        <v>78296879</v>
      </c>
      <c r="F182" s="11" t="s">
        <v>831</v>
      </c>
      <c r="G182" s="11" t="s">
        <v>832</v>
      </c>
      <c r="H182" s="11" t="s">
        <v>833</v>
      </c>
      <c r="I182" s="11" t="s">
        <v>41</v>
      </c>
    </row>
    <row r="183" spans="1:9" x14ac:dyDescent="0.15">
      <c r="A183" s="10">
        <v>182</v>
      </c>
      <c r="B183" s="11" t="s">
        <v>9</v>
      </c>
      <c r="C183" s="11" t="s">
        <v>253</v>
      </c>
      <c r="D183" s="11" t="s">
        <v>254</v>
      </c>
      <c r="E183" s="9" t="str">
        <f>+HYPERLINK("http://trademark.i-assist.jp/data/china/image_1903th/78296892.pdf", "78296892")</f>
        <v>78296892</v>
      </c>
      <c r="F183" s="11" t="s">
        <v>834</v>
      </c>
      <c r="G183" s="11" t="s">
        <v>832</v>
      </c>
      <c r="H183" s="11" t="s">
        <v>833</v>
      </c>
      <c r="I183" s="11" t="s">
        <v>41</v>
      </c>
    </row>
    <row r="184" spans="1:9" x14ac:dyDescent="0.15">
      <c r="A184" s="10">
        <v>183</v>
      </c>
      <c r="B184" s="11" t="s">
        <v>9</v>
      </c>
      <c r="C184" s="11" t="s">
        <v>253</v>
      </c>
      <c r="D184" s="11" t="s">
        <v>254</v>
      </c>
      <c r="E184" s="9" t="str">
        <f>+HYPERLINK("http://trademark.i-assist.jp/data/china/image_1903th/78305830.pdf", "78305830")</f>
        <v>78305830</v>
      </c>
      <c r="F184" s="11" t="s">
        <v>835</v>
      </c>
      <c r="G184" s="11" t="s">
        <v>836</v>
      </c>
      <c r="H184" s="11" t="s">
        <v>833</v>
      </c>
      <c r="I184" s="11" t="s">
        <v>41</v>
      </c>
    </row>
    <row r="185" spans="1:9" x14ac:dyDescent="0.15">
      <c r="A185" s="10">
        <v>184</v>
      </c>
      <c r="B185" s="11" t="s">
        <v>9</v>
      </c>
      <c r="C185" s="11" t="s">
        <v>253</v>
      </c>
      <c r="D185" s="11" t="s">
        <v>254</v>
      </c>
      <c r="E185" s="9" t="str">
        <f>+HYPERLINK("http://trademark.i-assist.jp/data/china/image_1903th/78341526.pdf", "78341526")</f>
        <v>78341526</v>
      </c>
      <c r="F185" s="11" t="s">
        <v>837</v>
      </c>
      <c r="G185" s="11" t="s">
        <v>838</v>
      </c>
      <c r="H185" s="11" t="s">
        <v>839</v>
      </c>
      <c r="I185" s="11" t="s">
        <v>42</v>
      </c>
    </row>
    <row r="186" spans="1:9" x14ac:dyDescent="0.15">
      <c r="A186" s="10">
        <v>185</v>
      </c>
      <c r="B186" s="11" t="s">
        <v>9</v>
      </c>
      <c r="C186" s="11" t="s">
        <v>253</v>
      </c>
      <c r="D186" s="11" t="s">
        <v>254</v>
      </c>
      <c r="E186" s="9" t="str">
        <f>+HYPERLINK("http://trademark.i-assist.jp/data/china/image_1903th/78344770.pdf", "78344770")</f>
        <v>78344770</v>
      </c>
      <c r="F186" s="11" t="s">
        <v>840</v>
      </c>
      <c r="G186" s="11" t="s">
        <v>841</v>
      </c>
      <c r="H186" s="11" t="s">
        <v>842</v>
      </c>
      <c r="I186" s="11" t="s">
        <v>42</v>
      </c>
    </row>
    <row r="187" spans="1:9" x14ac:dyDescent="0.15">
      <c r="A187" s="10">
        <v>186</v>
      </c>
      <c r="B187" s="11" t="s">
        <v>9</v>
      </c>
      <c r="C187" s="11" t="s">
        <v>253</v>
      </c>
      <c r="D187" s="11" t="s">
        <v>254</v>
      </c>
      <c r="E187" s="9" t="str">
        <f>+HYPERLINK("http://trademark.i-assist.jp/data/china/image_1903th/78350281.pdf", "78350281")</f>
        <v>78350281</v>
      </c>
      <c r="F187" s="11" t="s">
        <v>843</v>
      </c>
      <c r="G187" s="11" t="s">
        <v>844</v>
      </c>
      <c r="H187" s="11" t="s">
        <v>845</v>
      </c>
      <c r="I187" s="11" t="s">
        <v>44</v>
      </c>
    </row>
    <row r="188" spans="1:9" x14ac:dyDescent="0.15">
      <c r="A188" s="10">
        <v>187</v>
      </c>
      <c r="B188" s="11" t="s">
        <v>9</v>
      </c>
      <c r="C188" s="11" t="s">
        <v>253</v>
      </c>
      <c r="D188" s="11" t="s">
        <v>254</v>
      </c>
      <c r="E188" s="9" t="str">
        <f>+HYPERLINK("http://trademark.i-assist.jp/data/china/image_1903th/78368950.pdf", "78368950")</f>
        <v>78368950</v>
      </c>
      <c r="F188" s="11" t="s">
        <v>846</v>
      </c>
      <c r="G188" s="11" t="s">
        <v>847</v>
      </c>
      <c r="H188" s="11" t="s">
        <v>848</v>
      </c>
      <c r="I188" s="11" t="s">
        <v>44</v>
      </c>
    </row>
    <row r="189" spans="1:9" x14ac:dyDescent="0.15">
      <c r="A189" s="10">
        <v>188</v>
      </c>
      <c r="B189" s="11" t="s">
        <v>9</v>
      </c>
      <c r="C189" s="11" t="s">
        <v>253</v>
      </c>
      <c r="D189" s="11" t="s">
        <v>254</v>
      </c>
      <c r="E189" s="9" t="str">
        <f>+HYPERLINK("http://trademark.i-assist.jp/data/china/image_1903th/78387691.pdf", "78387691")</f>
        <v>78387691</v>
      </c>
      <c r="F189" s="11" t="s">
        <v>849</v>
      </c>
      <c r="G189" s="11" t="s">
        <v>850</v>
      </c>
      <c r="H189" s="11" t="s">
        <v>851</v>
      </c>
      <c r="I189" s="11" t="s">
        <v>44</v>
      </c>
    </row>
    <row r="190" spans="1:9" x14ac:dyDescent="0.15">
      <c r="A190" s="10">
        <v>189</v>
      </c>
      <c r="B190" s="11" t="s">
        <v>9</v>
      </c>
      <c r="C190" s="11" t="s">
        <v>253</v>
      </c>
      <c r="D190" s="11" t="s">
        <v>254</v>
      </c>
      <c r="E190" s="9" t="str">
        <f>+HYPERLINK("http://trademark.i-assist.jp/data/china/image_1903th/78390203.pdf", "78390203")</f>
        <v>78390203</v>
      </c>
      <c r="F190" s="11" t="s">
        <v>846</v>
      </c>
      <c r="G190" s="11" t="s">
        <v>847</v>
      </c>
      <c r="H190" s="11" t="s">
        <v>852</v>
      </c>
      <c r="I190" s="11" t="s">
        <v>44</v>
      </c>
    </row>
    <row r="191" spans="1:9" x14ac:dyDescent="0.15">
      <c r="A191" s="10">
        <v>190</v>
      </c>
      <c r="B191" s="11" t="s">
        <v>9</v>
      </c>
      <c r="C191" s="11" t="s">
        <v>253</v>
      </c>
      <c r="D191" s="11" t="s">
        <v>254</v>
      </c>
      <c r="E191" s="9" t="str">
        <f>+HYPERLINK("http://trademark.i-assist.jp/data/china/image_1903th/78390915.pdf", "78390915")</f>
        <v>78390915</v>
      </c>
      <c r="F191" s="11" t="s">
        <v>853</v>
      </c>
      <c r="G191" s="11" t="s">
        <v>821</v>
      </c>
      <c r="H191" s="11" t="s">
        <v>854</v>
      </c>
      <c r="I191" s="11" t="s">
        <v>46</v>
      </c>
    </row>
    <row r="192" spans="1:9" x14ac:dyDescent="0.15">
      <c r="A192" s="10">
        <v>191</v>
      </c>
      <c r="B192" s="11" t="s">
        <v>9</v>
      </c>
      <c r="C192" s="11" t="s">
        <v>253</v>
      </c>
      <c r="D192" s="11" t="s">
        <v>254</v>
      </c>
      <c r="E192" s="9" t="str">
        <f>+HYPERLINK("http://trademark.i-assist.jp/data/china/image_1903th/78422014.pdf", "78422014")</f>
        <v>78422014</v>
      </c>
      <c r="F192" s="11" t="s">
        <v>855</v>
      </c>
      <c r="G192" s="11" t="s">
        <v>856</v>
      </c>
      <c r="H192" s="11" t="s">
        <v>857</v>
      </c>
      <c r="I192" s="11" t="s">
        <v>49</v>
      </c>
    </row>
    <row r="193" spans="1:9" x14ac:dyDescent="0.15">
      <c r="A193" s="10">
        <v>192</v>
      </c>
      <c r="B193" s="11" t="s">
        <v>9</v>
      </c>
      <c r="C193" s="11" t="s">
        <v>253</v>
      </c>
      <c r="D193" s="11" t="s">
        <v>254</v>
      </c>
      <c r="E193" s="9" t="str">
        <f>+HYPERLINK("http://trademark.i-assist.jp/data/china/image_1903th/78431343.pdf", "78431343")</f>
        <v>78431343</v>
      </c>
      <c r="F193" s="11" t="s">
        <v>858</v>
      </c>
      <c r="G193" s="11" t="s">
        <v>859</v>
      </c>
      <c r="H193" s="11" t="s">
        <v>860</v>
      </c>
      <c r="I193" s="11" t="s">
        <v>49</v>
      </c>
    </row>
    <row r="194" spans="1:9" x14ac:dyDescent="0.15">
      <c r="A194" s="10">
        <v>193</v>
      </c>
      <c r="B194" s="11" t="s">
        <v>9</v>
      </c>
      <c r="C194" s="11" t="s">
        <v>253</v>
      </c>
      <c r="D194" s="11" t="s">
        <v>254</v>
      </c>
      <c r="E194" s="9" t="str">
        <f>+HYPERLINK("http://trademark.i-assist.jp/data/china/image_1903th/78443928.pdf", "78443928")</f>
        <v>78443928</v>
      </c>
      <c r="F194" s="11" t="s">
        <v>861</v>
      </c>
      <c r="G194" s="11" t="s">
        <v>99</v>
      </c>
      <c r="H194" s="11" t="s">
        <v>862</v>
      </c>
      <c r="I194" s="11" t="s">
        <v>49</v>
      </c>
    </row>
    <row r="195" spans="1:9" x14ac:dyDescent="0.15">
      <c r="A195" s="10">
        <v>194</v>
      </c>
      <c r="B195" s="11" t="s">
        <v>9</v>
      </c>
      <c r="C195" s="11" t="s">
        <v>253</v>
      </c>
      <c r="D195" s="11" t="s">
        <v>254</v>
      </c>
      <c r="E195" s="9" t="str">
        <f>+HYPERLINK("http://trademark.i-assist.jp/data/china/image_1903th/78447596.pdf", "78447596")</f>
        <v>78447596</v>
      </c>
      <c r="F195" s="11" t="s">
        <v>863</v>
      </c>
      <c r="G195" s="11" t="s">
        <v>864</v>
      </c>
      <c r="H195" s="11" t="s">
        <v>865</v>
      </c>
      <c r="I195" s="11" t="s">
        <v>49</v>
      </c>
    </row>
    <row r="196" spans="1:9" x14ac:dyDescent="0.15">
      <c r="A196" s="10">
        <v>195</v>
      </c>
      <c r="B196" s="11" t="s">
        <v>9</v>
      </c>
      <c r="C196" s="11" t="s">
        <v>253</v>
      </c>
      <c r="D196" s="11" t="s">
        <v>254</v>
      </c>
      <c r="E196" s="9" t="str">
        <f>+HYPERLINK("http://trademark.i-assist.jp/data/china/image_1903th/78454484.pdf", "78454484")</f>
        <v>78454484</v>
      </c>
      <c r="F196" s="11" t="s">
        <v>866</v>
      </c>
      <c r="G196" s="11" t="s">
        <v>97</v>
      </c>
      <c r="H196" s="11" t="s">
        <v>867</v>
      </c>
      <c r="I196" s="11" t="s">
        <v>44</v>
      </c>
    </row>
    <row r="197" spans="1:9" x14ac:dyDescent="0.15">
      <c r="A197" s="10">
        <v>196</v>
      </c>
      <c r="B197" s="11" t="s">
        <v>9</v>
      </c>
      <c r="C197" s="11" t="s">
        <v>253</v>
      </c>
      <c r="D197" s="11" t="s">
        <v>254</v>
      </c>
      <c r="E197" s="9" t="str">
        <f>+HYPERLINK("http://trademark.i-assist.jp/data/china/image_1903th/78455294.pdf", "78455294")</f>
        <v>78455294</v>
      </c>
      <c r="F197" s="11" t="s">
        <v>868</v>
      </c>
      <c r="G197" s="11" t="s">
        <v>869</v>
      </c>
      <c r="H197" s="11" t="s">
        <v>870</v>
      </c>
      <c r="I197" s="11" t="s">
        <v>51</v>
      </c>
    </row>
    <row r="198" spans="1:9" x14ac:dyDescent="0.15">
      <c r="A198" s="10">
        <v>197</v>
      </c>
      <c r="B198" s="11" t="s">
        <v>9</v>
      </c>
      <c r="C198" s="11" t="s">
        <v>253</v>
      </c>
      <c r="D198" s="11" t="s">
        <v>254</v>
      </c>
      <c r="E198" s="9" t="str">
        <f>+HYPERLINK("http://trademark.i-assist.jp/data/china/image_1903th/78481711.pdf", "78481711")</f>
        <v>78481711</v>
      </c>
      <c r="F198" s="11" t="s">
        <v>871</v>
      </c>
      <c r="G198" s="11" t="s">
        <v>872</v>
      </c>
      <c r="H198" s="11" t="s">
        <v>873</v>
      </c>
      <c r="I198" s="11" t="s">
        <v>51</v>
      </c>
    </row>
    <row r="199" spans="1:9" x14ac:dyDescent="0.15">
      <c r="A199" s="10">
        <v>198</v>
      </c>
      <c r="B199" s="11" t="s">
        <v>9</v>
      </c>
      <c r="C199" s="11" t="s">
        <v>253</v>
      </c>
      <c r="D199" s="11" t="s">
        <v>254</v>
      </c>
      <c r="E199" s="9" t="str">
        <f>+HYPERLINK("http://trademark.i-assist.jp/data/china/image_1903th/78482825.pdf", "78482825")</f>
        <v>78482825</v>
      </c>
      <c r="F199" s="11" t="s">
        <v>874</v>
      </c>
      <c r="G199" s="11" t="s">
        <v>875</v>
      </c>
      <c r="H199" s="11" t="s">
        <v>876</v>
      </c>
      <c r="I199" s="11" t="s">
        <v>51</v>
      </c>
    </row>
    <row r="200" spans="1:9" x14ac:dyDescent="0.15">
      <c r="A200" s="10">
        <v>199</v>
      </c>
      <c r="B200" s="11" t="s">
        <v>9</v>
      </c>
      <c r="C200" s="11" t="s">
        <v>253</v>
      </c>
      <c r="D200" s="11" t="s">
        <v>254</v>
      </c>
      <c r="E200" s="9" t="str">
        <f>+HYPERLINK("http://trademark.i-assist.jp/data/china/image_1903th/78488417.pdf", "78488417")</f>
        <v>78488417</v>
      </c>
      <c r="F200" s="11" t="s">
        <v>877</v>
      </c>
      <c r="G200" s="11" t="s">
        <v>878</v>
      </c>
      <c r="H200" s="11" t="s">
        <v>879</v>
      </c>
      <c r="I200" s="11" t="s">
        <v>53</v>
      </c>
    </row>
    <row r="201" spans="1:9" x14ac:dyDescent="0.15">
      <c r="A201" s="10">
        <v>200</v>
      </c>
      <c r="B201" s="11" t="s">
        <v>9</v>
      </c>
      <c r="C201" s="11" t="s">
        <v>253</v>
      </c>
      <c r="D201" s="11" t="s">
        <v>254</v>
      </c>
      <c r="E201" s="9" t="str">
        <f>+HYPERLINK("http://trademark.i-assist.jp/data/china/image_1903th/78498452.pdf", "78498452")</f>
        <v>78498452</v>
      </c>
      <c r="F201" s="11" t="s">
        <v>880</v>
      </c>
      <c r="G201" s="11" t="s">
        <v>881</v>
      </c>
      <c r="H201" s="11" t="s">
        <v>882</v>
      </c>
      <c r="I201" s="11" t="s">
        <v>53</v>
      </c>
    </row>
    <row r="202" spans="1:9" x14ac:dyDescent="0.15">
      <c r="A202" s="10">
        <v>201</v>
      </c>
      <c r="B202" s="11" t="s">
        <v>9</v>
      </c>
      <c r="C202" s="11" t="s">
        <v>253</v>
      </c>
      <c r="D202" s="11" t="s">
        <v>254</v>
      </c>
      <c r="E202" s="9" t="str">
        <f>+HYPERLINK("http://trademark.i-assist.jp/data/china/image_1903th/78521152.pdf", "78521152")</f>
        <v>78521152</v>
      </c>
      <c r="F202" s="11" t="s">
        <v>883</v>
      </c>
      <c r="G202" s="11" t="s">
        <v>884</v>
      </c>
      <c r="H202" s="11" t="s">
        <v>885</v>
      </c>
      <c r="I202" s="11" t="s">
        <v>55</v>
      </c>
    </row>
    <row r="203" spans="1:9" x14ac:dyDescent="0.15">
      <c r="A203" s="10">
        <v>202</v>
      </c>
      <c r="B203" s="11" t="s">
        <v>9</v>
      </c>
      <c r="C203" s="11" t="s">
        <v>253</v>
      </c>
      <c r="D203" s="11" t="s">
        <v>254</v>
      </c>
      <c r="E203" s="9" t="str">
        <f>+HYPERLINK("http://trademark.i-assist.jp/data/china/image_1903th/78537566.pdf", "78537566")</f>
        <v>78537566</v>
      </c>
      <c r="F203" s="11" t="s">
        <v>886</v>
      </c>
      <c r="G203" s="11" t="s">
        <v>887</v>
      </c>
      <c r="H203" s="11" t="s">
        <v>888</v>
      </c>
      <c r="I203" s="11" t="s">
        <v>58</v>
      </c>
    </row>
    <row r="204" spans="1:9" x14ac:dyDescent="0.15">
      <c r="A204" s="10">
        <v>203</v>
      </c>
      <c r="B204" s="11" t="s">
        <v>9</v>
      </c>
      <c r="C204" s="11" t="s">
        <v>253</v>
      </c>
      <c r="D204" s="11" t="s">
        <v>254</v>
      </c>
      <c r="E204" s="9" t="str">
        <f>+HYPERLINK("http://trademark.i-assist.jp/data/china/image_1903th/78543131.pdf", "78543131")</f>
        <v>78543131</v>
      </c>
      <c r="F204" s="11" t="s">
        <v>889</v>
      </c>
      <c r="G204" s="11" t="s">
        <v>890</v>
      </c>
      <c r="H204" s="11" t="s">
        <v>891</v>
      </c>
      <c r="I204" s="11" t="s">
        <v>59</v>
      </c>
    </row>
    <row r="205" spans="1:9" x14ac:dyDescent="0.15">
      <c r="A205" s="10">
        <v>204</v>
      </c>
      <c r="B205" s="11" t="s">
        <v>9</v>
      </c>
      <c r="C205" s="11" t="s">
        <v>253</v>
      </c>
      <c r="D205" s="11" t="s">
        <v>254</v>
      </c>
      <c r="E205" s="9" t="str">
        <f>+HYPERLINK("http://trademark.i-assist.jp/data/china/image_1903th/78547282.pdf", "78547282")</f>
        <v>78547282</v>
      </c>
      <c r="F205" s="11" t="s">
        <v>892</v>
      </c>
      <c r="G205" s="11" t="s">
        <v>893</v>
      </c>
      <c r="H205" s="11" t="s">
        <v>894</v>
      </c>
      <c r="I205" s="11" t="s">
        <v>59</v>
      </c>
    </row>
    <row r="206" spans="1:9" x14ac:dyDescent="0.15">
      <c r="A206" s="10">
        <v>205</v>
      </c>
      <c r="B206" s="11" t="s">
        <v>9</v>
      </c>
      <c r="C206" s="11" t="s">
        <v>253</v>
      </c>
      <c r="D206" s="11" t="s">
        <v>254</v>
      </c>
      <c r="E206" s="9" t="str">
        <f>+HYPERLINK("http://trademark.i-assist.jp/data/china/image_1903th/78555575.pdf", "78555575")</f>
        <v>78555575</v>
      </c>
      <c r="F206" s="11" t="s">
        <v>895</v>
      </c>
      <c r="G206" s="11" t="s">
        <v>896</v>
      </c>
      <c r="H206" s="11" t="s">
        <v>897</v>
      </c>
      <c r="I206" s="11" t="s">
        <v>59</v>
      </c>
    </row>
    <row r="207" spans="1:9" x14ac:dyDescent="0.15">
      <c r="A207" s="10">
        <v>206</v>
      </c>
      <c r="B207" s="11" t="s">
        <v>9</v>
      </c>
      <c r="C207" s="11" t="s">
        <v>253</v>
      </c>
      <c r="D207" s="11" t="s">
        <v>254</v>
      </c>
      <c r="E207" s="9" t="str">
        <f>+HYPERLINK("http://trademark.i-assist.jp/data/china/image_1903th/78555728.pdf", "78555728")</f>
        <v>78555728</v>
      </c>
      <c r="F207" s="11" t="s">
        <v>898</v>
      </c>
      <c r="G207" s="11" t="s">
        <v>899</v>
      </c>
      <c r="H207" s="11" t="s">
        <v>900</v>
      </c>
      <c r="I207" s="11" t="s">
        <v>59</v>
      </c>
    </row>
    <row r="208" spans="1:9" x14ac:dyDescent="0.15">
      <c r="A208" s="10">
        <v>207</v>
      </c>
      <c r="B208" s="11" t="s">
        <v>9</v>
      </c>
      <c r="C208" s="11" t="s">
        <v>253</v>
      </c>
      <c r="D208" s="11" t="s">
        <v>254</v>
      </c>
      <c r="E208" s="9" t="str">
        <f>+HYPERLINK("http://trademark.i-assist.jp/data/china/image_1903th/78556197.pdf", "78556197")</f>
        <v>78556197</v>
      </c>
      <c r="F208" s="11" t="s">
        <v>901</v>
      </c>
      <c r="G208" s="11" t="s">
        <v>902</v>
      </c>
      <c r="H208" s="11" t="s">
        <v>903</v>
      </c>
      <c r="I208" s="11" t="s">
        <v>59</v>
      </c>
    </row>
    <row r="209" spans="1:9" x14ac:dyDescent="0.15">
      <c r="A209" s="10">
        <v>208</v>
      </c>
      <c r="B209" s="11" t="s">
        <v>9</v>
      </c>
      <c r="C209" s="11" t="s">
        <v>253</v>
      </c>
      <c r="D209" s="11" t="s">
        <v>254</v>
      </c>
      <c r="E209" s="9" t="str">
        <f>+HYPERLINK("http://trademark.i-assist.jp/data/china/image_1903th/78557232.pdf", "78557232")</f>
        <v>78557232</v>
      </c>
      <c r="F209" s="11" t="s">
        <v>904</v>
      </c>
      <c r="G209" s="11" t="s">
        <v>905</v>
      </c>
      <c r="H209" s="11" t="s">
        <v>906</v>
      </c>
      <c r="I209" s="11" t="s">
        <v>59</v>
      </c>
    </row>
    <row r="210" spans="1:9" x14ac:dyDescent="0.15">
      <c r="A210" s="10">
        <v>209</v>
      </c>
      <c r="B210" s="11" t="s">
        <v>9</v>
      </c>
      <c r="C210" s="11" t="s">
        <v>253</v>
      </c>
      <c r="D210" s="11" t="s">
        <v>254</v>
      </c>
      <c r="E210" s="9" t="str">
        <f>+HYPERLINK("http://trademark.i-assist.jp/data/china/image_1903th/78558795.pdf", "78558795")</f>
        <v>78558795</v>
      </c>
      <c r="F210" s="11" t="s">
        <v>907</v>
      </c>
      <c r="G210" s="11" t="s">
        <v>295</v>
      </c>
      <c r="H210" s="11" t="s">
        <v>908</v>
      </c>
      <c r="I210" s="11" t="s">
        <v>59</v>
      </c>
    </row>
    <row r="211" spans="1:9" x14ac:dyDescent="0.15">
      <c r="A211" s="10">
        <v>210</v>
      </c>
      <c r="B211" s="11" t="s">
        <v>9</v>
      </c>
      <c r="C211" s="11" t="s">
        <v>253</v>
      </c>
      <c r="D211" s="11" t="s">
        <v>254</v>
      </c>
      <c r="E211" s="9" t="str">
        <f>+HYPERLINK("http://trademark.i-assist.jp/data/china/image_1903th/78559176.pdf", "78559176")</f>
        <v>78559176</v>
      </c>
      <c r="F211" s="11" t="s">
        <v>909</v>
      </c>
      <c r="G211" s="11" t="s">
        <v>890</v>
      </c>
      <c r="H211" s="11" t="s">
        <v>910</v>
      </c>
      <c r="I211" s="11" t="s">
        <v>59</v>
      </c>
    </row>
    <row r="212" spans="1:9" x14ac:dyDescent="0.15">
      <c r="A212" s="10">
        <v>211</v>
      </c>
      <c r="B212" s="11" t="s">
        <v>9</v>
      </c>
      <c r="C212" s="11" t="s">
        <v>253</v>
      </c>
      <c r="D212" s="11" t="s">
        <v>254</v>
      </c>
      <c r="E212" s="9" t="str">
        <f>+HYPERLINK("http://trademark.i-assist.jp/data/china/image_1903th/78560328.pdf", "78560328")</f>
        <v>78560328</v>
      </c>
      <c r="F212" s="11" t="s">
        <v>911</v>
      </c>
      <c r="G212" s="11" t="s">
        <v>902</v>
      </c>
      <c r="H212" s="11" t="s">
        <v>912</v>
      </c>
      <c r="I212" s="11" t="s">
        <v>59</v>
      </c>
    </row>
    <row r="213" spans="1:9" x14ac:dyDescent="0.15">
      <c r="A213" s="10">
        <v>212</v>
      </c>
      <c r="B213" s="11" t="s">
        <v>9</v>
      </c>
      <c r="C213" s="11" t="s">
        <v>253</v>
      </c>
      <c r="D213" s="11" t="s">
        <v>254</v>
      </c>
      <c r="E213" s="9" t="str">
        <f>+HYPERLINK("http://trademark.i-assist.jp/data/china/image_1903th/78583147.pdf", "78583147")</f>
        <v>78583147</v>
      </c>
      <c r="F213" s="11" t="s">
        <v>913</v>
      </c>
      <c r="G213" s="11" t="s">
        <v>102</v>
      </c>
      <c r="H213" s="11" t="s">
        <v>914</v>
      </c>
      <c r="I213" s="11" t="s">
        <v>62</v>
      </c>
    </row>
    <row r="214" spans="1:9" x14ac:dyDescent="0.15">
      <c r="A214" s="10">
        <v>213</v>
      </c>
      <c r="B214" s="11" t="s">
        <v>9</v>
      </c>
      <c r="C214" s="11" t="s">
        <v>253</v>
      </c>
      <c r="D214" s="11" t="s">
        <v>254</v>
      </c>
      <c r="E214" s="9" t="str">
        <f>+HYPERLINK("http://trademark.i-assist.jp/data/china/image_1903th/78585168.pdf", "78585168")</f>
        <v>78585168</v>
      </c>
      <c r="F214" s="11" t="s">
        <v>915</v>
      </c>
      <c r="G214" s="11" t="s">
        <v>916</v>
      </c>
      <c r="H214" s="11" t="s">
        <v>917</v>
      </c>
      <c r="I214" s="11" t="s">
        <v>62</v>
      </c>
    </row>
    <row r="215" spans="1:9" x14ac:dyDescent="0.15">
      <c r="A215" s="10">
        <v>214</v>
      </c>
      <c r="B215" s="11" t="s">
        <v>9</v>
      </c>
      <c r="C215" s="11" t="s">
        <v>253</v>
      </c>
      <c r="D215" s="11" t="s">
        <v>254</v>
      </c>
      <c r="E215" s="9" t="str">
        <f>+HYPERLINK("http://trademark.i-assist.jp/data/china/image_1903th/78588544.pdf", "78588544")</f>
        <v>78588544</v>
      </c>
      <c r="F215" s="11" t="s">
        <v>918</v>
      </c>
      <c r="G215" s="11" t="s">
        <v>919</v>
      </c>
      <c r="H215" s="11" t="s">
        <v>920</v>
      </c>
      <c r="I215" s="11" t="s">
        <v>62</v>
      </c>
    </row>
    <row r="216" spans="1:9" x14ac:dyDescent="0.15">
      <c r="A216" s="10">
        <v>215</v>
      </c>
      <c r="B216" s="11" t="s">
        <v>9</v>
      </c>
      <c r="C216" s="11" t="s">
        <v>253</v>
      </c>
      <c r="D216" s="11" t="s">
        <v>254</v>
      </c>
      <c r="E216" s="9" t="str">
        <f>+HYPERLINK("http://trademark.i-assist.jp/data/china/image_1903th/78593917.pdf", "78593917")</f>
        <v>78593917</v>
      </c>
      <c r="F216" s="11" t="s">
        <v>921</v>
      </c>
      <c r="G216" s="11" t="s">
        <v>922</v>
      </c>
      <c r="H216" s="11" t="s">
        <v>923</v>
      </c>
      <c r="I216" s="11" t="s">
        <v>62</v>
      </c>
    </row>
    <row r="217" spans="1:9" x14ac:dyDescent="0.15">
      <c r="A217" s="10">
        <v>216</v>
      </c>
      <c r="B217" s="11" t="s">
        <v>9</v>
      </c>
      <c r="C217" s="11" t="s">
        <v>253</v>
      </c>
      <c r="D217" s="11" t="s">
        <v>254</v>
      </c>
      <c r="E217" s="9" t="str">
        <f>+HYPERLINK("http://trademark.i-assist.jp/data/china/image_1903th/78597783.pdf", "78597783")</f>
        <v>78597783</v>
      </c>
      <c r="F217" s="11" t="s">
        <v>924</v>
      </c>
      <c r="G217" s="11" t="s">
        <v>925</v>
      </c>
      <c r="H217" s="11" t="s">
        <v>926</v>
      </c>
      <c r="I217" s="11" t="s">
        <v>65</v>
      </c>
    </row>
    <row r="218" spans="1:9" x14ac:dyDescent="0.15">
      <c r="A218" s="10">
        <v>217</v>
      </c>
      <c r="B218" s="11" t="s">
        <v>9</v>
      </c>
      <c r="C218" s="11" t="s">
        <v>253</v>
      </c>
      <c r="D218" s="11" t="s">
        <v>254</v>
      </c>
      <c r="E218" s="9" t="str">
        <f>+HYPERLINK("http://trademark.i-assist.jp/data/china/image_1903th/78603246.pdf", "78603246")</f>
        <v>78603246</v>
      </c>
      <c r="F218" s="11" t="s">
        <v>927</v>
      </c>
      <c r="G218" s="11" t="s">
        <v>928</v>
      </c>
      <c r="H218" s="11" t="s">
        <v>929</v>
      </c>
      <c r="I218" s="11" t="s">
        <v>65</v>
      </c>
    </row>
    <row r="219" spans="1:9" x14ac:dyDescent="0.15">
      <c r="A219" s="10">
        <v>218</v>
      </c>
      <c r="B219" s="11" t="s">
        <v>9</v>
      </c>
      <c r="C219" s="11" t="s">
        <v>253</v>
      </c>
      <c r="D219" s="11" t="s">
        <v>254</v>
      </c>
      <c r="E219" s="9" t="str">
        <f>+HYPERLINK("http://trademark.i-assist.jp/data/china/image_1903th/78606613.pdf", "78606613")</f>
        <v>78606613</v>
      </c>
      <c r="F219" s="11" t="s">
        <v>12</v>
      </c>
      <c r="G219" s="11" t="s">
        <v>930</v>
      </c>
      <c r="H219" s="11" t="s">
        <v>931</v>
      </c>
      <c r="I219" s="11" t="s">
        <v>65</v>
      </c>
    </row>
    <row r="220" spans="1:9" x14ac:dyDescent="0.15">
      <c r="A220" s="10">
        <v>219</v>
      </c>
      <c r="B220" s="11" t="s">
        <v>9</v>
      </c>
      <c r="C220" s="11" t="s">
        <v>253</v>
      </c>
      <c r="D220" s="11" t="s">
        <v>254</v>
      </c>
      <c r="E220" s="9" t="str">
        <f>+HYPERLINK("http://trademark.i-assist.jp/data/china/image_1903th/78606931.pdf", "78606931")</f>
        <v>78606931</v>
      </c>
      <c r="F220" s="11" t="s">
        <v>932</v>
      </c>
      <c r="G220" s="11" t="s">
        <v>933</v>
      </c>
      <c r="H220" s="11" t="s">
        <v>934</v>
      </c>
      <c r="I220" s="11" t="s">
        <v>65</v>
      </c>
    </row>
    <row r="221" spans="1:9" x14ac:dyDescent="0.15">
      <c r="A221" s="10">
        <v>220</v>
      </c>
      <c r="B221" s="11" t="s">
        <v>9</v>
      </c>
      <c r="C221" s="11" t="s">
        <v>253</v>
      </c>
      <c r="D221" s="11" t="s">
        <v>254</v>
      </c>
      <c r="E221" s="9" t="str">
        <f>+HYPERLINK("http://trademark.i-assist.jp/data/china/image_1903th/78610368.pdf", "78610368")</f>
        <v>78610368</v>
      </c>
      <c r="F221" s="11" t="s">
        <v>935</v>
      </c>
      <c r="G221" s="11" t="s">
        <v>936</v>
      </c>
      <c r="H221" s="11" t="s">
        <v>937</v>
      </c>
      <c r="I221" s="11" t="s">
        <v>65</v>
      </c>
    </row>
    <row r="222" spans="1:9" x14ac:dyDescent="0.15">
      <c r="A222" s="10">
        <v>221</v>
      </c>
      <c r="B222" s="11" t="s">
        <v>9</v>
      </c>
      <c r="C222" s="11" t="s">
        <v>253</v>
      </c>
      <c r="D222" s="11" t="s">
        <v>254</v>
      </c>
      <c r="E222" s="9" t="str">
        <f>+HYPERLINK("http://trademark.i-assist.jp/data/china/image_1903th/78613556.pdf", "78613556")</f>
        <v>78613556</v>
      </c>
      <c r="F222" s="11" t="s">
        <v>938</v>
      </c>
      <c r="G222" s="11" t="s">
        <v>939</v>
      </c>
      <c r="H222" s="11" t="s">
        <v>940</v>
      </c>
      <c r="I222" s="11" t="s">
        <v>65</v>
      </c>
    </row>
    <row r="223" spans="1:9" x14ac:dyDescent="0.15">
      <c r="A223" s="10">
        <v>222</v>
      </c>
      <c r="B223" s="11" t="s">
        <v>9</v>
      </c>
      <c r="C223" s="11" t="s">
        <v>253</v>
      </c>
      <c r="D223" s="11" t="s">
        <v>254</v>
      </c>
      <c r="E223" s="9" t="str">
        <f>+HYPERLINK("http://trademark.i-assist.jp/data/china/image_1903th/78617619.pdf", "78617619")</f>
        <v>78617619</v>
      </c>
      <c r="F223" s="11" t="s">
        <v>941</v>
      </c>
      <c r="G223" s="11" t="s">
        <v>942</v>
      </c>
      <c r="H223" s="11" t="s">
        <v>943</v>
      </c>
      <c r="I223" s="11" t="s">
        <v>65</v>
      </c>
    </row>
    <row r="224" spans="1:9" x14ac:dyDescent="0.15">
      <c r="A224" s="10">
        <v>223</v>
      </c>
      <c r="B224" s="11" t="s">
        <v>9</v>
      </c>
      <c r="C224" s="11" t="s">
        <v>253</v>
      </c>
      <c r="D224" s="11" t="s">
        <v>254</v>
      </c>
      <c r="E224" s="9" t="str">
        <f>+HYPERLINK("http://trademark.i-assist.jp/data/china/image_1903th/78620016.pdf", "78620016")</f>
        <v>78620016</v>
      </c>
      <c r="F224" s="11" t="s">
        <v>944</v>
      </c>
      <c r="G224" s="11" t="s">
        <v>945</v>
      </c>
      <c r="H224" s="11" t="s">
        <v>946</v>
      </c>
      <c r="I224" s="11" t="s">
        <v>65</v>
      </c>
    </row>
    <row r="225" spans="1:9" x14ac:dyDescent="0.15">
      <c r="A225" s="10">
        <v>224</v>
      </c>
      <c r="B225" s="11" t="s">
        <v>9</v>
      </c>
      <c r="C225" s="11" t="s">
        <v>253</v>
      </c>
      <c r="D225" s="11" t="s">
        <v>254</v>
      </c>
      <c r="E225" s="9" t="str">
        <f>+HYPERLINK("http://trademark.i-assist.jp/data/china/image_1903th/78624751.pdf", "78624751")</f>
        <v>78624751</v>
      </c>
      <c r="F225" s="11" t="s">
        <v>947</v>
      </c>
      <c r="G225" s="11" t="s">
        <v>948</v>
      </c>
      <c r="H225" s="11" t="s">
        <v>949</v>
      </c>
      <c r="I225" s="11" t="s">
        <v>104</v>
      </c>
    </row>
    <row r="226" spans="1:9" x14ac:dyDescent="0.15">
      <c r="A226" s="10">
        <v>225</v>
      </c>
      <c r="B226" s="11" t="s">
        <v>9</v>
      </c>
      <c r="C226" s="11" t="s">
        <v>253</v>
      </c>
      <c r="D226" s="11" t="s">
        <v>254</v>
      </c>
      <c r="E226" s="9" t="str">
        <f>+HYPERLINK("http://trademark.i-assist.jp/data/china/image_1903th/78630240.pdf", "78630240")</f>
        <v>78630240</v>
      </c>
      <c r="F226" s="11" t="s">
        <v>950</v>
      </c>
      <c r="G226" s="11" t="s">
        <v>951</v>
      </c>
      <c r="H226" s="11" t="s">
        <v>952</v>
      </c>
      <c r="I226" s="11" t="s">
        <v>104</v>
      </c>
    </row>
    <row r="227" spans="1:9" x14ac:dyDescent="0.15">
      <c r="A227" s="10">
        <v>226</v>
      </c>
      <c r="B227" s="11" t="s">
        <v>9</v>
      </c>
      <c r="C227" s="11" t="s">
        <v>253</v>
      </c>
      <c r="D227" s="11" t="s">
        <v>254</v>
      </c>
      <c r="E227" s="9" t="str">
        <f>+HYPERLINK("http://trademark.i-assist.jp/data/china/image_1903th/78636001.pdf", "78636001")</f>
        <v>78636001</v>
      </c>
      <c r="F227" s="11" t="s">
        <v>953</v>
      </c>
      <c r="G227" s="11" t="s">
        <v>954</v>
      </c>
      <c r="H227" s="11" t="s">
        <v>955</v>
      </c>
      <c r="I227" s="11" t="s">
        <v>104</v>
      </c>
    </row>
    <row r="228" spans="1:9" x14ac:dyDescent="0.15">
      <c r="A228" s="10">
        <v>227</v>
      </c>
      <c r="B228" s="11" t="s">
        <v>9</v>
      </c>
      <c r="C228" s="11" t="s">
        <v>253</v>
      </c>
      <c r="D228" s="11" t="s">
        <v>254</v>
      </c>
      <c r="E228" s="9" t="str">
        <f>+HYPERLINK("http://trademark.i-assist.jp/data/china/image_1903th/78647012.pdf", "78647012")</f>
        <v>78647012</v>
      </c>
      <c r="F228" s="11" t="s">
        <v>956</v>
      </c>
      <c r="G228" s="11" t="s">
        <v>957</v>
      </c>
      <c r="H228" s="11" t="s">
        <v>958</v>
      </c>
      <c r="I228" s="11" t="s">
        <v>104</v>
      </c>
    </row>
    <row r="229" spans="1:9" x14ac:dyDescent="0.15">
      <c r="A229" s="10">
        <v>228</v>
      </c>
      <c r="B229" s="11" t="s">
        <v>9</v>
      </c>
      <c r="C229" s="11" t="s">
        <v>253</v>
      </c>
      <c r="D229" s="11" t="s">
        <v>254</v>
      </c>
      <c r="E229" s="9" t="str">
        <f>+HYPERLINK("http://trademark.i-assist.jp/data/china/image_1903th/78648544.pdf", "78648544")</f>
        <v>78648544</v>
      </c>
      <c r="F229" s="11" t="s">
        <v>959</v>
      </c>
      <c r="G229" s="11" t="s">
        <v>106</v>
      </c>
      <c r="H229" s="11" t="s">
        <v>960</v>
      </c>
      <c r="I229" s="11" t="s">
        <v>104</v>
      </c>
    </row>
    <row r="230" spans="1:9" x14ac:dyDescent="0.15">
      <c r="A230" s="10">
        <v>229</v>
      </c>
      <c r="B230" s="11" t="s">
        <v>9</v>
      </c>
      <c r="C230" s="11" t="s">
        <v>253</v>
      </c>
      <c r="D230" s="11" t="s">
        <v>254</v>
      </c>
      <c r="E230" s="9" t="str">
        <f>+HYPERLINK("http://trademark.i-assist.jp/data/china/image_1903th/78659447.pdf", "78659447")</f>
        <v>78659447</v>
      </c>
      <c r="F230" s="11" t="s">
        <v>12</v>
      </c>
      <c r="G230" s="11" t="s">
        <v>961</v>
      </c>
      <c r="H230" s="11" t="s">
        <v>962</v>
      </c>
      <c r="I230" s="11" t="s">
        <v>108</v>
      </c>
    </row>
    <row r="231" spans="1:9" x14ac:dyDescent="0.15">
      <c r="A231" s="10">
        <v>230</v>
      </c>
      <c r="B231" s="11" t="s">
        <v>9</v>
      </c>
      <c r="C231" s="11" t="s">
        <v>253</v>
      </c>
      <c r="D231" s="11" t="s">
        <v>254</v>
      </c>
      <c r="E231" s="9" t="str">
        <f>+HYPERLINK("http://trademark.i-assist.jp/data/china/image_1903th/78660064.pdf", "78660064")</f>
        <v>78660064</v>
      </c>
      <c r="F231" s="11" t="s">
        <v>963</v>
      </c>
      <c r="G231" s="11" t="s">
        <v>964</v>
      </c>
      <c r="H231" s="11" t="s">
        <v>965</v>
      </c>
      <c r="I231" s="11" t="s">
        <v>108</v>
      </c>
    </row>
    <row r="232" spans="1:9" x14ac:dyDescent="0.15">
      <c r="A232" s="10">
        <v>231</v>
      </c>
      <c r="B232" s="11" t="s">
        <v>9</v>
      </c>
      <c r="C232" s="11" t="s">
        <v>253</v>
      </c>
      <c r="D232" s="11" t="s">
        <v>254</v>
      </c>
      <c r="E232" s="9" t="str">
        <f>+HYPERLINK("http://trademark.i-assist.jp/data/china/image_1903th/78661652.pdf", "78661652")</f>
        <v>78661652</v>
      </c>
      <c r="F232" s="11" t="s">
        <v>966</v>
      </c>
      <c r="G232" s="11" t="s">
        <v>967</v>
      </c>
      <c r="H232" s="11" t="s">
        <v>968</v>
      </c>
      <c r="I232" s="11" t="s">
        <v>108</v>
      </c>
    </row>
    <row r="233" spans="1:9" x14ac:dyDescent="0.15">
      <c r="A233" s="10">
        <v>232</v>
      </c>
      <c r="B233" s="11" t="s">
        <v>9</v>
      </c>
      <c r="C233" s="11" t="s">
        <v>253</v>
      </c>
      <c r="D233" s="11" t="s">
        <v>254</v>
      </c>
      <c r="E233" s="9" t="str">
        <f>+HYPERLINK("http://trademark.i-assist.jp/data/china/image_1903th/78669731.pdf", "78669731")</f>
        <v>78669731</v>
      </c>
      <c r="F233" s="11" t="s">
        <v>969</v>
      </c>
      <c r="G233" s="11" t="s">
        <v>970</v>
      </c>
      <c r="H233" s="11" t="s">
        <v>971</v>
      </c>
      <c r="I233" s="11" t="s">
        <v>108</v>
      </c>
    </row>
    <row r="234" spans="1:9" x14ac:dyDescent="0.15">
      <c r="A234" s="10">
        <v>233</v>
      </c>
      <c r="B234" s="11" t="s">
        <v>9</v>
      </c>
      <c r="C234" s="11" t="s">
        <v>253</v>
      </c>
      <c r="D234" s="11" t="s">
        <v>254</v>
      </c>
      <c r="E234" s="9" t="str">
        <f>+HYPERLINK("http://trademark.i-assist.jp/data/china/image_1903th/78672638.pdf", "78672638")</f>
        <v>78672638</v>
      </c>
      <c r="F234" s="11" t="s">
        <v>972</v>
      </c>
      <c r="G234" s="11" t="s">
        <v>973</v>
      </c>
      <c r="H234" s="11" t="s">
        <v>974</v>
      </c>
      <c r="I234" s="11" t="s">
        <v>108</v>
      </c>
    </row>
    <row r="235" spans="1:9" x14ac:dyDescent="0.15">
      <c r="A235" s="10">
        <v>234</v>
      </c>
      <c r="B235" s="11" t="s">
        <v>9</v>
      </c>
      <c r="C235" s="11" t="s">
        <v>253</v>
      </c>
      <c r="D235" s="11" t="s">
        <v>254</v>
      </c>
      <c r="E235" s="9" t="str">
        <f>+HYPERLINK("http://trademark.i-assist.jp/data/china/image_1903th/78678730.pdf", "78678730")</f>
        <v>78678730</v>
      </c>
      <c r="F235" s="11" t="s">
        <v>975</v>
      </c>
      <c r="G235" s="11" t="s">
        <v>976</v>
      </c>
      <c r="H235" s="11" t="s">
        <v>977</v>
      </c>
      <c r="I235" s="11" t="s">
        <v>108</v>
      </c>
    </row>
    <row r="236" spans="1:9" x14ac:dyDescent="0.15">
      <c r="A236" s="10">
        <v>235</v>
      </c>
      <c r="B236" s="11" t="s">
        <v>9</v>
      </c>
      <c r="C236" s="11" t="s">
        <v>253</v>
      </c>
      <c r="D236" s="11" t="s">
        <v>254</v>
      </c>
      <c r="E236" s="9" t="str">
        <f>+HYPERLINK("http://trademark.i-assist.jp/data/china/image_1903th/78681310.pdf", "78681310")</f>
        <v>78681310</v>
      </c>
      <c r="F236" s="11" t="s">
        <v>978</v>
      </c>
      <c r="G236" s="11" t="s">
        <v>979</v>
      </c>
      <c r="H236" s="11" t="s">
        <v>980</v>
      </c>
      <c r="I236" s="11" t="s">
        <v>110</v>
      </c>
    </row>
    <row r="237" spans="1:9" x14ac:dyDescent="0.15">
      <c r="A237" s="10">
        <v>236</v>
      </c>
      <c r="B237" s="11" t="s">
        <v>9</v>
      </c>
      <c r="C237" s="11" t="s">
        <v>253</v>
      </c>
      <c r="D237" s="11" t="s">
        <v>254</v>
      </c>
      <c r="E237" s="9" t="str">
        <f>+HYPERLINK("http://trademark.i-assist.jp/data/china/image_1903th/78682969.pdf", "78682969")</f>
        <v>78682969</v>
      </c>
      <c r="F237" s="11" t="s">
        <v>981</v>
      </c>
      <c r="G237" s="11" t="s">
        <v>982</v>
      </c>
      <c r="H237" s="11" t="s">
        <v>983</v>
      </c>
      <c r="I237" s="11" t="s">
        <v>110</v>
      </c>
    </row>
    <row r="238" spans="1:9" x14ac:dyDescent="0.15">
      <c r="A238" s="10">
        <v>237</v>
      </c>
      <c r="B238" s="11" t="s">
        <v>9</v>
      </c>
      <c r="C238" s="11" t="s">
        <v>253</v>
      </c>
      <c r="D238" s="11" t="s">
        <v>254</v>
      </c>
      <c r="E238" s="9" t="str">
        <f>+HYPERLINK("http://trademark.i-assist.jp/data/china/image_1903th/78685090.pdf", "78685090")</f>
        <v>78685090</v>
      </c>
      <c r="F238" s="11" t="s">
        <v>984</v>
      </c>
      <c r="G238" s="11" t="s">
        <v>985</v>
      </c>
      <c r="H238" s="11" t="s">
        <v>986</v>
      </c>
      <c r="I238" s="11" t="s">
        <v>110</v>
      </c>
    </row>
    <row r="239" spans="1:9" x14ac:dyDescent="0.15">
      <c r="A239" s="10">
        <v>238</v>
      </c>
      <c r="B239" s="11" t="s">
        <v>9</v>
      </c>
      <c r="C239" s="11" t="s">
        <v>253</v>
      </c>
      <c r="D239" s="11" t="s">
        <v>254</v>
      </c>
      <c r="E239" s="9" t="str">
        <f>+HYPERLINK("http://trademark.i-assist.jp/data/china/image_1903th/78695088.pdf", "78695088")</f>
        <v>78695088</v>
      </c>
      <c r="F239" s="11" t="s">
        <v>987</v>
      </c>
      <c r="G239" s="11" t="s">
        <v>988</v>
      </c>
      <c r="H239" s="11" t="s">
        <v>989</v>
      </c>
      <c r="I239" s="11" t="s">
        <v>111</v>
      </c>
    </row>
    <row r="240" spans="1:9" x14ac:dyDescent="0.15">
      <c r="A240" s="10">
        <v>239</v>
      </c>
      <c r="B240" s="11" t="s">
        <v>9</v>
      </c>
      <c r="C240" s="11" t="s">
        <v>253</v>
      </c>
      <c r="D240" s="11" t="s">
        <v>254</v>
      </c>
      <c r="E240" s="9" t="str">
        <f>+HYPERLINK("http://trademark.i-assist.jp/data/china/image_1903th/78702274.pdf", "78702274")</f>
        <v>78702274</v>
      </c>
      <c r="F240" s="11" t="s">
        <v>990</v>
      </c>
      <c r="G240" s="11" t="s">
        <v>991</v>
      </c>
      <c r="H240" s="11" t="s">
        <v>992</v>
      </c>
      <c r="I240" s="11" t="s">
        <v>111</v>
      </c>
    </row>
    <row r="241" spans="1:9" x14ac:dyDescent="0.15">
      <c r="A241" s="10">
        <v>240</v>
      </c>
      <c r="B241" s="11" t="s">
        <v>9</v>
      </c>
      <c r="C241" s="11" t="s">
        <v>253</v>
      </c>
      <c r="D241" s="11" t="s">
        <v>254</v>
      </c>
      <c r="E241" s="9" t="str">
        <f>+HYPERLINK("http://trademark.i-assist.jp/data/china/image_1903th/78708930.pdf", "78708930")</f>
        <v>78708930</v>
      </c>
      <c r="F241" s="11" t="s">
        <v>993</v>
      </c>
      <c r="G241" s="11" t="s">
        <v>994</v>
      </c>
      <c r="H241" s="11" t="s">
        <v>995</v>
      </c>
      <c r="I241" s="11" t="s">
        <v>111</v>
      </c>
    </row>
    <row r="242" spans="1:9" x14ac:dyDescent="0.15">
      <c r="A242" s="10">
        <v>241</v>
      </c>
      <c r="B242" s="11" t="s">
        <v>9</v>
      </c>
      <c r="C242" s="11" t="s">
        <v>253</v>
      </c>
      <c r="D242" s="11" t="s">
        <v>254</v>
      </c>
      <c r="E242" s="9" t="str">
        <f>+HYPERLINK("http://trademark.i-assist.jp/data/china/image_1903th/78711464.pdf", "78711464")</f>
        <v>78711464</v>
      </c>
      <c r="F242" s="11" t="s">
        <v>996</v>
      </c>
      <c r="G242" s="11" t="s">
        <v>997</v>
      </c>
      <c r="H242" s="11" t="s">
        <v>995</v>
      </c>
      <c r="I242" s="11" t="s">
        <v>111</v>
      </c>
    </row>
    <row r="243" spans="1:9" x14ac:dyDescent="0.15">
      <c r="A243" s="10">
        <v>242</v>
      </c>
      <c r="B243" s="11" t="s">
        <v>9</v>
      </c>
      <c r="C243" s="11" t="s">
        <v>253</v>
      </c>
      <c r="D243" s="11" t="s">
        <v>254</v>
      </c>
      <c r="E243" s="9" t="str">
        <f>+HYPERLINK("http://trademark.i-assist.jp/data/china/image_1903th/78712875.pdf", "78712875")</f>
        <v>78712875</v>
      </c>
      <c r="F243" s="11" t="s">
        <v>998</v>
      </c>
      <c r="G243" s="11" t="s">
        <v>994</v>
      </c>
      <c r="H243" s="11" t="s">
        <v>999</v>
      </c>
      <c r="I243" s="11" t="s">
        <v>111</v>
      </c>
    </row>
    <row r="244" spans="1:9" x14ac:dyDescent="0.15">
      <c r="A244" s="10">
        <v>243</v>
      </c>
      <c r="B244" s="11" t="s">
        <v>9</v>
      </c>
      <c r="C244" s="11" t="s">
        <v>253</v>
      </c>
      <c r="D244" s="11" t="s">
        <v>254</v>
      </c>
      <c r="E244" s="9" t="str">
        <f>+HYPERLINK("http://trademark.i-assist.jp/data/china/image_1903th/78714695.pdf", "78714695")</f>
        <v>78714695</v>
      </c>
      <c r="F244" s="11" t="s">
        <v>1000</v>
      </c>
      <c r="G244" s="11" t="s">
        <v>1001</v>
      </c>
      <c r="H244" s="11" t="s">
        <v>999</v>
      </c>
      <c r="I244" s="11" t="s">
        <v>111</v>
      </c>
    </row>
    <row r="245" spans="1:9" x14ac:dyDescent="0.15">
      <c r="A245" s="10">
        <v>244</v>
      </c>
      <c r="B245" s="11" t="s">
        <v>9</v>
      </c>
      <c r="C245" s="11" t="s">
        <v>253</v>
      </c>
      <c r="D245" s="11" t="s">
        <v>254</v>
      </c>
      <c r="E245" s="9" t="str">
        <f>+HYPERLINK("http://trademark.i-assist.jp/data/china/image_1903th/78716303.pdf", "78716303")</f>
        <v>78716303</v>
      </c>
      <c r="F245" s="11" t="s">
        <v>1002</v>
      </c>
      <c r="G245" s="11" t="s">
        <v>1003</v>
      </c>
      <c r="H245" s="11" t="s">
        <v>1004</v>
      </c>
      <c r="I245" s="11" t="s">
        <v>111</v>
      </c>
    </row>
    <row r="246" spans="1:9" x14ac:dyDescent="0.15">
      <c r="A246" s="10">
        <v>245</v>
      </c>
      <c r="B246" s="11" t="s">
        <v>9</v>
      </c>
      <c r="C246" s="11" t="s">
        <v>253</v>
      </c>
      <c r="D246" s="11" t="s">
        <v>254</v>
      </c>
      <c r="E246" s="9" t="str">
        <f>+HYPERLINK("http://trademark.i-assist.jp/data/china/image_1903th/78721534.pdf", "78721534")</f>
        <v>78721534</v>
      </c>
      <c r="F246" s="11" t="s">
        <v>1005</v>
      </c>
      <c r="G246" s="11" t="s">
        <v>1006</v>
      </c>
      <c r="H246" s="11" t="s">
        <v>999</v>
      </c>
      <c r="I246" s="11" t="s">
        <v>111</v>
      </c>
    </row>
    <row r="247" spans="1:9" x14ac:dyDescent="0.15">
      <c r="A247" s="10">
        <v>246</v>
      </c>
      <c r="B247" s="11" t="s">
        <v>9</v>
      </c>
      <c r="C247" s="11" t="s">
        <v>253</v>
      </c>
      <c r="D247" s="11" t="s">
        <v>254</v>
      </c>
      <c r="E247" s="9" t="str">
        <f>+HYPERLINK("http://trademark.i-assist.jp/data/china/image_1903th/78725642.pdf", "78725642")</f>
        <v>78725642</v>
      </c>
      <c r="F247" s="11" t="s">
        <v>1007</v>
      </c>
      <c r="G247" s="11" t="s">
        <v>1008</v>
      </c>
      <c r="H247" s="11" t="s">
        <v>1009</v>
      </c>
      <c r="I247" s="11" t="s">
        <v>113</v>
      </c>
    </row>
    <row r="248" spans="1:9" x14ac:dyDescent="0.15">
      <c r="A248" s="10">
        <v>247</v>
      </c>
      <c r="B248" s="11" t="s">
        <v>9</v>
      </c>
      <c r="C248" s="11" t="s">
        <v>253</v>
      </c>
      <c r="D248" s="11" t="s">
        <v>254</v>
      </c>
      <c r="E248" s="9" t="str">
        <f>+HYPERLINK("http://trademark.i-assist.jp/data/china/image_1903th/78728253.pdf", "78728253")</f>
        <v>78728253</v>
      </c>
      <c r="F248" s="11" t="s">
        <v>1010</v>
      </c>
      <c r="G248" s="11" t="s">
        <v>103</v>
      </c>
      <c r="H248" s="11" t="s">
        <v>1011</v>
      </c>
      <c r="I248" s="11" t="s">
        <v>113</v>
      </c>
    </row>
    <row r="249" spans="1:9" x14ac:dyDescent="0.15">
      <c r="A249" s="10">
        <v>248</v>
      </c>
      <c r="B249" s="11" t="s">
        <v>9</v>
      </c>
      <c r="C249" s="11" t="s">
        <v>253</v>
      </c>
      <c r="D249" s="11" t="s">
        <v>254</v>
      </c>
      <c r="E249" s="9" t="str">
        <f>+HYPERLINK("http://trademark.i-assist.jp/data/china/image_1903th/78729214.pdf", "78729214")</f>
        <v>78729214</v>
      </c>
      <c r="F249" s="11" t="s">
        <v>1012</v>
      </c>
      <c r="G249" s="11" t="s">
        <v>1013</v>
      </c>
      <c r="H249" s="11" t="s">
        <v>1014</v>
      </c>
      <c r="I249" s="11" t="s">
        <v>113</v>
      </c>
    </row>
    <row r="250" spans="1:9" x14ac:dyDescent="0.15">
      <c r="A250" s="10">
        <v>249</v>
      </c>
      <c r="B250" s="11" t="s">
        <v>9</v>
      </c>
      <c r="C250" s="11" t="s">
        <v>253</v>
      </c>
      <c r="D250" s="11" t="s">
        <v>254</v>
      </c>
      <c r="E250" s="9" t="str">
        <f>+HYPERLINK("http://trademark.i-assist.jp/data/china/image_1903th/78729773.pdf", "78729773")</f>
        <v>78729773</v>
      </c>
      <c r="F250" s="11" t="s">
        <v>1012</v>
      </c>
      <c r="G250" s="11" t="s">
        <v>1013</v>
      </c>
      <c r="H250" s="11" t="s">
        <v>1015</v>
      </c>
      <c r="I250" s="11" t="s">
        <v>113</v>
      </c>
    </row>
    <row r="251" spans="1:9" x14ac:dyDescent="0.15">
      <c r="A251" s="10">
        <v>250</v>
      </c>
      <c r="B251" s="11" t="s">
        <v>9</v>
      </c>
      <c r="C251" s="11" t="s">
        <v>253</v>
      </c>
      <c r="D251" s="11" t="s">
        <v>254</v>
      </c>
      <c r="E251" s="9" t="str">
        <f>+HYPERLINK("http://trademark.i-assist.jp/data/china/image_1903th/78733731.pdf", "78733731")</f>
        <v>78733731</v>
      </c>
      <c r="F251" s="11" t="s">
        <v>12</v>
      </c>
      <c r="G251" s="11" t="s">
        <v>1016</v>
      </c>
      <c r="H251" s="11" t="s">
        <v>1017</v>
      </c>
      <c r="I251" s="11" t="s">
        <v>113</v>
      </c>
    </row>
    <row r="252" spans="1:9" x14ac:dyDescent="0.15">
      <c r="A252" s="10">
        <v>251</v>
      </c>
      <c r="B252" s="11" t="s">
        <v>9</v>
      </c>
      <c r="C252" s="11" t="s">
        <v>253</v>
      </c>
      <c r="D252" s="11" t="s">
        <v>254</v>
      </c>
      <c r="E252" s="9" t="str">
        <f>+HYPERLINK("http://trademark.i-assist.jp/data/china/image_1903th/78734375.pdf", "78734375")</f>
        <v>78734375</v>
      </c>
      <c r="F252" s="11" t="s">
        <v>1018</v>
      </c>
      <c r="G252" s="11" t="s">
        <v>1019</v>
      </c>
      <c r="H252" s="11" t="s">
        <v>1020</v>
      </c>
      <c r="I252" s="11" t="s">
        <v>113</v>
      </c>
    </row>
    <row r="253" spans="1:9" x14ac:dyDescent="0.15">
      <c r="A253" s="10">
        <v>252</v>
      </c>
      <c r="B253" s="11" t="s">
        <v>9</v>
      </c>
      <c r="C253" s="11" t="s">
        <v>253</v>
      </c>
      <c r="D253" s="11" t="s">
        <v>254</v>
      </c>
      <c r="E253" s="9" t="str">
        <f>+HYPERLINK("http://trademark.i-assist.jp/data/china/image_1903th/78734798.pdf", "78734798")</f>
        <v>78734798</v>
      </c>
      <c r="F253" s="11" t="s">
        <v>1021</v>
      </c>
      <c r="G253" s="11" t="s">
        <v>1008</v>
      </c>
      <c r="H253" s="11" t="s">
        <v>1022</v>
      </c>
      <c r="I253" s="11" t="s">
        <v>113</v>
      </c>
    </row>
    <row r="254" spans="1:9" x14ac:dyDescent="0.15">
      <c r="A254" s="10">
        <v>253</v>
      </c>
      <c r="B254" s="11" t="s">
        <v>9</v>
      </c>
      <c r="C254" s="11" t="s">
        <v>253</v>
      </c>
      <c r="D254" s="11" t="s">
        <v>254</v>
      </c>
      <c r="E254" s="9" t="str">
        <f>+HYPERLINK("http://trademark.i-assist.jp/data/china/image_1903th/78736401.pdf", "78736401")</f>
        <v>78736401</v>
      </c>
      <c r="F254" s="11" t="s">
        <v>1023</v>
      </c>
      <c r="G254" s="11" t="s">
        <v>1024</v>
      </c>
      <c r="H254" s="11" t="s">
        <v>1025</v>
      </c>
      <c r="I254" s="11" t="s">
        <v>113</v>
      </c>
    </row>
    <row r="255" spans="1:9" x14ac:dyDescent="0.15">
      <c r="A255" s="10">
        <v>254</v>
      </c>
      <c r="B255" s="11" t="s">
        <v>9</v>
      </c>
      <c r="C255" s="11" t="s">
        <v>253</v>
      </c>
      <c r="D255" s="11" t="s">
        <v>254</v>
      </c>
      <c r="E255" s="9" t="str">
        <f>+HYPERLINK("http://trademark.i-assist.jp/data/china/image_1903th/78737729.pdf", "78737729")</f>
        <v>78737729</v>
      </c>
      <c r="F255" s="11" t="s">
        <v>1026</v>
      </c>
      <c r="G255" s="11" t="s">
        <v>1008</v>
      </c>
      <c r="H255" s="11" t="s">
        <v>1027</v>
      </c>
      <c r="I255" s="11" t="s">
        <v>113</v>
      </c>
    </row>
    <row r="256" spans="1:9" x14ac:dyDescent="0.15">
      <c r="A256" s="10">
        <v>255</v>
      </c>
      <c r="B256" s="11" t="s">
        <v>9</v>
      </c>
      <c r="C256" s="11" t="s">
        <v>253</v>
      </c>
      <c r="D256" s="11" t="s">
        <v>254</v>
      </c>
      <c r="E256" s="9" t="str">
        <f>+HYPERLINK("http://trademark.i-assist.jp/data/china/image_1903th/78737994.pdf", "78737994")</f>
        <v>78737994</v>
      </c>
      <c r="F256" s="11" t="s">
        <v>1028</v>
      </c>
      <c r="G256" s="11" t="s">
        <v>1029</v>
      </c>
      <c r="H256" s="11" t="s">
        <v>1030</v>
      </c>
      <c r="I256" s="11" t="s">
        <v>113</v>
      </c>
    </row>
    <row r="257" spans="1:9" x14ac:dyDescent="0.15">
      <c r="A257" s="10">
        <v>256</v>
      </c>
      <c r="B257" s="11" t="s">
        <v>9</v>
      </c>
      <c r="C257" s="11" t="s">
        <v>253</v>
      </c>
      <c r="D257" s="11" t="s">
        <v>254</v>
      </c>
      <c r="E257" s="9" t="str">
        <f>+HYPERLINK("http://trademark.i-assist.jp/data/china/image_1903th/78738263.pdf", "78738263")</f>
        <v>78738263</v>
      </c>
      <c r="F257" s="11" t="s">
        <v>1031</v>
      </c>
      <c r="G257" s="11" t="s">
        <v>1032</v>
      </c>
      <c r="H257" s="11" t="s">
        <v>1033</v>
      </c>
      <c r="I257" s="11" t="s">
        <v>113</v>
      </c>
    </row>
    <row r="258" spans="1:9" x14ac:dyDescent="0.15">
      <c r="A258" s="10">
        <v>257</v>
      </c>
      <c r="B258" s="11" t="s">
        <v>9</v>
      </c>
      <c r="C258" s="11" t="s">
        <v>253</v>
      </c>
      <c r="D258" s="11" t="s">
        <v>254</v>
      </c>
      <c r="E258" s="9" t="str">
        <f>+HYPERLINK("http://trademark.i-assist.jp/data/china/image_1903th/78740676.pdf", "78740676")</f>
        <v>78740676</v>
      </c>
      <c r="F258" s="11" t="s">
        <v>1034</v>
      </c>
      <c r="G258" s="11" t="s">
        <v>1035</v>
      </c>
      <c r="H258" s="11" t="s">
        <v>1036</v>
      </c>
      <c r="I258" s="11" t="s">
        <v>113</v>
      </c>
    </row>
    <row r="259" spans="1:9" x14ac:dyDescent="0.15">
      <c r="A259" s="10">
        <v>258</v>
      </c>
      <c r="B259" s="11" t="s">
        <v>9</v>
      </c>
      <c r="C259" s="11" t="s">
        <v>253</v>
      </c>
      <c r="D259" s="11" t="s">
        <v>254</v>
      </c>
      <c r="E259" s="9" t="str">
        <f>+HYPERLINK("http://trademark.i-assist.jp/data/china/image_1903th/78741145.pdf", "78741145")</f>
        <v>78741145</v>
      </c>
      <c r="F259" s="11" t="s">
        <v>1037</v>
      </c>
      <c r="G259" s="11" t="s">
        <v>1006</v>
      </c>
      <c r="H259" s="11" t="s">
        <v>1038</v>
      </c>
      <c r="I259" s="11" t="s">
        <v>113</v>
      </c>
    </row>
    <row r="260" spans="1:9" x14ac:dyDescent="0.15">
      <c r="A260" s="10">
        <v>259</v>
      </c>
      <c r="B260" s="11" t="s">
        <v>9</v>
      </c>
      <c r="C260" s="11" t="s">
        <v>253</v>
      </c>
      <c r="D260" s="11" t="s">
        <v>254</v>
      </c>
      <c r="E260" s="9" t="str">
        <f>+HYPERLINK("http://trademark.i-assist.jp/data/china/image_1903th/78742188.pdf", "78742188")</f>
        <v>78742188</v>
      </c>
      <c r="F260" s="11" t="s">
        <v>1039</v>
      </c>
      <c r="G260" s="11" t="s">
        <v>1040</v>
      </c>
      <c r="H260" s="11" t="s">
        <v>1041</v>
      </c>
      <c r="I260" s="11" t="s">
        <v>113</v>
      </c>
    </row>
    <row r="261" spans="1:9" x14ac:dyDescent="0.15">
      <c r="A261" s="10">
        <v>260</v>
      </c>
      <c r="B261" s="11" t="s">
        <v>9</v>
      </c>
      <c r="C261" s="11" t="s">
        <v>253</v>
      </c>
      <c r="D261" s="11" t="s">
        <v>254</v>
      </c>
      <c r="E261" s="9" t="str">
        <f>+HYPERLINK("http://trademark.i-assist.jp/data/china/image_1903th/78748933.pdf", "78748933")</f>
        <v>78748933</v>
      </c>
      <c r="F261" s="11" t="s">
        <v>1042</v>
      </c>
      <c r="G261" s="11" t="s">
        <v>1043</v>
      </c>
      <c r="H261" s="11" t="s">
        <v>43</v>
      </c>
      <c r="I261" s="11" t="s">
        <v>114</v>
      </c>
    </row>
    <row r="262" spans="1:9" x14ac:dyDescent="0.15">
      <c r="A262" s="10">
        <v>261</v>
      </c>
      <c r="B262" s="11" t="s">
        <v>9</v>
      </c>
      <c r="C262" s="11" t="s">
        <v>253</v>
      </c>
      <c r="D262" s="11" t="s">
        <v>254</v>
      </c>
      <c r="E262" s="9" t="str">
        <f>+HYPERLINK("http://trademark.i-assist.jp/data/china/image_1903th/78750639.pdf", "78750639")</f>
        <v>78750639</v>
      </c>
      <c r="F262" s="11" t="s">
        <v>1044</v>
      </c>
      <c r="G262" s="11" t="s">
        <v>1045</v>
      </c>
      <c r="H262" s="11" t="s">
        <v>1046</v>
      </c>
      <c r="I262" s="11" t="s">
        <v>114</v>
      </c>
    </row>
    <row r="263" spans="1:9" x14ac:dyDescent="0.15">
      <c r="A263" s="10">
        <v>262</v>
      </c>
      <c r="B263" s="11" t="s">
        <v>9</v>
      </c>
      <c r="C263" s="11" t="s">
        <v>253</v>
      </c>
      <c r="D263" s="11" t="s">
        <v>254</v>
      </c>
      <c r="E263" s="9" t="str">
        <f>+HYPERLINK("http://trademark.i-assist.jp/data/china/image_1903th/78754139.pdf", "78754139")</f>
        <v>78754139</v>
      </c>
      <c r="F263" s="11" t="s">
        <v>1047</v>
      </c>
      <c r="G263" s="11" t="s">
        <v>1048</v>
      </c>
      <c r="H263" s="11" t="s">
        <v>1049</v>
      </c>
      <c r="I263" s="11" t="s">
        <v>114</v>
      </c>
    </row>
    <row r="264" spans="1:9" x14ac:dyDescent="0.15">
      <c r="A264" s="10">
        <v>263</v>
      </c>
      <c r="B264" s="11" t="s">
        <v>9</v>
      </c>
      <c r="C264" s="11" t="s">
        <v>253</v>
      </c>
      <c r="D264" s="11" t="s">
        <v>254</v>
      </c>
      <c r="E264" s="9" t="str">
        <f>+HYPERLINK("http://trademark.i-assist.jp/data/china/image_1903th/78754360.pdf", "78754360")</f>
        <v>78754360</v>
      </c>
      <c r="F264" s="11" t="s">
        <v>1050</v>
      </c>
      <c r="G264" s="11" t="s">
        <v>1051</v>
      </c>
      <c r="H264" s="11" t="s">
        <v>1052</v>
      </c>
      <c r="I264" s="11" t="s">
        <v>114</v>
      </c>
    </row>
    <row r="265" spans="1:9" x14ac:dyDescent="0.15">
      <c r="A265" s="10">
        <v>264</v>
      </c>
      <c r="B265" s="11" t="s">
        <v>9</v>
      </c>
      <c r="C265" s="11" t="s">
        <v>253</v>
      </c>
      <c r="D265" s="11" t="s">
        <v>254</v>
      </c>
      <c r="E265" s="9" t="str">
        <f>+HYPERLINK("http://trademark.i-assist.jp/data/china/image_1903th/78754619.pdf", "78754619")</f>
        <v>78754619</v>
      </c>
      <c r="F265" s="11" t="s">
        <v>1053</v>
      </c>
      <c r="G265" s="11" t="s">
        <v>1054</v>
      </c>
      <c r="H265" s="11" t="s">
        <v>1055</v>
      </c>
      <c r="I265" s="11" t="s">
        <v>114</v>
      </c>
    </row>
    <row r="266" spans="1:9" x14ac:dyDescent="0.15">
      <c r="A266" s="10">
        <v>265</v>
      </c>
      <c r="B266" s="11" t="s">
        <v>9</v>
      </c>
      <c r="C266" s="11" t="s">
        <v>253</v>
      </c>
      <c r="D266" s="11" t="s">
        <v>254</v>
      </c>
      <c r="E266" s="9" t="str">
        <f>+HYPERLINK("http://trademark.i-assist.jp/data/china/image_1903th/78754699.pdf", "78754699")</f>
        <v>78754699</v>
      </c>
      <c r="F266" s="11" t="s">
        <v>1056</v>
      </c>
      <c r="G266" s="11" t="s">
        <v>1057</v>
      </c>
      <c r="H266" s="11" t="s">
        <v>1058</v>
      </c>
      <c r="I266" s="11" t="s">
        <v>114</v>
      </c>
    </row>
    <row r="267" spans="1:9" x14ac:dyDescent="0.15">
      <c r="A267" s="10">
        <v>266</v>
      </c>
      <c r="B267" s="11" t="s">
        <v>9</v>
      </c>
      <c r="C267" s="11" t="s">
        <v>253</v>
      </c>
      <c r="D267" s="11" t="s">
        <v>254</v>
      </c>
      <c r="E267" s="9" t="str">
        <f>+HYPERLINK("http://trademark.i-assist.jp/data/china/image_1903th/78754798.pdf", "78754798")</f>
        <v>78754798</v>
      </c>
      <c r="F267" s="11" t="s">
        <v>1059</v>
      </c>
      <c r="G267" s="11" t="s">
        <v>1060</v>
      </c>
      <c r="H267" s="11" t="s">
        <v>1061</v>
      </c>
      <c r="I267" s="11" t="s">
        <v>114</v>
      </c>
    </row>
    <row r="268" spans="1:9" x14ac:dyDescent="0.15">
      <c r="A268" s="10">
        <v>267</v>
      </c>
      <c r="B268" s="11" t="s">
        <v>9</v>
      </c>
      <c r="C268" s="11" t="s">
        <v>253</v>
      </c>
      <c r="D268" s="11" t="s">
        <v>254</v>
      </c>
      <c r="E268" s="9" t="str">
        <f>+HYPERLINK("http://trademark.i-assist.jp/data/china/image_1903th/78754841.pdf", "78754841")</f>
        <v>78754841</v>
      </c>
      <c r="F268" s="11" t="s">
        <v>1062</v>
      </c>
      <c r="G268" s="11" t="s">
        <v>1063</v>
      </c>
      <c r="H268" s="11" t="s">
        <v>1064</v>
      </c>
      <c r="I268" s="11" t="s">
        <v>114</v>
      </c>
    </row>
    <row r="269" spans="1:9" x14ac:dyDescent="0.15">
      <c r="A269" s="10">
        <v>268</v>
      </c>
      <c r="B269" s="11" t="s">
        <v>9</v>
      </c>
      <c r="C269" s="11" t="s">
        <v>253</v>
      </c>
      <c r="D269" s="11" t="s">
        <v>254</v>
      </c>
      <c r="E269" s="9" t="str">
        <f>+HYPERLINK("http://trademark.i-assist.jp/data/china/image_1903th/78756144.pdf", "78756144")</f>
        <v>78756144</v>
      </c>
      <c r="F269" s="11" t="s">
        <v>1065</v>
      </c>
      <c r="G269" s="11" t="s">
        <v>1066</v>
      </c>
      <c r="H269" s="11" t="s">
        <v>1067</v>
      </c>
      <c r="I269" s="11" t="s">
        <v>114</v>
      </c>
    </row>
    <row r="270" spans="1:9" x14ac:dyDescent="0.15">
      <c r="A270" s="10">
        <v>269</v>
      </c>
      <c r="B270" s="11" t="s">
        <v>9</v>
      </c>
      <c r="C270" s="11" t="s">
        <v>253</v>
      </c>
      <c r="D270" s="11" t="s">
        <v>254</v>
      </c>
      <c r="E270" s="9" t="str">
        <f>+HYPERLINK("http://trademark.i-assist.jp/data/china/image_1903th/78756780.pdf", "78756780")</f>
        <v>78756780</v>
      </c>
      <c r="F270" s="11" t="s">
        <v>1068</v>
      </c>
      <c r="G270" s="11" t="s">
        <v>1069</v>
      </c>
      <c r="H270" s="11" t="s">
        <v>1070</v>
      </c>
      <c r="I270" s="11" t="s">
        <v>114</v>
      </c>
    </row>
    <row r="271" spans="1:9" x14ac:dyDescent="0.15">
      <c r="A271" s="10">
        <v>270</v>
      </c>
      <c r="B271" s="11" t="s">
        <v>9</v>
      </c>
      <c r="C271" s="11" t="s">
        <v>253</v>
      </c>
      <c r="D271" s="11" t="s">
        <v>254</v>
      </c>
      <c r="E271" s="9" t="str">
        <f>+HYPERLINK("http://trademark.i-assist.jp/data/china/image_1903th/78757560.pdf", "78757560")</f>
        <v>78757560</v>
      </c>
      <c r="F271" s="11" t="s">
        <v>1071</v>
      </c>
      <c r="G271" s="11" t="s">
        <v>1072</v>
      </c>
      <c r="H271" s="11" t="s">
        <v>1073</v>
      </c>
      <c r="I271" s="11" t="s">
        <v>114</v>
      </c>
    </row>
    <row r="272" spans="1:9" x14ac:dyDescent="0.15">
      <c r="A272" s="10">
        <v>271</v>
      </c>
      <c r="B272" s="11" t="s">
        <v>9</v>
      </c>
      <c r="C272" s="11" t="s">
        <v>253</v>
      </c>
      <c r="D272" s="11" t="s">
        <v>254</v>
      </c>
      <c r="E272" s="9" t="str">
        <f>+HYPERLINK("http://trademark.i-assist.jp/data/china/image_1903th/78760621.pdf", "78760621")</f>
        <v>78760621</v>
      </c>
      <c r="F272" s="11" t="s">
        <v>1074</v>
      </c>
      <c r="G272" s="11" t="s">
        <v>1063</v>
      </c>
      <c r="H272" s="11" t="s">
        <v>1075</v>
      </c>
      <c r="I272" s="11" t="s">
        <v>114</v>
      </c>
    </row>
    <row r="273" spans="1:9" x14ac:dyDescent="0.15">
      <c r="A273" s="10">
        <v>272</v>
      </c>
      <c r="B273" s="11" t="s">
        <v>9</v>
      </c>
      <c r="C273" s="11" t="s">
        <v>253</v>
      </c>
      <c r="D273" s="11" t="s">
        <v>254</v>
      </c>
      <c r="E273" s="9" t="str">
        <f>+HYPERLINK("http://trademark.i-assist.jp/data/china/image_1903th/78760876.pdf", "78760876")</f>
        <v>78760876</v>
      </c>
      <c r="F273" s="11" t="s">
        <v>1076</v>
      </c>
      <c r="G273" s="11" t="s">
        <v>142</v>
      </c>
      <c r="H273" s="11" t="s">
        <v>1077</v>
      </c>
      <c r="I273" s="11" t="s">
        <v>114</v>
      </c>
    </row>
    <row r="274" spans="1:9" x14ac:dyDescent="0.15">
      <c r="A274" s="10">
        <v>273</v>
      </c>
      <c r="B274" s="11" t="s">
        <v>9</v>
      </c>
      <c r="C274" s="11" t="s">
        <v>253</v>
      </c>
      <c r="D274" s="11" t="s">
        <v>254</v>
      </c>
      <c r="E274" s="9" t="str">
        <f>+HYPERLINK("http://trademark.i-assist.jp/data/china/image_1903th/78761076.pdf", "78761076")</f>
        <v>78761076</v>
      </c>
      <c r="F274" s="11" t="s">
        <v>1078</v>
      </c>
      <c r="G274" s="11" t="s">
        <v>1079</v>
      </c>
      <c r="H274" s="11" t="s">
        <v>1080</v>
      </c>
      <c r="I274" s="11" t="s">
        <v>114</v>
      </c>
    </row>
    <row r="275" spans="1:9" x14ac:dyDescent="0.15">
      <c r="A275" s="10">
        <v>274</v>
      </c>
      <c r="B275" s="11" t="s">
        <v>9</v>
      </c>
      <c r="C275" s="11" t="s">
        <v>253</v>
      </c>
      <c r="D275" s="11" t="s">
        <v>254</v>
      </c>
      <c r="E275" s="9" t="str">
        <f>+HYPERLINK("http://trademark.i-assist.jp/data/china/image_1903th/78762117.pdf", "78762117")</f>
        <v>78762117</v>
      </c>
      <c r="F275" s="11" t="s">
        <v>1081</v>
      </c>
      <c r="G275" s="11" t="s">
        <v>1082</v>
      </c>
      <c r="H275" s="11" t="s">
        <v>1083</v>
      </c>
      <c r="I275" s="11" t="s">
        <v>114</v>
      </c>
    </row>
    <row r="276" spans="1:9" x14ac:dyDescent="0.15">
      <c r="A276" s="10">
        <v>275</v>
      </c>
      <c r="B276" s="11" t="s">
        <v>9</v>
      </c>
      <c r="C276" s="11" t="s">
        <v>253</v>
      </c>
      <c r="D276" s="11" t="s">
        <v>254</v>
      </c>
      <c r="E276" s="9" t="str">
        <f>+HYPERLINK("http://trademark.i-assist.jp/data/china/image_1903th/78764307.pdf", "78764307")</f>
        <v>78764307</v>
      </c>
      <c r="F276" s="11" t="s">
        <v>1084</v>
      </c>
      <c r="G276" s="11" t="s">
        <v>1085</v>
      </c>
      <c r="H276" s="11" t="s">
        <v>1086</v>
      </c>
      <c r="I276" s="11" t="s">
        <v>114</v>
      </c>
    </row>
    <row r="277" spans="1:9" x14ac:dyDescent="0.15">
      <c r="A277" s="10">
        <v>276</v>
      </c>
      <c r="B277" s="11" t="s">
        <v>9</v>
      </c>
      <c r="C277" s="11" t="s">
        <v>253</v>
      </c>
      <c r="D277" s="11" t="s">
        <v>254</v>
      </c>
      <c r="E277" s="9" t="str">
        <f>+HYPERLINK("http://trademark.i-assist.jp/data/china/image_1903th/78764731.pdf", "78764731")</f>
        <v>78764731</v>
      </c>
      <c r="F277" s="11" t="s">
        <v>1087</v>
      </c>
      <c r="G277" s="11" t="s">
        <v>1088</v>
      </c>
      <c r="H277" s="11" t="s">
        <v>1089</v>
      </c>
      <c r="I277" s="11" t="s">
        <v>114</v>
      </c>
    </row>
    <row r="278" spans="1:9" x14ac:dyDescent="0.15">
      <c r="A278" s="10">
        <v>277</v>
      </c>
      <c r="B278" s="11" t="s">
        <v>9</v>
      </c>
      <c r="C278" s="11" t="s">
        <v>253</v>
      </c>
      <c r="D278" s="11" t="s">
        <v>254</v>
      </c>
      <c r="E278" s="9" t="str">
        <f>+HYPERLINK("http://trademark.i-assist.jp/data/china/image_1903th/78766184.pdf", "78766184")</f>
        <v>78766184</v>
      </c>
      <c r="F278" s="11" t="s">
        <v>1090</v>
      </c>
      <c r="G278" s="11" t="s">
        <v>1091</v>
      </c>
      <c r="H278" s="11" t="s">
        <v>1092</v>
      </c>
      <c r="I278" s="11" t="s">
        <v>114</v>
      </c>
    </row>
    <row r="279" spans="1:9" x14ac:dyDescent="0.15">
      <c r="A279" s="10">
        <v>278</v>
      </c>
      <c r="B279" s="11" t="s">
        <v>9</v>
      </c>
      <c r="C279" s="11" t="s">
        <v>253</v>
      </c>
      <c r="D279" s="11" t="s">
        <v>254</v>
      </c>
      <c r="E279" s="9" t="str">
        <f>+HYPERLINK("http://trademark.i-assist.jp/data/china/image_1903th/78771170.pdf", "78771170")</f>
        <v>78771170</v>
      </c>
      <c r="F279" s="11" t="s">
        <v>1093</v>
      </c>
      <c r="G279" s="11" t="s">
        <v>1094</v>
      </c>
      <c r="H279" s="11" t="s">
        <v>1095</v>
      </c>
      <c r="I279" s="11" t="s">
        <v>114</v>
      </c>
    </row>
    <row r="280" spans="1:9" x14ac:dyDescent="0.15">
      <c r="A280" s="10">
        <v>279</v>
      </c>
      <c r="B280" s="11" t="s">
        <v>9</v>
      </c>
      <c r="C280" s="11" t="s">
        <v>253</v>
      </c>
      <c r="D280" s="11" t="s">
        <v>254</v>
      </c>
      <c r="E280" s="9" t="str">
        <f>+HYPERLINK("http://trademark.i-assist.jp/data/china/image_1903th/78772401.pdf", "78772401")</f>
        <v>78772401</v>
      </c>
      <c r="F280" s="11" t="s">
        <v>1096</v>
      </c>
      <c r="G280" s="11" t="s">
        <v>1072</v>
      </c>
      <c r="H280" s="11" t="s">
        <v>1097</v>
      </c>
      <c r="I280" s="11" t="s">
        <v>114</v>
      </c>
    </row>
    <row r="281" spans="1:9" x14ac:dyDescent="0.15">
      <c r="A281" s="10">
        <v>280</v>
      </c>
      <c r="B281" s="11" t="s">
        <v>9</v>
      </c>
      <c r="C281" s="11" t="s">
        <v>253</v>
      </c>
      <c r="D281" s="11" t="s">
        <v>254</v>
      </c>
      <c r="E281" s="9" t="str">
        <f>+HYPERLINK("http://trademark.i-assist.jp/data/china/image_1903th/78775539.pdf", "78775539")</f>
        <v>78775539</v>
      </c>
      <c r="F281" s="11" t="s">
        <v>1098</v>
      </c>
      <c r="G281" s="11" t="s">
        <v>1099</v>
      </c>
      <c r="H281" s="11" t="s">
        <v>1100</v>
      </c>
      <c r="I281" s="11" t="s">
        <v>117</v>
      </c>
    </row>
    <row r="282" spans="1:9" x14ac:dyDescent="0.15">
      <c r="A282" s="10">
        <v>281</v>
      </c>
      <c r="B282" s="11" t="s">
        <v>9</v>
      </c>
      <c r="C282" s="11" t="s">
        <v>253</v>
      </c>
      <c r="D282" s="11" t="s">
        <v>254</v>
      </c>
      <c r="E282" s="9" t="str">
        <f>+HYPERLINK("http://trademark.i-assist.jp/data/china/image_1903th/78777631.pdf", "78777631")</f>
        <v>78777631</v>
      </c>
      <c r="F282" s="11" t="s">
        <v>1101</v>
      </c>
      <c r="G282" s="11" t="s">
        <v>1102</v>
      </c>
      <c r="H282" s="11" t="s">
        <v>1103</v>
      </c>
      <c r="I282" s="11" t="s">
        <v>117</v>
      </c>
    </row>
    <row r="283" spans="1:9" x14ac:dyDescent="0.15">
      <c r="A283" s="10">
        <v>282</v>
      </c>
      <c r="B283" s="11" t="s">
        <v>9</v>
      </c>
      <c r="C283" s="11" t="s">
        <v>253</v>
      </c>
      <c r="D283" s="11" t="s">
        <v>254</v>
      </c>
      <c r="E283" s="9" t="str">
        <f>+HYPERLINK("http://trademark.i-assist.jp/data/china/image_1903th/78781159.pdf", "78781159")</f>
        <v>78781159</v>
      </c>
      <c r="F283" s="11" t="s">
        <v>1104</v>
      </c>
      <c r="G283" s="11" t="s">
        <v>1105</v>
      </c>
      <c r="H283" s="11" t="s">
        <v>1106</v>
      </c>
      <c r="I283" s="11" t="s">
        <v>117</v>
      </c>
    </row>
    <row r="284" spans="1:9" x14ac:dyDescent="0.15">
      <c r="A284" s="10">
        <v>283</v>
      </c>
      <c r="B284" s="11" t="s">
        <v>9</v>
      </c>
      <c r="C284" s="11" t="s">
        <v>253</v>
      </c>
      <c r="D284" s="11" t="s">
        <v>254</v>
      </c>
      <c r="E284" s="9" t="str">
        <f>+HYPERLINK("http://trademark.i-assist.jp/data/china/image_1903th/78785705.pdf", "78785705")</f>
        <v>78785705</v>
      </c>
      <c r="F284" s="11" t="s">
        <v>1107</v>
      </c>
      <c r="G284" s="11" t="s">
        <v>1102</v>
      </c>
      <c r="H284" s="11" t="s">
        <v>1108</v>
      </c>
      <c r="I284" s="11" t="s">
        <v>117</v>
      </c>
    </row>
    <row r="285" spans="1:9" x14ac:dyDescent="0.15">
      <c r="A285" s="10">
        <v>284</v>
      </c>
      <c r="B285" s="11" t="s">
        <v>9</v>
      </c>
      <c r="C285" s="11" t="s">
        <v>253</v>
      </c>
      <c r="D285" s="11" t="s">
        <v>254</v>
      </c>
      <c r="E285" s="9" t="str">
        <f>+HYPERLINK("http://trademark.i-assist.jp/data/china/image_1903th/78785742.pdf", "78785742")</f>
        <v>78785742</v>
      </c>
      <c r="F285" s="11" t="s">
        <v>1109</v>
      </c>
      <c r="G285" s="11" t="s">
        <v>1110</v>
      </c>
      <c r="H285" s="11" t="s">
        <v>1111</v>
      </c>
      <c r="I285" s="11" t="s">
        <v>117</v>
      </c>
    </row>
    <row r="286" spans="1:9" x14ac:dyDescent="0.15">
      <c r="A286" s="10">
        <v>285</v>
      </c>
      <c r="B286" s="11" t="s">
        <v>9</v>
      </c>
      <c r="C286" s="11" t="s">
        <v>253</v>
      </c>
      <c r="D286" s="11" t="s">
        <v>254</v>
      </c>
      <c r="E286" s="9" t="str">
        <f>+HYPERLINK("http://trademark.i-assist.jp/data/china/image_1903th/78786315.pdf", "78786315")</f>
        <v>78786315</v>
      </c>
      <c r="F286" s="11" t="s">
        <v>1112</v>
      </c>
      <c r="G286" s="11" t="s">
        <v>1113</v>
      </c>
      <c r="H286" s="11" t="s">
        <v>1114</v>
      </c>
      <c r="I286" s="11" t="s">
        <v>117</v>
      </c>
    </row>
    <row r="287" spans="1:9" x14ac:dyDescent="0.15">
      <c r="A287" s="10">
        <v>286</v>
      </c>
      <c r="B287" s="11" t="s">
        <v>9</v>
      </c>
      <c r="C287" s="11" t="s">
        <v>253</v>
      </c>
      <c r="D287" s="11" t="s">
        <v>254</v>
      </c>
      <c r="E287" s="9" t="str">
        <f>+HYPERLINK("http://trademark.i-assist.jp/data/china/image_1903th/78787324.pdf", "78787324")</f>
        <v>78787324</v>
      </c>
      <c r="F287" s="11" t="s">
        <v>1115</v>
      </c>
      <c r="G287" s="11" t="s">
        <v>1116</v>
      </c>
      <c r="H287" s="11" t="s">
        <v>1117</v>
      </c>
      <c r="I287" s="11" t="s">
        <v>117</v>
      </c>
    </row>
    <row r="288" spans="1:9" x14ac:dyDescent="0.15">
      <c r="A288" s="10">
        <v>287</v>
      </c>
      <c r="B288" s="11" t="s">
        <v>9</v>
      </c>
      <c r="C288" s="11" t="s">
        <v>253</v>
      </c>
      <c r="D288" s="11" t="s">
        <v>254</v>
      </c>
      <c r="E288" s="9" t="str">
        <f>+HYPERLINK("http://trademark.i-assist.jp/data/china/image_1903th/78788127.pdf", "78788127")</f>
        <v>78788127</v>
      </c>
      <c r="F288" s="11" t="s">
        <v>1118</v>
      </c>
      <c r="G288" s="11" t="s">
        <v>1119</v>
      </c>
      <c r="H288" s="11" t="s">
        <v>1120</v>
      </c>
      <c r="I288" s="11" t="s">
        <v>117</v>
      </c>
    </row>
    <row r="289" spans="1:9" x14ac:dyDescent="0.15">
      <c r="A289" s="10">
        <v>288</v>
      </c>
      <c r="B289" s="11" t="s">
        <v>9</v>
      </c>
      <c r="C289" s="11" t="s">
        <v>253</v>
      </c>
      <c r="D289" s="11" t="s">
        <v>254</v>
      </c>
      <c r="E289" s="9" t="str">
        <f>+HYPERLINK("http://trademark.i-assist.jp/data/china/image_1903th/78790311.pdf", "78790311")</f>
        <v>78790311</v>
      </c>
      <c r="F289" s="11" t="s">
        <v>1121</v>
      </c>
      <c r="G289" s="11" t="s">
        <v>121</v>
      </c>
      <c r="H289" s="11" t="s">
        <v>1122</v>
      </c>
      <c r="I289" s="11" t="s">
        <v>117</v>
      </c>
    </row>
    <row r="290" spans="1:9" x14ac:dyDescent="0.15">
      <c r="A290" s="10">
        <v>289</v>
      </c>
      <c r="B290" s="11" t="s">
        <v>9</v>
      </c>
      <c r="C290" s="11" t="s">
        <v>253</v>
      </c>
      <c r="D290" s="11" t="s">
        <v>254</v>
      </c>
      <c r="E290" s="9" t="str">
        <f>+HYPERLINK("http://trademark.i-assist.jp/data/china/image_1903th/78791662.pdf", "78791662")</f>
        <v>78791662</v>
      </c>
      <c r="F290" s="11" t="s">
        <v>1123</v>
      </c>
      <c r="G290" s="11" t="s">
        <v>1124</v>
      </c>
      <c r="H290" s="11" t="s">
        <v>1122</v>
      </c>
      <c r="I290" s="11" t="s">
        <v>117</v>
      </c>
    </row>
    <row r="291" spans="1:9" x14ac:dyDescent="0.15">
      <c r="A291" s="10">
        <v>290</v>
      </c>
      <c r="B291" s="11" t="s">
        <v>9</v>
      </c>
      <c r="C291" s="11" t="s">
        <v>253</v>
      </c>
      <c r="D291" s="11" t="s">
        <v>254</v>
      </c>
      <c r="E291" s="9" t="str">
        <f>+HYPERLINK("http://trademark.i-assist.jp/data/china/image_1903th/78794005.pdf", "78794005")</f>
        <v>78794005</v>
      </c>
      <c r="F291" s="11" t="s">
        <v>1125</v>
      </c>
      <c r="G291" s="11" t="s">
        <v>1126</v>
      </c>
      <c r="H291" s="11" t="s">
        <v>1122</v>
      </c>
      <c r="I291" s="11" t="s">
        <v>117</v>
      </c>
    </row>
    <row r="292" spans="1:9" x14ac:dyDescent="0.15">
      <c r="A292" s="10">
        <v>291</v>
      </c>
      <c r="B292" s="11" t="s">
        <v>9</v>
      </c>
      <c r="C292" s="11" t="s">
        <v>253</v>
      </c>
      <c r="D292" s="11" t="s">
        <v>254</v>
      </c>
      <c r="E292" s="9" t="str">
        <f>+HYPERLINK("http://trademark.i-assist.jp/data/china/image_1903th/78796011.pdf", "78796011")</f>
        <v>78796011</v>
      </c>
      <c r="F292" s="11" t="s">
        <v>1127</v>
      </c>
      <c r="G292" s="11" t="s">
        <v>1128</v>
      </c>
      <c r="H292" s="11" t="s">
        <v>1129</v>
      </c>
      <c r="I292" s="11" t="s">
        <v>117</v>
      </c>
    </row>
    <row r="293" spans="1:9" x14ac:dyDescent="0.15">
      <c r="A293" s="10">
        <v>292</v>
      </c>
      <c r="B293" s="11" t="s">
        <v>9</v>
      </c>
      <c r="C293" s="11" t="s">
        <v>253</v>
      </c>
      <c r="D293" s="11" t="s">
        <v>254</v>
      </c>
      <c r="E293" s="9" t="str">
        <f>+HYPERLINK("http://trademark.i-assist.jp/data/china/image_1903th/78796606.pdf", "78796606")</f>
        <v>78796606</v>
      </c>
      <c r="F293" s="11" t="s">
        <v>1130</v>
      </c>
      <c r="G293" s="11" t="s">
        <v>1131</v>
      </c>
      <c r="H293" s="11" t="s">
        <v>1132</v>
      </c>
      <c r="I293" s="11" t="s">
        <v>117</v>
      </c>
    </row>
    <row r="294" spans="1:9" x14ac:dyDescent="0.15">
      <c r="A294" s="10">
        <v>293</v>
      </c>
      <c r="B294" s="11" t="s">
        <v>9</v>
      </c>
      <c r="C294" s="11" t="s">
        <v>253</v>
      </c>
      <c r="D294" s="11" t="s">
        <v>254</v>
      </c>
      <c r="E294" s="9" t="str">
        <f>+HYPERLINK("http://trademark.i-assist.jp/data/china/image_1903th/78799306.pdf", "78799306")</f>
        <v>78799306</v>
      </c>
      <c r="F294" s="11" t="s">
        <v>12</v>
      </c>
      <c r="G294" s="11" t="s">
        <v>1133</v>
      </c>
      <c r="H294" s="11" t="s">
        <v>1134</v>
      </c>
      <c r="I294" s="11" t="s">
        <v>117</v>
      </c>
    </row>
    <row r="295" spans="1:9" x14ac:dyDescent="0.15">
      <c r="A295" s="10">
        <v>294</v>
      </c>
      <c r="B295" s="11" t="s">
        <v>9</v>
      </c>
      <c r="C295" s="11" t="s">
        <v>253</v>
      </c>
      <c r="D295" s="11" t="s">
        <v>254</v>
      </c>
      <c r="E295" s="9" t="str">
        <f>+HYPERLINK("http://trademark.i-assist.jp/data/china/image_1903th/78801890.pdf", "78801890")</f>
        <v>78801890</v>
      </c>
      <c r="F295" s="11" t="s">
        <v>1135</v>
      </c>
      <c r="G295" s="11" t="s">
        <v>1136</v>
      </c>
      <c r="H295" s="11" t="s">
        <v>1137</v>
      </c>
      <c r="I295" s="11" t="s">
        <v>122</v>
      </c>
    </row>
    <row r="296" spans="1:9" x14ac:dyDescent="0.15">
      <c r="A296" s="10">
        <v>295</v>
      </c>
      <c r="B296" s="11" t="s">
        <v>9</v>
      </c>
      <c r="C296" s="11" t="s">
        <v>253</v>
      </c>
      <c r="D296" s="11" t="s">
        <v>254</v>
      </c>
      <c r="E296" s="9" t="str">
        <f>+HYPERLINK("http://trademark.i-assist.jp/data/china/image_1903th/78803439.pdf", "78803439")</f>
        <v>78803439</v>
      </c>
      <c r="F296" s="11" t="s">
        <v>1138</v>
      </c>
      <c r="G296" s="11" t="s">
        <v>1139</v>
      </c>
      <c r="H296" s="11" t="s">
        <v>1140</v>
      </c>
      <c r="I296" s="11" t="s">
        <v>122</v>
      </c>
    </row>
    <row r="297" spans="1:9" x14ac:dyDescent="0.15">
      <c r="A297" s="10">
        <v>296</v>
      </c>
      <c r="B297" s="11" t="s">
        <v>9</v>
      </c>
      <c r="C297" s="11" t="s">
        <v>253</v>
      </c>
      <c r="D297" s="11" t="s">
        <v>254</v>
      </c>
      <c r="E297" s="9" t="str">
        <f>+HYPERLINK("http://trademark.i-assist.jp/data/china/image_1903th/78806760.pdf", "78806760")</f>
        <v>78806760</v>
      </c>
      <c r="F297" s="11" t="s">
        <v>1141</v>
      </c>
      <c r="G297" s="11" t="s">
        <v>1142</v>
      </c>
      <c r="H297" s="11" t="s">
        <v>1143</v>
      </c>
      <c r="I297" s="11" t="s">
        <v>122</v>
      </c>
    </row>
    <row r="298" spans="1:9" x14ac:dyDescent="0.15">
      <c r="A298" s="10">
        <v>297</v>
      </c>
      <c r="B298" s="11" t="s">
        <v>9</v>
      </c>
      <c r="C298" s="11" t="s">
        <v>253</v>
      </c>
      <c r="D298" s="11" t="s">
        <v>254</v>
      </c>
      <c r="E298" s="9" t="str">
        <f>+HYPERLINK("http://trademark.i-assist.jp/data/china/image_1903th/78808679.pdf", "78808679")</f>
        <v>78808679</v>
      </c>
      <c r="F298" s="11" t="s">
        <v>1144</v>
      </c>
      <c r="G298" s="11" t="s">
        <v>1102</v>
      </c>
      <c r="H298" s="11" t="s">
        <v>1145</v>
      </c>
      <c r="I298" s="11" t="s">
        <v>122</v>
      </c>
    </row>
    <row r="299" spans="1:9" x14ac:dyDescent="0.15">
      <c r="A299" s="10">
        <v>298</v>
      </c>
      <c r="B299" s="11" t="s">
        <v>9</v>
      </c>
      <c r="C299" s="11" t="s">
        <v>253</v>
      </c>
      <c r="D299" s="11" t="s">
        <v>254</v>
      </c>
      <c r="E299" s="9" t="str">
        <f>+HYPERLINK("http://trademark.i-assist.jp/data/china/image_1903th/78810498.pdf", "78810498")</f>
        <v>78810498</v>
      </c>
      <c r="F299" s="11" t="s">
        <v>1146</v>
      </c>
      <c r="G299" s="11" t="s">
        <v>1147</v>
      </c>
      <c r="H299" s="11" t="s">
        <v>1148</v>
      </c>
      <c r="I299" s="11" t="s">
        <v>122</v>
      </c>
    </row>
    <row r="300" spans="1:9" x14ac:dyDescent="0.15">
      <c r="A300" s="10">
        <v>299</v>
      </c>
      <c r="B300" s="11" t="s">
        <v>9</v>
      </c>
      <c r="C300" s="11" t="s">
        <v>253</v>
      </c>
      <c r="D300" s="11" t="s">
        <v>254</v>
      </c>
      <c r="E300" s="9" t="str">
        <f>+HYPERLINK("http://trademark.i-assist.jp/data/china/image_1903th/78812617.pdf", "78812617")</f>
        <v>78812617</v>
      </c>
      <c r="F300" s="11" t="s">
        <v>1149</v>
      </c>
      <c r="G300" s="11" t="s">
        <v>1142</v>
      </c>
      <c r="H300" s="11" t="s">
        <v>1150</v>
      </c>
      <c r="I300" s="11" t="s">
        <v>122</v>
      </c>
    </row>
    <row r="301" spans="1:9" x14ac:dyDescent="0.15">
      <c r="A301" s="10">
        <v>300</v>
      </c>
      <c r="B301" s="11" t="s">
        <v>9</v>
      </c>
      <c r="C301" s="11" t="s">
        <v>253</v>
      </c>
      <c r="D301" s="11" t="s">
        <v>254</v>
      </c>
      <c r="E301" s="9" t="str">
        <f>+HYPERLINK("http://trademark.i-assist.jp/data/china/image_1903th/78814057.pdf", "78814057")</f>
        <v>78814057</v>
      </c>
      <c r="F301" s="11" t="s">
        <v>1151</v>
      </c>
      <c r="G301" s="11" t="s">
        <v>1152</v>
      </c>
      <c r="H301" s="11" t="s">
        <v>1153</v>
      </c>
      <c r="I301" s="11" t="s">
        <v>122</v>
      </c>
    </row>
    <row r="302" spans="1:9" x14ac:dyDescent="0.15">
      <c r="A302" s="10">
        <v>301</v>
      </c>
      <c r="B302" s="11" t="s">
        <v>9</v>
      </c>
      <c r="C302" s="11" t="s">
        <v>253</v>
      </c>
      <c r="D302" s="11" t="s">
        <v>254</v>
      </c>
      <c r="E302" s="9" t="str">
        <f>+HYPERLINK("http://trademark.i-assist.jp/data/china/image_1903th/78815333.pdf", "78815333")</f>
        <v>78815333</v>
      </c>
      <c r="F302" s="11" t="s">
        <v>1154</v>
      </c>
      <c r="G302" s="11" t="s">
        <v>1142</v>
      </c>
      <c r="H302" s="11" t="s">
        <v>1155</v>
      </c>
      <c r="I302" s="11" t="s">
        <v>122</v>
      </c>
    </row>
    <row r="303" spans="1:9" x14ac:dyDescent="0.15">
      <c r="A303" s="10">
        <v>302</v>
      </c>
      <c r="B303" s="11" t="s">
        <v>9</v>
      </c>
      <c r="C303" s="11" t="s">
        <v>253</v>
      </c>
      <c r="D303" s="11" t="s">
        <v>254</v>
      </c>
      <c r="E303" s="9" t="str">
        <f>+HYPERLINK("http://trademark.i-assist.jp/data/china/image_1903th/78815647.pdf", "78815647")</f>
        <v>78815647</v>
      </c>
      <c r="F303" s="11" t="s">
        <v>1156</v>
      </c>
      <c r="G303" s="11" t="s">
        <v>521</v>
      </c>
      <c r="H303" s="11" t="s">
        <v>14</v>
      </c>
      <c r="I303" s="11" t="s">
        <v>122</v>
      </c>
    </row>
    <row r="304" spans="1:9" x14ac:dyDescent="0.15">
      <c r="A304" s="10">
        <v>303</v>
      </c>
      <c r="B304" s="11" t="s">
        <v>9</v>
      </c>
      <c r="C304" s="11" t="s">
        <v>253</v>
      </c>
      <c r="D304" s="11" t="s">
        <v>254</v>
      </c>
      <c r="E304" s="9" t="str">
        <f>+HYPERLINK("http://trademark.i-assist.jp/data/china/image_1903th/78818203.pdf", "78818203")</f>
        <v>78818203</v>
      </c>
      <c r="F304" s="11" t="s">
        <v>1157</v>
      </c>
      <c r="G304" s="11" t="s">
        <v>1158</v>
      </c>
      <c r="H304" s="11" t="s">
        <v>1159</v>
      </c>
      <c r="I304" s="11" t="s">
        <v>122</v>
      </c>
    </row>
    <row r="305" spans="1:9" x14ac:dyDescent="0.15">
      <c r="A305" s="10">
        <v>304</v>
      </c>
      <c r="B305" s="11" t="s">
        <v>9</v>
      </c>
      <c r="C305" s="11" t="s">
        <v>253</v>
      </c>
      <c r="D305" s="11" t="s">
        <v>254</v>
      </c>
      <c r="E305" s="9" t="str">
        <f>+HYPERLINK("http://trademark.i-assist.jp/data/china/image_1903th/78821347.pdf", "78821347")</f>
        <v>78821347</v>
      </c>
      <c r="F305" s="11" t="s">
        <v>1160</v>
      </c>
      <c r="G305" s="11" t="s">
        <v>1161</v>
      </c>
      <c r="H305" s="11" t="s">
        <v>1162</v>
      </c>
      <c r="I305" s="11" t="s">
        <v>122</v>
      </c>
    </row>
    <row r="306" spans="1:9" x14ac:dyDescent="0.15">
      <c r="A306" s="10">
        <v>305</v>
      </c>
      <c r="B306" s="11" t="s">
        <v>9</v>
      </c>
      <c r="C306" s="11" t="s">
        <v>253</v>
      </c>
      <c r="D306" s="11" t="s">
        <v>254</v>
      </c>
      <c r="E306" s="9" t="str">
        <f>+HYPERLINK("http://trademark.i-assist.jp/data/china/image_1903th/78823636.pdf", "78823636")</f>
        <v>78823636</v>
      </c>
      <c r="F306" s="11" t="s">
        <v>1163</v>
      </c>
      <c r="G306" s="11" t="s">
        <v>1142</v>
      </c>
      <c r="H306" s="11" t="s">
        <v>1164</v>
      </c>
      <c r="I306" s="11" t="s">
        <v>122</v>
      </c>
    </row>
    <row r="307" spans="1:9" x14ac:dyDescent="0.15">
      <c r="A307" s="10">
        <v>306</v>
      </c>
      <c r="B307" s="11" t="s">
        <v>9</v>
      </c>
      <c r="C307" s="11" t="s">
        <v>253</v>
      </c>
      <c r="D307" s="11" t="s">
        <v>254</v>
      </c>
      <c r="E307" s="9" t="str">
        <f>+HYPERLINK("http://trademark.i-assist.jp/data/china/image_1903th/78824444.pdf", "78824444")</f>
        <v>78824444</v>
      </c>
      <c r="F307" s="11" t="s">
        <v>1165</v>
      </c>
      <c r="G307" s="11" t="s">
        <v>1166</v>
      </c>
      <c r="H307" s="11" t="s">
        <v>20</v>
      </c>
      <c r="I307" s="11" t="s">
        <v>122</v>
      </c>
    </row>
    <row r="308" spans="1:9" x14ac:dyDescent="0.15">
      <c r="A308" s="10">
        <v>307</v>
      </c>
      <c r="B308" s="11" t="s">
        <v>9</v>
      </c>
      <c r="C308" s="11" t="s">
        <v>253</v>
      </c>
      <c r="D308" s="11" t="s">
        <v>254</v>
      </c>
      <c r="E308" s="9" t="str">
        <f>+HYPERLINK("http://trademark.i-assist.jp/data/china/image_1903th/78826050.pdf", "78826050")</f>
        <v>78826050</v>
      </c>
      <c r="F308" s="11" t="s">
        <v>1167</v>
      </c>
      <c r="G308" s="11" t="s">
        <v>1168</v>
      </c>
      <c r="H308" s="11" t="s">
        <v>1169</v>
      </c>
      <c r="I308" s="11" t="s">
        <v>122</v>
      </c>
    </row>
    <row r="309" spans="1:9" x14ac:dyDescent="0.15">
      <c r="A309" s="10">
        <v>308</v>
      </c>
      <c r="B309" s="11" t="s">
        <v>9</v>
      </c>
      <c r="C309" s="11" t="s">
        <v>253</v>
      </c>
      <c r="D309" s="11" t="s">
        <v>254</v>
      </c>
      <c r="E309" s="9" t="str">
        <f>+HYPERLINK("http://trademark.i-assist.jp/data/china/image_1903th/78826295.pdf", "78826295")</f>
        <v>78826295</v>
      </c>
      <c r="F309" s="11" t="s">
        <v>1170</v>
      </c>
      <c r="G309" s="11" t="s">
        <v>1171</v>
      </c>
      <c r="H309" s="11" t="s">
        <v>1172</v>
      </c>
      <c r="I309" s="11" t="s">
        <v>122</v>
      </c>
    </row>
    <row r="310" spans="1:9" x14ac:dyDescent="0.15">
      <c r="A310" s="10">
        <v>309</v>
      </c>
      <c r="B310" s="11" t="s">
        <v>9</v>
      </c>
      <c r="C310" s="11" t="s">
        <v>253</v>
      </c>
      <c r="D310" s="11" t="s">
        <v>254</v>
      </c>
      <c r="E310" s="9" t="str">
        <f>+HYPERLINK("http://trademark.i-assist.jp/data/china/image_1903th/78827013.pdf", "78827013")</f>
        <v>78827013</v>
      </c>
      <c r="F310" s="11" t="s">
        <v>1173</v>
      </c>
      <c r="G310" s="11" t="s">
        <v>1174</v>
      </c>
      <c r="H310" s="11" t="s">
        <v>1175</v>
      </c>
      <c r="I310" s="11" t="s">
        <v>122</v>
      </c>
    </row>
    <row r="311" spans="1:9" x14ac:dyDescent="0.15">
      <c r="A311" s="10">
        <v>310</v>
      </c>
      <c r="B311" s="11" t="s">
        <v>9</v>
      </c>
      <c r="C311" s="11" t="s">
        <v>253</v>
      </c>
      <c r="D311" s="11" t="s">
        <v>254</v>
      </c>
      <c r="E311" s="9" t="str">
        <f>+HYPERLINK("http://trademark.i-assist.jp/data/china/image_1903th/78828381.pdf", "78828381")</f>
        <v>78828381</v>
      </c>
      <c r="F311" s="11" t="s">
        <v>12</v>
      </c>
      <c r="G311" s="11" t="s">
        <v>1176</v>
      </c>
      <c r="H311" s="11" t="s">
        <v>1177</v>
      </c>
      <c r="I311" s="11" t="s">
        <v>125</v>
      </c>
    </row>
    <row r="312" spans="1:9" x14ac:dyDescent="0.15">
      <c r="A312" s="10">
        <v>311</v>
      </c>
      <c r="B312" s="11" t="s">
        <v>9</v>
      </c>
      <c r="C312" s="11" t="s">
        <v>253</v>
      </c>
      <c r="D312" s="11" t="s">
        <v>254</v>
      </c>
      <c r="E312" s="9" t="str">
        <f>+HYPERLINK("http://trademark.i-assist.jp/data/china/image_1903th/78829472.pdf", "78829472")</f>
        <v>78829472</v>
      </c>
      <c r="F312" s="11" t="s">
        <v>1178</v>
      </c>
      <c r="G312" s="11" t="s">
        <v>1179</v>
      </c>
      <c r="H312" s="11" t="s">
        <v>1180</v>
      </c>
      <c r="I312" s="11" t="s">
        <v>125</v>
      </c>
    </row>
    <row r="313" spans="1:9" x14ac:dyDescent="0.15">
      <c r="A313" s="10">
        <v>312</v>
      </c>
      <c r="B313" s="11" t="s">
        <v>9</v>
      </c>
      <c r="C313" s="11" t="s">
        <v>253</v>
      </c>
      <c r="D313" s="11" t="s">
        <v>254</v>
      </c>
      <c r="E313" s="9" t="str">
        <f>+HYPERLINK("http://trademark.i-assist.jp/data/china/image_1903th/78830167.pdf", "78830167")</f>
        <v>78830167</v>
      </c>
      <c r="F313" s="11" t="s">
        <v>1181</v>
      </c>
      <c r="G313" s="11" t="s">
        <v>1182</v>
      </c>
      <c r="H313" s="11" t="s">
        <v>1183</v>
      </c>
      <c r="I313" s="11" t="s">
        <v>125</v>
      </c>
    </row>
    <row r="314" spans="1:9" x14ac:dyDescent="0.15">
      <c r="A314" s="10">
        <v>313</v>
      </c>
      <c r="B314" s="11" t="s">
        <v>9</v>
      </c>
      <c r="C314" s="11" t="s">
        <v>253</v>
      </c>
      <c r="D314" s="11" t="s">
        <v>254</v>
      </c>
      <c r="E314" s="9" t="str">
        <f>+HYPERLINK("http://trademark.i-assist.jp/data/china/image_1903th/78830232.pdf", "78830232")</f>
        <v>78830232</v>
      </c>
      <c r="F314" s="11" t="s">
        <v>1184</v>
      </c>
      <c r="G314" s="11" t="s">
        <v>1179</v>
      </c>
      <c r="H314" s="11" t="s">
        <v>1185</v>
      </c>
      <c r="I314" s="11" t="s">
        <v>125</v>
      </c>
    </row>
    <row r="315" spans="1:9" x14ac:dyDescent="0.15">
      <c r="A315" s="10">
        <v>314</v>
      </c>
      <c r="B315" s="11" t="s">
        <v>9</v>
      </c>
      <c r="C315" s="11" t="s">
        <v>253</v>
      </c>
      <c r="D315" s="11" t="s">
        <v>254</v>
      </c>
      <c r="E315" s="9" t="str">
        <f>+HYPERLINK("http://trademark.i-assist.jp/data/china/image_1903th/78830241.pdf", "78830241")</f>
        <v>78830241</v>
      </c>
      <c r="F315" s="11" t="s">
        <v>1186</v>
      </c>
      <c r="G315" s="11" t="s">
        <v>1187</v>
      </c>
      <c r="H315" s="11" t="s">
        <v>1188</v>
      </c>
      <c r="I315" s="11" t="s">
        <v>125</v>
      </c>
    </row>
    <row r="316" spans="1:9" x14ac:dyDescent="0.15">
      <c r="A316" s="10">
        <v>315</v>
      </c>
      <c r="B316" s="11" t="s">
        <v>9</v>
      </c>
      <c r="C316" s="11" t="s">
        <v>253</v>
      </c>
      <c r="D316" s="11" t="s">
        <v>254</v>
      </c>
      <c r="E316" s="9" t="str">
        <f>+HYPERLINK("http://trademark.i-assist.jp/data/china/image_1903th/78830299.pdf", "78830299")</f>
        <v>78830299</v>
      </c>
      <c r="F316" s="11" t="s">
        <v>1189</v>
      </c>
      <c r="G316" s="11" t="s">
        <v>1190</v>
      </c>
      <c r="H316" s="11" t="s">
        <v>1191</v>
      </c>
      <c r="I316" s="11" t="s">
        <v>125</v>
      </c>
    </row>
    <row r="317" spans="1:9" x14ac:dyDescent="0.15">
      <c r="A317" s="10">
        <v>316</v>
      </c>
      <c r="B317" s="11" t="s">
        <v>9</v>
      </c>
      <c r="C317" s="11" t="s">
        <v>253</v>
      </c>
      <c r="D317" s="11" t="s">
        <v>254</v>
      </c>
      <c r="E317" s="9" t="str">
        <f>+HYPERLINK("http://trademark.i-assist.jp/data/china/image_1903th/78833101.pdf", "78833101")</f>
        <v>78833101</v>
      </c>
      <c r="F317" s="11" t="s">
        <v>1192</v>
      </c>
      <c r="G317" s="11" t="s">
        <v>168</v>
      </c>
      <c r="H317" s="11" t="s">
        <v>1193</v>
      </c>
      <c r="I317" s="11" t="s">
        <v>125</v>
      </c>
    </row>
    <row r="318" spans="1:9" x14ac:dyDescent="0.15">
      <c r="A318" s="10">
        <v>317</v>
      </c>
      <c r="B318" s="11" t="s">
        <v>9</v>
      </c>
      <c r="C318" s="11" t="s">
        <v>253</v>
      </c>
      <c r="D318" s="11" t="s">
        <v>254</v>
      </c>
      <c r="E318" s="9" t="str">
        <f>+HYPERLINK("http://trademark.i-assist.jp/data/china/image_1903th/78835048.pdf", "78835048")</f>
        <v>78835048</v>
      </c>
      <c r="F318" s="11" t="s">
        <v>1194</v>
      </c>
      <c r="G318" s="11" t="s">
        <v>1195</v>
      </c>
      <c r="H318" s="11" t="s">
        <v>1196</v>
      </c>
      <c r="I318" s="11" t="s">
        <v>125</v>
      </c>
    </row>
    <row r="319" spans="1:9" x14ac:dyDescent="0.15">
      <c r="A319" s="10">
        <v>318</v>
      </c>
      <c r="B319" s="11" t="s">
        <v>9</v>
      </c>
      <c r="C319" s="11" t="s">
        <v>253</v>
      </c>
      <c r="D319" s="11" t="s">
        <v>254</v>
      </c>
      <c r="E319" s="9" t="str">
        <f>+HYPERLINK("http://trademark.i-assist.jp/data/china/image_1903th/78836389.pdf", "78836389")</f>
        <v>78836389</v>
      </c>
      <c r="F319" s="11" t="s">
        <v>1197</v>
      </c>
      <c r="G319" s="11" t="s">
        <v>139</v>
      </c>
      <c r="H319" s="11" t="s">
        <v>1198</v>
      </c>
      <c r="I319" s="11" t="s">
        <v>127</v>
      </c>
    </row>
    <row r="320" spans="1:9" x14ac:dyDescent="0.15">
      <c r="A320" s="10">
        <v>319</v>
      </c>
      <c r="B320" s="11" t="s">
        <v>9</v>
      </c>
      <c r="C320" s="11" t="s">
        <v>253</v>
      </c>
      <c r="D320" s="11" t="s">
        <v>254</v>
      </c>
      <c r="E320" s="9" t="str">
        <f>+HYPERLINK("http://trademark.i-assist.jp/data/china/image_1903th/78836683.pdf", "78836683")</f>
        <v>78836683</v>
      </c>
      <c r="F320" s="11" t="s">
        <v>1199</v>
      </c>
      <c r="G320" s="11" t="s">
        <v>139</v>
      </c>
      <c r="H320" s="11" t="s">
        <v>1200</v>
      </c>
      <c r="I320" s="11" t="s">
        <v>127</v>
      </c>
    </row>
    <row r="321" spans="1:9" x14ac:dyDescent="0.15">
      <c r="A321" s="10">
        <v>320</v>
      </c>
      <c r="B321" s="11" t="s">
        <v>9</v>
      </c>
      <c r="C321" s="11" t="s">
        <v>253</v>
      </c>
      <c r="D321" s="11" t="s">
        <v>254</v>
      </c>
      <c r="E321" s="9" t="str">
        <f>+HYPERLINK("http://trademark.i-assist.jp/data/china/image_1903th/78837235.pdf", "78837235")</f>
        <v>78837235</v>
      </c>
      <c r="F321" s="11" t="s">
        <v>1201</v>
      </c>
      <c r="G321" s="11" t="s">
        <v>139</v>
      </c>
      <c r="H321" s="11" t="s">
        <v>1202</v>
      </c>
      <c r="I321" s="11" t="s">
        <v>127</v>
      </c>
    </row>
    <row r="322" spans="1:9" x14ac:dyDescent="0.15">
      <c r="A322" s="10">
        <v>321</v>
      </c>
      <c r="B322" s="11" t="s">
        <v>9</v>
      </c>
      <c r="C322" s="11" t="s">
        <v>253</v>
      </c>
      <c r="D322" s="11" t="s">
        <v>254</v>
      </c>
      <c r="E322" s="9" t="str">
        <f>+HYPERLINK("http://trademark.i-assist.jp/data/china/image_1903th/78837237.pdf", "78837237")</f>
        <v>78837237</v>
      </c>
      <c r="F322" s="11" t="s">
        <v>1203</v>
      </c>
      <c r="G322" s="11" t="s">
        <v>139</v>
      </c>
      <c r="H322" s="11" t="s">
        <v>1204</v>
      </c>
      <c r="I322" s="11" t="s">
        <v>127</v>
      </c>
    </row>
    <row r="323" spans="1:9" x14ac:dyDescent="0.15">
      <c r="A323" s="10">
        <v>322</v>
      </c>
      <c r="B323" s="11" t="s">
        <v>9</v>
      </c>
      <c r="C323" s="11" t="s">
        <v>253</v>
      </c>
      <c r="D323" s="11" t="s">
        <v>254</v>
      </c>
      <c r="E323" s="9" t="str">
        <f>+HYPERLINK("http://trademark.i-assist.jp/data/china/image_1903th/78837542.pdf", "78837542")</f>
        <v>78837542</v>
      </c>
      <c r="F323" s="11" t="s">
        <v>1205</v>
      </c>
      <c r="G323" s="11" t="s">
        <v>139</v>
      </c>
      <c r="H323" s="11" t="s">
        <v>1206</v>
      </c>
      <c r="I323" s="11" t="s">
        <v>127</v>
      </c>
    </row>
    <row r="324" spans="1:9" x14ac:dyDescent="0.15">
      <c r="A324" s="10">
        <v>323</v>
      </c>
      <c r="B324" s="11" t="s">
        <v>9</v>
      </c>
      <c r="C324" s="11" t="s">
        <v>253</v>
      </c>
      <c r="D324" s="11" t="s">
        <v>254</v>
      </c>
      <c r="E324" s="9" t="str">
        <f>+HYPERLINK("http://trademark.i-assist.jp/data/china/image_1903th/78837548.pdf", "78837548")</f>
        <v>78837548</v>
      </c>
      <c r="F324" s="11" t="s">
        <v>1207</v>
      </c>
      <c r="G324" s="11" t="s">
        <v>139</v>
      </c>
      <c r="H324" s="11" t="s">
        <v>1208</v>
      </c>
      <c r="I324" s="11" t="s">
        <v>127</v>
      </c>
    </row>
    <row r="325" spans="1:9" x14ac:dyDescent="0.15">
      <c r="A325" s="10">
        <v>324</v>
      </c>
      <c r="B325" s="11" t="s">
        <v>9</v>
      </c>
      <c r="C325" s="11" t="s">
        <v>253</v>
      </c>
      <c r="D325" s="11" t="s">
        <v>254</v>
      </c>
      <c r="E325" s="9" t="str">
        <f>+HYPERLINK("http://trademark.i-assist.jp/data/china/image_1903th/78837573.pdf", "78837573")</f>
        <v>78837573</v>
      </c>
      <c r="F325" s="11" t="s">
        <v>1209</v>
      </c>
      <c r="G325" s="11" t="s">
        <v>1210</v>
      </c>
      <c r="H325" s="11" t="s">
        <v>1211</v>
      </c>
      <c r="I325" s="11" t="s">
        <v>127</v>
      </c>
    </row>
    <row r="326" spans="1:9" x14ac:dyDescent="0.15">
      <c r="A326" s="10">
        <v>325</v>
      </c>
      <c r="B326" s="11" t="s">
        <v>9</v>
      </c>
      <c r="C326" s="11" t="s">
        <v>253</v>
      </c>
      <c r="D326" s="11" t="s">
        <v>254</v>
      </c>
      <c r="E326" s="9" t="str">
        <f>+HYPERLINK("http://trademark.i-assist.jp/data/china/image_1903th/78839531.pdf", "78839531")</f>
        <v>78839531</v>
      </c>
      <c r="F326" s="11" t="s">
        <v>1212</v>
      </c>
      <c r="G326" s="11" t="s">
        <v>1213</v>
      </c>
      <c r="H326" s="11" t="s">
        <v>1214</v>
      </c>
      <c r="I326" s="11" t="s">
        <v>129</v>
      </c>
    </row>
    <row r="327" spans="1:9" x14ac:dyDescent="0.15">
      <c r="A327" s="10">
        <v>326</v>
      </c>
      <c r="B327" s="11" t="s">
        <v>9</v>
      </c>
      <c r="C327" s="11" t="s">
        <v>253</v>
      </c>
      <c r="D327" s="11" t="s">
        <v>254</v>
      </c>
      <c r="E327" s="9" t="str">
        <f>+HYPERLINK("http://trademark.i-assist.jp/data/china/image_1903th/78842521.pdf", "78842521")</f>
        <v>78842521</v>
      </c>
      <c r="F327" s="11" t="s">
        <v>12</v>
      </c>
      <c r="G327" s="11" t="s">
        <v>1215</v>
      </c>
      <c r="H327" s="11" t="s">
        <v>1216</v>
      </c>
      <c r="I327" s="11" t="s">
        <v>129</v>
      </c>
    </row>
    <row r="328" spans="1:9" x14ac:dyDescent="0.15">
      <c r="A328" s="10">
        <v>327</v>
      </c>
      <c r="B328" s="11" t="s">
        <v>9</v>
      </c>
      <c r="C328" s="11" t="s">
        <v>253</v>
      </c>
      <c r="D328" s="11" t="s">
        <v>254</v>
      </c>
      <c r="E328" s="9" t="str">
        <f>+HYPERLINK("http://trademark.i-assist.jp/data/china/image_1903th/78842865.pdf", "78842865")</f>
        <v>78842865</v>
      </c>
      <c r="F328" s="11" t="s">
        <v>1217</v>
      </c>
      <c r="G328" s="11" t="s">
        <v>1218</v>
      </c>
      <c r="H328" s="11" t="s">
        <v>1219</v>
      </c>
      <c r="I328" s="11" t="s">
        <v>129</v>
      </c>
    </row>
    <row r="329" spans="1:9" x14ac:dyDescent="0.15">
      <c r="A329" s="10">
        <v>328</v>
      </c>
      <c r="B329" s="11" t="s">
        <v>9</v>
      </c>
      <c r="C329" s="11" t="s">
        <v>253</v>
      </c>
      <c r="D329" s="11" t="s">
        <v>254</v>
      </c>
      <c r="E329" s="9" t="str">
        <f>+HYPERLINK("http://trademark.i-assist.jp/data/china/image_1903th/78843659.pdf", "78843659")</f>
        <v>78843659</v>
      </c>
      <c r="F329" s="11" t="s">
        <v>1220</v>
      </c>
      <c r="G329" s="11" t="s">
        <v>131</v>
      </c>
      <c r="H329" s="11" t="s">
        <v>1221</v>
      </c>
      <c r="I329" s="11" t="s">
        <v>129</v>
      </c>
    </row>
    <row r="330" spans="1:9" x14ac:dyDescent="0.15">
      <c r="A330" s="10">
        <v>329</v>
      </c>
      <c r="B330" s="11" t="s">
        <v>9</v>
      </c>
      <c r="C330" s="11" t="s">
        <v>253</v>
      </c>
      <c r="D330" s="11" t="s">
        <v>254</v>
      </c>
      <c r="E330" s="9" t="str">
        <f>+HYPERLINK("http://trademark.i-assist.jp/data/china/image_1903th/78844208.pdf", "78844208")</f>
        <v>78844208</v>
      </c>
      <c r="F330" s="11" t="s">
        <v>12</v>
      </c>
      <c r="G330" s="11" t="s">
        <v>1222</v>
      </c>
      <c r="H330" s="11" t="s">
        <v>1223</v>
      </c>
      <c r="I330" s="11" t="s">
        <v>129</v>
      </c>
    </row>
    <row r="331" spans="1:9" x14ac:dyDescent="0.15">
      <c r="A331" s="10">
        <v>330</v>
      </c>
      <c r="B331" s="11" t="s">
        <v>9</v>
      </c>
      <c r="C331" s="11" t="s">
        <v>253</v>
      </c>
      <c r="D331" s="11" t="s">
        <v>254</v>
      </c>
      <c r="E331" s="9" t="str">
        <f>+HYPERLINK("http://trademark.i-assist.jp/data/china/image_1903th/78845624.pdf", "78845624")</f>
        <v>78845624</v>
      </c>
      <c r="F331" s="11" t="s">
        <v>1224</v>
      </c>
      <c r="G331" s="11" t="s">
        <v>1225</v>
      </c>
      <c r="H331" s="11" t="s">
        <v>1226</v>
      </c>
      <c r="I331" s="11" t="s">
        <v>129</v>
      </c>
    </row>
    <row r="332" spans="1:9" x14ac:dyDescent="0.15">
      <c r="A332" s="10">
        <v>331</v>
      </c>
      <c r="B332" s="11" t="s">
        <v>9</v>
      </c>
      <c r="C332" s="11" t="s">
        <v>253</v>
      </c>
      <c r="D332" s="11" t="s">
        <v>254</v>
      </c>
      <c r="E332" s="9" t="str">
        <f>+HYPERLINK("http://trademark.i-assist.jp/data/china/image_1903th/78847425.pdf", "78847425")</f>
        <v>78847425</v>
      </c>
      <c r="F332" s="11" t="s">
        <v>1227</v>
      </c>
      <c r="G332" s="11" t="s">
        <v>1228</v>
      </c>
      <c r="H332" s="11" t="s">
        <v>1229</v>
      </c>
      <c r="I332" s="11" t="s">
        <v>129</v>
      </c>
    </row>
    <row r="333" spans="1:9" x14ac:dyDescent="0.15">
      <c r="A333" s="10">
        <v>332</v>
      </c>
      <c r="B333" s="11" t="s">
        <v>9</v>
      </c>
      <c r="C333" s="11" t="s">
        <v>253</v>
      </c>
      <c r="D333" s="11" t="s">
        <v>254</v>
      </c>
      <c r="E333" s="9" t="str">
        <f>+HYPERLINK("http://trademark.i-assist.jp/data/china/image_1903th/78850537.pdf", "78850537")</f>
        <v>78850537</v>
      </c>
      <c r="F333" s="11" t="s">
        <v>1230</v>
      </c>
      <c r="G333" s="11" t="s">
        <v>1231</v>
      </c>
      <c r="H333" s="11" t="s">
        <v>1232</v>
      </c>
      <c r="I333" s="11" t="s">
        <v>129</v>
      </c>
    </row>
    <row r="334" spans="1:9" x14ac:dyDescent="0.15">
      <c r="A334" s="10">
        <v>333</v>
      </c>
      <c r="B334" s="11" t="s">
        <v>9</v>
      </c>
      <c r="C334" s="11" t="s">
        <v>253</v>
      </c>
      <c r="D334" s="11" t="s">
        <v>254</v>
      </c>
      <c r="E334" s="9" t="str">
        <f>+HYPERLINK("http://trademark.i-assist.jp/data/china/image_1903th/78850951.pdf", "78850951")</f>
        <v>78850951</v>
      </c>
      <c r="F334" s="11" t="s">
        <v>1233</v>
      </c>
      <c r="G334" s="11" t="s">
        <v>1234</v>
      </c>
      <c r="H334" s="11" t="s">
        <v>1235</v>
      </c>
      <c r="I334" s="11" t="s">
        <v>129</v>
      </c>
    </row>
    <row r="335" spans="1:9" x14ac:dyDescent="0.15">
      <c r="A335" s="10">
        <v>334</v>
      </c>
      <c r="B335" s="11" t="s">
        <v>9</v>
      </c>
      <c r="C335" s="11" t="s">
        <v>253</v>
      </c>
      <c r="D335" s="11" t="s">
        <v>254</v>
      </c>
      <c r="E335" s="9" t="str">
        <f>+HYPERLINK("http://trademark.i-assist.jp/data/china/image_1903th/78851581.pdf", "78851581")</f>
        <v>78851581</v>
      </c>
      <c r="F335" s="11" t="s">
        <v>1236</v>
      </c>
      <c r="G335" s="11" t="s">
        <v>1237</v>
      </c>
      <c r="H335" s="11" t="s">
        <v>1238</v>
      </c>
      <c r="I335" s="11" t="s">
        <v>129</v>
      </c>
    </row>
    <row r="336" spans="1:9" x14ac:dyDescent="0.15">
      <c r="A336" s="10">
        <v>335</v>
      </c>
      <c r="B336" s="11" t="s">
        <v>9</v>
      </c>
      <c r="C336" s="11" t="s">
        <v>253</v>
      </c>
      <c r="D336" s="11" t="s">
        <v>254</v>
      </c>
      <c r="E336" s="9" t="str">
        <f>+HYPERLINK("http://trademark.i-assist.jp/data/china/image_1903th/78851856.pdf", "78851856")</f>
        <v>78851856</v>
      </c>
      <c r="F336" s="11" t="s">
        <v>12</v>
      </c>
      <c r="G336" s="11" t="s">
        <v>1215</v>
      </c>
      <c r="H336" s="11" t="s">
        <v>1239</v>
      </c>
      <c r="I336" s="11" t="s">
        <v>129</v>
      </c>
    </row>
    <row r="337" spans="1:9" x14ac:dyDescent="0.15">
      <c r="A337" s="10">
        <v>336</v>
      </c>
      <c r="B337" s="11" t="s">
        <v>9</v>
      </c>
      <c r="C337" s="11" t="s">
        <v>253</v>
      </c>
      <c r="D337" s="11" t="s">
        <v>254</v>
      </c>
      <c r="E337" s="9" t="str">
        <f>+HYPERLINK("http://trademark.i-assist.jp/data/china/image_1903th/78852223.pdf", "78852223")</f>
        <v>78852223</v>
      </c>
      <c r="F337" s="11" t="s">
        <v>1240</v>
      </c>
      <c r="G337" s="11" t="s">
        <v>1241</v>
      </c>
      <c r="H337" s="11" t="s">
        <v>1242</v>
      </c>
      <c r="I337" s="11" t="s">
        <v>129</v>
      </c>
    </row>
    <row r="338" spans="1:9" x14ac:dyDescent="0.15">
      <c r="A338" s="10">
        <v>337</v>
      </c>
      <c r="B338" s="11" t="s">
        <v>9</v>
      </c>
      <c r="C338" s="11" t="s">
        <v>253</v>
      </c>
      <c r="D338" s="11" t="s">
        <v>254</v>
      </c>
      <c r="E338" s="9" t="str">
        <f>+HYPERLINK("http://trademark.i-assist.jp/data/china/image_1903th/78853247.pdf", "78853247")</f>
        <v>78853247</v>
      </c>
      <c r="F338" s="11" t="s">
        <v>1243</v>
      </c>
      <c r="G338" s="11" t="s">
        <v>131</v>
      </c>
      <c r="H338" s="11" t="s">
        <v>1244</v>
      </c>
      <c r="I338" s="11" t="s">
        <v>129</v>
      </c>
    </row>
    <row r="339" spans="1:9" x14ac:dyDescent="0.15">
      <c r="A339" s="10">
        <v>338</v>
      </c>
      <c r="B339" s="11" t="s">
        <v>9</v>
      </c>
      <c r="C339" s="11" t="s">
        <v>253</v>
      </c>
      <c r="D339" s="11" t="s">
        <v>254</v>
      </c>
      <c r="E339" s="9" t="str">
        <f>+HYPERLINK("http://trademark.i-assist.jp/data/china/image_1903th/78853758.pdf", "78853758")</f>
        <v>78853758</v>
      </c>
      <c r="F339" s="11" t="s">
        <v>1245</v>
      </c>
      <c r="G339" s="11" t="s">
        <v>1246</v>
      </c>
      <c r="H339" s="11" t="s">
        <v>1247</v>
      </c>
      <c r="I339" s="11" t="s">
        <v>129</v>
      </c>
    </row>
    <row r="340" spans="1:9" x14ac:dyDescent="0.15">
      <c r="A340" s="10">
        <v>339</v>
      </c>
      <c r="B340" s="11" t="s">
        <v>9</v>
      </c>
      <c r="C340" s="11" t="s">
        <v>253</v>
      </c>
      <c r="D340" s="11" t="s">
        <v>254</v>
      </c>
      <c r="E340" s="9" t="str">
        <f>+HYPERLINK("http://trademark.i-assist.jp/data/china/image_1903th/78854211.pdf", "78854211")</f>
        <v>78854211</v>
      </c>
      <c r="F340" s="11" t="s">
        <v>1248</v>
      </c>
      <c r="G340" s="11" t="s">
        <v>1241</v>
      </c>
      <c r="H340" s="11" t="s">
        <v>1249</v>
      </c>
      <c r="I340" s="11" t="s">
        <v>129</v>
      </c>
    </row>
    <row r="341" spans="1:9" x14ac:dyDescent="0.15">
      <c r="A341" s="10">
        <v>340</v>
      </c>
      <c r="B341" s="11" t="s">
        <v>9</v>
      </c>
      <c r="C341" s="11" t="s">
        <v>253</v>
      </c>
      <c r="D341" s="11" t="s">
        <v>254</v>
      </c>
      <c r="E341" s="9" t="str">
        <f>+HYPERLINK("http://trademark.i-assist.jp/data/china/image_1903th/78854797.pdf", "78854797")</f>
        <v>78854797</v>
      </c>
      <c r="F341" s="11" t="s">
        <v>1250</v>
      </c>
      <c r="G341" s="11" t="s">
        <v>1251</v>
      </c>
      <c r="H341" s="11" t="s">
        <v>1252</v>
      </c>
      <c r="I341" s="11" t="s">
        <v>129</v>
      </c>
    </row>
    <row r="342" spans="1:9" x14ac:dyDescent="0.15">
      <c r="A342" s="10">
        <v>341</v>
      </c>
      <c r="B342" s="11" t="s">
        <v>9</v>
      </c>
      <c r="C342" s="11" t="s">
        <v>253</v>
      </c>
      <c r="D342" s="11" t="s">
        <v>254</v>
      </c>
      <c r="E342" s="9" t="str">
        <f>+HYPERLINK("http://trademark.i-assist.jp/data/china/image_1903th/78855527.pdf", "78855527")</f>
        <v>78855527</v>
      </c>
      <c r="F342" s="11" t="s">
        <v>1253</v>
      </c>
      <c r="G342" s="11" t="s">
        <v>1254</v>
      </c>
      <c r="H342" s="11" t="s">
        <v>1255</v>
      </c>
      <c r="I342" s="11" t="s">
        <v>129</v>
      </c>
    </row>
    <row r="343" spans="1:9" x14ac:dyDescent="0.15">
      <c r="A343" s="10">
        <v>342</v>
      </c>
      <c r="B343" s="11" t="s">
        <v>9</v>
      </c>
      <c r="C343" s="11" t="s">
        <v>253</v>
      </c>
      <c r="D343" s="11" t="s">
        <v>254</v>
      </c>
      <c r="E343" s="9" t="str">
        <f>+HYPERLINK("http://trademark.i-assist.jp/data/china/image_1903th/78855533.pdf", "78855533")</f>
        <v>78855533</v>
      </c>
      <c r="F343" s="11" t="s">
        <v>1256</v>
      </c>
      <c r="G343" s="11" t="s">
        <v>1254</v>
      </c>
      <c r="H343" s="11" t="s">
        <v>1257</v>
      </c>
      <c r="I343" s="11" t="s">
        <v>129</v>
      </c>
    </row>
    <row r="344" spans="1:9" x14ac:dyDescent="0.15">
      <c r="A344" s="10">
        <v>343</v>
      </c>
      <c r="B344" s="11" t="s">
        <v>9</v>
      </c>
      <c r="C344" s="11" t="s">
        <v>253</v>
      </c>
      <c r="D344" s="11" t="s">
        <v>254</v>
      </c>
      <c r="E344" s="9" t="str">
        <f>+HYPERLINK("http://trademark.i-assist.jp/data/china/image_1903th/78855805.pdf", "78855805")</f>
        <v>78855805</v>
      </c>
      <c r="F344" s="11" t="s">
        <v>1258</v>
      </c>
      <c r="G344" s="11" t="s">
        <v>61</v>
      </c>
      <c r="H344" s="11" t="s">
        <v>1259</v>
      </c>
      <c r="I344" s="11" t="s">
        <v>129</v>
      </c>
    </row>
    <row r="345" spans="1:9" x14ac:dyDescent="0.15">
      <c r="A345" s="10">
        <v>344</v>
      </c>
      <c r="B345" s="11" t="s">
        <v>9</v>
      </c>
      <c r="C345" s="11" t="s">
        <v>253</v>
      </c>
      <c r="D345" s="11" t="s">
        <v>254</v>
      </c>
      <c r="E345" s="9" t="str">
        <f>+HYPERLINK("http://trademark.i-assist.jp/data/china/image_1903th/78856785.pdf", "78856785")</f>
        <v>78856785</v>
      </c>
      <c r="F345" s="11" t="s">
        <v>1260</v>
      </c>
      <c r="G345" s="11" t="s">
        <v>1261</v>
      </c>
      <c r="H345" s="11" t="s">
        <v>1262</v>
      </c>
      <c r="I345" s="11" t="s">
        <v>129</v>
      </c>
    </row>
    <row r="346" spans="1:9" x14ac:dyDescent="0.15">
      <c r="A346" s="10">
        <v>345</v>
      </c>
      <c r="B346" s="11" t="s">
        <v>9</v>
      </c>
      <c r="C346" s="11" t="s">
        <v>253</v>
      </c>
      <c r="D346" s="11" t="s">
        <v>254</v>
      </c>
      <c r="E346" s="9" t="str">
        <f>+HYPERLINK("http://trademark.i-assist.jp/data/china/image_1903th/78857000.pdf", "78857000")</f>
        <v>78857000</v>
      </c>
      <c r="F346" s="11" t="s">
        <v>1263</v>
      </c>
      <c r="G346" s="11" t="s">
        <v>1264</v>
      </c>
      <c r="H346" s="11" t="s">
        <v>43</v>
      </c>
      <c r="I346" s="11" t="s">
        <v>129</v>
      </c>
    </row>
    <row r="347" spans="1:9" x14ac:dyDescent="0.15">
      <c r="A347" s="10">
        <v>346</v>
      </c>
      <c r="B347" s="11" t="s">
        <v>9</v>
      </c>
      <c r="C347" s="11" t="s">
        <v>253</v>
      </c>
      <c r="D347" s="11" t="s">
        <v>254</v>
      </c>
      <c r="E347" s="9" t="str">
        <f>+HYPERLINK("http://trademark.i-assist.jp/data/china/image_1903th/78857366.pdf", "78857366")</f>
        <v>78857366</v>
      </c>
      <c r="F347" s="11" t="s">
        <v>1265</v>
      </c>
      <c r="G347" s="11" t="s">
        <v>1254</v>
      </c>
      <c r="H347" s="11" t="s">
        <v>1266</v>
      </c>
      <c r="I347" s="11" t="s">
        <v>129</v>
      </c>
    </row>
    <row r="348" spans="1:9" x14ac:dyDescent="0.15">
      <c r="A348" s="10">
        <v>347</v>
      </c>
      <c r="B348" s="11" t="s">
        <v>9</v>
      </c>
      <c r="C348" s="11" t="s">
        <v>253</v>
      </c>
      <c r="D348" s="11" t="s">
        <v>254</v>
      </c>
      <c r="E348" s="9" t="str">
        <f>+HYPERLINK("http://trademark.i-assist.jp/data/china/image_1903th/78857380.pdf", "78857380")</f>
        <v>78857380</v>
      </c>
      <c r="F348" s="11" t="s">
        <v>1267</v>
      </c>
      <c r="G348" s="11" t="s">
        <v>1268</v>
      </c>
      <c r="H348" s="11" t="s">
        <v>1269</v>
      </c>
      <c r="I348" s="11" t="s">
        <v>129</v>
      </c>
    </row>
    <row r="349" spans="1:9" x14ac:dyDescent="0.15">
      <c r="A349" s="10">
        <v>348</v>
      </c>
      <c r="B349" s="11" t="s">
        <v>9</v>
      </c>
      <c r="C349" s="11" t="s">
        <v>253</v>
      </c>
      <c r="D349" s="11" t="s">
        <v>254</v>
      </c>
      <c r="E349" s="9" t="str">
        <f>+HYPERLINK("http://trademark.i-assist.jp/data/china/image_1903th/78858590.pdf", "78858590")</f>
        <v>78858590</v>
      </c>
      <c r="F349" s="11" t="s">
        <v>1270</v>
      </c>
      <c r="G349" s="11" t="s">
        <v>224</v>
      </c>
      <c r="H349" s="11" t="s">
        <v>1271</v>
      </c>
      <c r="I349" s="11" t="s">
        <v>129</v>
      </c>
    </row>
    <row r="350" spans="1:9" x14ac:dyDescent="0.15">
      <c r="A350" s="10">
        <v>349</v>
      </c>
      <c r="B350" s="11" t="s">
        <v>9</v>
      </c>
      <c r="C350" s="11" t="s">
        <v>253</v>
      </c>
      <c r="D350" s="11" t="s">
        <v>254</v>
      </c>
      <c r="E350" s="9" t="str">
        <f>+HYPERLINK("http://trademark.i-assist.jp/data/china/image_1903th/78859884.pdf", "78859884")</f>
        <v>78859884</v>
      </c>
      <c r="F350" s="11" t="s">
        <v>1272</v>
      </c>
      <c r="G350" s="11" t="s">
        <v>1273</v>
      </c>
      <c r="H350" s="11" t="s">
        <v>1274</v>
      </c>
      <c r="I350" s="11" t="s">
        <v>129</v>
      </c>
    </row>
    <row r="351" spans="1:9" x14ac:dyDescent="0.15">
      <c r="A351" s="10">
        <v>350</v>
      </c>
      <c r="B351" s="11" t="s">
        <v>9</v>
      </c>
      <c r="C351" s="11" t="s">
        <v>253</v>
      </c>
      <c r="D351" s="11" t="s">
        <v>254</v>
      </c>
      <c r="E351" s="9" t="str">
        <f>+HYPERLINK("http://trademark.i-assist.jp/data/china/image_1903th/78860701.pdf", "78860701")</f>
        <v>78860701</v>
      </c>
      <c r="F351" s="11" t="s">
        <v>1275</v>
      </c>
      <c r="G351" s="11" t="s">
        <v>1276</v>
      </c>
      <c r="H351" s="11" t="s">
        <v>1277</v>
      </c>
      <c r="I351" s="11" t="s">
        <v>129</v>
      </c>
    </row>
    <row r="352" spans="1:9" x14ac:dyDescent="0.15">
      <c r="A352" s="10">
        <v>351</v>
      </c>
      <c r="B352" s="11" t="s">
        <v>9</v>
      </c>
      <c r="C352" s="11" t="s">
        <v>253</v>
      </c>
      <c r="D352" s="11" t="s">
        <v>254</v>
      </c>
      <c r="E352" s="9" t="str">
        <f>+HYPERLINK("http://trademark.i-assist.jp/data/china/image_1903th/78861160.pdf", "78861160")</f>
        <v>78861160</v>
      </c>
      <c r="F352" s="11" t="s">
        <v>1278</v>
      </c>
      <c r="G352" s="11" t="s">
        <v>1279</v>
      </c>
      <c r="H352" s="11" t="s">
        <v>1280</v>
      </c>
      <c r="I352" s="11" t="s">
        <v>129</v>
      </c>
    </row>
    <row r="353" spans="1:9" x14ac:dyDescent="0.15">
      <c r="A353" s="10">
        <v>352</v>
      </c>
      <c r="B353" s="11" t="s">
        <v>9</v>
      </c>
      <c r="C353" s="11" t="s">
        <v>253</v>
      </c>
      <c r="D353" s="11" t="s">
        <v>254</v>
      </c>
      <c r="E353" s="9" t="str">
        <f>+HYPERLINK("http://trademark.i-assist.jp/data/china/image_1903th/78867508.pdf", "78867508")</f>
        <v>78867508</v>
      </c>
      <c r="F353" s="11" t="s">
        <v>1281</v>
      </c>
      <c r="G353" s="11" t="s">
        <v>1282</v>
      </c>
      <c r="H353" s="11" t="s">
        <v>1283</v>
      </c>
      <c r="I353" s="11" t="s">
        <v>67</v>
      </c>
    </row>
    <row r="354" spans="1:9" x14ac:dyDescent="0.15">
      <c r="A354" s="10">
        <v>353</v>
      </c>
      <c r="B354" s="11" t="s">
        <v>9</v>
      </c>
      <c r="C354" s="11" t="s">
        <v>253</v>
      </c>
      <c r="D354" s="11" t="s">
        <v>254</v>
      </c>
      <c r="E354" s="9" t="str">
        <f>+HYPERLINK("http://trademark.i-assist.jp/data/china/image_1903th/78868588.pdf", "78868588")</f>
        <v>78868588</v>
      </c>
      <c r="F354" s="11" t="s">
        <v>1284</v>
      </c>
      <c r="G354" s="11" t="s">
        <v>1285</v>
      </c>
      <c r="H354" s="11" t="s">
        <v>1286</v>
      </c>
      <c r="I354" s="11" t="s">
        <v>67</v>
      </c>
    </row>
    <row r="355" spans="1:9" x14ac:dyDescent="0.15">
      <c r="A355" s="10">
        <v>354</v>
      </c>
      <c r="B355" s="11" t="s">
        <v>9</v>
      </c>
      <c r="C355" s="11" t="s">
        <v>253</v>
      </c>
      <c r="D355" s="11" t="s">
        <v>254</v>
      </c>
      <c r="E355" s="9" t="str">
        <f>+HYPERLINK("http://trademark.i-assist.jp/data/china/image_1903th/78870854.pdf", "78870854")</f>
        <v>78870854</v>
      </c>
      <c r="F355" s="11" t="s">
        <v>1287</v>
      </c>
      <c r="G355" s="11" t="s">
        <v>1288</v>
      </c>
      <c r="H355" s="11" t="s">
        <v>1289</v>
      </c>
      <c r="I355" s="11" t="s">
        <v>67</v>
      </c>
    </row>
    <row r="356" spans="1:9" x14ac:dyDescent="0.15">
      <c r="A356" s="10">
        <v>355</v>
      </c>
      <c r="B356" s="11" t="s">
        <v>9</v>
      </c>
      <c r="C356" s="11" t="s">
        <v>253</v>
      </c>
      <c r="D356" s="11" t="s">
        <v>254</v>
      </c>
      <c r="E356" s="9" t="str">
        <f>+HYPERLINK("http://trademark.i-assist.jp/data/china/image_1903th/78871032.pdf", "78871032")</f>
        <v>78871032</v>
      </c>
      <c r="F356" s="11" t="s">
        <v>1290</v>
      </c>
      <c r="G356" s="11" t="s">
        <v>1291</v>
      </c>
      <c r="H356" s="11" t="s">
        <v>1292</v>
      </c>
      <c r="I356" s="11" t="s">
        <v>67</v>
      </c>
    </row>
    <row r="357" spans="1:9" x14ac:dyDescent="0.15">
      <c r="A357" s="10">
        <v>356</v>
      </c>
      <c r="B357" s="11" t="s">
        <v>9</v>
      </c>
      <c r="C357" s="11" t="s">
        <v>253</v>
      </c>
      <c r="D357" s="11" t="s">
        <v>254</v>
      </c>
      <c r="E357" s="9" t="str">
        <f>+HYPERLINK("http://trademark.i-assist.jp/data/china/image_1903th/78871387.pdf", "78871387")</f>
        <v>78871387</v>
      </c>
      <c r="F357" s="11" t="s">
        <v>1293</v>
      </c>
      <c r="G357" s="11" t="s">
        <v>1294</v>
      </c>
      <c r="H357" s="11" t="s">
        <v>1295</v>
      </c>
      <c r="I357" s="11" t="s">
        <v>67</v>
      </c>
    </row>
    <row r="358" spans="1:9" x14ac:dyDescent="0.15">
      <c r="A358" s="10">
        <v>357</v>
      </c>
      <c r="B358" s="11" t="s">
        <v>9</v>
      </c>
      <c r="C358" s="11" t="s">
        <v>253</v>
      </c>
      <c r="D358" s="11" t="s">
        <v>254</v>
      </c>
      <c r="E358" s="9" t="str">
        <f>+HYPERLINK("http://trademark.i-assist.jp/data/china/image_1903th/78872823.pdf", "78872823")</f>
        <v>78872823</v>
      </c>
      <c r="F358" s="11" t="s">
        <v>843</v>
      </c>
      <c r="G358" s="11" t="s">
        <v>844</v>
      </c>
      <c r="H358" s="11" t="s">
        <v>1296</v>
      </c>
      <c r="I358" s="11" t="s">
        <v>67</v>
      </c>
    </row>
    <row r="359" spans="1:9" x14ac:dyDescent="0.15">
      <c r="A359" s="10">
        <v>358</v>
      </c>
      <c r="B359" s="11" t="s">
        <v>9</v>
      </c>
      <c r="C359" s="11" t="s">
        <v>253</v>
      </c>
      <c r="D359" s="11" t="s">
        <v>254</v>
      </c>
      <c r="E359" s="9" t="str">
        <f>+HYPERLINK("http://trademark.i-assist.jp/data/china/image_1903th/78873908.pdf", "78873908")</f>
        <v>78873908</v>
      </c>
      <c r="F359" s="11" t="s">
        <v>1297</v>
      </c>
      <c r="G359" s="11" t="s">
        <v>1298</v>
      </c>
      <c r="H359" s="11" t="s">
        <v>1299</v>
      </c>
      <c r="I359" s="11" t="s">
        <v>67</v>
      </c>
    </row>
    <row r="360" spans="1:9" x14ac:dyDescent="0.15">
      <c r="A360" s="10">
        <v>359</v>
      </c>
      <c r="B360" s="11" t="s">
        <v>9</v>
      </c>
      <c r="C360" s="11" t="s">
        <v>253</v>
      </c>
      <c r="D360" s="11" t="s">
        <v>254</v>
      </c>
      <c r="E360" s="9" t="str">
        <f>+HYPERLINK("http://trademark.i-assist.jp/data/china/image_1903th/78875980.pdf", "78875980")</f>
        <v>78875980</v>
      </c>
      <c r="F360" s="11" t="s">
        <v>1300</v>
      </c>
      <c r="G360" s="11" t="s">
        <v>1301</v>
      </c>
      <c r="H360" s="11" t="s">
        <v>1302</v>
      </c>
      <c r="I360" s="11" t="s">
        <v>67</v>
      </c>
    </row>
    <row r="361" spans="1:9" x14ac:dyDescent="0.15">
      <c r="A361" s="10">
        <v>360</v>
      </c>
      <c r="B361" s="11" t="s">
        <v>9</v>
      </c>
      <c r="C361" s="11" t="s">
        <v>253</v>
      </c>
      <c r="D361" s="11" t="s">
        <v>254</v>
      </c>
      <c r="E361" s="9" t="str">
        <f>+HYPERLINK("http://trademark.i-assist.jp/data/china/image_1903th/78876954.pdf", "78876954")</f>
        <v>78876954</v>
      </c>
      <c r="F361" s="11" t="s">
        <v>1303</v>
      </c>
      <c r="G361" s="11" t="s">
        <v>1304</v>
      </c>
      <c r="H361" s="11" t="s">
        <v>1305</v>
      </c>
      <c r="I361" s="11" t="s">
        <v>67</v>
      </c>
    </row>
    <row r="362" spans="1:9" x14ac:dyDescent="0.15">
      <c r="A362" s="10">
        <v>361</v>
      </c>
      <c r="B362" s="11" t="s">
        <v>9</v>
      </c>
      <c r="C362" s="11" t="s">
        <v>253</v>
      </c>
      <c r="D362" s="11" t="s">
        <v>254</v>
      </c>
      <c r="E362" s="9" t="str">
        <f>+HYPERLINK("http://trademark.i-assist.jp/data/china/image_1903th/78879173.pdf", "78879173")</f>
        <v>78879173</v>
      </c>
      <c r="F362" s="11" t="s">
        <v>1306</v>
      </c>
      <c r="G362" s="11" t="s">
        <v>1307</v>
      </c>
      <c r="H362" s="11" t="s">
        <v>1308</v>
      </c>
      <c r="I362" s="11" t="s">
        <v>67</v>
      </c>
    </row>
    <row r="363" spans="1:9" x14ac:dyDescent="0.15">
      <c r="A363" s="10">
        <v>362</v>
      </c>
      <c r="B363" s="11" t="s">
        <v>9</v>
      </c>
      <c r="C363" s="11" t="s">
        <v>253</v>
      </c>
      <c r="D363" s="11" t="s">
        <v>254</v>
      </c>
      <c r="E363" s="9" t="str">
        <f>+HYPERLINK("http://trademark.i-assist.jp/data/china/image_1903th/78880820.pdf", "78880820")</f>
        <v>78880820</v>
      </c>
      <c r="F363" s="11" t="s">
        <v>1309</v>
      </c>
      <c r="G363" s="11" t="s">
        <v>1310</v>
      </c>
      <c r="H363" s="11" t="s">
        <v>1311</v>
      </c>
      <c r="I363" s="11" t="s">
        <v>67</v>
      </c>
    </row>
    <row r="364" spans="1:9" x14ac:dyDescent="0.15">
      <c r="A364" s="10">
        <v>363</v>
      </c>
      <c r="B364" s="11" t="s">
        <v>9</v>
      </c>
      <c r="C364" s="11" t="s">
        <v>253</v>
      </c>
      <c r="D364" s="11" t="s">
        <v>254</v>
      </c>
      <c r="E364" s="9" t="str">
        <f>+HYPERLINK("http://trademark.i-assist.jp/data/china/image_1903th/78880988.pdf", "78880988")</f>
        <v>78880988</v>
      </c>
      <c r="F364" s="11" t="s">
        <v>1312</v>
      </c>
      <c r="G364" s="11" t="s">
        <v>1313</v>
      </c>
      <c r="H364" s="11" t="s">
        <v>1314</v>
      </c>
      <c r="I364" s="11" t="s">
        <v>67</v>
      </c>
    </row>
    <row r="365" spans="1:9" x14ac:dyDescent="0.15">
      <c r="A365" s="10">
        <v>364</v>
      </c>
      <c r="B365" s="11" t="s">
        <v>9</v>
      </c>
      <c r="C365" s="11" t="s">
        <v>253</v>
      </c>
      <c r="D365" s="11" t="s">
        <v>254</v>
      </c>
      <c r="E365" s="9" t="str">
        <f>+HYPERLINK("http://trademark.i-assist.jp/data/china/image_1903th/78882077.pdf", "78882077")</f>
        <v>78882077</v>
      </c>
      <c r="F365" s="11" t="s">
        <v>1315</v>
      </c>
      <c r="G365" s="11" t="s">
        <v>1316</v>
      </c>
      <c r="H365" s="11" t="s">
        <v>1317</v>
      </c>
      <c r="I365" s="11" t="s">
        <v>67</v>
      </c>
    </row>
    <row r="366" spans="1:9" x14ac:dyDescent="0.15">
      <c r="A366" s="10">
        <v>365</v>
      </c>
      <c r="B366" s="11" t="s">
        <v>9</v>
      </c>
      <c r="C366" s="11" t="s">
        <v>253</v>
      </c>
      <c r="D366" s="11" t="s">
        <v>254</v>
      </c>
      <c r="E366" s="9" t="str">
        <f>+HYPERLINK("http://trademark.i-assist.jp/data/china/image_1903th/78882570.pdf", "78882570")</f>
        <v>78882570</v>
      </c>
      <c r="F366" s="11" t="s">
        <v>1318</v>
      </c>
      <c r="G366" s="11" t="s">
        <v>1285</v>
      </c>
      <c r="H366" s="11" t="s">
        <v>1319</v>
      </c>
      <c r="I366" s="11" t="s">
        <v>67</v>
      </c>
    </row>
    <row r="367" spans="1:9" x14ac:dyDescent="0.15">
      <c r="A367" s="10">
        <v>366</v>
      </c>
      <c r="B367" s="11" t="s">
        <v>9</v>
      </c>
      <c r="C367" s="11" t="s">
        <v>253</v>
      </c>
      <c r="D367" s="11" t="s">
        <v>254</v>
      </c>
      <c r="E367" s="9" t="str">
        <f>+HYPERLINK("http://trademark.i-assist.jp/data/china/image_1903th/78882574.pdf", "78882574")</f>
        <v>78882574</v>
      </c>
      <c r="F367" s="11" t="s">
        <v>1320</v>
      </c>
      <c r="G367" s="11" t="s">
        <v>1321</v>
      </c>
      <c r="H367" s="11" t="s">
        <v>1322</v>
      </c>
      <c r="I367" s="11" t="s">
        <v>67</v>
      </c>
    </row>
    <row r="368" spans="1:9" x14ac:dyDescent="0.15">
      <c r="A368" s="10">
        <v>367</v>
      </c>
      <c r="B368" s="11" t="s">
        <v>9</v>
      </c>
      <c r="C368" s="11" t="s">
        <v>253</v>
      </c>
      <c r="D368" s="11" t="s">
        <v>254</v>
      </c>
      <c r="E368" s="9" t="str">
        <f>+HYPERLINK("http://trademark.i-assist.jp/data/china/image_1903th/78884218.pdf", "78884218")</f>
        <v>78884218</v>
      </c>
      <c r="F368" s="11" t="s">
        <v>1323</v>
      </c>
      <c r="G368" s="11" t="s">
        <v>1324</v>
      </c>
      <c r="H368" s="11" t="s">
        <v>1325</v>
      </c>
      <c r="I368" s="11" t="s">
        <v>67</v>
      </c>
    </row>
    <row r="369" spans="1:9" x14ac:dyDescent="0.15">
      <c r="A369" s="10">
        <v>368</v>
      </c>
      <c r="B369" s="11" t="s">
        <v>9</v>
      </c>
      <c r="C369" s="11" t="s">
        <v>253</v>
      </c>
      <c r="D369" s="11" t="s">
        <v>254</v>
      </c>
      <c r="E369" s="9" t="str">
        <f>+HYPERLINK("http://trademark.i-assist.jp/data/china/image_1903th/78886362.pdf", "78886362")</f>
        <v>78886362</v>
      </c>
      <c r="F369" s="11" t="s">
        <v>1326</v>
      </c>
      <c r="G369" s="11" t="s">
        <v>1327</v>
      </c>
      <c r="H369" s="11" t="s">
        <v>1328</v>
      </c>
      <c r="I369" s="11" t="s">
        <v>67</v>
      </c>
    </row>
    <row r="370" spans="1:9" x14ac:dyDescent="0.15">
      <c r="A370" s="10">
        <v>369</v>
      </c>
      <c r="B370" s="11" t="s">
        <v>9</v>
      </c>
      <c r="C370" s="11" t="s">
        <v>253</v>
      </c>
      <c r="D370" s="11" t="s">
        <v>254</v>
      </c>
      <c r="E370" s="9" t="str">
        <f>+HYPERLINK("http://trademark.i-assist.jp/data/china/image_1903th/78888513.pdf", "78888513")</f>
        <v>78888513</v>
      </c>
      <c r="F370" s="11" t="s">
        <v>12</v>
      </c>
      <c r="G370" s="11" t="s">
        <v>1329</v>
      </c>
      <c r="H370" s="11" t="s">
        <v>1330</v>
      </c>
      <c r="I370" s="11" t="s">
        <v>67</v>
      </c>
    </row>
    <row r="371" spans="1:9" x14ac:dyDescent="0.15">
      <c r="A371" s="10">
        <v>370</v>
      </c>
      <c r="B371" s="11" t="s">
        <v>9</v>
      </c>
      <c r="C371" s="11" t="s">
        <v>253</v>
      </c>
      <c r="D371" s="11" t="s">
        <v>254</v>
      </c>
      <c r="E371" s="9" t="str">
        <f>+HYPERLINK("http://trademark.i-assist.jp/data/china/image_1903th/78888665.pdf", "78888665")</f>
        <v>78888665</v>
      </c>
      <c r="F371" s="11" t="s">
        <v>1331</v>
      </c>
      <c r="G371" s="11" t="s">
        <v>1332</v>
      </c>
      <c r="H371" s="11" t="s">
        <v>1333</v>
      </c>
      <c r="I371" s="11" t="s">
        <v>67</v>
      </c>
    </row>
    <row r="372" spans="1:9" x14ac:dyDescent="0.15">
      <c r="A372" s="10">
        <v>371</v>
      </c>
      <c r="B372" s="11" t="s">
        <v>9</v>
      </c>
      <c r="C372" s="11" t="s">
        <v>253</v>
      </c>
      <c r="D372" s="11" t="s">
        <v>254</v>
      </c>
      <c r="E372" s="9" t="str">
        <f>+HYPERLINK("http://trademark.i-assist.jp/data/china/image_1903th/78889970.pdf", "78889970")</f>
        <v>78889970</v>
      </c>
      <c r="F372" s="11" t="s">
        <v>1334</v>
      </c>
      <c r="G372" s="11" t="s">
        <v>149</v>
      </c>
      <c r="H372" s="11" t="s">
        <v>1335</v>
      </c>
      <c r="I372" s="11" t="s">
        <v>67</v>
      </c>
    </row>
    <row r="373" spans="1:9" x14ac:dyDescent="0.15">
      <c r="A373" s="10">
        <v>372</v>
      </c>
      <c r="B373" s="11" t="s">
        <v>9</v>
      </c>
      <c r="C373" s="11" t="s">
        <v>253</v>
      </c>
      <c r="D373" s="11" t="s">
        <v>254</v>
      </c>
      <c r="E373" s="9" t="str">
        <f>+HYPERLINK("http://trademark.i-assist.jp/data/china/image_1903th/78896096.pdf", "78896096")</f>
        <v>78896096</v>
      </c>
      <c r="F373" s="11" t="s">
        <v>1336</v>
      </c>
      <c r="G373" s="11" t="s">
        <v>1337</v>
      </c>
      <c r="H373" s="11" t="s">
        <v>1338</v>
      </c>
      <c r="I373" s="11" t="s">
        <v>140</v>
      </c>
    </row>
    <row r="374" spans="1:9" x14ac:dyDescent="0.15">
      <c r="A374" s="10">
        <v>373</v>
      </c>
      <c r="B374" s="11" t="s">
        <v>9</v>
      </c>
      <c r="C374" s="11" t="s">
        <v>253</v>
      </c>
      <c r="D374" s="11" t="s">
        <v>254</v>
      </c>
      <c r="E374" s="9" t="str">
        <f>+HYPERLINK("http://trademark.i-assist.jp/data/china/image_1903th/78900004.pdf", "78900004")</f>
        <v>78900004</v>
      </c>
      <c r="F374" s="11" t="s">
        <v>1339</v>
      </c>
      <c r="G374" s="11" t="s">
        <v>1340</v>
      </c>
      <c r="H374" s="11" t="s">
        <v>1341</v>
      </c>
      <c r="I374" s="11" t="s">
        <v>140</v>
      </c>
    </row>
    <row r="375" spans="1:9" x14ac:dyDescent="0.15">
      <c r="A375" s="10">
        <v>374</v>
      </c>
      <c r="B375" s="11" t="s">
        <v>9</v>
      </c>
      <c r="C375" s="11" t="s">
        <v>253</v>
      </c>
      <c r="D375" s="11" t="s">
        <v>254</v>
      </c>
      <c r="E375" s="9" t="str">
        <f>+HYPERLINK("http://trademark.i-assist.jp/data/china/image_1903th/78902440.pdf", "78902440")</f>
        <v>78902440</v>
      </c>
      <c r="F375" s="11" t="s">
        <v>1342</v>
      </c>
      <c r="G375" s="11" t="s">
        <v>1343</v>
      </c>
      <c r="H375" s="11" t="s">
        <v>1344</v>
      </c>
      <c r="I375" s="11" t="s">
        <v>140</v>
      </c>
    </row>
    <row r="376" spans="1:9" x14ac:dyDescent="0.15">
      <c r="A376" s="10">
        <v>375</v>
      </c>
      <c r="B376" s="11" t="s">
        <v>9</v>
      </c>
      <c r="C376" s="11" t="s">
        <v>253</v>
      </c>
      <c r="D376" s="11" t="s">
        <v>254</v>
      </c>
      <c r="E376" s="9" t="str">
        <f>+HYPERLINK("http://trademark.i-assist.jp/data/china/image_1903th/78905855.pdf", "78905855")</f>
        <v>78905855</v>
      </c>
      <c r="F376" s="11" t="s">
        <v>1345</v>
      </c>
      <c r="G376" s="11" t="s">
        <v>1346</v>
      </c>
      <c r="H376" s="11" t="s">
        <v>1347</v>
      </c>
      <c r="I376" s="11" t="s">
        <v>140</v>
      </c>
    </row>
    <row r="377" spans="1:9" x14ac:dyDescent="0.15">
      <c r="A377" s="10">
        <v>376</v>
      </c>
      <c r="B377" s="11" t="s">
        <v>9</v>
      </c>
      <c r="C377" s="11" t="s">
        <v>253</v>
      </c>
      <c r="D377" s="11" t="s">
        <v>254</v>
      </c>
      <c r="E377" s="9" t="str">
        <f>+HYPERLINK("http://trademark.i-assist.jp/data/china/image_1903th/78912536.pdf", "78912536")</f>
        <v>78912536</v>
      </c>
      <c r="F377" s="11" t="s">
        <v>12</v>
      </c>
      <c r="G377" s="11" t="s">
        <v>1348</v>
      </c>
      <c r="H377" s="11" t="s">
        <v>1349</v>
      </c>
      <c r="I377" s="11" t="s">
        <v>140</v>
      </c>
    </row>
    <row r="378" spans="1:9" x14ac:dyDescent="0.15">
      <c r="A378" s="10">
        <v>377</v>
      </c>
      <c r="B378" s="11" t="s">
        <v>9</v>
      </c>
      <c r="C378" s="11" t="s">
        <v>253</v>
      </c>
      <c r="D378" s="11" t="s">
        <v>254</v>
      </c>
      <c r="E378" s="9" t="str">
        <f>+HYPERLINK("http://trademark.i-assist.jp/data/china/image_1903th/78913548.pdf", "78913548")</f>
        <v>78913548</v>
      </c>
      <c r="F378" s="11" t="s">
        <v>1350</v>
      </c>
      <c r="G378" s="11" t="s">
        <v>1351</v>
      </c>
      <c r="H378" s="11" t="s">
        <v>1352</v>
      </c>
      <c r="I378" s="11" t="s">
        <v>140</v>
      </c>
    </row>
    <row r="379" spans="1:9" x14ac:dyDescent="0.15">
      <c r="A379" s="10">
        <v>378</v>
      </c>
      <c r="B379" s="11" t="s">
        <v>9</v>
      </c>
      <c r="C379" s="11" t="s">
        <v>253</v>
      </c>
      <c r="D379" s="11" t="s">
        <v>254</v>
      </c>
      <c r="E379" s="9" t="str">
        <f>+HYPERLINK("http://trademark.i-assist.jp/data/china/image_1903th/78917114.pdf", "78917114")</f>
        <v>78917114</v>
      </c>
      <c r="F379" s="11" t="s">
        <v>1353</v>
      </c>
      <c r="G379" s="11" t="s">
        <v>180</v>
      </c>
      <c r="H379" s="11" t="s">
        <v>1354</v>
      </c>
      <c r="I379" s="11" t="s">
        <v>140</v>
      </c>
    </row>
    <row r="380" spans="1:9" x14ac:dyDescent="0.15">
      <c r="A380" s="10">
        <v>379</v>
      </c>
      <c r="B380" s="11" t="s">
        <v>9</v>
      </c>
      <c r="C380" s="11" t="s">
        <v>253</v>
      </c>
      <c r="D380" s="11" t="s">
        <v>254</v>
      </c>
      <c r="E380" s="9" t="str">
        <f>+HYPERLINK("http://trademark.i-assist.jp/data/china/image_1903th/78917980.pdf", "78917980")</f>
        <v>78917980</v>
      </c>
      <c r="F380" s="11" t="s">
        <v>1355</v>
      </c>
      <c r="G380" s="11" t="s">
        <v>1356</v>
      </c>
      <c r="H380" s="11" t="s">
        <v>1357</v>
      </c>
      <c r="I380" s="11" t="s">
        <v>140</v>
      </c>
    </row>
    <row r="381" spans="1:9" x14ac:dyDescent="0.15">
      <c r="A381" s="10">
        <v>380</v>
      </c>
      <c r="B381" s="11" t="s">
        <v>9</v>
      </c>
      <c r="C381" s="11" t="s">
        <v>253</v>
      </c>
      <c r="D381" s="11" t="s">
        <v>254</v>
      </c>
      <c r="E381" s="9" t="str">
        <f>+HYPERLINK("http://trademark.i-assist.jp/data/china/image_1903th/78919580.pdf", "78919580")</f>
        <v>78919580</v>
      </c>
      <c r="F381" s="11" t="s">
        <v>1358</v>
      </c>
      <c r="G381" s="11" t="s">
        <v>187</v>
      </c>
      <c r="H381" s="11" t="s">
        <v>1359</v>
      </c>
      <c r="I381" s="11" t="s">
        <v>140</v>
      </c>
    </row>
    <row r="382" spans="1:9" x14ac:dyDescent="0.15">
      <c r="A382" s="10">
        <v>381</v>
      </c>
      <c r="B382" s="11" t="s">
        <v>9</v>
      </c>
      <c r="C382" s="11" t="s">
        <v>253</v>
      </c>
      <c r="D382" s="11" t="s">
        <v>254</v>
      </c>
      <c r="E382" s="9" t="str">
        <f>+HYPERLINK("http://trademark.i-assist.jp/data/china/image_1903th/78921495.pdf", "78921495")</f>
        <v>78921495</v>
      </c>
      <c r="F382" s="11" t="s">
        <v>1360</v>
      </c>
      <c r="G382" s="11" t="s">
        <v>161</v>
      </c>
      <c r="H382" s="11" t="s">
        <v>1361</v>
      </c>
      <c r="I382" s="11" t="s">
        <v>145</v>
      </c>
    </row>
    <row r="383" spans="1:9" x14ac:dyDescent="0.15">
      <c r="A383" s="10">
        <v>382</v>
      </c>
      <c r="B383" s="11" t="s">
        <v>9</v>
      </c>
      <c r="C383" s="11" t="s">
        <v>253</v>
      </c>
      <c r="D383" s="11" t="s">
        <v>254</v>
      </c>
      <c r="E383" s="9" t="str">
        <f>+HYPERLINK("http://trademark.i-assist.jp/data/china/image_1903th/78922609.pdf", "78922609")</f>
        <v>78922609</v>
      </c>
      <c r="F383" s="11" t="s">
        <v>1362</v>
      </c>
      <c r="G383" s="11" t="s">
        <v>1363</v>
      </c>
      <c r="H383" s="11" t="s">
        <v>1364</v>
      </c>
      <c r="I383" s="11" t="s">
        <v>145</v>
      </c>
    </row>
    <row r="384" spans="1:9" x14ac:dyDescent="0.15">
      <c r="A384" s="10">
        <v>383</v>
      </c>
      <c r="B384" s="11" t="s">
        <v>9</v>
      </c>
      <c r="C384" s="11" t="s">
        <v>253</v>
      </c>
      <c r="D384" s="11" t="s">
        <v>254</v>
      </c>
      <c r="E384" s="9" t="str">
        <f>+HYPERLINK("http://trademark.i-assist.jp/data/china/image_1903th/78923740.pdf", "78923740")</f>
        <v>78923740</v>
      </c>
      <c r="F384" s="11" t="s">
        <v>1365</v>
      </c>
      <c r="G384" s="11" t="s">
        <v>1366</v>
      </c>
      <c r="H384" s="11" t="s">
        <v>1367</v>
      </c>
      <c r="I384" s="11" t="s">
        <v>145</v>
      </c>
    </row>
    <row r="385" spans="1:9" x14ac:dyDescent="0.15">
      <c r="A385" s="10">
        <v>384</v>
      </c>
      <c r="B385" s="11" t="s">
        <v>9</v>
      </c>
      <c r="C385" s="11" t="s">
        <v>253</v>
      </c>
      <c r="D385" s="11" t="s">
        <v>254</v>
      </c>
      <c r="E385" s="9" t="str">
        <f>+HYPERLINK("http://trademark.i-assist.jp/data/china/image_1903th/78924061.pdf", "78924061")</f>
        <v>78924061</v>
      </c>
      <c r="F385" s="11" t="s">
        <v>1368</v>
      </c>
      <c r="G385" s="11" t="s">
        <v>1369</v>
      </c>
      <c r="H385" s="11" t="s">
        <v>1370</v>
      </c>
      <c r="I385" s="11" t="s">
        <v>145</v>
      </c>
    </row>
    <row r="386" spans="1:9" x14ac:dyDescent="0.15">
      <c r="A386" s="10">
        <v>385</v>
      </c>
      <c r="B386" s="11" t="s">
        <v>9</v>
      </c>
      <c r="C386" s="11" t="s">
        <v>253</v>
      </c>
      <c r="D386" s="11" t="s">
        <v>254</v>
      </c>
      <c r="E386" s="9" t="str">
        <f>+HYPERLINK("http://trademark.i-assist.jp/data/china/image_1903th/78924661.pdf", "78924661")</f>
        <v>78924661</v>
      </c>
      <c r="F386" s="11" t="s">
        <v>1371</v>
      </c>
      <c r="G386" s="11" t="s">
        <v>1372</v>
      </c>
      <c r="H386" s="11" t="s">
        <v>1373</v>
      </c>
      <c r="I386" s="11" t="s">
        <v>145</v>
      </c>
    </row>
    <row r="387" spans="1:9" x14ac:dyDescent="0.15">
      <c r="A387" s="10">
        <v>386</v>
      </c>
      <c r="B387" s="11" t="s">
        <v>9</v>
      </c>
      <c r="C387" s="11" t="s">
        <v>253</v>
      </c>
      <c r="D387" s="11" t="s">
        <v>254</v>
      </c>
      <c r="E387" s="9" t="str">
        <f>+HYPERLINK("http://trademark.i-assist.jp/data/china/image_1903th/78926705.pdf", "78926705")</f>
        <v>78926705</v>
      </c>
      <c r="F387" s="11" t="s">
        <v>1374</v>
      </c>
      <c r="G387" s="11" t="s">
        <v>161</v>
      </c>
      <c r="H387" s="11" t="s">
        <v>1375</v>
      </c>
      <c r="I387" s="11" t="s">
        <v>145</v>
      </c>
    </row>
    <row r="388" spans="1:9" x14ac:dyDescent="0.15">
      <c r="A388" s="10">
        <v>387</v>
      </c>
      <c r="B388" s="11" t="s">
        <v>9</v>
      </c>
      <c r="C388" s="11" t="s">
        <v>253</v>
      </c>
      <c r="D388" s="11" t="s">
        <v>254</v>
      </c>
      <c r="E388" s="9" t="str">
        <f>+HYPERLINK("http://trademark.i-assist.jp/data/china/image_1903th/78927438.pdf", "78927438")</f>
        <v>78927438</v>
      </c>
      <c r="F388" s="11" t="s">
        <v>1376</v>
      </c>
      <c r="G388" s="11" t="s">
        <v>1377</v>
      </c>
      <c r="H388" s="11" t="s">
        <v>1378</v>
      </c>
      <c r="I388" s="11" t="s">
        <v>145</v>
      </c>
    </row>
    <row r="389" spans="1:9" x14ac:dyDescent="0.15">
      <c r="A389" s="10">
        <v>388</v>
      </c>
      <c r="B389" s="11" t="s">
        <v>9</v>
      </c>
      <c r="C389" s="11" t="s">
        <v>253</v>
      </c>
      <c r="D389" s="11" t="s">
        <v>254</v>
      </c>
      <c r="E389" s="9" t="str">
        <f>+HYPERLINK("http://trademark.i-assist.jp/data/china/image_1903th/78927517.pdf", "78927517")</f>
        <v>78927517</v>
      </c>
      <c r="F389" s="11" t="s">
        <v>1379</v>
      </c>
      <c r="G389" s="11" t="s">
        <v>1380</v>
      </c>
      <c r="H389" s="11" t="s">
        <v>1381</v>
      </c>
      <c r="I389" s="11" t="s">
        <v>145</v>
      </c>
    </row>
    <row r="390" spans="1:9" x14ac:dyDescent="0.15">
      <c r="A390" s="10">
        <v>389</v>
      </c>
      <c r="B390" s="11" t="s">
        <v>9</v>
      </c>
      <c r="C390" s="11" t="s">
        <v>253</v>
      </c>
      <c r="D390" s="11" t="s">
        <v>254</v>
      </c>
      <c r="E390" s="9" t="str">
        <f>+HYPERLINK("http://trademark.i-assist.jp/data/china/image_1903th/78928782.pdf", "78928782")</f>
        <v>78928782</v>
      </c>
      <c r="F390" s="11" t="s">
        <v>1382</v>
      </c>
      <c r="G390" s="11" t="s">
        <v>1383</v>
      </c>
      <c r="H390" s="11" t="s">
        <v>1384</v>
      </c>
      <c r="I390" s="11" t="s">
        <v>145</v>
      </c>
    </row>
    <row r="391" spans="1:9" x14ac:dyDescent="0.15">
      <c r="A391" s="10">
        <v>390</v>
      </c>
      <c r="B391" s="11" t="s">
        <v>9</v>
      </c>
      <c r="C391" s="11" t="s">
        <v>253</v>
      </c>
      <c r="D391" s="11" t="s">
        <v>254</v>
      </c>
      <c r="E391" s="9" t="str">
        <f>+HYPERLINK("http://trademark.i-assist.jp/data/china/image_1903th/78929023.pdf", "78929023")</f>
        <v>78929023</v>
      </c>
      <c r="F391" s="11" t="s">
        <v>1385</v>
      </c>
      <c r="G391" s="11" t="s">
        <v>1386</v>
      </c>
      <c r="H391" s="11" t="s">
        <v>1387</v>
      </c>
      <c r="I391" s="11" t="s">
        <v>145</v>
      </c>
    </row>
    <row r="392" spans="1:9" x14ac:dyDescent="0.15">
      <c r="A392" s="10">
        <v>391</v>
      </c>
      <c r="B392" s="11" t="s">
        <v>9</v>
      </c>
      <c r="C392" s="11" t="s">
        <v>253</v>
      </c>
      <c r="D392" s="11" t="s">
        <v>254</v>
      </c>
      <c r="E392" s="9" t="str">
        <f>+HYPERLINK("http://trademark.i-assist.jp/data/china/image_1903th/78930158.pdf", "78930158")</f>
        <v>78930158</v>
      </c>
      <c r="F392" s="11" t="s">
        <v>1388</v>
      </c>
      <c r="G392" s="11" t="s">
        <v>1389</v>
      </c>
      <c r="H392" s="11" t="s">
        <v>1390</v>
      </c>
      <c r="I392" s="11" t="s">
        <v>145</v>
      </c>
    </row>
    <row r="393" spans="1:9" x14ac:dyDescent="0.15">
      <c r="A393" s="10">
        <v>392</v>
      </c>
      <c r="B393" s="11" t="s">
        <v>9</v>
      </c>
      <c r="C393" s="11" t="s">
        <v>253</v>
      </c>
      <c r="D393" s="11" t="s">
        <v>254</v>
      </c>
      <c r="E393" s="9" t="str">
        <f>+HYPERLINK("http://trademark.i-assist.jp/data/china/image_1903th/78932193.pdf", "78932193")</f>
        <v>78932193</v>
      </c>
      <c r="F393" s="11" t="s">
        <v>1391</v>
      </c>
      <c r="G393" s="11" t="s">
        <v>1392</v>
      </c>
      <c r="H393" s="11" t="s">
        <v>1393</v>
      </c>
      <c r="I393" s="11" t="s">
        <v>145</v>
      </c>
    </row>
    <row r="394" spans="1:9" x14ac:dyDescent="0.15">
      <c r="A394" s="10">
        <v>393</v>
      </c>
      <c r="B394" s="11" t="s">
        <v>9</v>
      </c>
      <c r="C394" s="11" t="s">
        <v>253</v>
      </c>
      <c r="D394" s="11" t="s">
        <v>254</v>
      </c>
      <c r="E394" s="9" t="str">
        <f>+HYPERLINK("http://trademark.i-assist.jp/data/china/image_1903th/78932265.pdf", "78932265")</f>
        <v>78932265</v>
      </c>
      <c r="F394" s="11" t="s">
        <v>1394</v>
      </c>
      <c r="G394" s="11" t="s">
        <v>205</v>
      </c>
      <c r="H394" s="11" t="s">
        <v>1395</v>
      </c>
      <c r="I394" s="11" t="s">
        <v>145</v>
      </c>
    </row>
    <row r="395" spans="1:9" x14ac:dyDescent="0.15">
      <c r="A395" s="10">
        <v>394</v>
      </c>
      <c r="B395" s="11" t="s">
        <v>9</v>
      </c>
      <c r="C395" s="11" t="s">
        <v>253</v>
      </c>
      <c r="D395" s="11" t="s">
        <v>254</v>
      </c>
      <c r="E395" s="9" t="str">
        <f>+HYPERLINK("http://trademark.i-assist.jp/data/china/image_1903th/78932532.pdf", "78932532")</f>
        <v>78932532</v>
      </c>
      <c r="F395" s="11" t="s">
        <v>1396</v>
      </c>
      <c r="G395" s="11" t="s">
        <v>1397</v>
      </c>
      <c r="H395" s="11" t="s">
        <v>1398</v>
      </c>
      <c r="I395" s="11" t="s">
        <v>145</v>
      </c>
    </row>
    <row r="396" spans="1:9" x14ac:dyDescent="0.15">
      <c r="A396" s="10">
        <v>395</v>
      </c>
      <c r="B396" s="11" t="s">
        <v>9</v>
      </c>
      <c r="C396" s="11" t="s">
        <v>253</v>
      </c>
      <c r="D396" s="11" t="s">
        <v>254</v>
      </c>
      <c r="E396" s="9" t="str">
        <f>+HYPERLINK("http://trademark.i-assist.jp/data/china/image_1903th/78932902.pdf", "78932902")</f>
        <v>78932902</v>
      </c>
      <c r="F396" s="11" t="s">
        <v>1399</v>
      </c>
      <c r="G396" s="11" t="s">
        <v>1400</v>
      </c>
      <c r="H396" s="11" t="s">
        <v>1401</v>
      </c>
      <c r="I396" s="11" t="s">
        <v>145</v>
      </c>
    </row>
    <row r="397" spans="1:9" x14ac:dyDescent="0.15">
      <c r="A397" s="10">
        <v>396</v>
      </c>
      <c r="B397" s="11" t="s">
        <v>9</v>
      </c>
      <c r="C397" s="11" t="s">
        <v>253</v>
      </c>
      <c r="D397" s="11" t="s">
        <v>254</v>
      </c>
      <c r="E397" s="9" t="str">
        <f>+HYPERLINK("http://trademark.i-assist.jp/data/china/image_1903th/78933039.pdf", "78933039")</f>
        <v>78933039</v>
      </c>
      <c r="F397" s="11" t="s">
        <v>1402</v>
      </c>
      <c r="G397" s="11" t="s">
        <v>1403</v>
      </c>
      <c r="H397" s="11" t="s">
        <v>1404</v>
      </c>
      <c r="I397" s="11" t="s">
        <v>145</v>
      </c>
    </row>
    <row r="398" spans="1:9" x14ac:dyDescent="0.15">
      <c r="A398" s="10">
        <v>397</v>
      </c>
      <c r="B398" s="11" t="s">
        <v>9</v>
      </c>
      <c r="C398" s="11" t="s">
        <v>253</v>
      </c>
      <c r="D398" s="11" t="s">
        <v>254</v>
      </c>
      <c r="E398" s="9" t="str">
        <f>+HYPERLINK("http://trademark.i-assist.jp/data/china/image_1903th/78934361.pdf", "78934361")</f>
        <v>78934361</v>
      </c>
      <c r="F398" s="11" t="s">
        <v>1405</v>
      </c>
      <c r="G398" s="11" t="s">
        <v>1406</v>
      </c>
      <c r="H398" s="11" t="s">
        <v>1407</v>
      </c>
      <c r="I398" s="11" t="s">
        <v>145</v>
      </c>
    </row>
    <row r="399" spans="1:9" x14ac:dyDescent="0.15">
      <c r="A399" s="10">
        <v>398</v>
      </c>
      <c r="B399" s="11" t="s">
        <v>9</v>
      </c>
      <c r="C399" s="11" t="s">
        <v>253</v>
      </c>
      <c r="D399" s="11" t="s">
        <v>254</v>
      </c>
      <c r="E399" s="9" t="str">
        <f>+HYPERLINK("http://trademark.i-assist.jp/data/china/image_1903th/78934988.pdf", "78934988")</f>
        <v>78934988</v>
      </c>
      <c r="F399" s="11" t="s">
        <v>1408</v>
      </c>
      <c r="G399" s="11" t="s">
        <v>161</v>
      </c>
      <c r="H399" s="11" t="s">
        <v>1409</v>
      </c>
      <c r="I399" s="11" t="s">
        <v>145</v>
      </c>
    </row>
    <row r="400" spans="1:9" x14ac:dyDescent="0.15">
      <c r="A400" s="10">
        <v>399</v>
      </c>
      <c r="B400" s="11" t="s">
        <v>9</v>
      </c>
      <c r="C400" s="11" t="s">
        <v>253</v>
      </c>
      <c r="D400" s="11" t="s">
        <v>254</v>
      </c>
      <c r="E400" s="9" t="str">
        <f>+HYPERLINK("http://trademark.i-assist.jp/data/china/image_1903th/78936397.pdf", "78936397")</f>
        <v>78936397</v>
      </c>
      <c r="F400" s="11" t="s">
        <v>1410</v>
      </c>
      <c r="G400" s="11" t="s">
        <v>1411</v>
      </c>
      <c r="H400" s="11" t="s">
        <v>1412</v>
      </c>
      <c r="I400" s="11" t="s">
        <v>145</v>
      </c>
    </row>
    <row r="401" spans="1:9" x14ac:dyDescent="0.15">
      <c r="A401" s="10">
        <v>400</v>
      </c>
      <c r="B401" s="11" t="s">
        <v>9</v>
      </c>
      <c r="C401" s="11" t="s">
        <v>253</v>
      </c>
      <c r="D401" s="11" t="s">
        <v>254</v>
      </c>
      <c r="E401" s="9" t="str">
        <f>+HYPERLINK("http://trademark.i-assist.jp/data/china/image_1903th/78938212.pdf", "78938212")</f>
        <v>78938212</v>
      </c>
      <c r="F401" s="11" t="s">
        <v>1413</v>
      </c>
      <c r="G401" s="11" t="s">
        <v>1414</v>
      </c>
      <c r="H401" s="11" t="s">
        <v>1415</v>
      </c>
      <c r="I401" s="11" t="s">
        <v>145</v>
      </c>
    </row>
    <row r="402" spans="1:9" x14ac:dyDescent="0.15">
      <c r="A402" s="10">
        <v>401</v>
      </c>
      <c r="B402" s="11" t="s">
        <v>9</v>
      </c>
      <c r="C402" s="11" t="s">
        <v>253</v>
      </c>
      <c r="D402" s="11" t="s">
        <v>254</v>
      </c>
      <c r="E402" s="9" t="str">
        <f>+HYPERLINK("http://trademark.i-assist.jp/data/china/image_1903th/78939252.pdf", "78939252")</f>
        <v>78939252</v>
      </c>
      <c r="F402" s="11" t="s">
        <v>1416</v>
      </c>
      <c r="G402" s="11" t="s">
        <v>1417</v>
      </c>
      <c r="H402" s="11" t="s">
        <v>1418</v>
      </c>
      <c r="I402" s="11" t="s">
        <v>145</v>
      </c>
    </row>
    <row r="403" spans="1:9" x14ac:dyDescent="0.15">
      <c r="A403" s="10">
        <v>402</v>
      </c>
      <c r="B403" s="11" t="s">
        <v>9</v>
      </c>
      <c r="C403" s="11" t="s">
        <v>253</v>
      </c>
      <c r="D403" s="11" t="s">
        <v>254</v>
      </c>
      <c r="E403" s="9" t="str">
        <f>+HYPERLINK("http://trademark.i-assist.jp/data/china/image_1903th/78940580.pdf", "78940580")</f>
        <v>78940580</v>
      </c>
      <c r="F403" s="11" t="s">
        <v>1419</v>
      </c>
      <c r="G403" s="11" t="s">
        <v>1420</v>
      </c>
      <c r="H403" s="11" t="s">
        <v>1421</v>
      </c>
      <c r="I403" s="11" t="s">
        <v>145</v>
      </c>
    </row>
    <row r="404" spans="1:9" x14ac:dyDescent="0.15">
      <c r="A404" s="10">
        <v>403</v>
      </c>
      <c r="B404" s="11" t="s">
        <v>9</v>
      </c>
      <c r="C404" s="11" t="s">
        <v>253</v>
      </c>
      <c r="D404" s="11" t="s">
        <v>254</v>
      </c>
      <c r="E404" s="9" t="str">
        <f>+HYPERLINK("http://trademark.i-assist.jp/data/china/image_1903th/78941695A.pdf", "78941695A")</f>
        <v>78941695A</v>
      </c>
      <c r="F404" s="11" t="s">
        <v>1422</v>
      </c>
      <c r="G404" s="11" t="s">
        <v>1423</v>
      </c>
      <c r="H404" s="11" t="s">
        <v>1424</v>
      </c>
      <c r="I404" s="11" t="s">
        <v>145</v>
      </c>
    </row>
    <row r="405" spans="1:9" x14ac:dyDescent="0.15">
      <c r="A405" s="10">
        <v>404</v>
      </c>
      <c r="B405" s="11" t="s">
        <v>9</v>
      </c>
      <c r="C405" s="11" t="s">
        <v>253</v>
      </c>
      <c r="D405" s="11" t="s">
        <v>254</v>
      </c>
      <c r="E405" s="9" t="str">
        <f>+HYPERLINK("http://trademark.i-assist.jp/data/china/image_1903th/78942328.pdf", "78942328")</f>
        <v>78942328</v>
      </c>
      <c r="F405" s="11" t="s">
        <v>1425</v>
      </c>
      <c r="G405" s="11" t="s">
        <v>1426</v>
      </c>
      <c r="H405" s="11" t="s">
        <v>1427</v>
      </c>
      <c r="I405" s="11" t="s">
        <v>145</v>
      </c>
    </row>
    <row r="406" spans="1:9" x14ac:dyDescent="0.15">
      <c r="A406" s="10">
        <v>405</v>
      </c>
      <c r="B406" s="11" t="s">
        <v>9</v>
      </c>
      <c r="C406" s="11" t="s">
        <v>253</v>
      </c>
      <c r="D406" s="11" t="s">
        <v>254</v>
      </c>
      <c r="E406" s="9" t="str">
        <f>+HYPERLINK("http://trademark.i-assist.jp/data/china/image_1903th/78942784.pdf", "78942784")</f>
        <v>78942784</v>
      </c>
      <c r="F406" s="11" t="s">
        <v>1428</v>
      </c>
      <c r="G406" s="11" t="s">
        <v>1429</v>
      </c>
      <c r="H406" s="11" t="s">
        <v>1430</v>
      </c>
      <c r="I406" s="11" t="s">
        <v>145</v>
      </c>
    </row>
    <row r="407" spans="1:9" x14ac:dyDescent="0.15">
      <c r="A407" s="10">
        <v>406</v>
      </c>
      <c r="B407" s="11" t="s">
        <v>9</v>
      </c>
      <c r="C407" s="11" t="s">
        <v>253</v>
      </c>
      <c r="D407" s="11" t="s">
        <v>254</v>
      </c>
      <c r="E407" s="9" t="str">
        <f>+HYPERLINK("http://trademark.i-assist.jp/data/china/image_1903th/78942864.pdf", "78942864")</f>
        <v>78942864</v>
      </c>
      <c r="F407" s="11" t="s">
        <v>1431</v>
      </c>
      <c r="G407" s="11" t="s">
        <v>1432</v>
      </c>
      <c r="H407" s="11" t="s">
        <v>1433</v>
      </c>
      <c r="I407" s="11" t="s">
        <v>145</v>
      </c>
    </row>
    <row r="408" spans="1:9" x14ac:dyDescent="0.15">
      <c r="A408" s="10">
        <v>407</v>
      </c>
      <c r="B408" s="11" t="s">
        <v>9</v>
      </c>
      <c r="C408" s="11" t="s">
        <v>253</v>
      </c>
      <c r="D408" s="11" t="s">
        <v>254</v>
      </c>
      <c r="E408" s="9" t="str">
        <f>+HYPERLINK("http://trademark.i-assist.jp/data/china/image_1903th/78943065.pdf", "78943065")</f>
        <v>78943065</v>
      </c>
      <c r="F408" s="11" t="s">
        <v>1434</v>
      </c>
      <c r="G408" s="11" t="s">
        <v>150</v>
      </c>
      <c r="H408" s="11" t="s">
        <v>1435</v>
      </c>
      <c r="I408" s="11" t="s">
        <v>145</v>
      </c>
    </row>
    <row r="409" spans="1:9" x14ac:dyDescent="0.15">
      <c r="A409" s="10">
        <v>408</v>
      </c>
      <c r="B409" s="11" t="s">
        <v>9</v>
      </c>
      <c r="C409" s="11" t="s">
        <v>253</v>
      </c>
      <c r="D409" s="11" t="s">
        <v>254</v>
      </c>
      <c r="E409" s="9" t="str">
        <f>+HYPERLINK("http://trademark.i-assist.jp/data/china/image_1903th/78943262.pdf", "78943262")</f>
        <v>78943262</v>
      </c>
      <c r="F409" s="11" t="s">
        <v>1436</v>
      </c>
      <c r="G409" s="11" t="s">
        <v>1437</v>
      </c>
      <c r="H409" s="11" t="s">
        <v>1438</v>
      </c>
      <c r="I409" s="11" t="s">
        <v>145</v>
      </c>
    </row>
    <row r="410" spans="1:9" x14ac:dyDescent="0.15">
      <c r="A410" s="10">
        <v>409</v>
      </c>
      <c r="B410" s="11" t="s">
        <v>9</v>
      </c>
      <c r="C410" s="11" t="s">
        <v>253</v>
      </c>
      <c r="D410" s="11" t="s">
        <v>254</v>
      </c>
      <c r="E410" s="9" t="str">
        <f>+HYPERLINK("http://trademark.i-assist.jp/data/china/image_1903th/78943370.pdf", "78943370")</f>
        <v>78943370</v>
      </c>
      <c r="F410" s="11" t="s">
        <v>1439</v>
      </c>
      <c r="G410" s="11" t="s">
        <v>1440</v>
      </c>
      <c r="H410" s="11" t="s">
        <v>1441</v>
      </c>
      <c r="I410" s="11" t="s">
        <v>145</v>
      </c>
    </row>
    <row r="411" spans="1:9" x14ac:dyDescent="0.15">
      <c r="A411" s="10">
        <v>410</v>
      </c>
      <c r="B411" s="11" t="s">
        <v>9</v>
      </c>
      <c r="C411" s="11" t="s">
        <v>253</v>
      </c>
      <c r="D411" s="11" t="s">
        <v>254</v>
      </c>
      <c r="E411" s="9" t="str">
        <f>+HYPERLINK("http://trademark.i-assist.jp/data/china/image_1903th/78943969.pdf", "78943969")</f>
        <v>78943969</v>
      </c>
      <c r="F411" s="11" t="s">
        <v>1442</v>
      </c>
      <c r="G411" s="11" t="s">
        <v>1397</v>
      </c>
      <c r="H411" s="11" t="s">
        <v>1443</v>
      </c>
      <c r="I411" s="11" t="s">
        <v>145</v>
      </c>
    </row>
    <row r="412" spans="1:9" x14ac:dyDescent="0.15">
      <c r="A412" s="10">
        <v>411</v>
      </c>
      <c r="B412" s="11" t="s">
        <v>9</v>
      </c>
      <c r="C412" s="11" t="s">
        <v>253</v>
      </c>
      <c r="D412" s="11" t="s">
        <v>254</v>
      </c>
      <c r="E412" s="9" t="str">
        <f>+HYPERLINK("http://trademark.i-assist.jp/data/china/image_1903th/78945993.pdf", "78945993")</f>
        <v>78945993</v>
      </c>
      <c r="F412" s="11" t="s">
        <v>1444</v>
      </c>
      <c r="G412" s="11" t="s">
        <v>1445</v>
      </c>
      <c r="H412" s="11" t="s">
        <v>1446</v>
      </c>
      <c r="I412" s="11" t="s">
        <v>145</v>
      </c>
    </row>
    <row r="413" spans="1:9" x14ac:dyDescent="0.15">
      <c r="A413" s="10">
        <v>412</v>
      </c>
      <c r="B413" s="11" t="s">
        <v>9</v>
      </c>
      <c r="C413" s="11" t="s">
        <v>253</v>
      </c>
      <c r="D413" s="11" t="s">
        <v>254</v>
      </c>
      <c r="E413" s="9" t="str">
        <f>+HYPERLINK("http://trademark.i-assist.jp/data/china/image_1903th/78947855.pdf", "78947855")</f>
        <v>78947855</v>
      </c>
      <c r="F413" s="11" t="s">
        <v>1447</v>
      </c>
      <c r="G413" s="11" t="s">
        <v>1448</v>
      </c>
      <c r="H413" s="11" t="s">
        <v>1449</v>
      </c>
      <c r="I413" s="11" t="s">
        <v>145</v>
      </c>
    </row>
    <row r="414" spans="1:9" x14ac:dyDescent="0.15">
      <c r="A414" s="10">
        <v>413</v>
      </c>
      <c r="B414" s="11" t="s">
        <v>9</v>
      </c>
      <c r="C414" s="11" t="s">
        <v>253</v>
      </c>
      <c r="D414" s="11" t="s">
        <v>254</v>
      </c>
      <c r="E414" s="9" t="str">
        <f>+HYPERLINK("http://trademark.i-assist.jp/data/china/image_1903th/78948548.pdf", "78948548")</f>
        <v>78948548</v>
      </c>
      <c r="F414" s="11" t="s">
        <v>12</v>
      </c>
      <c r="G414" s="11" t="s">
        <v>1450</v>
      </c>
      <c r="H414" s="11" t="s">
        <v>1451</v>
      </c>
      <c r="I414" s="11" t="s">
        <v>156</v>
      </c>
    </row>
    <row r="415" spans="1:9" x14ac:dyDescent="0.15">
      <c r="A415" s="10">
        <v>414</v>
      </c>
      <c r="B415" s="11" t="s">
        <v>9</v>
      </c>
      <c r="C415" s="11" t="s">
        <v>253</v>
      </c>
      <c r="D415" s="11" t="s">
        <v>254</v>
      </c>
      <c r="E415" s="9" t="str">
        <f>+HYPERLINK("http://trademark.i-assist.jp/data/china/image_1903th/78949000.pdf", "78949000")</f>
        <v>78949000</v>
      </c>
      <c r="F415" s="11" t="s">
        <v>1452</v>
      </c>
      <c r="G415" s="11" t="s">
        <v>1453</v>
      </c>
      <c r="H415" s="11" t="s">
        <v>1454</v>
      </c>
      <c r="I415" s="11" t="s">
        <v>156</v>
      </c>
    </row>
    <row r="416" spans="1:9" x14ac:dyDescent="0.15">
      <c r="A416" s="10">
        <v>415</v>
      </c>
      <c r="B416" s="11" t="s">
        <v>9</v>
      </c>
      <c r="C416" s="11" t="s">
        <v>253</v>
      </c>
      <c r="D416" s="11" t="s">
        <v>254</v>
      </c>
      <c r="E416" s="9" t="str">
        <f>+HYPERLINK("http://trademark.i-assist.jp/data/china/image_1903th/78949129.pdf", "78949129")</f>
        <v>78949129</v>
      </c>
      <c r="F416" s="11" t="s">
        <v>1455</v>
      </c>
      <c r="G416" s="11" t="s">
        <v>838</v>
      </c>
      <c r="H416" s="11" t="s">
        <v>1456</v>
      </c>
      <c r="I416" s="11" t="s">
        <v>156</v>
      </c>
    </row>
    <row r="417" spans="1:9" x14ac:dyDescent="0.15">
      <c r="A417" s="10">
        <v>416</v>
      </c>
      <c r="B417" s="11" t="s">
        <v>9</v>
      </c>
      <c r="C417" s="11" t="s">
        <v>253</v>
      </c>
      <c r="D417" s="11" t="s">
        <v>254</v>
      </c>
      <c r="E417" s="9" t="str">
        <f>+HYPERLINK("http://trademark.i-assist.jp/data/china/image_1903th/78950188.pdf", "78950188")</f>
        <v>78950188</v>
      </c>
      <c r="F417" s="11" t="s">
        <v>1457</v>
      </c>
      <c r="G417" s="11" t="s">
        <v>1458</v>
      </c>
      <c r="H417" s="11" t="s">
        <v>1459</v>
      </c>
      <c r="I417" s="11" t="s">
        <v>156</v>
      </c>
    </row>
    <row r="418" spans="1:9" x14ac:dyDescent="0.15">
      <c r="A418" s="10">
        <v>417</v>
      </c>
      <c r="B418" s="11" t="s">
        <v>9</v>
      </c>
      <c r="C418" s="11" t="s">
        <v>253</v>
      </c>
      <c r="D418" s="11" t="s">
        <v>254</v>
      </c>
      <c r="E418" s="9" t="str">
        <f>+HYPERLINK("http://trademark.i-assist.jp/data/china/image_1903th/78950356.pdf", "78950356")</f>
        <v>78950356</v>
      </c>
      <c r="F418" s="11" t="s">
        <v>1460</v>
      </c>
      <c r="G418" s="11" t="s">
        <v>1461</v>
      </c>
      <c r="H418" s="11" t="s">
        <v>1462</v>
      </c>
      <c r="I418" s="11" t="s">
        <v>156</v>
      </c>
    </row>
    <row r="419" spans="1:9" x14ac:dyDescent="0.15">
      <c r="A419" s="10">
        <v>418</v>
      </c>
      <c r="B419" s="11" t="s">
        <v>9</v>
      </c>
      <c r="C419" s="11" t="s">
        <v>253</v>
      </c>
      <c r="D419" s="11" t="s">
        <v>254</v>
      </c>
      <c r="E419" s="9" t="str">
        <f>+HYPERLINK("http://trademark.i-assist.jp/data/china/image_1903th/78950688.pdf", "78950688")</f>
        <v>78950688</v>
      </c>
      <c r="F419" s="11" t="s">
        <v>1463</v>
      </c>
      <c r="G419" s="11" t="s">
        <v>1464</v>
      </c>
      <c r="H419" s="11" t="s">
        <v>1465</v>
      </c>
      <c r="I419" s="11" t="s">
        <v>156</v>
      </c>
    </row>
    <row r="420" spans="1:9" x14ac:dyDescent="0.15">
      <c r="A420" s="10">
        <v>419</v>
      </c>
      <c r="B420" s="11" t="s">
        <v>9</v>
      </c>
      <c r="C420" s="11" t="s">
        <v>253</v>
      </c>
      <c r="D420" s="11" t="s">
        <v>254</v>
      </c>
      <c r="E420" s="9" t="str">
        <f>+HYPERLINK("http://trademark.i-assist.jp/data/china/image_1903th/78951927.pdf", "78951927")</f>
        <v>78951927</v>
      </c>
      <c r="F420" s="11" t="s">
        <v>1466</v>
      </c>
      <c r="G420" s="11" t="s">
        <v>163</v>
      </c>
      <c r="H420" s="11" t="s">
        <v>1467</v>
      </c>
      <c r="I420" s="11" t="s">
        <v>156</v>
      </c>
    </row>
    <row r="421" spans="1:9" x14ac:dyDescent="0.15">
      <c r="A421" s="10">
        <v>420</v>
      </c>
      <c r="B421" s="11" t="s">
        <v>9</v>
      </c>
      <c r="C421" s="11" t="s">
        <v>253</v>
      </c>
      <c r="D421" s="11" t="s">
        <v>254</v>
      </c>
      <c r="E421" s="9" t="str">
        <f>+HYPERLINK("http://trademark.i-assist.jp/data/china/image_1903th/78952802.pdf", "78952802")</f>
        <v>78952802</v>
      </c>
      <c r="F421" s="11" t="s">
        <v>1468</v>
      </c>
      <c r="G421" s="11" t="s">
        <v>1469</v>
      </c>
      <c r="H421" s="11" t="s">
        <v>1470</v>
      </c>
      <c r="I421" s="11" t="s">
        <v>156</v>
      </c>
    </row>
    <row r="422" spans="1:9" x14ac:dyDescent="0.15">
      <c r="A422" s="10">
        <v>421</v>
      </c>
      <c r="B422" s="11" t="s">
        <v>9</v>
      </c>
      <c r="C422" s="11" t="s">
        <v>253</v>
      </c>
      <c r="D422" s="11" t="s">
        <v>254</v>
      </c>
      <c r="E422" s="9" t="str">
        <f>+HYPERLINK("http://trademark.i-assist.jp/data/china/image_1903th/78952902.pdf", "78952902")</f>
        <v>78952902</v>
      </c>
      <c r="F422" s="11" t="s">
        <v>1471</v>
      </c>
      <c r="G422" s="11" t="s">
        <v>1472</v>
      </c>
      <c r="H422" s="11" t="s">
        <v>1473</v>
      </c>
      <c r="I422" s="11" t="s">
        <v>156</v>
      </c>
    </row>
    <row r="423" spans="1:9" x14ac:dyDescent="0.15">
      <c r="A423" s="10">
        <v>422</v>
      </c>
      <c r="B423" s="11" t="s">
        <v>9</v>
      </c>
      <c r="C423" s="11" t="s">
        <v>253</v>
      </c>
      <c r="D423" s="11" t="s">
        <v>254</v>
      </c>
      <c r="E423" s="9" t="str">
        <f>+HYPERLINK("http://trademark.i-assist.jp/data/china/image_1903th/78953388.pdf", "78953388")</f>
        <v>78953388</v>
      </c>
      <c r="F423" s="11" t="s">
        <v>1474</v>
      </c>
      <c r="G423" s="11" t="s">
        <v>1475</v>
      </c>
      <c r="H423" s="11" t="s">
        <v>1476</v>
      </c>
      <c r="I423" s="11" t="s">
        <v>156</v>
      </c>
    </row>
    <row r="424" spans="1:9" x14ac:dyDescent="0.15">
      <c r="A424" s="10">
        <v>423</v>
      </c>
      <c r="B424" s="11" t="s">
        <v>9</v>
      </c>
      <c r="C424" s="11" t="s">
        <v>253</v>
      </c>
      <c r="D424" s="11" t="s">
        <v>254</v>
      </c>
      <c r="E424" s="9" t="str">
        <f>+HYPERLINK("http://trademark.i-assist.jp/data/china/image_1903th/78954645.pdf", "78954645")</f>
        <v>78954645</v>
      </c>
      <c r="F424" s="11" t="s">
        <v>1477</v>
      </c>
      <c r="G424" s="11" t="s">
        <v>160</v>
      </c>
      <c r="H424" s="11" t="s">
        <v>1478</v>
      </c>
      <c r="I424" s="11" t="s">
        <v>156</v>
      </c>
    </row>
    <row r="425" spans="1:9" x14ac:dyDescent="0.15">
      <c r="A425" s="10">
        <v>424</v>
      </c>
      <c r="B425" s="11" t="s">
        <v>9</v>
      </c>
      <c r="C425" s="11" t="s">
        <v>253</v>
      </c>
      <c r="D425" s="11" t="s">
        <v>254</v>
      </c>
      <c r="E425" s="9" t="str">
        <f>+HYPERLINK("http://trademark.i-assist.jp/data/china/image_1903th/78955616.pdf", "78955616")</f>
        <v>78955616</v>
      </c>
      <c r="F425" s="11" t="s">
        <v>1479</v>
      </c>
      <c r="G425" s="11" t="s">
        <v>1480</v>
      </c>
      <c r="H425" s="11" t="s">
        <v>1481</v>
      </c>
      <c r="I425" s="11" t="s">
        <v>156</v>
      </c>
    </row>
    <row r="426" spans="1:9" x14ac:dyDescent="0.15">
      <c r="A426" s="10">
        <v>425</v>
      </c>
      <c r="B426" s="11" t="s">
        <v>9</v>
      </c>
      <c r="C426" s="11" t="s">
        <v>253</v>
      </c>
      <c r="D426" s="11" t="s">
        <v>254</v>
      </c>
      <c r="E426" s="9" t="str">
        <f>+HYPERLINK("http://trademark.i-assist.jp/data/china/image_1903th/78956883.pdf", "78956883")</f>
        <v>78956883</v>
      </c>
      <c r="F426" s="11" t="s">
        <v>1482</v>
      </c>
      <c r="G426" s="11" t="s">
        <v>1483</v>
      </c>
      <c r="H426" s="11" t="s">
        <v>1484</v>
      </c>
      <c r="I426" s="11" t="s">
        <v>156</v>
      </c>
    </row>
    <row r="427" spans="1:9" x14ac:dyDescent="0.15">
      <c r="A427" s="10">
        <v>426</v>
      </c>
      <c r="B427" s="11" t="s">
        <v>9</v>
      </c>
      <c r="C427" s="11" t="s">
        <v>253</v>
      </c>
      <c r="D427" s="11" t="s">
        <v>254</v>
      </c>
      <c r="E427" s="9" t="str">
        <f>+HYPERLINK("http://trademark.i-assist.jp/data/china/image_1903th/78957488.pdf", "78957488")</f>
        <v>78957488</v>
      </c>
      <c r="F427" s="11" t="s">
        <v>1485</v>
      </c>
      <c r="G427" s="11" t="s">
        <v>1486</v>
      </c>
      <c r="H427" s="11" t="s">
        <v>1487</v>
      </c>
      <c r="I427" s="11" t="s">
        <v>156</v>
      </c>
    </row>
    <row r="428" spans="1:9" x14ac:dyDescent="0.15">
      <c r="A428" s="10">
        <v>427</v>
      </c>
      <c r="B428" s="11" t="s">
        <v>9</v>
      </c>
      <c r="C428" s="11" t="s">
        <v>253</v>
      </c>
      <c r="D428" s="11" t="s">
        <v>254</v>
      </c>
      <c r="E428" s="9" t="str">
        <f>+HYPERLINK("http://trademark.i-assist.jp/data/china/image_1903th/78958079.pdf", "78958079")</f>
        <v>78958079</v>
      </c>
      <c r="F428" s="11" t="s">
        <v>1488</v>
      </c>
      <c r="G428" s="11" t="s">
        <v>1489</v>
      </c>
      <c r="H428" s="11" t="s">
        <v>1490</v>
      </c>
      <c r="I428" s="11" t="s">
        <v>156</v>
      </c>
    </row>
    <row r="429" spans="1:9" x14ac:dyDescent="0.15">
      <c r="A429" s="10">
        <v>428</v>
      </c>
      <c r="B429" s="11" t="s">
        <v>9</v>
      </c>
      <c r="C429" s="11" t="s">
        <v>253</v>
      </c>
      <c r="D429" s="11" t="s">
        <v>254</v>
      </c>
      <c r="E429" s="9" t="str">
        <f>+HYPERLINK("http://trademark.i-assist.jp/data/china/image_1903th/78959729.pdf", "78959729")</f>
        <v>78959729</v>
      </c>
      <c r="F429" s="11" t="s">
        <v>1491</v>
      </c>
      <c r="G429" s="11" t="s">
        <v>1492</v>
      </c>
      <c r="H429" s="11" t="s">
        <v>1493</v>
      </c>
      <c r="I429" s="11" t="s">
        <v>156</v>
      </c>
    </row>
    <row r="430" spans="1:9" x14ac:dyDescent="0.15">
      <c r="A430" s="10">
        <v>429</v>
      </c>
      <c r="B430" s="11" t="s">
        <v>9</v>
      </c>
      <c r="C430" s="11" t="s">
        <v>253</v>
      </c>
      <c r="D430" s="11" t="s">
        <v>254</v>
      </c>
      <c r="E430" s="9" t="str">
        <f>+HYPERLINK("http://trademark.i-assist.jp/data/china/image_1903th/78959764.pdf", "78959764")</f>
        <v>78959764</v>
      </c>
      <c r="F430" s="11" t="s">
        <v>1494</v>
      </c>
      <c r="G430" s="11" t="s">
        <v>1495</v>
      </c>
      <c r="H430" s="11" t="s">
        <v>1496</v>
      </c>
      <c r="I430" s="11" t="s">
        <v>156</v>
      </c>
    </row>
    <row r="431" spans="1:9" x14ac:dyDescent="0.15">
      <c r="A431" s="10">
        <v>430</v>
      </c>
      <c r="B431" s="11" t="s">
        <v>9</v>
      </c>
      <c r="C431" s="11" t="s">
        <v>253</v>
      </c>
      <c r="D431" s="11" t="s">
        <v>254</v>
      </c>
      <c r="E431" s="9" t="str">
        <f>+HYPERLINK("http://trademark.i-assist.jp/data/china/image_1903th/78959871.pdf", "78959871")</f>
        <v>78959871</v>
      </c>
      <c r="F431" s="11" t="s">
        <v>1497</v>
      </c>
      <c r="G431" s="11" t="s">
        <v>1498</v>
      </c>
      <c r="H431" s="11" t="s">
        <v>1499</v>
      </c>
      <c r="I431" s="11" t="s">
        <v>156</v>
      </c>
    </row>
    <row r="432" spans="1:9" x14ac:dyDescent="0.15">
      <c r="A432" s="10">
        <v>431</v>
      </c>
      <c r="B432" s="11" t="s">
        <v>9</v>
      </c>
      <c r="C432" s="11" t="s">
        <v>253</v>
      </c>
      <c r="D432" s="11" t="s">
        <v>254</v>
      </c>
      <c r="E432" s="9" t="str">
        <f>+HYPERLINK("http://trademark.i-assist.jp/data/china/image_1903th/78959993.pdf", "78959993")</f>
        <v>78959993</v>
      </c>
      <c r="F432" s="11" t="s">
        <v>1500</v>
      </c>
      <c r="G432" s="11" t="s">
        <v>1501</v>
      </c>
      <c r="H432" s="11" t="s">
        <v>1502</v>
      </c>
      <c r="I432" s="11" t="s">
        <v>156</v>
      </c>
    </row>
    <row r="433" spans="1:9" x14ac:dyDescent="0.15">
      <c r="A433" s="10">
        <v>432</v>
      </c>
      <c r="B433" s="11" t="s">
        <v>9</v>
      </c>
      <c r="C433" s="11" t="s">
        <v>253</v>
      </c>
      <c r="D433" s="11" t="s">
        <v>254</v>
      </c>
      <c r="E433" s="9" t="str">
        <f>+HYPERLINK("http://trademark.i-assist.jp/data/china/image_1903th/78960547.pdf", "78960547")</f>
        <v>78960547</v>
      </c>
      <c r="F433" s="11" t="s">
        <v>1503</v>
      </c>
      <c r="G433" s="11" t="s">
        <v>1504</v>
      </c>
      <c r="H433" s="11" t="s">
        <v>1505</v>
      </c>
      <c r="I433" s="11" t="s">
        <v>156</v>
      </c>
    </row>
    <row r="434" spans="1:9" x14ac:dyDescent="0.15">
      <c r="A434" s="10">
        <v>433</v>
      </c>
      <c r="B434" s="11" t="s">
        <v>9</v>
      </c>
      <c r="C434" s="11" t="s">
        <v>253</v>
      </c>
      <c r="D434" s="11" t="s">
        <v>254</v>
      </c>
      <c r="E434" s="9" t="str">
        <f>+HYPERLINK("http://trademark.i-assist.jp/data/china/image_1903th/78960828.pdf", "78960828")</f>
        <v>78960828</v>
      </c>
      <c r="F434" s="11" t="s">
        <v>1506</v>
      </c>
      <c r="G434" s="11" t="s">
        <v>1507</v>
      </c>
      <c r="H434" s="11" t="s">
        <v>1508</v>
      </c>
      <c r="I434" s="11" t="s">
        <v>156</v>
      </c>
    </row>
    <row r="435" spans="1:9" x14ac:dyDescent="0.15">
      <c r="A435" s="10">
        <v>434</v>
      </c>
      <c r="B435" s="11" t="s">
        <v>9</v>
      </c>
      <c r="C435" s="11" t="s">
        <v>253</v>
      </c>
      <c r="D435" s="11" t="s">
        <v>254</v>
      </c>
      <c r="E435" s="9" t="str">
        <f>+HYPERLINK("http://trademark.i-assist.jp/data/china/image_1903th/78963391.pdf", "78963391")</f>
        <v>78963391</v>
      </c>
      <c r="F435" s="11" t="s">
        <v>1509</v>
      </c>
      <c r="G435" s="11" t="s">
        <v>1510</v>
      </c>
      <c r="H435" s="11" t="s">
        <v>1511</v>
      </c>
      <c r="I435" s="11" t="s">
        <v>156</v>
      </c>
    </row>
    <row r="436" spans="1:9" x14ac:dyDescent="0.15">
      <c r="A436" s="10">
        <v>435</v>
      </c>
      <c r="B436" s="11" t="s">
        <v>9</v>
      </c>
      <c r="C436" s="11" t="s">
        <v>253</v>
      </c>
      <c r="D436" s="11" t="s">
        <v>254</v>
      </c>
      <c r="E436" s="9" t="str">
        <f>+HYPERLINK("http://trademark.i-assist.jp/data/china/image_1903th/78963778.pdf", "78963778")</f>
        <v>78963778</v>
      </c>
      <c r="F436" s="11" t="s">
        <v>1512</v>
      </c>
      <c r="G436" s="11" t="s">
        <v>1513</v>
      </c>
      <c r="H436" s="11" t="s">
        <v>1514</v>
      </c>
      <c r="I436" s="11" t="s">
        <v>156</v>
      </c>
    </row>
    <row r="437" spans="1:9" x14ac:dyDescent="0.15">
      <c r="A437" s="10">
        <v>436</v>
      </c>
      <c r="B437" s="11" t="s">
        <v>9</v>
      </c>
      <c r="C437" s="11" t="s">
        <v>253</v>
      </c>
      <c r="D437" s="11" t="s">
        <v>254</v>
      </c>
      <c r="E437" s="9" t="str">
        <f>+HYPERLINK("http://trademark.i-assist.jp/data/china/image_1903th/78964084.pdf", "78964084")</f>
        <v>78964084</v>
      </c>
      <c r="F437" s="11" t="s">
        <v>1515</v>
      </c>
      <c r="G437" s="11" t="s">
        <v>1498</v>
      </c>
      <c r="H437" s="11" t="s">
        <v>1516</v>
      </c>
      <c r="I437" s="11" t="s">
        <v>156</v>
      </c>
    </row>
    <row r="438" spans="1:9" x14ac:dyDescent="0.15">
      <c r="A438" s="10">
        <v>437</v>
      </c>
      <c r="B438" s="11" t="s">
        <v>9</v>
      </c>
      <c r="C438" s="11" t="s">
        <v>253</v>
      </c>
      <c r="D438" s="11" t="s">
        <v>254</v>
      </c>
      <c r="E438" s="9" t="str">
        <f>+HYPERLINK("http://trademark.i-assist.jp/data/china/image_1903th/78964179.pdf", "78964179")</f>
        <v>78964179</v>
      </c>
      <c r="F438" s="11" t="s">
        <v>1517</v>
      </c>
      <c r="G438" s="11" t="s">
        <v>1518</v>
      </c>
      <c r="H438" s="11" t="s">
        <v>1519</v>
      </c>
      <c r="I438" s="11" t="s">
        <v>156</v>
      </c>
    </row>
    <row r="439" spans="1:9" x14ac:dyDescent="0.15">
      <c r="A439" s="10">
        <v>438</v>
      </c>
      <c r="B439" s="11" t="s">
        <v>9</v>
      </c>
      <c r="C439" s="11" t="s">
        <v>253</v>
      </c>
      <c r="D439" s="11" t="s">
        <v>254</v>
      </c>
      <c r="E439" s="9" t="str">
        <f>+HYPERLINK("http://trademark.i-assist.jp/data/china/image_1903th/78964664.pdf", "78964664")</f>
        <v>78964664</v>
      </c>
      <c r="F439" s="11" t="s">
        <v>12</v>
      </c>
      <c r="G439" s="11" t="s">
        <v>1520</v>
      </c>
      <c r="H439" s="11" t="s">
        <v>1521</v>
      </c>
      <c r="I439" s="11" t="s">
        <v>156</v>
      </c>
    </row>
    <row r="440" spans="1:9" x14ac:dyDescent="0.15">
      <c r="A440" s="10">
        <v>439</v>
      </c>
      <c r="B440" s="11" t="s">
        <v>9</v>
      </c>
      <c r="C440" s="11" t="s">
        <v>253</v>
      </c>
      <c r="D440" s="11" t="s">
        <v>254</v>
      </c>
      <c r="E440" s="9" t="str">
        <f>+HYPERLINK("http://trademark.i-assist.jp/data/china/image_1903th/78965038.pdf", "78965038")</f>
        <v>78965038</v>
      </c>
      <c r="F440" s="11" t="s">
        <v>1522</v>
      </c>
      <c r="G440" s="11" t="s">
        <v>158</v>
      </c>
      <c r="H440" s="11" t="s">
        <v>1523</v>
      </c>
      <c r="I440" s="11" t="s">
        <v>156</v>
      </c>
    </row>
    <row r="441" spans="1:9" x14ac:dyDescent="0.15">
      <c r="A441" s="10">
        <v>440</v>
      </c>
      <c r="B441" s="11" t="s">
        <v>9</v>
      </c>
      <c r="C441" s="11" t="s">
        <v>253</v>
      </c>
      <c r="D441" s="11" t="s">
        <v>254</v>
      </c>
      <c r="E441" s="9" t="str">
        <f>+HYPERLINK("http://trademark.i-assist.jp/data/china/image_1903th/78966297.pdf", "78966297")</f>
        <v>78966297</v>
      </c>
      <c r="F441" s="11" t="s">
        <v>1524</v>
      </c>
      <c r="G441" s="11" t="s">
        <v>1525</v>
      </c>
      <c r="H441" s="11" t="s">
        <v>1526</v>
      </c>
      <c r="I441" s="11" t="s">
        <v>156</v>
      </c>
    </row>
    <row r="442" spans="1:9" x14ac:dyDescent="0.15">
      <c r="A442" s="10">
        <v>441</v>
      </c>
      <c r="B442" s="11" t="s">
        <v>9</v>
      </c>
      <c r="C442" s="11" t="s">
        <v>253</v>
      </c>
      <c r="D442" s="11" t="s">
        <v>254</v>
      </c>
      <c r="E442" s="9" t="str">
        <f>+HYPERLINK("http://trademark.i-assist.jp/data/china/image_1903th/78971766.pdf", "78971766")</f>
        <v>78971766</v>
      </c>
      <c r="F442" s="11" t="s">
        <v>1527</v>
      </c>
      <c r="G442" s="11" t="s">
        <v>1528</v>
      </c>
      <c r="H442" s="11" t="s">
        <v>1529</v>
      </c>
      <c r="I442" s="11" t="s">
        <v>156</v>
      </c>
    </row>
    <row r="443" spans="1:9" x14ac:dyDescent="0.15">
      <c r="A443" s="10">
        <v>442</v>
      </c>
      <c r="B443" s="11" t="s">
        <v>9</v>
      </c>
      <c r="C443" s="11" t="s">
        <v>253</v>
      </c>
      <c r="D443" s="11" t="s">
        <v>254</v>
      </c>
      <c r="E443" s="9" t="str">
        <f>+HYPERLINK("http://trademark.i-assist.jp/data/china/image_1903th/78971895.pdf", "78971895")</f>
        <v>78971895</v>
      </c>
      <c r="F443" s="11" t="s">
        <v>1530</v>
      </c>
      <c r="G443" s="11" t="s">
        <v>1531</v>
      </c>
      <c r="H443" s="11" t="s">
        <v>1532</v>
      </c>
      <c r="I443" s="11" t="s">
        <v>156</v>
      </c>
    </row>
    <row r="444" spans="1:9" x14ac:dyDescent="0.15">
      <c r="A444" s="10">
        <v>443</v>
      </c>
      <c r="B444" s="11" t="s">
        <v>9</v>
      </c>
      <c r="C444" s="11" t="s">
        <v>253</v>
      </c>
      <c r="D444" s="11" t="s">
        <v>254</v>
      </c>
      <c r="E444" s="9" t="str">
        <f>+HYPERLINK("http://trademark.i-assist.jp/data/china/image_1903th/78972288.pdf", "78972288")</f>
        <v>78972288</v>
      </c>
      <c r="F444" s="11" t="s">
        <v>1533</v>
      </c>
      <c r="G444" s="11" t="s">
        <v>1534</v>
      </c>
      <c r="H444" s="11" t="s">
        <v>1535</v>
      </c>
      <c r="I444" s="11" t="s">
        <v>156</v>
      </c>
    </row>
    <row r="445" spans="1:9" x14ac:dyDescent="0.15">
      <c r="A445" s="10">
        <v>444</v>
      </c>
      <c r="B445" s="11" t="s">
        <v>9</v>
      </c>
      <c r="C445" s="11" t="s">
        <v>253</v>
      </c>
      <c r="D445" s="11" t="s">
        <v>254</v>
      </c>
      <c r="E445" s="9" t="str">
        <f>+HYPERLINK("http://trademark.i-assist.jp/data/china/image_1903th/78972476.pdf", "78972476")</f>
        <v>78972476</v>
      </c>
      <c r="F445" s="11" t="s">
        <v>1536</v>
      </c>
      <c r="G445" s="11" t="s">
        <v>1537</v>
      </c>
      <c r="H445" s="11" t="s">
        <v>1538</v>
      </c>
      <c r="I445" s="11" t="s">
        <v>156</v>
      </c>
    </row>
    <row r="446" spans="1:9" x14ac:dyDescent="0.15">
      <c r="A446" s="10">
        <v>445</v>
      </c>
      <c r="B446" s="11" t="s">
        <v>9</v>
      </c>
      <c r="C446" s="11" t="s">
        <v>253</v>
      </c>
      <c r="D446" s="11" t="s">
        <v>254</v>
      </c>
      <c r="E446" s="9" t="str">
        <f>+HYPERLINK("http://trademark.i-assist.jp/data/china/image_1903th/78974068.pdf", "78974068")</f>
        <v>78974068</v>
      </c>
      <c r="F446" s="11" t="s">
        <v>1539</v>
      </c>
      <c r="G446" s="11" t="s">
        <v>1540</v>
      </c>
      <c r="H446" s="11" t="s">
        <v>1541</v>
      </c>
      <c r="I446" s="11" t="s">
        <v>156</v>
      </c>
    </row>
    <row r="447" spans="1:9" x14ac:dyDescent="0.15">
      <c r="A447" s="10">
        <v>446</v>
      </c>
      <c r="B447" s="11" t="s">
        <v>9</v>
      </c>
      <c r="C447" s="11" t="s">
        <v>253</v>
      </c>
      <c r="D447" s="11" t="s">
        <v>254</v>
      </c>
      <c r="E447" s="9" t="str">
        <f>+HYPERLINK("http://trademark.i-assist.jp/data/china/image_1903th/78974494.pdf", "78974494")</f>
        <v>78974494</v>
      </c>
      <c r="F447" s="11" t="s">
        <v>1542</v>
      </c>
      <c r="G447" s="11" t="s">
        <v>105</v>
      </c>
      <c r="H447" s="11" t="s">
        <v>1543</v>
      </c>
      <c r="I447" s="11" t="s">
        <v>156</v>
      </c>
    </row>
    <row r="448" spans="1:9" x14ac:dyDescent="0.15">
      <c r="A448" s="10">
        <v>447</v>
      </c>
      <c r="B448" s="11" t="s">
        <v>9</v>
      </c>
      <c r="C448" s="11" t="s">
        <v>253</v>
      </c>
      <c r="D448" s="11" t="s">
        <v>254</v>
      </c>
      <c r="E448" s="9" t="str">
        <f>+HYPERLINK("http://trademark.i-assist.jp/data/china/image_1903th/78974734.pdf", "78974734")</f>
        <v>78974734</v>
      </c>
      <c r="F448" s="11" t="s">
        <v>1544</v>
      </c>
      <c r="G448" s="11" t="s">
        <v>1545</v>
      </c>
      <c r="H448" s="11" t="s">
        <v>1546</v>
      </c>
      <c r="I448" s="11" t="s">
        <v>156</v>
      </c>
    </row>
    <row r="449" spans="1:9" x14ac:dyDescent="0.15">
      <c r="A449" s="10">
        <v>448</v>
      </c>
      <c r="B449" s="11" t="s">
        <v>9</v>
      </c>
      <c r="C449" s="11" t="s">
        <v>253</v>
      </c>
      <c r="D449" s="11" t="s">
        <v>254</v>
      </c>
      <c r="E449" s="9" t="str">
        <f>+HYPERLINK("http://trademark.i-assist.jp/data/china/image_1903th/78975136.pdf", "78975136")</f>
        <v>78975136</v>
      </c>
      <c r="F449" s="11" t="s">
        <v>1547</v>
      </c>
      <c r="G449" s="11" t="s">
        <v>1548</v>
      </c>
      <c r="H449" s="11" t="s">
        <v>1549</v>
      </c>
      <c r="I449" s="11" t="s">
        <v>156</v>
      </c>
    </row>
    <row r="450" spans="1:9" x14ac:dyDescent="0.15">
      <c r="A450" s="10">
        <v>449</v>
      </c>
      <c r="B450" s="11" t="s">
        <v>9</v>
      </c>
      <c r="C450" s="11" t="s">
        <v>253</v>
      </c>
      <c r="D450" s="11" t="s">
        <v>254</v>
      </c>
      <c r="E450" s="9" t="str">
        <f>+HYPERLINK("http://trademark.i-assist.jp/data/china/image_1903th/78979991.pdf", "78979991")</f>
        <v>78979991</v>
      </c>
      <c r="F450" s="11" t="s">
        <v>1550</v>
      </c>
      <c r="G450" s="11" t="s">
        <v>1551</v>
      </c>
      <c r="H450" s="11" t="s">
        <v>1552</v>
      </c>
      <c r="I450" s="11" t="s">
        <v>169</v>
      </c>
    </row>
    <row r="451" spans="1:9" x14ac:dyDescent="0.15">
      <c r="A451" s="10">
        <v>450</v>
      </c>
      <c r="B451" s="11" t="s">
        <v>9</v>
      </c>
      <c r="C451" s="11" t="s">
        <v>253</v>
      </c>
      <c r="D451" s="11" t="s">
        <v>254</v>
      </c>
      <c r="E451" s="9" t="str">
        <f>+HYPERLINK("http://trademark.i-assist.jp/data/china/image_1903th/78980034.pdf", "78980034")</f>
        <v>78980034</v>
      </c>
      <c r="F451" s="11" t="s">
        <v>1553</v>
      </c>
      <c r="G451" s="11" t="s">
        <v>1554</v>
      </c>
      <c r="H451" s="11" t="s">
        <v>1555</v>
      </c>
      <c r="I451" s="11" t="s">
        <v>169</v>
      </c>
    </row>
    <row r="452" spans="1:9" x14ac:dyDescent="0.15">
      <c r="A452" s="10">
        <v>451</v>
      </c>
      <c r="B452" s="11" t="s">
        <v>9</v>
      </c>
      <c r="C452" s="11" t="s">
        <v>253</v>
      </c>
      <c r="D452" s="11" t="s">
        <v>254</v>
      </c>
      <c r="E452" s="9" t="str">
        <f>+HYPERLINK("http://trademark.i-assist.jp/data/china/image_1903th/78980157.pdf", "78980157")</f>
        <v>78980157</v>
      </c>
      <c r="F452" s="11" t="s">
        <v>1556</v>
      </c>
      <c r="G452" s="11" t="s">
        <v>1557</v>
      </c>
      <c r="H452" s="11" t="s">
        <v>1558</v>
      </c>
      <c r="I452" s="11" t="s">
        <v>169</v>
      </c>
    </row>
    <row r="453" spans="1:9" x14ac:dyDescent="0.15">
      <c r="A453" s="10">
        <v>452</v>
      </c>
      <c r="B453" s="11" t="s">
        <v>9</v>
      </c>
      <c r="C453" s="11" t="s">
        <v>253</v>
      </c>
      <c r="D453" s="11" t="s">
        <v>254</v>
      </c>
      <c r="E453" s="9" t="str">
        <f>+HYPERLINK("http://trademark.i-assist.jp/data/china/image_1903th/78980594.pdf", "78980594")</f>
        <v>78980594</v>
      </c>
      <c r="F453" s="11" t="s">
        <v>1559</v>
      </c>
      <c r="G453" s="11" t="s">
        <v>1560</v>
      </c>
      <c r="H453" s="11" t="s">
        <v>1561</v>
      </c>
      <c r="I453" s="11" t="s">
        <v>169</v>
      </c>
    </row>
    <row r="454" spans="1:9" x14ac:dyDescent="0.15">
      <c r="A454" s="10">
        <v>453</v>
      </c>
      <c r="B454" s="11" t="s">
        <v>9</v>
      </c>
      <c r="C454" s="11" t="s">
        <v>253</v>
      </c>
      <c r="D454" s="11" t="s">
        <v>254</v>
      </c>
      <c r="E454" s="9" t="str">
        <f>+HYPERLINK("http://trademark.i-assist.jp/data/china/image_1903th/78981065.pdf", "78981065")</f>
        <v>78981065</v>
      </c>
      <c r="F454" s="11" t="s">
        <v>1562</v>
      </c>
      <c r="G454" s="11" t="s">
        <v>1563</v>
      </c>
      <c r="H454" s="11" t="s">
        <v>1564</v>
      </c>
      <c r="I454" s="11" t="s">
        <v>169</v>
      </c>
    </row>
    <row r="455" spans="1:9" x14ac:dyDescent="0.15">
      <c r="A455" s="10">
        <v>454</v>
      </c>
      <c r="B455" s="11" t="s">
        <v>9</v>
      </c>
      <c r="C455" s="11" t="s">
        <v>253</v>
      </c>
      <c r="D455" s="11" t="s">
        <v>254</v>
      </c>
      <c r="E455" s="9" t="str">
        <f>+HYPERLINK("http://trademark.i-assist.jp/data/china/image_1903th/78981130.pdf", "78981130")</f>
        <v>78981130</v>
      </c>
      <c r="F455" s="11" t="s">
        <v>1565</v>
      </c>
      <c r="G455" s="11" t="s">
        <v>1566</v>
      </c>
      <c r="H455" s="11" t="s">
        <v>1567</v>
      </c>
      <c r="I455" s="11" t="s">
        <v>169</v>
      </c>
    </row>
    <row r="456" spans="1:9" x14ac:dyDescent="0.15">
      <c r="A456" s="10">
        <v>455</v>
      </c>
      <c r="B456" s="11" t="s">
        <v>9</v>
      </c>
      <c r="C456" s="11" t="s">
        <v>253</v>
      </c>
      <c r="D456" s="11" t="s">
        <v>254</v>
      </c>
      <c r="E456" s="9" t="str">
        <f>+HYPERLINK("http://trademark.i-assist.jp/data/china/image_1903th/78982205.pdf", "78982205")</f>
        <v>78982205</v>
      </c>
      <c r="F456" s="11" t="s">
        <v>1568</v>
      </c>
      <c r="G456" s="11" t="s">
        <v>1569</v>
      </c>
      <c r="H456" s="11" t="s">
        <v>1570</v>
      </c>
      <c r="I456" s="11" t="s">
        <v>169</v>
      </c>
    </row>
    <row r="457" spans="1:9" x14ac:dyDescent="0.15">
      <c r="A457" s="10">
        <v>456</v>
      </c>
      <c r="B457" s="11" t="s">
        <v>9</v>
      </c>
      <c r="C457" s="11" t="s">
        <v>253</v>
      </c>
      <c r="D457" s="11" t="s">
        <v>254</v>
      </c>
      <c r="E457" s="9" t="str">
        <f>+HYPERLINK("http://trademark.i-assist.jp/data/china/image_1903th/78983269.pdf", "78983269")</f>
        <v>78983269</v>
      </c>
      <c r="F457" s="11" t="s">
        <v>1571</v>
      </c>
      <c r="G457" s="11" t="s">
        <v>1572</v>
      </c>
      <c r="H457" s="11" t="s">
        <v>1573</v>
      </c>
      <c r="I457" s="11" t="s">
        <v>170</v>
      </c>
    </row>
    <row r="458" spans="1:9" x14ac:dyDescent="0.15">
      <c r="A458" s="10">
        <v>457</v>
      </c>
      <c r="B458" s="11" t="s">
        <v>9</v>
      </c>
      <c r="C458" s="11" t="s">
        <v>253</v>
      </c>
      <c r="D458" s="11" t="s">
        <v>254</v>
      </c>
      <c r="E458" s="9" t="str">
        <f>+HYPERLINK("http://trademark.i-assist.jp/data/china/image_1903th/78983681.pdf", "78983681")</f>
        <v>78983681</v>
      </c>
      <c r="F458" s="11" t="s">
        <v>1574</v>
      </c>
      <c r="G458" s="11" t="s">
        <v>1575</v>
      </c>
      <c r="H458" s="11" t="s">
        <v>1576</v>
      </c>
      <c r="I458" s="11" t="s">
        <v>170</v>
      </c>
    </row>
    <row r="459" spans="1:9" x14ac:dyDescent="0.15">
      <c r="A459" s="10">
        <v>458</v>
      </c>
      <c r="B459" s="11" t="s">
        <v>9</v>
      </c>
      <c r="C459" s="11" t="s">
        <v>253</v>
      </c>
      <c r="D459" s="11" t="s">
        <v>254</v>
      </c>
      <c r="E459" s="9" t="str">
        <f>+HYPERLINK("http://trademark.i-assist.jp/data/china/image_1903th/78985337.pdf", "78985337")</f>
        <v>78985337</v>
      </c>
      <c r="F459" s="11" t="s">
        <v>1577</v>
      </c>
      <c r="G459" s="11" t="s">
        <v>73</v>
      </c>
      <c r="H459" s="11" t="s">
        <v>1578</v>
      </c>
      <c r="I459" s="11" t="s">
        <v>171</v>
      </c>
    </row>
    <row r="460" spans="1:9" x14ac:dyDescent="0.15">
      <c r="A460" s="10">
        <v>459</v>
      </c>
      <c r="B460" s="11" t="s">
        <v>9</v>
      </c>
      <c r="C460" s="11" t="s">
        <v>253</v>
      </c>
      <c r="D460" s="11" t="s">
        <v>254</v>
      </c>
      <c r="E460" s="9" t="str">
        <f>+HYPERLINK("http://trademark.i-assist.jp/data/china/image_1903th/78985610.pdf", "78985610")</f>
        <v>78985610</v>
      </c>
      <c r="F460" s="11" t="s">
        <v>1579</v>
      </c>
      <c r="G460" s="11" t="s">
        <v>1580</v>
      </c>
      <c r="H460" s="11" t="s">
        <v>1581</v>
      </c>
      <c r="I460" s="11" t="s">
        <v>171</v>
      </c>
    </row>
    <row r="461" spans="1:9" x14ac:dyDescent="0.15">
      <c r="A461" s="10">
        <v>460</v>
      </c>
      <c r="B461" s="11" t="s">
        <v>9</v>
      </c>
      <c r="C461" s="11" t="s">
        <v>253</v>
      </c>
      <c r="D461" s="11" t="s">
        <v>254</v>
      </c>
      <c r="E461" s="9" t="str">
        <f>+HYPERLINK("http://trademark.i-assist.jp/data/china/image_1903th/78985894.pdf", "78985894")</f>
        <v>78985894</v>
      </c>
      <c r="F461" s="11" t="s">
        <v>1582</v>
      </c>
      <c r="G461" s="11" t="s">
        <v>174</v>
      </c>
      <c r="H461" s="11" t="s">
        <v>1583</v>
      </c>
      <c r="I461" s="11" t="s">
        <v>171</v>
      </c>
    </row>
    <row r="462" spans="1:9" x14ac:dyDescent="0.15">
      <c r="A462" s="10">
        <v>461</v>
      </c>
      <c r="B462" s="11" t="s">
        <v>9</v>
      </c>
      <c r="C462" s="11" t="s">
        <v>253</v>
      </c>
      <c r="D462" s="11" t="s">
        <v>254</v>
      </c>
      <c r="E462" s="9" t="str">
        <f>+HYPERLINK("http://trademark.i-assist.jp/data/china/image_1903th/78988740.pdf", "78988740")</f>
        <v>78988740</v>
      </c>
      <c r="F462" s="11" t="s">
        <v>1584</v>
      </c>
      <c r="G462" s="11" t="s">
        <v>1585</v>
      </c>
      <c r="H462" s="11" t="s">
        <v>1586</v>
      </c>
      <c r="I462" s="11" t="s">
        <v>171</v>
      </c>
    </row>
    <row r="463" spans="1:9" x14ac:dyDescent="0.15">
      <c r="A463" s="10">
        <v>462</v>
      </c>
      <c r="B463" s="11" t="s">
        <v>9</v>
      </c>
      <c r="C463" s="11" t="s">
        <v>253</v>
      </c>
      <c r="D463" s="11" t="s">
        <v>254</v>
      </c>
      <c r="E463" s="9" t="str">
        <f>+HYPERLINK("http://trademark.i-assist.jp/data/china/image_1903th/78989247.pdf", "78989247")</f>
        <v>78989247</v>
      </c>
      <c r="F463" s="11" t="s">
        <v>1587</v>
      </c>
      <c r="G463" s="11" t="s">
        <v>1580</v>
      </c>
      <c r="H463" s="11" t="s">
        <v>1588</v>
      </c>
      <c r="I463" s="11" t="s">
        <v>171</v>
      </c>
    </row>
    <row r="464" spans="1:9" x14ac:dyDescent="0.15">
      <c r="A464" s="10">
        <v>463</v>
      </c>
      <c r="B464" s="11" t="s">
        <v>9</v>
      </c>
      <c r="C464" s="11" t="s">
        <v>253</v>
      </c>
      <c r="D464" s="11" t="s">
        <v>254</v>
      </c>
      <c r="E464" s="9" t="str">
        <f>+HYPERLINK("http://trademark.i-assist.jp/data/china/image_1903th/78989272.pdf", "78989272")</f>
        <v>78989272</v>
      </c>
      <c r="F464" s="11" t="s">
        <v>1589</v>
      </c>
      <c r="G464" s="11" t="s">
        <v>1580</v>
      </c>
      <c r="H464" s="11" t="s">
        <v>1590</v>
      </c>
      <c r="I464" s="11" t="s">
        <v>171</v>
      </c>
    </row>
    <row r="465" spans="1:9" x14ac:dyDescent="0.15">
      <c r="A465" s="10">
        <v>464</v>
      </c>
      <c r="B465" s="11" t="s">
        <v>9</v>
      </c>
      <c r="C465" s="11" t="s">
        <v>253</v>
      </c>
      <c r="D465" s="11" t="s">
        <v>254</v>
      </c>
      <c r="E465" s="9" t="str">
        <f>+HYPERLINK("http://trademark.i-assist.jp/data/china/image_1903th/78990638.pdf", "78990638")</f>
        <v>78990638</v>
      </c>
      <c r="F465" s="11" t="s">
        <v>1591</v>
      </c>
      <c r="G465" s="11" t="s">
        <v>1592</v>
      </c>
      <c r="H465" s="11" t="s">
        <v>1593</v>
      </c>
      <c r="I465" s="11" t="s">
        <v>171</v>
      </c>
    </row>
    <row r="466" spans="1:9" x14ac:dyDescent="0.15">
      <c r="A466" s="10">
        <v>465</v>
      </c>
      <c r="B466" s="11" t="s">
        <v>9</v>
      </c>
      <c r="C466" s="11" t="s">
        <v>253</v>
      </c>
      <c r="D466" s="11" t="s">
        <v>254</v>
      </c>
      <c r="E466" s="9" t="str">
        <f>+HYPERLINK("http://trademark.i-assist.jp/data/china/image_1903th/78991814.pdf", "78991814")</f>
        <v>78991814</v>
      </c>
      <c r="F466" s="11" t="s">
        <v>1594</v>
      </c>
      <c r="G466" s="11" t="s">
        <v>1595</v>
      </c>
      <c r="H466" s="11" t="s">
        <v>1596</v>
      </c>
      <c r="I466" s="11" t="s">
        <v>171</v>
      </c>
    </row>
    <row r="467" spans="1:9" x14ac:dyDescent="0.15">
      <c r="A467" s="10">
        <v>466</v>
      </c>
      <c r="B467" s="11" t="s">
        <v>9</v>
      </c>
      <c r="C467" s="11" t="s">
        <v>253</v>
      </c>
      <c r="D467" s="11" t="s">
        <v>254</v>
      </c>
      <c r="E467" s="9" t="str">
        <f>+HYPERLINK("http://trademark.i-assist.jp/data/china/image_1903th/78992241.pdf", "78992241")</f>
        <v>78992241</v>
      </c>
      <c r="F467" s="11" t="s">
        <v>1597</v>
      </c>
      <c r="G467" s="11" t="s">
        <v>174</v>
      </c>
      <c r="H467" s="11" t="s">
        <v>1598</v>
      </c>
      <c r="I467" s="11" t="s">
        <v>171</v>
      </c>
    </row>
    <row r="468" spans="1:9" x14ac:dyDescent="0.15">
      <c r="A468" s="10">
        <v>467</v>
      </c>
      <c r="B468" s="11" t="s">
        <v>9</v>
      </c>
      <c r="C468" s="11" t="s">
        <v>253</v>
      </c>
      <c r="D468" s="11" t="s">
        <v>254</v>
      </c>
      <c r="E468" s="9" t="str">
        <f>+HYPERLINK("http://trademark.i-assist.jp/data/china/image_1903th/78993678.pdf", "78993678")</f>
        <v>78993678</v>
      </c>
      <c r="F468" s="11" t="s">
        <v>1599</v>
      </c>
      <c r="G468" s="11" t="s">
        <v>173</v>
      </c>
      <c r="H468" s="11" t="s">
        <v>1600</v>
      </c>
      <c r="I468" s="11" t="s">
        <v>171</v>
      </c>
    </row>
    <row r="469" spans="1:9" x14ac:dyDescent="0.15">
      <c r="A469" s="10">
        <v>468</v>
      </c>
      <c r="B469" s="11" t="s">
        <v>9</v>
      </c>
      <c r="C469" s="11" t="s">
        <v>253</v>
      </c>
      <c r="D469" s="11" t="s">
        <v>254</v>
      </c>
      <c r="E469" s="9" t="str">
        <f>+HYPERLINK("http://trademark.i-assist.jp/data/china/image_1903th/78993948.pdf", "78993948")</f>
        <v>78993948</v>
      </c>
      <c r="F469" s="11" t="s">
        <v>1601</v>
      </c>
      <c r="G469" s="11" t="s">
        <v>177</v>
      </c>
      <c r="H469" s="11" t="s">
        <v>1602</v>
      </c>
      <c r="I469" s="11" t="s">
        <v>171</v>
      </c>
    </row>
    <row r="470" spans="1:9" x14ac:dyDescent="0.15">
      <c r="A470" s="10">
        <v>469</v>
      </c>
      <c r="B470" s="11" t="s">
        <v>9</v>
      </c>
      <c r="C470" s="11" t="s">
        <v>253</v>
      </c>
      <c r="D470" s="11" t="s">
        <v>254</v>
      </c>
      <c r="E470" s="9" t="str">
        <f>+HYPERLINK("http://trademark.i-assist.jp/data/china/image_1903th/78994350.pdf", "78994350")</f>
        <v>78994350</v>
      </c>
      <c r="F470" s="11" t="s">
        <v>1603</v>
      </c>
      <c r="G470" s="11" t="s">
        <v>1604</v>
      </c>
      <c r="H470" s="11" t="s">
        <v>1605</v>
      </c>
      <c r="I470" s="11" t="s">
        <v>171</v>
      </c>
    </row>
    <row r="471" spans="1:9" x14ac:dyDescent="0.15">
      <c r="A471" s="10">
        <v>470</v>
      </c>
      <c r="B471" s="11" t="s">
        <v>9</v>
      </c>
      <c r="C471" s="11" t="s">
        <v>253</v>
      </c>
      <c r="D471" s="11" t="s">
        <v>254</v>
      </c>
      <c r="E471" s="9" t="str">
        <f>+HYPERLINK("http://trademark.i-assist.jp/data/china/image_1903th/78995430.pdf", "78995430")</f>
        <v>78995430</v>
      </c>
      <c r="F471" s="11" t="s">
        <v>1606</v>
      </c>
      <c r="G471" s="11" t="s">
        <v>1607</v>
      </c>
      <c r="H471" s="11" t="s">
        <v>1608</v>
      </c>
      <c r="I471" s="11" t="s">
        <v>171</v>
      </c>
    </row>
    <row r="472" spans="1:9" x14ac:dyDescent="0.15">
      <c r="A472" s="10">
        <v>471</v>
      </c>
      <c r="B472" s="11" t="s">
        <v>9</v>
      </c>
      <c r="C472" s="11" t="s">
        <v>253</v>
      </c>
      <c r="D472" s="11" t="s">
        <v>254</v>
      </c>
      <c r="E472" s="9" t="str">
        <f>+HYPERLINK("http://trademark.i-assist.jp/data/china/image_1903th/78996905.pdf", "78996905")</f>
        <v>78996905</v>
      </c>
      <c r="F472" s="11" t="s">
        <v>1609</v>
      </c>
      <c r="G472" s="11" t="s">
        <v>1610</v>
      </c>
      <c r="H472" s="11" t="s">
        <v>1611</v>
      </c>
      <c r="I472" s="11" t="s">
        <v>171</v>
      </c>
    </row>
    <row r="473" spans="1:9" x14ac:dyDescent="0.15">
      <c r="A473" s="10">
        <v>472</v>
      </c>
      <c r="B473" s="11" t="s">
        <v>9</v>
      </c>
      <c r="C473" s="11" t="s">
        <v>253</v>
      </c>
      <c r="D473" s="11" t="s">
        <v>254</v>
      </c>
      <c r="E473" s="9" t="str">
        <f>+HYPERLINK("http://trademark.i-assist.jp/data/china/image_1903th/78998131.pdf", "78998131")</f>
        <v>78998131</v>
      </c>
      <c r="F473" s="11" t="s">
        <v>1612</v>
      </c>
      <c r="G473" s="11" t="s">
        <v>1613</v>
      </c>
      <c r="H473" s="11" t="s">
        <v>1614</v>
      </c>
      <c r="I473" s="11" t="s">
        <v>171</v>
      </c>
    </row>
    <row r="474" spans="1:9" x14ac:dyDescent="0.15">
      <c r="A474" s="10">
        <v>473</v>
      </c>
      <c r="B474" s="11" t="s">
        <v>9</v>
      </c>
      <c r="C474" s="11" t="s">
        <v>253</v>
      </c>
      <c r="D474" s="11" t="s">
        <v>254</v>
      </c>
      <c r="E474" s="9" t="str">
        <f>+HYPERLINK("http://trademark.i-assist.jp/data/china/image_1903th/78998143.pdf", "78998143")</f>
        <v>78998143</v>
      </c>
      <c r="F474" s="11" t="s">
        <v>1615</v>
      </c>
      <c r="G474" s="11" t="s">
        <v>1616</v>
      </c>
      <c r="H474" s="11" t="s">
        <v>1617</v>
      </c>
      <c r="I474" s="11" t="s">
        <v>171</v>
      </c>
    </row>
    <row r="475" spans="1:9" x14ac:dyDescent="0.15">
      <c r="A475" s="10">
        <v>474</v>
      </c>
      <c r="B475" s="11" t="s">
        <v>9</v>
      </c>
      <c r="C475" s="11" t="s">
        <v>253</v>
      </c>
      <c r="D475" s="11" t="s">
        <v>254</v>
      </c>
      <c r="E475" s="9" t="str">
        <f>+HYPERLINK("http://trademark.i-assist.jp/data/china/image_1903th/78999416.pdf", "78999416")</f>
        <v>78999416</v>
      </c>
      <c r="F475" s="11" t="s">
        <v>1618</v>
      </c>
      <c r="G475" s="11" t="s">
        <v>172</v>
      </c>
      <c r="H475" s="11" t="s">
        <v>1619</v>
      </c>
      <c r="I475" s="11" t="s">
        <v>171</v>
      </c>
    </row>
    <row r="476" spans="1:9" x14ac:dyDescent="0.15">
      <c r="A476" s="10">
        <v>475</v>
      </c>
      <c r="B476" s="11" t="s">
        <v>9</v>
      </c>
      <c r="C476" s="11" t="s">
        <v>253</v>
      </c>
      <c r="D476" s="11" t="s">
        <v>254</v>
      </c>
      <c r="E476" s="9" t="str">
        <f>+HYPERLINK("http://trademark.i-assist.jp/data/china/image_1903th/79000180.pdf", "79000180")</f>
        <v>79000180</v>
      </c>
      <c r="F476" s="11" t="s">
        <v>1620</v>
      </c>
      <c r="G476" s="11" t="s">
        <v>1621</v>
      </c>
      <c r="H476" s="11" t="s">
        <v>1622</v>
      </c>
      <c r="I476" s="11" t="s">
        <v>171</v>
      </c>
    </row>
    <row r="477" spans="1:9" x14ac:dyDescent="0.15">
      <c r="A477" s="10">
        <v>476</v>
      </c>
      <c r="B477" s="11" t="s">
        <v>9</v>
      </c>
      <c r="C477" s="11" t="s">
        <v>253</v>
      </c>
      <c r="D477" s="11" t="s">
        <v>254</v>
      </c>
      <c r="E477" s="9" t="str">
        <f>+HYPERLINK("http://trademark.i-assist.jp/data/china/image_1903th/79001247.pdf", "79001247")</f>
        <v>79001247</v>
      </c>
      <c r="F477" s="11" t="s">
        <v>1623</v>
      </c>
      <c r="G477" s="11" t="s">
        <v>1624</v>
      </c>
      <c r="H477" s="11" t="s">
        <v>1625</v>
      </c>
      <c r="I477" s="11" t="s">
        <v>171</v>
      </c>
    </row>
    <row r="478" spans="1:9" x14ac:dyDescent="0.15">
      <c r="A478" s="10">
        <v>477</v>
      </c>
      <c r="B478" s="11" t="s">
        <v>9</v>
      </c>
      <c r="C478" s="11" t="s">
        <v>253</v>
      </c>
      <c r="D478" s="11" t="s">
        <v>254</v>
      </c>
      <c r="E478" s="9" t="str">
        <f>+HYPERLINK("http://trademark.i-assist.jp/data/china/image_1903th/79001492.pdf", "79001492")</f>
        <v>79001492</v>
      </c>
      <c r="F478" s="11" t="s">
        <v>1626</v>
      </c>
      <c r="G478" s="11" t="s">
        <v>1627</v>
      </c>
      <c r="H478" s="11" t="s">
        <v>1628</v>
      </c>
      <c r="I478" s="11" t="s">
        <v>171</v>
      </c>
    </row>
    <row r="479" spans="1:9" x14ac:dyDescent="0.15">
      <c r="A479" s="10">
        <v>478</v>
      </c>
      <c r="B479" s="11" t="s">
        <v>9</v>
      </c>
      <c r="C479" s="11" t="s">
        <v>253</v>
      </c>
      <c r="D479" s="11" t="s">
        <v>254</v>
      </c>
      <c r="E479" s="9" t="str">
        <f>+HYPERLINK("http://trademark.i-assist.jp/data/china/image_1903th/79001517.pdf", "79001517")</f>
        <v>79001517</v>
      </c>
      <c r="F479" s="11" t="s">
        <v>12</v>
      </c>
      <c r="G479" s="11" t="s">
        <v>1629</v>
      </c>
      <c r="H479" s="11" t="s">
        <v>1630</v>
      </c>
      <c r="I479" s="11" t="s">
        <v>171</v>
      </c>
    </row>
    <row r="480" spans="1:9" x14ac:dyDescent="0.15">
      <c r="A480" s="10">
        <v>479</v>
      </c>
      <c r="B480" s="11" t="s">
        <v>9</v>
      </c>
      <c r="C480" s="11" t="s">
        <v>253</v>
      </c>
      <c r="D480" s="11" t="s">
        <v>254</v>
      </c>
      <c r="E480" s="9" t="str">
        <f>+HYPERLINK("http://trademark.i-assist.jp/data/china/image_1903th/79002199.pdf", "79002199")</f>
        <v>79002199</v>
      </c>
      <c r="F480" s="11" t="s">
        <v>1631</v>
      </c>
      <c r="G480" s="11" t="s">
        <v>1632</v>
      </c>
      <c r="H480" s="11" t="s">
        <v>1633</v>
      </c>
      <c r="I480" s="11" t="s">
        <v>171</v>
      </c>
    </row>
    <row r="481" spans="1:9" x14ac:dyDescent="0.15">
      <c r="A481" s="10">
        <v>480</v>
      </c>
      <c r="B481" s="11" t="s">
        <v>9</v>
      </c>
      <c r="C481" s="11" t="s">
        <v>253</v>
      </c>
      <c r="D481" s="11" t="s">
        <v>254</v>
      </c>
      <c r="E481" s="9" t="str">
        <f>+HYPERLINK("http://trademark.i-assist.jp/data/china/image_1903th/79002771.pdf", "79002771")</f>
        <v>79002771</v>
      </c>
      <c r="F481" s="11" t="s">
        <v>1634</v>
      </c>
      <c r="G481" s="11" t="s">
        <v>1635</v>
      </c>
      <c r="H481" s="11" t="s">
        <v>1636</v>
      </c>
      <c r="I481" s="11" t="s">
        <v>171</v>
      </c>
    </row>
    <row r="482" spans="1:9" x14ac:dyDescent="0.15">
      <c r="A482" s="10">
        <v>481</v>
      </c>
      <c r="B482" s="11" t="s">
        <v>9</v>
      </c>
      <c r="C482" s="11" t="s">
        <v>253</v>
      </c>
      <c r="D482" s="11" t="s">
        <v>254</v>
      </c>
      <c r="E482" s="9" t="str">
        <f>+HYPERLINK("http://trademark.i-assist.jp/data/china/image_1903th/79005640.pdf", "79005640")</f>
        <v>79005640</v>
      </c>
      <c r="F482" s="11" t="s">
        <v>1637</v>
      </c>
      <c r="G482" s="11" t="s">
        <v>1638</v>
      </c>
      <c r="H482" s="11" t="s">
        <v>1639</v>
      </c>
      <c r="I482" s="11" t="s">
        <v>171</v>
      </c>
    </row>
    <row r="483" spans="1:9" x14ac:dyDescent="0.15">
      <c r="A483" s="10">
        <v>482</v>
      </c>
      <c r="B483" s="11" t="s">
        <v>9</v>
      </c>
      <c r="C483" s="11" t="s">
        <v>253</v>
      </c>
      <c r="D483" s="11" t="s">
        <v>254</v>
      </c>
      <c r="E483" s="9" t="str">
        <f>+HYPERLINK("http://trademark.i-assist.jp/data/china/image_1903th/79006261.pdf", "79006261")</f>
        <v>79006261</v>
      </c>
      <c r="F483" s="11" t="s">
        <v>1640</v>
      </c>
      <c r="G483" s="11" t="s">
        <v>1641</v>
      </c>
      <c r="H483" s="11" t="s">
        <v>1642</v>
      </c>
      <c r="I483" s="11" t="s">
        <v>171</v>
      </c>
    </row>
    <row r="484" spans="1:9" x14ac:dyDescent="0.15">
      <c r="A484" s="10">
        <v>483</v>
      </c>
      <c r="B484" s="11" t="s">
        <v>9</v>
      </c>
      <c r="C484" s="11" t="s">
        <v>253</v>
      </c>
      <c r="D484" s="11" t="s">
        <v>254</v>
      </c>
      <c r="E484" s="9" t="str">
        <f>+HYPERLINK("http://trademark.i-assist.jp/data/china/image_1903th/79006510.pdf", "79006510")</f>
        <v>79006510</v>
      </c>
      <c r="F484" s="11" t="s">
        <v>1643</v>
      </c>
      <c r="G484" s="11" t="s">
        <v>1644</v>
      </c>
      <c r="H484" s="11" t="s">
        <v>1645</v>
      </c>
      <c r="I484" s="11" t="s">
        <v>171</v>
      </c>
    </row>
    <row r="485" spans="1:9" x14ac:dyDescent="0.15">
      <c r="A485" s="10">
        <v>484</v>
      </c>
      <c r="B485" s="11" t="s">
        <v>9</v>
      </c>
      <c r="C485" s="11" t="s">
        <v>253</v>
      </c>
      <c r="D485" s="11" t="s">
        <v>254</v>
      </c>
      <c r="E485" s="9" t="str">
        <f>+HYPERLINK("http://trademark.i-assist.jp/data/china/image_1903th/79007189.pdf", "79007189")</f>
        <v>79007189</v>
      </c>
      <c r="F485" s="11" t="s">
        <v>1646</v>
      </c>
      <c r="G485" s="11" t="s">
        <v>1647</v>
      </c>
      <c r="H485" s="11" t="s">
        <v>1648</v>
      </c>
      <c r="I485" s="11" t="s">
        <v>171</v>
      </c>
    </row>
    <row r="486" spans="1:9" x14ac:dyDescent="0.15">
      <c r="A486" s="10">
        <v>485</v>
      </c>
      <c r="B486" s="11" t="s">
        <v>9</v>
      </c>
      <c r="C486" s="11" t="s">
        <v>253</v>
      </c>
      <c r="D486" s="11" t="s">
        <v>254</v>
      </c>
      <c r="E486" s="9" t="str">
        <f>+HYPERLINK("http://trademark.i-assist.jp/data/china/image_1903th/79007548.pdf", "79007548")</f>
        <v>79007548</v>
      </c>
      <c r="F486" s="11" t="s">
        <v>1649</v>
      </c>
      <c r="G486" s="11" t="s">
        <v>1650</v>
      </c>
      <c r="H486" s="11" t="s">
        <v>1651</v>
      </c>
      <c r="I486" s="11" t="s">
        <v>171</v>
      </c>
    </row>
    <row r="487" spans="1:9" x14ac:dyDescent="0.15">
      <c r="A487" s="10">
        <v>486</v>
      </c>
      <c r="B487" s="11" t="s">
        <v>9</v>
      </c>
      <c r="C487" s="11" t="s">
        <v>253</v>
      </c>
      <c r="D487" s="11" t="s">
        <v>254</v>
      </c>
      <c r="E487" s="9" t="str">
        <f>+HYPERLINK("http://trademark.i-assist.jp/data/china/image_1903th/79007751.pdf", "79007751")</f>
        <v>79007751</v>
      </c>
      <c r="F487" s="11" t="s">
        <v>1652</v>
      </c>
      <c r="G487" s="11" t="s">
        <v>1653</v>
      </c>
      <c r="H487" s="11" t="s">
        <v>1654</v>
      </c>
      <c r="I487" s="11" t="s">
        <v>171</v>
      </c>
    </row>
    <row r="488" spans="1:9" x14ac:dyDescent="0.15">
      <c r="A488" s="10">
        <v>487</v>
      </c>
      <c r="B488" s="11" t="s">
        <v>9</v>
      </c>
      <c r="C488" s="11" t="s">
        <v>253</v>
      </c>
      <c r="D488" s="11" t="s">
        <v>254</v>
      </c>
      <c r="E488" s="9" t="str">
        <f>+HYPERLINK("http://trademark.i-assist.jp/data/china/image_1903th/79008377.pdf", "79008377")</f>
        <v>79008377</v>
      </c>
      <c r="F488" s="11" t="s">
        <v>1655</v>
      </c>
      <c r="G488" s="11" t="s">
        <v>1656</v>
      </c>
      <c r="H488" s="11" t="s">
        <v>1657</v>
      </c>
      <c r="I488" s="11" t="s">
        <v>171</v>
      </c>
    </row>
    <row r="489" spans="1:9" x14ac:dyDescent="0.15">
      <c r="A489" s="10">
        <v>488</v>
      </c>
      <c r="B489" s="11" t="s">
        <v>9</v>
      </c>
      <c r="C489" s="11" t="s">
        <v>253</v>
      </c>
      <c r="D489" s="11" t="s">
        <v>254</v>
      </c>
      <c r="E489" s="9" t="str">
        <f>+HYPERLINK("http://trademark.i-assist.jp/data/china/image_1903th/79008433.pdf", "79008433")</f>
        <v>79008433</v>
      </c>
      <c r="F489" s="11" t="s">
        <v>1658</v>
      </c>
      <c r="G489" s="11" t="s">
        <v>1659</v>
      </c>
      <c r="H489" s="11" t="s">
        <v>1660</v>
      </c>
      <c r="I489" s="11" t="s">
        <v>171</v>
      </c>
    </row>
    <row r="490" spans="1:9" x14ac:dyDescent="0.15">
      <c r="A490" s="10">
        <v>489</v>
      </c>
      <c r="B490" s="11" t="s">
        <v>9</v>
      </c>
      <c r="C490" s="11" t="s">
        <v>253</v>
      </c>
      <c r="D490" s="11" t="s">
        <v>254</v>
      </c>
      <c r="E490" s="9" t="str">
        <f>+HYPERLINK("http://trademark.i-assist.jp/data/china/image_1903th/79009762.pdf", "79009762")</f>
        <v>79009762</v>
      </c>
      <c r="F490" s="11" t="s">
        <v>1661</v>
      </c>
      <c r="G490" s="11" t="s">
        <v>1662</v>
      </c>
      <c r="H490" s="11" t="s">
        <v>1663</v>
      </c>
      <c r="I490" s="11" t="s">
        <v>171</v>
      </c>
    </row>
    <row r="491" spans="1:9" x14ac:dyDescent="0.15">
      <c r="A491" s="10">
        <v>490</v>
      </c>
      <c r="B491" s="11" t="s">
        <v>9</v>
      </c>
      <c r="C491" s="11" t="s">
        <v>253</v>
      </c>
      <c r="D491" s="11" t="s">
        <v>254</v>
      </c>
      <c r="E491" s="9" t="str">
        <f>+HYPERLINK("http://trademark.i-assist.jp/data/china/image_1903th/79009809.pdf", "79009809")</f>
        <v>79009809</v>
      </c>
      <c r="F491" s="11" t="s">
        <v>1664</v>
      </c>
      <c r="G491" s="11" t="s">
        <v>1665</v>
      </c>
      <c r="H491" s="11" t="s">
        <v>1666</v>
      </c>
      <c r="I491" s="11" t="s">
        <v>171</v>
      </c>
    </row>
    <row r="492" spans="1:9" x14ac:dyDescent="0.15">
      <c r="A492" s="10">
        <v>491</v>
      </c>
      <c r="B492" s="11" t="s">
        <v>9</v>
      </c>
      <c r="C492" s="11" t="s">
        <v>253</v>
      </c>
      <c r="D492" s="11" t="s">
        <v>254</v>
      </c>
      <c r="E492" s="9" t="str">
        <f>+HYPERLINK("http://trademark.i-assist.jp/data/china/image_1903th/79009882.pdf", "79009882")</f>
        <v>79009882</v>
      </c>
      <c r="F492" s="11" t="s">
        <v>1667</v>
      </c>
      <c r="G492" s="11" t="s">
        <v>1668</v>
      </c>
      <c r="H492" s="11" t="s">
        <v>1669</v>
      </c>
      <c r="I492" s="11" t="s">
        <v>171</v>
      </c>
    </row>
    <row r="493" spans="1:9" x14ac:dyDescent="0.15">
      <c r="A493" s="10">
        <v>492</v>
      </c>
      <c r="B493" s="11" t="s">
        <v>9</v>
      </c>
      <c r="C493" s="11" t="s">
        <v>253</v>
      </c>
      <c r="D493" s="11" t="s">
        <v>254</v>
      </c>
      <c r="E493" s="9" t="str">
        <f>+HYPERLINK("http://trademark.i-assist.jp/data/china/image_1903th/79009921.pdf", "79009921")</f>
        <v>79009921</v>
      </c>
      <c r="F493" s="11" t="s">
        <v>1670</v>
      </c>
      <c r="G493" s="11" t="s">
        <v>1671</v>
      </c>
      <c r="H493" s="11" t="s">
        <v>1672</v>
      </c>
      <c r="I493" s="11" t="s">
        <v>171</v>
      </c>
    </row>
    <row r="494" spans="1:9" x14ac:dyDescent="0.15">
      <c r="A494" s="10">
        <v>493</v>
      </c>
      <c r="B494" s="11" t="s">
        <v>9</v>
      </c>
      <c r="C494" s="11" t="s">
        <v>253</v>
      </c>
      <c r="D494" s="11" t="s">
        <v>254</v>
      </c>
      <c r="E494" s="9" t="str">
        <f>+HYPERLINK("http://trademark.i-assist.jp/data/china/image_1903th/79011080.pdf", "79011080")</f>
        <v>79011080</v>
      </c>
      <c r="F494" s="11" t="s">
        <v>1673</v>
      </c>
      <c r="G494" s="11" t="s">
        <v>1674</v>
      </c>
      <c r="H494" s="11" t="s">
        <v>1675</v>
      </c>
      <c r="I494" s="11" t="s">
        <v>171</v>
      </c>
    </row>
    <row r="495" spans="1:9" x14ac:dyDescent="0.15">
      <c r="A495" s="10">
        <v>494</v>
      </c>
      <c r="B495" s="11" t="s">
        <v>9</v>
      </c>
      <c r="C495" s="11" t="s">
        <v>253</v>
      </c>
      <c r="D495" s="11" t="s">
        <v>254</v>
      </c>
      <c r="E495" s="9" t="str">
        <f>+HYPERLINK("http://trademark.i-assist.jp/data/china/image_1903th/79011774.pdf", "79011774")</f>
        <v>79011774</v>
      </c>
      <c r="F495" s="11" t="s">
        <v>1676</v>
      </c>
      <c r="G495" s="11" t="s">
        <v>957</v>
      </c>
      <c r="H495" s="11" t="s">
        <v>1677</v>
      </c>
      <c r="I495" s="11" t="s">
        <v>178</v>
      </c>
    </row>
    <row r="496" spans="1:9" x14ac:dyDescent="0.15">
      <c r="A496" s="10">
        <v>495</v>
      </c>
      <c r="B496" s="11" t="s">
        <v>9</v>
      </c>
      <c r="C496" s="11" t="s">
        <v>253</v>
      </c>
      <c r="D496" s="11" t="s">
        <v>254</v>
      </c>
      <c r="E496" s="9" t="str">
        <f>+HYPERLINK("http://trademark.i-assist.jp/data/china/image_1903th/79012171.pdf", "79012171")</f>
        <v>79012171</v>
      </c>
      <c r="F496" s="11" t="s">
        <v>1678</v>
      </c>
      <c r="G496" s="11" t="s">
        <v>1679</v>
      </c>
      <c r="H496" s="11" t="s">
        <v>1680</v>
      </c>
      <c r="I496" s="11" t="s">
        <v>178</v>
      </c>
    </row>
    <row r="497" spans="1:9" x14ac:dyDescent="0.15">
      <c r="A497" s="10">
        <v>496</v>
      </c>
      <c r="B497" s="11" t="s">
        <v>9</v>
      </c>
      <c r="C497" s="11" t="s">
        <v>253</v>
      </c>
      <c r="D497" s="11" t="s">
        <v>254</v>
      </c>
      <c r="E497" s="9" t="str">
        <f>+HYPERLINK("http://trademark.i-assist.jp/data/china/image_1903th/79013193.pdf", "79013193")</f>
        <v>79013193</v>
      </c>
      <c r="F497" s="11" t="s">
        <v>1681</v>
      </c>
      <c r="G497" s="11" t="s">
        <v>1682</v>
      </c>
      <c r="H497" s="11" t="s">
        <v>1683</v>
      </c>
      <c r="I497" s="11" t="s">
        <v>178</v>
      </c>
    </row>
    <row r="498" spans="1:9" x14ac:dyDescent="0.15">
      <c r="A498" s="10">
        <v>497</v>
      </c>
      <c r="B498" s="11" t="s">
        <v>9</v>
      </c>
      <c r="C498" s="11" t="s">
        <v>253</v>
      </c>
      <c r="D498" s="11" t="s">
        <v>254</v>
      </c>
      <c r="E498" s="9" t="str">
        <f>+HYPERLINK("http://trademark.i-assist.jp/data/china/image_1903th/79013578.pdf", "79013578")</f>
        <v>79013578</v>
      </c>
      <c r="F498" s="11" t="s">
        <v>1684</v>
      </c>
      <c r="G498" s="11" t="s">
        <v>1685</v>
      </c>
      <c r="H498" s="11" t="s">
        <v>1686</v>
      </c>
      <c r="I498" s="11" t="s">
        <v>178</v>
      </c>
    </row>
    <row r="499" spans="1:9" x14ac:dyDescent="0.15">
      <c r="A499" s="10">
        <v>498</v>
      </c>
      <c r="B499" s="11" t="s">
        <v>9</v>
      </c>
      <c r="C499" s="11" t="s">
        <v>253</v>
      </c>
      <c r="D499" s="11" t="s">
        <v>254</v>
      </c>
      <c r="E499" s="9" t="str">
        <f>+HYPERLINK("http://trademark.i-assist.jp/data/china/image_1903th/79013808.pdf", "79013808")</f>
        <v>79013808</v>
      </c>
      <c r="F499" s="11" t="s">
        <v>1687</v>
      </c>
      <c r="G499" s="11" t="s">
        <v>1688</v>
      </c>
      <c r="H499" s="11" t="s">
        <v>1689</v>
      </c>
      <c r="I499" s="11" t="s">
        <v>178</v>
      </c>
    </row>
    <row r="500" spans="1:9" x14ac:dyDescent="0.15">
      <c r="A500" s="10">
        <v>499</v>
      </c>
      <c r="B500" s="11" t="s">
        <v>9</v>
      </c>
      <c r="C500" s="11" t="s">
        <v>253</v>
      </c>
      <c r="D500" s="11" t="s">
        <v>254</v>
      </c>
      <c r="E500" s="9" t="str">
        <f>+HYPERLINK("http://trademark.i-assist.jp/data/china/image_1903th/79014014.pdf", "79014014")</f>
        <v>79014014</v>
      </c>
      <c r="F500" s="11" t="s">
        <v>1690</v>
      </c>
      <c r="G500" s="11" t="s">
        <v>1691</v>
      </c>
      <c r="H500" s="11" t="s">
        <v>1692</v>
      </c>
      <c r="I500" s="11" t="s">
        <v>178</v>
      </c>
    </row>
    <row r="501" spans="1:9" x14ac:dyDescent="0.15">
      <c r="A501" s="10">
        <v>500</v>
      </c>
      <c r="B501" s="11" t="s">
        <v>9</v>
      </c>
      <c r="C501" s="11" t="s">
        <v>253</v>
      </c>
      <c r="D501" s="11" t="s">
        <v>254</v>
      </c>
      <c r="E501" s="9" t="str">
        <f>+HYPERLINK("http://trademark.i-assist.jp/data/china/image_1903th/79015330.pdf", "79015330")</f>
        <v>79015330</v>
      </c>
      <c r="F501" s="11" t="s">
        <v>1693</v>
      </c>
      <c r="G501" s="11" t="s">
        <v>1694</v>
      </c>
      <c r="H501" s="11" t="s">
        <v>1695</v>
      </c>
      <c r="I501" s="11" t="s">
        <v>178</v>
      </c>
    </row>
    <row r="502" spans="1:9" x14ac:dyDescent="0.15">
      <c r="A502" s="10">
        <v>501</v>
      </c>
      <c r="B502" s="11" t="s">
        <v>9</v>
      </c>
      <c r="C502" s="11" t="s">
        <v>253</v>
      </c>
      <c r="D502" s="11" t="s">
        <v>254</v>
      </c>
      <c r="E502" s="9" t="str">
        <f>+HYPERLINK("http://trademark.i-assist.jp/data/china/image_1903th/79018176.pdf", "79018176")</f>
        <v>79018176</v>
      </c>
      <c r="F502" s="11" t="s">
        <v>1696</v>
      </c>
      <c r="G502" s="11" t="s">
        <v>1697</v>
      </c>
      <c r="H502" s="11" t="s">
        <v>1698</v>
      </c>
      <c r="I502" s="11" t="s">
        <v>178</v>
      </c>
    </row>
    <row r="503" spans="1:9" x14ac:dyDescent="0.15">
      <c r="A503" s="10">
        <v>502</v>
      </c>
      <c r="B503" s="11" t="s">
        <v>9</v>
      </c>
      <c r="C503" s="11" t="s">
        <v>253</v>
      </c>
      <c r="D503" s="11" t="s">
        <v>254</v>
      </c>
      <c r="E503" s="9" t="str">
        <f>+HYPERLINK("http://trademark.i-assist.jp/data/china/image_1903th/79019021.pdf", "79019021")</f>
        <v>79019021</v>
      </c>
      <c r="F503" s="11" t="s">
        <v>1699</v>
      </c>
      <c r="G503" s="11" t="s">
        <v>155</v>
      </c>
      <c r="H503" s="11" t="s">
        <v>1700</v>
      </c>
      <c r="I503" s="11" t="s">
        <v>178</v>
      </c>
    </row>
    <row r="504" spans="1:9" x14ac:dyDescent="0.15">
      <c r="A504" s="10">
        <v>503</v>
      </c>
      <c r="B504" s="11" t="s">
        <v>9</v>
      </c>
      <c r="C504" s="11" t="s">
        <v>253</v>
      </c>
      <c r="D504" s="11" t="s">
        <v>254</v>
      </c>
      <c r="E504" s="9" t="str">
        <f>+HYPERLINK("http://trademark.i-assist.jp/data/china/image_1903th/79019233.pdf", "79019233")</f>
        <v>79019233</v>
      </c>
      <c r="F504" s="11" t="s">
        <v>1701</v>
      </c>
      <c r="G504" s="11" t="s">
        <v>1702</v>
      </c>
      <c r="H504" s="11" t="s">
        <v>1703</v>
      </c>
      <c r="I504" s="11" t="s">
        <v>178</v>
      </c>
    </row>
    <row r="505" spans="1:9" x14ac:dyDescent="0.15">
      <c r="A505" s="10">
        <v>504</v>
      </c>
      <c r="B505" s="11" t="s">
        <v>9</v>
      </c>
      <c r="C505" s="11" t="s">
        <v>253</v>
      </c>
      <c r="D505" s="11" t="s">
        <v>254</v>
      </c>
      <c r="E505" s="9" t="str">
        <f>+HYPERLINK("http://trademark.i-assist.jp/data/china/image_1903th/79019284.pdf", "79019284")</f>
        <v>79019284</v>
      </c>
      <c r="F505" s="11" t="s">
        <v>1704</v>
      </c>
      <c r="G505" s="11" t="s">
        <v>66</v>
      </c>
      <c r="H505" s="11" t="s">
        <v>1705</v>
      </c>
      <c r="I505" s="11" t="s">
        <v>178</v>
      </c>
    </row>
    <row r="506" spans="1:9" x14ac:dyDescent="0.15">
      <c r="A506" s="10">
        <v>505</v>
      </c>
      <c r="B506" s="11" t="s">
        <v>9</v>
      </c>
      <c r="C506" s="11" t="s">
        <v>253</v>
      </c>
      <c r="D506" s="11" t="s">
        <v>254</v>
      </c>
      <c r="E506" s="9" t="str">
        <f>+HYPERLINK("http://trademark.i-assist.jp/data/china/image_1903th/79020203.pdf", "79020203")</f>
        <v>79020203</v>
      </c>
      <c r="F506" s="11" t="s">
        <v>1706</v>
      </c>
      <c r="G506" s="11" t="s">
        <v>1707</v>
      </c>
      <c r="H506" s="11" t="s">
        <v>1708</v>
      </c>
      <c r="I506" s="11" t="s">
        <v>178</v>
      </c>
    </row>
    <row r="507" spans="1:9" x14ac:dyDescent="0.15">
      <c r="A507" s="10">
        <v>506</v>
      </c>
      <c r="B507" s="11" t="s">
        <v>9</v>
      </c>
      <c r="C507" s="11" t="s">
        <v>253</v>
      </c>
      <c r="D507" s="11" t="s">
        <v>254</v>
      </c>
      <c r="E507" s="9" t="str">
        <f>+HYPERLINK("http://trademark.i-assist.jp/data/china/image_1903th/79020421.pdf", "79020421")</f>
        <v>79020421</v>
      </c>
      <c r="F507" s="11" t="s">
        <v>1709</v>
      </c>
      <c r="G507" s="11" t="s">
        <v>195</v>
      </c>
      <c r="H507" s="11" t="s">
        <v>1710</v>
      </c>
      <c r="I507" s="11" t="s">
        <v>178</v>
      </c>
    </row>
    <row r="508" spans="1:9" x14ac:dyDescent="0.15">
      <c r="A508" s="10">
        <v>507</v>
      </c>
      <c r="B508" s="11" t="s">
        <v>9</v>
      </c>
      <c r="C508" s="11" t="s">
        <v>253</v>
      </c>
      <c r="D508" s="11" t="s">
        <v>254</v>
      </c>
      <c r="E508" s="9" t="str">
        <f>+HYPERLINK("http://trademark.i-assist.jp/data/china/image_1903th/79021106.pdf", "79021106")</f>
        <v>79021106</v>
      </c>
      <c r="F508" s="11" t="s">
        <v>1711</v>
      </c>
      <c r="G508" s="11" t="s">
        <v>1712</v>
      </c>
      <c r="H508" s="11" t="s">
        <v>1713</v>
      </c>
      <c r="I508" s="11" t="s">
        <v>178</v>
      </c>
    </row>
    <row r="509" spans="1:9" x14ac:dyDescent="0.15">
      <c r="A509" s="10">
        <v>508</v>
      </c>
      <c r="B509" s="11" t="s">
        <v>9</v>
      </c>
      <c r="C509" s="11" t="s">
        <v>253</v>
      </c>
      <c r="D509" s="11" t="s">
        <v>254</v>
      </c>
      <c r="E509" s="9" t="str">
        <f>+HYPERLINK("http://trademark.i-assist.jp/data/china/image_1903th/79021415.pdf", "79021415")</f>
        <v>79021415</v>
      </c>
      <c r="F509" s="11" t="s">
        <v>12</v>
      </c>
      <c r="G509" s="11" t="s">
        <v>147</v>
      </c>
      <c r="H509" s="11" t="s">
        <v>148</v>
      </c>
      <c r="I509" s="11" t="s">
        <v>178</v>
      </c>
    </row>
    <row r="510" spans="1:9" x14ac:dyDescent="0.15">
      <c r="A510" s="10">
        <v>509</v>
      </c>
      <c r="B510" s="11" t="s">
        <v>9</v>
      </c>
      <c r="C510" s="11" t="s">
        <v>253</v>
      </c>
      <c r="D510" s="11" t="s">
        <v>254</v>
      </c>
      <c r="E510" s="9" t="str">
        <f>+HYPERLINK("http://trademark.i-assist.jp/data/china/image_1903th/79021438.pdf", "79021438")</f>
        <v>79021438</v>
      </c>
      <c r="F510" s="11" t="s">
        <v>1714</v>
      </c>
      <c r="G510" s="11" t="s">
        <v>957</v>
      </c>
      <c r="H510" s="11" t="s">
        <v>1715</v>
      </c>
      <c r="I510" s="11" t="s">
        <v>178</v>
      </c>
    </row>
    <row r="511" spans="1:9" x14ac:dyDescent="0.15">
      <c r="A511" s="10">
        <v>510</v>
      </c>
      <c r="B511" s="11" t="s">
        <v>9</v>
      </c>
      <c r="C511" s="11" t="s">
        <v>253</v>
      </c>
      <c r="D511" s="11" t="s">
        <v>254</v>
      </c>
      <c r="E511" s="9" t="str">
        <f>+HYPERLINK("http://trademark.i-assist.jp/data/china/image_1903th/79022536.pdf", "79022536")</f>
        <v>79022536</v>
      </c>
      <c r="F511" s="11" t="s">
        <v>1716</v>
      </c>
      <c r="G511" s="11" t="s">
        <v>1717</v>
      </c>
      <c r="H511" s="11" t="s">
        <v>1718</v>
      </c>
      <c r="I511" s="11" t="s">
        <v>178</v>
      </c>
    </row>
    <row r="512" spans="1:9" x14ac:dyDescent="0.15">
      <c r="A512" s="10">
        <v>511</v>
      </c>
      <c r="B512" s="11" t="s">
        <v>9</v>
      </c>
      <c r="C512" s="11" t="s">
        <v>253</v>
      </c>
      <c r="D512" s="11" t="s">
        <v>254</v>
      </c>
      <c r="E512" s="9" t="str">
        <f>+HYPERLINK("http://trademark.i-assist.jp/data/china/image_1903th/79022617.pdf", "79022617")</f>
        <v>79022617</v>
      </c>
      <c r="F512" s="11" t="s">
        <v>1719</v>
      </c>
      <c r="G512" s="11" t="s">
        <v>1720</v>
      </c>
      <c r="H512" s="11" t="s">
        <v>1721</v>
      </c>
      <c r="I512" s="11" t="s">
        <v>178</v>
      </c>
    </row>
    <row r="513" spans="1:9" x14ac:dyDescent="0.15">
      <c r="A513" s="10">
        <v>512</v>
      </c>
      <c r="B513" s="11" t="s">
        <v>9</v>
      </c>
      <c r="C513" s="11" t="s">
        <v>253</v>
      </c>
      <c r="D513" s="11" t="s">
        <v>254</v>
      </c>
      <c r="E513" s="9" t="str">
        <f>+HYPERLINK("http://trademark.i-assist.jp/data/china/image_1903th/79023853.pdf", "79023853")</f>
        <v>79023853</v>
      </c>
      <c r="F513" s="11" t="s">
        <v>1722</v>
      </c>
      <c r="G513" s="11" t="s">
        <v>1723</v>
      </c>
      <c r="H513" s="11" t="s">
        <v>1724</v>
      </c>
      <c r="I513" s="11" t="s">
        <v>178</v>
      </c>
    </row>
    <row r="514" spans="1:9" x14ac:dyDescent="0.15">
      <c r="A514" s="10">
        <v>513</v>
      </c>
      <c r="B514" s="11" t="s">
        <v>9</v>
      </c>
      <c r="C514" s="11" t="s">
        <v>253</v>
      </c>
      <c r="D514" s="11" t="s">
        <v>254</v>
      </c>
      <c r="E514" s="9" t="str">
        <f>+HYPERLINK("http://trademark.i-assist.jp/data/china/image_1903th/79024074.pdf", "79024074")</f>
        <v>79024074</v>
      </c>
      <c r="F514" s="11" t="s">
        <v>1725</v>
      </c>
      <c r="G514" s="11" t="s">
        <v>1726</v>
      </c>
      <c r="H514" s="11" t="s">
        <v>1727</v>
      </c>
      <c r="I514" s="11" t="s">
        <v>178</v>
      </c>
    </row>
    <row r="515" spans="1:9" x14ac:dyDescent="0.15">
      <c r="A515" s="10">
        <v>514</v>
      </c>
      <c r="B515" s="11" t="s">
        <v>9</v>
      </c>
      <c r="C515" s="11" t="s">
        <v>253</v>
      </c>
      <c r="D515" s="11" t="s">
        <v>254</v>
      </c>
      <c r="E515" s="9" t="str">
        <f>+HYPERLINK("http://trademark.i-assist.jp/data/china/image_1903th/79024895.pdf", "79024895")</f>
        <v>79024895</v>
      </c>
      <c r="F515" s="11" t="s">
        <v>1728</v>
      </c>
      <c r="G515" s="11" t="s">
        <v>1729</v>
      </c>
      <c r="H515" s="11" t="s">
        <v>1730</v>
      </c>
      <c r="I515" s="11" t="s">
        <v>178</v>
      </c>
    </row>
    <row r="516" spans="1:9" x14ac:dyDescent="0.15">
      <c r="A516" s="10">
        <v>515</v>
      </c>
      <c r="B516" s="11" t="s">
        <v>9</v>
      </c>
      <c r="C516" s="11" t="s">
        <v>253</v>
      </c>
      <c r="D516" s="11" t="s">
        <v>254</v>
      </c>
      <c r="E516" s="9" t="str">
        <f>+HYPERLINK("http://trademark.i-assist.jp/data/china/image_1903th/79025075.pdf", "79025075")</f>
        <v>79025075</v>
      </c>
      <c r="F516" s="11" t="s">
        <v>1731</v>
      </c>
      <c r="G516" s="11" t="s">
        <v>1732</v>
      </c>
      <c r="H516" s="11" t="s">
        <v>1733</v>
      </c>
      <c r="I516" s="11" t="s">
        <v>178</v>
      </c>
    </row>
    <row r="517" spans="1:9" x14ac:dyDescent="0.15">
      <c r="A517" s="10">
        <v>516</v>
      </c>
      <c r="B517" s="11" t="s">
        <v>9</v>
      </c>
      <c r="C517" s="11" t="s">
        <v>253</v>
      </c>
      <c r="D517" s="11" t="s">
        <v>254</v>
      </c>
      <c r="E517" s="9" t="str">
        <f>+HYPERLINK("http://trademark.i-assist.jp/data/china/image_1903th/79025300.pdf", "79025300")</f>
        <v>79025300</v>
      </c>
      <c r="F517" s="11" t="s">
        <v>1734</v>
      </c>
      <c r="G517" s="11" t="s">
        <v>1735</v>
      </c>
      <c r="H517" s="11" t="s">
        <v>1736</v>
      </c>
      <c r="I517" s="11" t="s">
        <v>178</v>
      </c>
    </row>
    <row r="518" spans="1:9" x14ac:dyDescent="0.15">
      <c r="A518" s="10">
        <v>517</v>
      </c>
      <c r="B518" s="11" t="s">
        <v>9</v>
      </c>
      <c r="C518" s="11" t="s">
        <v>253</v>
      </c>
      <c r="D518" s="11" t="s">
        <v>254</v>
      </c>
      <c r="E518" s="9" t="str">
        <f>+HYPERLINK("http://trademark.i-assist.jp/data/china/image_1903th/79025338.pdf", "79025338")</f>
        <v>79025338</v>
      </c>
      <c r="F518" s="11" t="s">
        <v>1737</v>
      </c>
      <c r="G518" s="11" t="s">
        <v>138</v>
      </c>
      <c r="H518" s="11" t="s">
        <v>1738</v>
      </c>
      <c r="I518" s="11" t="s">
        <v>178</v>
      </c>
    </row>
    <row r="519" spans="1:9" x14ac:dyDescent="0.15">
      <c r="A519" s="10">
        <v>518</v>
      </c>
      <c r="B519" s="11" t="s">
        <v>9</v>
      </c>
      <c r="C519" s="11" t="s">
        <v>253</v>
      </c>
      <c r="D519" s="11" t="s">
        <v>254</v>
      </c>
      <c r="E519" s="9" t="str">
        <f>+HYPERLINK("http://trademark.i-assist.jp/data/china/image_1903th/79025666.pdf", "79025666")</f>
        <v>79025666</v>
      </c>
      <c r="F519" s="11" t="s">
        <v>1739</v>
      </c>
      <c r="G519" s="11" t="s">
        <v>957</v>
      </c>
      <c r="H519" s="11" t="s">
        <v>1740</v>
      </c>
      <c r="I519" s="11" t="s">
        <v>178</v>
      </c>
    </row>
    <row r="520" spans="1:9" x14ac:dyDescent="0.15">
      <c r="A520" s="10">
        <v>519</v>
      </c>
      <c r="B520" s="11" t="s">
        <v>9</v>
      </c>
      <c r="C520" s="11" t="s">
        <v>253</v>
      </c>
      <c r="D520" s="11" t="s">
        <v>254</v>
      </c>
      <c r="E520" s="9" t="str">
        <f>+HYPERLINK("http://trademark.i-assist.jp/data/china/image_1903th/79026921.pdf", "79026921")</f>
        <v>79026921</v>
      </c>
      <c r="F520" s="11" t="s">
        <v>1741</v>
      </c>
      <c r="G520" s="11" t="s">
        <v>1742</v>
      </c>
      <c r="H520" s="11" t="s">
        <v>1743</v>
      </c>
      <c r="I520" s="11" t="s">
        <v>178</v>
      </c>
    </row>
    <row r="521" spans="1:9" x14ac:dyDescent="0.15">
      <c r="A521" s="10">
        <v>520</v>
      </c>
      <c r="B521" s="11" t="s">
        <v>9</v>
      </c>
      <c r="C521" s="11" t="s">
        <v>253</v>
      </c>
      <c r="D521" s="11" t="s">
        <v>254</v>
      </c>
      <c r="E521" s="9" t="str">
        <f>+HYPERLINK("http://trademark.i-assist.jp/data/china/image_1903th/79027515.pdf", "79027515")</f>
        <v>79027515</v>
      </c>
      <c r="F521" s="11" t="s">
        <v>1744</v>
      </c>
      <c r="G521" s="11" t="s">
        <v>181</v>
      </c>
      <c r="H521" s="11" t="s">
        <v>1745</v>
      </c>
      <c r="I521" s="11" t="s">
        <v>178</v>
      </c>
    </row>
    <row r="522" spans="1:9" x14ac:dyDescent="0.15">
      <c r="A522" s="10">
        <v>521</v>
      </c>
      <c r="B522" s="11" t="s">
        <v>9</v>
      </c>
      <c r="C522" s="11" t="s">
        <v>253</v>
      </c>
      <c r="D522" s="11" t="s">
        <v>254</v>
      </c>
      <c r="E522" s="9" t="str">
        <f>+HYPERLINK("http://trademark.i-assist.jp/data/china/image_1903th/79028091.pdf", "79028091")</f>
        <v>79028091</v>
      </c>
      <c r="F522" s="11" t="s">
        <v>1746</v>
      </c>
      <c r="G522" s="11" t="s">
        <v>1747</v>
      </c>
      <c r="H522" s="11" t="s">
        <v>1748</v>
      </c>
      <c r="I522" s="11" t="s">
        <v>178</v>
      </c>
    </row>
    <row r="523" spans="1:9" x14ac:dyDescent="0.15">
      <c r="A523" s="10">
        <v>522</v>
      </c>
      <c r="B523" s="11" t="s">
        <v>9</v>
      </c>
      <c r="C523" s="11" t="s">
        <v>253</v>
      </c>
      <c r="D523" s="11" t="s">
        <v>254</v>
      </c>
      <c r="E523" s="9" t="str">
        <f>+HYPERLINK("http://trademark.i-assist.jp/data/china/image_1903th/79028994.pdf", "79028994")</f>
        <v>79028994</v>
      </c>
      <c r="F523" s="11" t="s">
        <v>1749</v>
      </c>
      <c r="G523" s="11" t="s">
        <v>1750</v>
      </c>
      <c r="H523" s="11" t="s">
        <v>1751</v>
      </c>
      <c r="I523" s="11" t="s">
        <v>178</v>
      </c>
    </row>
    <row r="524" spans="1:9" x14ac:dyDescent="0.15">
      <c r="A524" s="10">
        <v>523</v>
      </c>
      <c r="B524" s="11" t="s">
        <v>9</v>
      </c>
      <c r="C524" s="11" t="s">
        <v>253</v>
      </c>
      <c r="D524" s="11" t="s">
        <v>254</v>
      </c>
      <c r="E524" s="9" t="str">
        <f>+HYPERLINK("http://trademark.i-assist.jp/data/china/image_1903th/79029022.pdf", "79029022")</f>
        <v>79029022</v>
      </c>
      <c r="F524" s="11" t="s">
        <v>1752</v>
      </c>
      <c r="G524" s="11" t="s">
        <v>222</v>
      </c>
      <c r="H524" s="11" t="s">
        <v>1753</v>
      </c>
      <c r="I524" s="11" t="s">
        <v>178</v>
      </c>
    </row>
    <row r="525" spans="1:9" x14ac:dyDescent="0.15">
      <c r="A525" s="10">
        <v>524</v>
      </c>
      <c r="B525" s="11" t="s">
        <v>9</v>
      </c>
      <c r="C525" s="11" t="s">
        <v>253</v>
      </c>
      <c r="D525" s="11" t="s">
        <v>254</v>
      </c>
      <c r="E525" s="9" t="str">
        <f>+HYPERLINK("http://trademark.i-assist.jp/data/china/image_1903th/79029134.pdf", "79029134")</f>
        <v>79029134</v>
      </c>
      <c r="F525" s="11" t="s">
        <v>1754</v>
      </c>
      <c r="G525" s="11" t="s">
        <v>1755</v>
      </c>
      <c r="H525" s="11" t="s">
        <v>1756</v>
      </c>
      <c r="I525" s="11" t="s">
        <v>178</v>
      </c>
    </row>
    <row r="526" spans="1:9" x14ac:dyDescent="0.15">
      <c r="A526" s="10">
        <v>525</v>
      </c>
      <c r="B526" s="11" t="s">
        <v>9</v>
      </c>
      <c r="C526" s="11" t="s">
        <v>253</v>
      </c>
      <c r="D526" s="11" t="s">
        <v>254</v>
      </c>
      <c r="E526" s="9" t="str">
        <f>+HYPERLINK("http://trademark.i-assist.jp/data/china/image_1903th/79029357.pdf", "79029357")</f>
        <v>79029357</v>
      </c>
      <c r="F526" s="11" t="s">
        <v>1757</v>
      </c>
      <c r="G526" s="11" t="s">
        <v>173</v>
      </c>
      <c r="H526" s="11" t="s">
        <v>1758</v>
      </c>
      <c r="I526" s="11" t="s">
        <v>178</v>
      </c>
    </row>
    <row r="527" spans="1:9" x14ac:dyDescent="0.15">
      <c r="A527" s="10">
        <v>526</v>
      </c>
      <c r="B527" s="11" t="s">
        <v>9</v>
      </c>
      <c r="C527" s="11" t="s">
        <v>253</v>
      </c>
      <c r="D527" s="11" t="s">
        <v>254</v>
      </c>
      <c r="E527" s="9" t="str">
        <f>+HYPERLINK("http://trademark.i-assist.jp/data/china/image_1903th/79029504.pdf", "79029504")</f>
        <v>79029504</v>
      </c>
      <c r="F527" s="11" t="s">
        <v>12</v>
      </c>
      <c r="G527" s="11" t="s">
        <v>1759</v>
      </c>
      <c r="H527" s="11" t="s">
        <v>1760</v>
      </c>
      <c r="I527" s="11" t="s">
        <v>178</v>
      </c>
    </row>
    <row r="528" spans="1:9" x14ac:dyDescent="0.15">
      <c r="A528" s="10">
        <v>527</v>
      </c>
      <c r="B528" s="11" t="s">
        <v>9</v>
      </c>
      <c r="C528" s="11" t="s">
        <v>253</v>
      </c>
      <c r="D528" s="11" t="s">
        <v>254</v>
      </c>
      <c r="E528" s="9" t="str">
        <f>+HYPERLINK("http://trademark.i-assist.jp/data/china/image_1903th/79029560.pdf", "79029560")</f>
        <v>79029560</v>
      </c>
      <c r="F528" s="11" t="s">
        <v>1761</v>
      </c>
      <c r="G528" s="11" t="s">
        <v>1762</v>
      </c>
      <c r="H528" s="11" t="s">
        <v>1763</v>
      </c>
      <c r="I528" s="11" t="s">
        <v>178</v>
      </c>
    </row>
    <row r="529" spans="1:9" x14ac:dyDescent="0.15">
      <c r="A529" s="10">
        <v>528</v>
      </c>
      <c r="B529" s="11" t="s">
        <v>9</v>
      </c>
      <c r="C529" s="11" t="s">
        <v>253</v>
      </c>
      <c r="D529" s="11" t="s">
        <v>254</v>
      </c>
      <c r="E529" s="9" t="str">
        <f>+HYPERLINK("http://trademark.i-assist.jp/data/china/image_1903th/79029913.pdf", "79029913")</f>
        <v>79029913</v>
      </c>
      <c r="F529" s="11" t="s">
        <v>1764</v>
      </c>
      <c r="G529" s="11" t="s">
        <v>1765</v>
      </c>
      <c r="H529" s="11" t="s">
        <v>1766</v>
      </c>
      <c r="I529" s="11" t="s">
        <v>178</v>
      </c>
    </row>
    <row r="530" spans="1:9" x14ac:dyDescent="0.15">
      <c r="A530" s="10">
        <v>529</v>
      </c>
      <c r="B530" s="11" t="s">
        <v>9</v>
      </c>
      <c r="C530" s="11" t="s">
        <v>253</v>
      </c>
      <c r="D530" s="11" t="s">
        <v>254</v>
      </c>
      <c r="E530" s="9" t="str">
        <f>+HYPERLINK("http://trademark.i-assist.jp/data/china/image_1903th/79030077.pdf", "79030077")</f>
        <v>79030077</v>
      </c>
      <c r="F530" s="11" t="s">
        <v>1767</v>
      </c>
      <c r="G530" s="11" t="s">
        <v>957</v>
      </c>
      <c r="H530" s="11" t="s">
        <v>1768</v>
      </c>
      <c r="I530" s="11" t="s">
        <v>178</v>
      </c>
    </row>
    <row r="531" spans="1:9" x14ac:dyDescent="0.15">
      <c r="A531" s="10">
        <v>530</v>
      </c>
      <c r="B531" s="11" t="s">
        <v>9</v>
      </c>
      <c r="C531" s="11" t="s">
        <v>253</v>
      </c>
      <c r="D531" s="11" t="s">
        <v>254</v>
      </c>
      <c r="E531" s="9" t="str">
        <f>+HYPERLINK("http://trademark.i-assist.jp/data/china/image_1903th/79030338.pdf", "79030338")</f>
        <v>79030338</v>
      </c>
      <c r="F531" s="11" t="s">
        <v>1769</v>
      </c>
      <c r="G531" s="11" t="s">
        <v>173</v>
      </c>
      <c r="H531" s="11" t="s">
        <v>1770</v>
      </c>
      <c r="I531" s="11" t="s">
        <v>178</v>
      </c>
    </row>
    <row r="532" spans="1:9" x14ac:dyDescent="0.15">
      <c r="A532" s="10">
        <v>531</v>
      </c>
      <c r="B532" s="11" t="s">
        <v>9</v>
      </c>
      <c r="C532" s="11" t="s">
        <v>253</v>
      </c>
      <c r="D532" s="11" t="s">
        <v>254</v>
      </c>
      <c r="E532" s="9" t="str">
        <f>+HYPERLINK("http://trademark.i-assist.jp/data/china/image_1903th/79030961.pdf", "79030961")</f>
        <v>79030961</v>
      </c>
      <c r="F532" s="11" t="s">
        <v>1771</v>
      </c>
      <c r="G532" s="11" t="s">
        <v>1772</v>
      </c>
      <c r="H532" s="11" t="s">
        <v>1773</v>
      </c>
      <c r="I532" s="11" t="s">
        <v>178</v>
      </c>
    </row>
    <row r="533" spans="1:9" x14ac:dyDescent="0.15">
      <c r="A533" s="10">
        <v>532</v>
      </c>
      <c r="B533" s="11" t="s">
        <v>9</v>
      </c>
      <c r="C533" s="11" t="s">
        <v>253</v>
      </c>
      <c r="D533" s="11" t="s">
        <v>254</v>
      </c>
      <c r="E533" s="9" t="str">
        <f>+HYPERLINK("http://trademark.i-assist.jp/data/china/image_1903th/79032448.pdf", "79032448")</f>
        <v>79032448</v>
      </c>
      <c r="F533" s="11" t="s">
        <v>1774</v>
      </c>
      <c r="G533" s="11" t="s">
        <v>1707</v>
      </c>
      <c r="H533" s="11" t="s">
        <v>1775</v>
      </c>
      <c r="I533" s="11" t="s">
        <v>178</v>
      </c>
    </row>
    <row r="534" spans="1:9" x14ac:dyDescent="0.15">
      <c r="A534" s="10">
        <v>533</v>
      </c>
      <c r="B534" s="11" t="s">
        <v>9</v>
      </c>
      <c r="C534" s="11" t="s">
        <v>253</v>
      </c>
      <c r="D534" s="11" t="s">
        <v>254</v>
      </c>
      <c r="E534" s="9" t="str">
        <f>+HYPERLINK("http://trademark.i-assist.jp/data/china/image_1903th/79032562.pdf", "79032562")</f>
        <v>79032562</v>
      </c>
      <c r="F534" s="11" t="s">
        <v>1776</v>
      </c>
      <c r="G534" s="11" t="s">
        <v>1777</v>
      </c>
      <c r="H534" s="11" t="s">
        <v>1778</v>
      </c>
      <c r="I534" s="11" t="s">
        <v>178</v>
      </c>
    </row>
    <row r="535" spans="1:9" x14ac:dyDescent="0.15">
      <c r="A535" s="10">
        <v>534</v>
      </c>
      <c r="B535" s="11" t="s">
        <v>9</v>
      </c>
      <c r="C535" s="11" t="s">
        <v>253</v>
      </c>
      <c r="D535" s="11" t="s">
        <v>254</v>
      </c>
      <c r="E535" s="9" t="str">
        <f>+HYPERLINK("http://trademark.i-assist.jp/data/china/image_1903th/79032927.pdf", "79032927")</f>
        <v>79032927</v>
      </c>
      <c r="F535" s="11" t="s">
        <v>1779</v>
      </c>
      <c r="G535" s="11" t="s">
        <v>1780</v>
      </c>
      <c r="H535" s="11" t="s">
        <v>1781</v>
      </c>
      <c r="I535" s="11" t="s">
        <v>178</v>
      </c>
    </row>
    <row r="536" spans="1:9" x14ac:dyDescent="0.15">
      <c r="A536" s="10">
        <v>535</v>
      </c>
      <c r="B536" s="11" t="s">
        <v>9</v>
      </c>
      <c r="C536" s="11" t="s">
        <v>253</v>
      </c>
      <c r="D536" s="11" t="s">
        <v>254</v>
      </c>
      <c r="E536" s="9" t="str">
        <f>+HYPERLINK("http://trademark.i-assist.jp/data/china/image_1903th/79033521.pdf", "79033521")</f>
        <v>79033521</v>
      </c>
      <c r="F536" s="11" t="s">
        <v>1782</v>
      </c>
      <c r="G536" s="11" t="s">
        <v>181</v>
      </c>
      <c r="H536" s="11" t="s">
        <v>1783</v>
      </c>
      <c r="I536" s="11" t="s">
        <v>178</v>
      </c>
    </row>
    <row r="537" spans="1:9" x14ac:dyDescent="0.15">
      <c r="A537" s="10">
        <v>536</v>
      </c>
      <c r="B537" s="11" t="s">
        <v>9</v>
      </c>
      <c r="C537" s="11" t="s">
        <v>253</v>
      </c>
      <c r="D537" s="11" t="s">
        <v>254</v>
      </c>
      <c r="E537" s="9" t="str">
        <f>+HYPERLINK("http://trademark.i-assist.jp/data/china/image_1903th/79034582.pdf", "79034582")</f>
        <v>79034582</v>
      </c>
      <c r="F537" s="11" t="s">
        <v>1784</v>
      </c>
      <c r="G537" s="11" t="s">
        <v>1785</v>
      </c>
      <c r="H537" s="11" t="s">
        <v>1786</v>
      </c>
      <c r="I537" s="11" t="s">
        <v>178</v>
      </c>
    </row>
    <row r="538" spans="1:9" x14ac:dyDescent="0.15">
      <c r="A538" s="10">
        <v>537</v>
      </c>
      <c r="B538" s="11" t="s">
        <v>9</v>
      </c>
      <c r="C538" s="11" t="s">
        <v>253</v>
      </c>
      <c r="D538" s="11" t="s">
        <v>254</v>
      </c>
      <c r="E538" s="9" t="str">
        <f>+HYPERLINK("http://trademark.i-assist.jp/data/china/image_1903th/79035267.pdf", "79035267")</f>
        <v>79035267</v>
      </c>
      <c r="F538" s="11" t="s">
        <v>1787</v>
      </c>
      <c r="G538" s="11" t="s">
        <v>1788</v>
      </c>
      <c r="H538" s="11" t="s">
        <v>1789</v>
      </c>
      <c r="I538" s="11" t="s">
        <v>178</v>
      </c>
    </row>
    <row r="539" spans="1:9" x14ac:dyDescent="0.15">
      <c r="A539" s="10">
        <v>538</v>
      </c>
      <c r="B539" s="11" t="s">
        <v>9</v>
      </c>
      <c r="C539" s="11" t="s">
        <v>253</v>
      </c>
      <c r="D539" s="11" t="s">
        <v>254</v>
      </c>
      <c r="E539" s="9" t="str">
        <f>+HYPERLINK("http://trademark.i-assist.jp/data/china/image_1903th/79035283.pdf", "79035283")</f>
        <v>79035283</v>
      </c>
      <c r="F539" s="11" t="s">
        <v>1790</v>
      </c>
      <c r="G539" s="11" t="s">
        <v>1788</v>
      </c>
      <c r="H539" s="11" t="s">
        <v>1791</v>
      </c>
      <c r="I539" s="11" t="s">
        <v>178</v>
      </c>
    </row>
    <row r="540" spans="1:9" x14ac:dyDescent="0.15">
      <c r="A540" s="10">
        <v>539</v>
      </c>
      <c r="B540" s="11" t="s">
        <v>9</v>
      </c>
      <c r="C540" s="11" t="s">
        <v>253</v>
      </c>
      <c r="D540" s="11" t="s">
        <v>254</v>
      </c>
      <c r="E540" s="9" t="str">
        <f>+HYPERLINK("http://trademark.i-assist.jp/data/china/image_1903th/79035889.pdf", "79035889")</f>
        <v>79035889</v>
      </c>
      <c r="F540" s="11" t="s">
        <v>1792</v>
      </c>
      <c r="G540" s="11" t="s">
        <v>1777</v>
      </c>
      <c r="H540" s="11" t="s">
        <v>1793</v>
      </c>
      <c r="I540" s="11" t="s">
        <v>178</v>
      </c>
    </row>
    <row r="541" spans="1:9" x14ac:dyDescent="0.15">
      <c r="A541" s="10">
        <v>540</v>
      </c>
      <c r="B541" s="11" t="s">
        <v>9</v>
      </c>
      <c r="C541" s="11" t="s">
        <v>253</v>
      </c>
      <c r="D541" s="11" t="s">
        <v>254</v>
      </c>
      <c r="E541" s="9" t="str">
        <f>+HYPERLINK("http://trademark.i-assist.jp/data/china/image_1903th/79036055.pdf", "79036055")</f>
        <v>79036055</v>
      </c>
      <c r="F541" s="11" t="s">
        <v>1794</v>
      </c>
      <c r="G541" s="11" t="s">
        <v>957</v>
      </c>
      <c r="H541" s="11" t="s">
        <v>1795</v>
      </c>
      <c r="I541" s="11" t="s">
        <v>178</v>
      </c>
    </row>
    <row r="542" spans="1:9" x14ac:dyDescent="0.15">
      <c r="A542" s="10">
        <v>541</v>
      </c>
      <c r="B542" s="11" t="s">
        <v>9</v>
      </c>
      <c r="C542" s="11" t="s">
        <v>253</v>
      </c>
      <c r="D542" s="11" t="s">
        <v>254</v>
      </c>
      <c r="E542" s="9" t="str">
        <f>+HYPERLINK("http://trademark.i-assist.jp/data/china/image_1903th/79036093.pdf", "79036093")</f>
        <v>79036093</v>
      </c>
      <c r="F542" s="11" t="s">
        <v>1796</v>
      </c>
      <c r="G542" s="11" t="s">
        <v>1797</v>
      </c>
      <c r="H542" s="11" t="s">
        <v>1798</v>
      </c>
      <c r="I542" s="11" t="s">
        <v>178</v>
      </c>
    </row>
    <row r="543" spans="1:9" x14ac:dyDescent="0.15">
      <c r="A543" s="10">
        <v>542</v>
      </c>
      <c r="B543" s="11" t="s">
        <v>9</v>
      </c>
      <c r="C543" s="11" t="s">
        <v>253</v>
      </c>
      <c r="D543" s="11" t="s">
        <v>254</v>
      </c>
      <c r="E543" s="9" t="str">
        <f>+HYPERLINK("http://trademark.i-assist.jp/data/china/image_1903th/79036351.pdf", "79036351")</f>
        <v>79036351</v>
      </c>
      <c r="F543" s="11" t="s">
        <v>1799</v>
      </c>
      <c r="G543" s="11" t="s">
        <v>1800</v>
      </c>
      <c r="H543" s="11" t="s">
        <v>1801</v>
      </c>
      <c r="I543" s="11" t="s">
        <v>178</v>
      </c>
    </row>
    <row r="544" spans="1:9" x14ac:dyDescent="0.15">
      <c r="A544" s="10">
        <v>543</v>
      </c>
      <c r="B544" s="11" t="s">
        <v>9</v>
      </c>
      <c r="C544" s="11" t="s">
        <v>253</v>
      </c>
      <c r="D544" s="11" t="s">
        <v>254</v>
      </c>
      <c r="E544" s="9" t="str">
        <f>+HYPERLINK("http://trademark.i-assist.jp/data/china/image_1903th/79036709.pdf", "79036709")</f>
        <v>79036709</v>
      </c>
      <c r="F544" s="11" t="s">
        <v>1802</v>
      </c>
      <c r="G544" s="11" t="s">
        <v>1803</v>
      </c>
      <c r="H544" s="11" t="s">
        <v>1804</v>
      </c>
      <c r="I544" s="11" t="s">
        <v>178</v>
      </c>
    </row>
    <row r="545" spans="1:9" x14ac:dyDescent="0.15">
      <c r="A545" s="10">
        <v>544</v>
      </c>
      <c r="B545" s="11" t="s">
        <v>9</v>
      </c>
      <c r="C545" s="11" t="s">
        <v>253</v>
      </c>
      <c r="D545" s="11" t="s">
        <v>254</v>
      </c>
      <c r="E545" s="9" t="str">
        <f>+HYPERLINK("http://trademark.i-assist.jp/data/china/image_1903th/79037266.pdf", "79037266")</f>
        <v>79037266</v>
      </c>
      <c r="F545" s="11" t="s">
        <v>1805</v>
      </c>
      <c r="G545" s="11" t="s">
        <v>1806</v>
      </c>
      <c r="H545" s="11" t="s">
        <v>1807</v>
      </c>
      <c r="I545" s="11" t="s">
        <v>178</v>
      </c>
    </row>
    <row r="546" spans="1:9" x14ac:dyDescent="0.15">
      <c r="A546" s="10">
        <v>545</v>
      </c>
      <c r="B546" s="11" t="s">
        <v>9</v>
      </c>
      <c r="C546" s="11" t="s">
        <v>253</v>
      </c>
      <c r="D546" s="11" t="s">
        <v>254</v>
      </c>
      <c r="E546" s="9" t="str">
        <f>+HYPERLINK("http://trademark.i-assist.jp/data/china/image_1903th/79038148.pdf", "79038148")</f>
        <v>79038148</v>
      </c>
      <c r="F546" s="11" t="s">
        <v>1808</v>
      </c>
      <c r="G546" s="11" t="s">
        <v>1723</v>
      </c>
      <c r="H546" s="11" t="s">
        <v>1809</v>
      </c>
      <c r="I546" s="11" t="s">
        <v>178</v>
      </c>
    </row>
    <row r="547" spans="1:9" x14ac:dyDescent="0.15">
      <c r="A547" s="10">
        <v>546</v>
      </c>
      <c r="B547" s="11" t="s">
        <v>9</v>
      </c>
      <c r="C547" s="11" t="s">
        <v>253</v>
      </c>
      <c r="D547" s="11" t="s">
        <v>254</v>
      </c>
      <c r="E547" s="9" t="str">
        <f>+HYPERLINK("http://trademark.i-assist.jp/data/china/image_1903th/79038575.pdf", "79038575")</f>
        <v>79038575</v>
      </c>
      <c r="F547" s="11" t="s">
        <v>1810</v>
      </c>
      <c r="G547" s="11" t="s">
        <v>1811</v>
      </c>
      <c r="H547" s="11" t="s">
        <v>1812</v>
      </c>
      <c r="I547" s="11" t="s">
        <v>178</v>
      </c>
    </row>
    <row r="548" spans="1:9" x14ac:dyDescent="0.15">
      <c r="A548" s="10">
        <v>547</v>
      </c>
      <c r="B548" s="11" t="s">
        <v>9</v>
      </c>
      <c r="C548" s="11" t="s">
        <v>253</v>
      </c>
      <c r="D548" s="11" t="s">
        <v>254</v>
      </c>
      <c r="E548" s="9" t="str">
        <f>+HYPERLINK("http://trademark.i-assist.jp/data/china/image_1903th/79038593.pdf", "79038593")</f>
        <v>79038593</v>
      </c>
      <c r="F548" s="11" t="s">
        <v>1813</v>
      </c>
      <c r="G548" s="11" t="s">
        <v>1814</v>
      </c>
      <c r="H548" s="11" t="s">
        <v>1815</v>
      </c>
      <c r="I548" s="11" t="s">
        <v>178</v>
      </c>
    </row>
    <row r="549" spans="1:9" x14ac:dyDescent="0.15">
      <c r="A549" s="10">
        <v>548</v>
      </c>
      <c r="B549" s="11" t="s">
        <v>9</v>
      </c>
      <c r="C549" s="11" t="s">
        <v>253</v>
      </c>
      <c r="D549" s="11" t="s">
        <v>254</v>
      </c>
      <c r="E549" s="9" t="str">
        <f>+HYPERLINK("http://trademark.i-assist.jp/data/china/image_1903th/79041177.pdf", "79041177")</f>
        <v>79041177</v>
      </c>
      <c r="F549" s="11" t="s">
        <v>12</v>
      </c>
      <c r="G549" s="11" t="s">
        <v>1816</v>
      </c>
      <c r="H549" s="11" t="s">
        <v>1817</v>
      </c>
      <c r="I549" s="11" t="s">
        <v>185</v>
      </c>
    </row>
    <row r="550" spans="1:9" x14ac:dyDescent="0.15">
      <c r="A550" s="10">
        <v>549</v>
      </c>
      <c r="B550" s="11" t="s">
        <v>9</v>
      </c>
      <c r="C550" s="11" t="s">
        <v>253</v>
      </c>
      <c r="D550" s="11" t="s">
        <v>254</v>
      </c>
      <c r="E550" s="9" t="str">
        <f>+HYPERLINK("http://trademark.i-assist.jp/data/china/image_1903th/79042689.pdf", "79042689")</f>
        <v>79042689</v>
      </c>
      <c r="F550" s="11" t="s">
        <v>1818</v>
      </c>
      <c r="G550" s="11" t="s">
        <v>1819</v>
      </c>
      <c r="H550" s="11" t="s">
        <v>1820</v>
      </c>
      <c r="I550" s="11" t="s">
        <v>185</v>
      </c>
    </row>
    <row r="551" spans="1:9" x14ac:dyDescent="0.15">
      <c r="A551" s="10">
        <v>550</v>
      </c>
      <c r="B551" s="11" t="s">
        <v>9</v>
      </c>
      <c r="C551" s="11" t="s">
        <v>253</v>
      </c>
      <c r="D551" s="11" t="s">
        <v>254</v>
      </c>
      <c r="E551" s="9" t="str">
        <f>+HYPERLINK("http://trademark.i-assist.jp/data/china/image_1903th/79044016.pdf", "79044016")</f>
        <v>79044016</v>
      </c>
      <c r="F551" s="11" t="s">
        <v>1821</v>
      </c>
      <c r="G551" s="11" t="s">
        <v>194</v>
      </c>
      <c r="H551" s="11" t="s">
        <v>1822</v>
      </c>
      <c r="I551" s="11" t="s">
        <v>185</v>
      </c>
    </row>
    <row r="552" spans="1:9" x14ac:dyDescent="0.15">
      <c r="A552" s="10">
        <v>551</v>
      </c>
      <c r="B552" s="11" t="s">
        <v>9</v>
      </c>
      <c r="C552" s="11" t="s">
        <v>253</v>
      </c>
      <c r="D552" s="11" t="s">
        <v>254</v>
      </c>
      <c r="E552" s="9" t="str">
        <f>+HYPERLINK("http://trademark.i-assist.jp/data/china/image_1903th/79044038.pdf", "79044038")</f>
        <v>79044038</v>
      </c>
      <c r="F552" s="11" t="s">
        <v>1823</v>
      </c>
      <c r="G552" s="11" t="s">
        <v>194</v>
      </c>
      <c r="H552" s="11" t="s">
        <v>1824</v>
      </c>
      <c r="I552" s="11" t="s">
        <v>185</v>
      </c>
    </row>
    <row r="553" spans="1:9" x14ac:dyDescent="0.15">
      <c r="A553" s="10">
        <v>552</v>
      </c>
      <c r="B553" s="11" t="s">
        <v>9</v>
      </c>
      <c r="C553" s="11" t="s">
        <v>253</v>
      </c>
      <c r="D553" s="11" t="s">
        <v>254</v>
      </c>
      <c r="E553" s="9" t="str">
        <f>+HYPERLINK("http://trademark.i-assist.jp/data/china/image_1903th/79044592.pdf", "79044592")</f>
        <v>79044592</v>
      </c>
      <c r="F553" s="11" t="s">
        <v>1825</v>
      </c>
      <c r="G553" s="11" t="s">
        <v>1826</v>
      </c>
      <c r="H553" s="11" t="s">
        <v>1827</v>
      </c>
      <c r="I553" s="11" t="s">
        <v>185</v>
      </c>
    </row>
    <row r="554" spans="1:9" x14ac:dyDescent="0.15">
      <c r="A554" s="10">
        <v>553</v>
      </c>
      <c r="B554" s="11" t="s">
        <v>9</v>
      </c>
      <c r="C554" s="11" t="s">
        <v>253</v>
      </c>
      <c r="D554" s="11" t="s">
        <v>254</v>
      </c>
      <c r="E554" s="9" t="str">
        <f>+HYPERLINK("http://trademark.i-assist.jp/data/china/image_1903th/79044793.pdf", "79044793")</f>
        <v>79044793</v>
      </c>
      <c r="F554" s="11" t="s">
        <v>1828</v>
      </c>
      <c r="G554" s="11" t="s">
        <v>1829</v>
      </c>
      <c r="H554" s="11" t="s">
        <v>1830</v>
      </c>
      <c r="I554" s="11" t="s">
        <v>185</v>
      </c>
    </row>
    <row r="555" spans="1:9" x14ac:dyDescent="0.15">
      <c r="A555" s="10">
        <v>554</v>
      </c>
      <c r="B555" s="11" t="s">
        <v>9</v>
      </c>
      <c r="C555" s="11" t="s">
        <v>253</v>
      </c>
      <c r="D555" s="11" t="s">
        <v>254</v>
      </c>
      <c r="E555" s="9" t="str">
        <f>+HYPERLINK("http://trademark.i-assist.jp/data/china/image_1903th/79045686.pdf", "79045686")</f>
        <v>79045686</v>
      </c>
      <c r="F555" s="11" t="s">
        <v>1831</v>
      </c>
      <c r="G555" s="11" t="s">
        <v>1832</v>
      </c>
      <c r="H555" s="11" t="s">
        <v>1833</v>
      </c>
      <c r="I555" s="11" t="s">
        <v>185</v>
      </c>
    </row>
    <row r="556" spans="1:9" x14ac:dyDescent="0.15">
      <c r="A556" s="10">
        <v>555</v>
      </c>
      <c r="B556" s="11" t="s">
        <v>9</v>
      </c>
      <c r="C556" s="11" t="s">
        <v>253</v>
      </c>
      <c r="D556" s="11" t="s">
        <v>254</v>
      </c>
      <c r="E556" s="9" t="str">
        <f>+HYPERLINK("http://trademark.i-assist.jp/data/china/image_1903th/79045895.pdf", "79045895")</f>
        <v>79045895</v>
      </c>
      <c r="F556" s="11" t="s">
        <v>1834</v>
      </c>
      <c r="G556" s="11" t="s">
        <v>1835</v>
      </c>
      <c r="H556" s="11" t="s">
        <v>1836</v>
      </c>
      <c r="I556" s="11" t="s">
        <v>185</v>
      </c>
    </row>
    <row r="557" spans="1:9" x14ac:dyDescent="0.15">
      <c r="A557" s="10">
        <v>556</v>
      </c>
      <c r="B557" s="11" t="s">
        <v>9</v>
      </c>
      <c r="C557" s="11" t="s">
        <v>253</v>
      </c>
      <c r="D557" s="11" t="s">
        <v>254</v>
      </c>
      <c r="E557" s="9" t="str">
        <f>+HYPERLINK("http://trademark.i-assist.jp/data/china/image_1903th/79046021.pdf", "79046021")</f>
        <v>79046021</v>
      </c>
      <c r="F557" s="11" t="s">
        <v>1837</v>
      </c>
      <c r="G557" s="11" t="s">
        <v>189</v>
      </c>
      <c r="H557" s="11" t="s">
        <v>1838</v>
      </c>
      <c r="I557" s="11" t="s">
        <v>185</v>
      </c>
    </row>
    <row r="558" spans="1:9" x14ac:dyDescent="0.15">
      <c r="A558" s="10">
        <v>557</v>
      </c>
      <c r="B558" s="11" t="s">
        <v>9</v>
      </c>
      <c r="C558" s="11" t="s">
        <v>253</v>
      </c>
      <c r="D558" s="11" t="s">
        <v>254</v>
      </c>
      <c r="E558" s="9" t="str">
        <f>+HYPERLINK("http://trademark.i-assist.jp/data/china/image_1903th/79048170.pdf", "79048170")</f>
        <v>79048170</v>
      </c>
      <c r="F558" s="11" t="s">
        <v>1839</v>
      </c>
      <c r="G558" s="11" t="s">
        <v>1840</v>
      </c>
      <c r="H558" s="11" t="s">
        <v>1841</v>
      </c>
      <c r="I558" s="11" t="s">
        <v>185</v>
      </c>
    </row>
    <row r="559" spans="1:9" x14ac:dyDescent="0.15">
      <c r="A559" s="10">
        <v>558</v>
      </c>
      <c r="B559" s="11" t="s">
        <v>9</v>
      </c>
      <c r="C559" s="11" t="s">
        <v>253</v>
      </c>
      <c r="D559" s="11" t="s">
        <v>254</v>
      </c>
      <c r="E559" s="9" t="str">
        <f>+HYPERLINK("http://trademark.i-assist.jp/data/china/image_1903th/79048995.pdf", "79048995")</f>
        <v>79048995</v>
      </c>
      <c r="F559" s="11" t="s">
        <v>1842</v>
      </c>
      <c r="G559" s="11" t="s">
        <v>194</v>
      </c>
      <c r="H559" s="11" t="s">
        <v>1843</v>
      </c>
      <c r="I559" s="11" t="s">
        <v>185</v>
      </c>
    </row>
    <row r="560" spans="1:9" x14ac:dyDescent="0.15">
      <c r="A560" s="10">
        <v>559</v>
      </c>
      <c r="B560" s="11" t="s">
        <v>9</v>
      </c>
      <c r="C560" s="11" t="s">
        <v>253</v>
      </c>
      <c r="D560" s="11" t="s">
        <v>254</v>
      </c>
      <c r="E560" s="9" t="str">
        <f>+HYPERLINK("http://trademark.i-assist.jp/data/china/image_1903th/79049458.pdf", "79049458")</f>
        <v>79049458</v>
      </c>
      <c r="F560" s="11" t="s">
        <v>1844</v>
      </c>
      <c r="G560" s="11" t="s">
        <v>1845</v>
      </c>
      <c r="H560" s="11" t="s">
        <v>1846</v>
      </c>
      <c r="I560" s="11" t="s">
        <v>185</v>
      </c>
    </row>
    <row r="561" spans="1:9" x14ac:dyDescent="0.15">
      <c r="A561" s="10">
        <v>560</v>
      </c>
      <c r="B561" s="11" t="s">
        <v>9</v>
      </c>
      <c r="C561" s="11" t="s">
        <v>253</v>
      </c>
      <c r="D561" s="11" t="s">
        <v>254</v>
      </c>
      <c r="E561" s="9" t="str">
        <f>+HYPERLINK("http://trademark.i-assist.jp/data/china/image_1903th/79049466.pdf", "79049466")</f>
        <v>79049466</v>
      </c>
      <c r="F561" s="11" t="s">
        <v>1847</v>
      </c>
      <c r="G561" s="11" t="s">
        <v>1848</v>
      </c>
      <c r="H561" s="11" t="s">
        <v>1849</v>
      </c>
      <c r="I561" s="11" t="s">
        <v>185</v>
      </c>
    </row>
    <row r="562" spans="1:9" x14ac:dyDescent="0.15">
      <c r="A562" s="10">
        <v>561</v>
      </c>
      <c r="B562" s="11" t="s">
        <v>9</v>
      </c>
      <c r="C562" s="11" t="s">
        <v>253</v>
      </c>
      <c r="D562" s="11" t="s">
        <v>254</v>
      </c>
      <c r="E562" s="9" t="str">
        <f>+HYPERLINK("http://trademark.i-assist.jp/data/china/image_1903th/79049913.pdf", "79049913")</f>
        <v>79049913</v>
      </c>
      <c r="F562" s="11" t="s">
        <v>1850</v>
      </c>
      <c r="G562" s="11" t="s">
        <v>1851</v>
      </c>
      <c r="H562" s="11" t="s">
        <v>1852</v>
      </c>
      <c r="I562" s="11" t="s">
        <v>185</v>
      </c>
    </row>
    <row r="563" spans="1:9" x14ac:dyDescent="0.15">
      <c r="A563" s="10">
        <v>562</v>
      </c>
      <c r="B563" s="11" t="s">
        <v>9</v>
      </c>
      <c r="C563" s="11" t="s">
        <v>253</v>
      </c>
      <c r="D563" s="11" t="s">
        <v>254</v>
      </c>
      <c r="E563" s="9" t="str">
        <f>+HYPERLINK("http://trademark.i-assist.jp/data/china/image_1903th/79050769.pdf", "79050769")</f>
        <v>79050769</v>
      </c>
      <c r="F563" s="11" t="s">
        <v>1853</v>
      </c>
      <c r="G563" s="11" t="s">
        <v>215</v>
      </c>
      <c r="H563" s="11" t="s">
        <v>1854</v>
      </c>
      <c r="I563" s="11" t="s">
        <v>185</v>
      </c>
    </row>
    <row r="564" spans="1:9" x14ac:dyDescent="0.15">
      <c r="A564" s="10">
        <v>563</v>
      </c>
      <c r="B564" s="11" t="s">
        <v>9</v>
      </c>
      <c r="C564" s="11" t="s">
        <v>253</v>
      </c>
      <c r="D564" s="11" t="s">
        <v>254</v>
      </c>
      <c r="E564" s="9" t="str">
        <f>+HYPERLINK("http://trademark.i-assist.jp/data/china/image_1903th/79052044.pdf", "79052044")</f>
        <v>79052044</v>
      </c>
      <c r="F564" s="11" t="s">
        <v>1855</v>
      </c>
      <c r="G564" s="11" t="s">
        <v>1856</v>
      </c>
      <c r="H564" s="11" t="s">
        <v>1857</v>
      </c>
      <c r="I564" s="11" t="s">
        <v>185</v>
      </c>
    </row>
    <row r="565" spans="1:9" x14ac:dyDescent="0.15">
      <c r="A565" s="10">
        <v>564</v>
      </c>
      <c r="B565" s="11" t="s">
        <v>9</v>
      </c>
      <c r="C565" s="11" t="s">
        <v>253</v>
      </c>
      <c r="D565" s="11" t="s">
        <v>254</v>
      </c>
      <c r="E565" s="9" t="str">
        <f>+HYPERLINK("http://trademark.i-assist.jp/data/china/image_1903th/79052284.pdf", "79052284")</f>
        <v>79052284</v>
      </c>
      <c r="F565" s="11" t="s">
        <v>1858</v>
      </c>
      <c r="G565" s="11" t="s">
        <v>1859</v>
      </c>
      <c r="H565" s="11" t="s">
        <v>1860</v>
      </c>
      <c r="I565" s="11" t="s">
        <v>185</v>
      </c>
    </row>
    <row r="566" spans="1:9" x14ac:dyDescent="0.15">
      <c r="A566" s="10">
        <v>565</v>
      </c>
      <c r="B566" s="11" t="s">
        <v>9</v>
      </c>
      <c r="C566" s="11" t="s">
        <v>253</v>
      </c>
      <c r="D566" s="11" t="s">
        <v>254</v>
      </c>
      <c r="E566" s="9" t="str">
        <f>+HYPERLINK("http://trademark.i-assist.jp/data/china/image_1903th/79052973.pdf", "79052973")</f>
        <v>79052973</v>
      </c>
      <c r="F566" s="11" t="s">
        <v>12</v>
      </c>
      <c r="G566" s="11" t="s">
        <v>1861</v>
      </c>
      <c r="H566" s="11" t="s">
        <v>1862</v>
      </c>
      <c r="I566" s="11" t="s">
        <v>185</v>
      </c>
    </row>
    <row r="567" spans="1:9" x14ac:dyDescent="0.15">
      <c r="A567" s="10">
        <v>566</v>
      </c>
      <c r="B567" s="11" t="s">
        <v>9</v>
      </c>
      <c r="C567" s="11" t="s">
        <v>253</v>
      </c>
      <c r="D567" s="11" t="s">
        <v>254</v>
      </c>
      <c r="E567" s="9" t="str">
        <f>+HYPERLINK("http://trademark.i-assist.jp/data/china/image_1903th/79053194.pdf", "79053194")</f>
        <v>79053194</v>
      </c>
      <c r="F567" s="11" t="s">
        <v>1863</v>
      </c>
      <c r="G567" s="11" t="s">
        <v>1285</v>
      </c>
      <c r="H567" s="11" t="s">
        <v>1864</v>
      </c>
      <c r="I567" s="11" t="s">
        <v>185</v>
      </c>
    </row>
    <row r="568" spans="1:9" x14ac:dyDescent="0.15">
      <c r="A568" s="10">
        <v>567</v>
      </c>
      <c r="B568" s="11" t="s">
        <v>9</v>
      </c>
      <c r="C568" s="11" t="s">
        <v>253</v>
      </c>
      <c r="D568" s="11" t="s">
        <v>254</v>
      </c>
      <c r="E568" s="9" t="str">
        <f>+HYPERLINK("http://trademark.i-assist.jp/data/china/image_1903th/79053463.pdf", "79053463")</f>
        <v>79053463</v>
      </c>
      <c r="F568" s="11" t="s">
        <v>1865</v>
      </c>
      <c r="G568" s="11" t="s">
        <v>1866</v>
      </c>
      <c r="H568" s="11" t="s">
        <v>1867</v>
      </c>
      <c r="I568" s="11" t="s">
        <v>185</v>
      </c>
    </row>
    <row r="569" spans="1:9" x14ac:dyDescent="0.15">
      <c r="A569" s="10">
        <v>568</v>
      </c>
      <c r="B569" s="11" t="s">
        <v>9</v>
      </c>
      <c r="C569" s="11" t="s">
        <v>253</v>
      </c>
      <c r="D569" s="11" t="s">
        <v>254</v>
      </c>
      <c r="E569" s="9" t="str">
        <f>+HYPERLINK("http://trademark.i-assist.jp/data/china/image_1903th/79053816.pdf", "79053816")</f>
        <v>79053816</v>
      </c>
      <c r="F569" s="11" t="s">
        <v>12</v>
      </c>
      <c r="G569" s="11" t="s">
        <v>1868</v>
      </c>
      <c r="H569" s="11" t="s">
        <v>1869</v>
      </c>
      <c r="I569" s="11" t="s">
        <v>185</v>
      </c>
    </row>
    <row r="570" spans="1:9" x14ac:dyDescent="0.15">
      <c r="A570" s="10">
        <v>569</v>
      </c>
      <c r="B570" s="11" t="s">
        <v>9</v>
      </c>
      <c r="C570" s="11" t="s">
        <v>253</v>
      </c>
      <c r="D570" s="11" t="s">
        <v>254</v>
      </c>
      <c r="E570" s="9" t="str">
        <f>+HYPERLINK("http://trademark.i-assist.jp/data/china/image_1903th/79055220.pdf", "79055220")</f>
        <v>79055220</v>
      </c>
      <c r="F570" s="11" t="s">
        <v>1870</v>
      </c>
      <c r="G570" s="11" t="s">
        <v>1871</v>
      </c>
      <c r="H570" s="11" t="s">
        <v>1872</v>
      </c>
      <c r="I570" s="11" t="s">
        <v>185</v>
      </c>
    </row>
    <row r="571" spans="1:9" x14ac:dyDescent="0.15">
      <c r="A571" s="10">
        <v>570</v>
      </c>
      <c r="B571" s="11" t="s">
        <v>9</v>
      </c>
      <c r="C571" s="11" t="s">
        <v>253</v>
      </c>
      <c r="D571" s="11" t="s">
        <v>254</v>
      </c>
      <c r="E571" s="9" t="str">
        <f>+HYPERLINK("http://trademark.i-assist.jp/data/china/image_1903th/79056639.pdf", "79056639")</f>
        <v>79056639</v>
      </c>
      <c r="F571" s="11" t="s">
        <v>1873</v>
      </c>
      <c r="G571" s="11" t="s">
        <v>1874</v>
      </c>
      <c r="H571" s="11" t="s">
        <v>1875</v>
      </c>
      <c r="I571" s="11" t="s">
        <v>185</v>
      </c>
    </row>
    <row r="572" spans="1:9" x14ac:dyDescent="0.15">
      <c r="A572" s="10">
        <v>571</v>
      </c>
      <c r="B572" s="11" t="s">
        <v>9</v>
      </c>
      <c r="C572" s="11" t="s">
        <v>253</v>
      </c>
      <c r="D572" s="11" t="s">
        <v>254</v>
      </c>
      <c r="E572" s="9" t="str">
        <f>+HYPERLINK("http://trademark.i-assist.jp/data/china/image_1903th/79060482.pdf", "79060482")</f>
        <v>79060482</v>
      </c>
      <c r="F572" s="11" t="s">
        <v>12</v>
      </c>
      <c r="G572" s="11" t="s">
        <v>1876</v>
      </c>
      <c r="H572" s="11" t="s">
        <v>1877</v>
      </c>
      <c r="I572" s="11" t="s">
        <v>185</v>
      </c>
    </row>
    <row r="573" spans="1:9" x14ac:dyDescent="0.15">
      <c r="A573" s="10">
        <v>572</v>
      </c>
      <c r="B573" s="11" t="s">
        <v>9</v>
      </c>
      <c r="C573" s="11" t="s">
        <v>253</v>
      </c>
      <c r="D573" s="11" t="s">
        <v>254</v>
      </c>
      <c r="E573" s="9" t="str">
        <f>+HYPERLINK("http://trademark.i-assist.jp/data/china/image_1903th/79060736.pdf", "79060736")</f>
        <v>79060736</v>
      </c>
      <c r="F573" s="11" t="s">
        <v>1878</v>
      </c>
      <c r="G573" s="11" t="s">
        <v>1879</v>
      </c>
      <c r="H573" s="11" t="s">
        <v>1880</v>
      </c>
      <c r="I573" s="11" t="s">
        <v>185</v>
      </c>
    </row>
    <row r="574" spans="1:9" x14ac:dyDescent="0.15">
      <c r="A574" s="10">
        <v>573</v>
      </c>
      <c r="B574" s="11" t="s">
        <v>9</v>
      </c>
      <c r="C574" s="11" t="s">
        <v>253</v>
      </c>
      <c r="D574" s="11" t="s">
        <v>254</v>
      </c>
      <c r="E574" s="9" t="str">
        <f>+HYPERLINK("http://trademark.i-assist.jp/data/china/image_1903th/79060756.pdf", "79060756")</f>
        <v>79060756</v>
      </c>
      <c r="F574" s="11" t="s">
        <v>1881</v>
      </c>
      <c r="G574" s="11" t="s">
        <v>1879</v>
      </c>
      <c r="H574" s="11" t="s">
        <v>1882</v>
      </c>
      <c r="I574" s="11" t="s">
        <v>185</v>
      </c>
    </row>
    <row r="575" spans="1:9" x14ac:dyDescent="0.15">
      <c r="A575" s="10">
        <v>574</v>
      </c>
      <c r="B575" s="11" t="s">
        <v>9</v>
      </c>
      <c r="C575" s="11" t="s">
        <v>253</v>
      </c>
      <c r="D575" s="11" t="s">
        <v>254</v>
      </c>
      <c r="E575" s="9" t="str">
        <f>+HYPERLINK("http://trademark.i-assist.jp/data/china/image_1903th/79060786.pdf", "79060786")</f>
        <v>79060786</v>
      </c>
      <c r="F575" s="11" t="s">
        <v>1883</v>
      </c>
      <c r="G575" s="11" t="s">
        <v>188</v>
      </c>
      <c r="H575" s="11" t="s">
        <v>1884</v>
      </c>
      <c r="I575" s="11" t="s">
        <v>185</v>
      </c>
    </row>
    <row r="576" spans="1:9" x14ac:dyDescent="0.15">
      <c r="A576" s="10">
        <v>575</v>
      </c>
      <c r="B576" s="11" t="s">
        <v>9</v>
      </c>
      <c r="C576" s="11" t="s">
        <v>253</v>
      </c>
      <c r="D576" s="11" t="s">
        <v>254</v>
      </c>
      <c r="E576" s="9" t="str">
        <f>+HYPERLINK("http://trademark.i-assist.jp/data/china/image_1903th/79061645.pdf", "79061645")</f>
        <v>79061645</v>
      </c>
      <c r="F576" s="11" t="s">
        <v>1885</v>
      </c>
      <c r="G576" s="11" t="s">
        <v>1886</v>
      </c>
      <c r="H576" s="11" t="s">
        <v>1887</v>
      </c>
      <c r="I576" s="11" t="s">
        <v>185</v>
      </c>
    </row>
    <row r="577" spans="1:9" x14ac:dyDescent="0.15">
      <c r="A577" s="10">
        <v>576</v>
      </c>
      <c r="B577" s="11" t="s">
        <v>9</v>
      </c>
      <c r="C577" s="11" t="s">
        <v>253</v>
      </c>
      <c r="D577" s="11" t="s">
        <v>254</v>
      </c>
      <c r="E577" s="9" t="str">
        <f>+HYPERLINK("http://trademark.i-assist.jp/data/china/image_1903th/79061869.pdf", "79061869")</f>
        <v>79061869</v>
      </c>
      <c r="F577" s="11" t="s">
        <v>1888</v>
      </c>
      <c r="G577" s="11" t="s">
        <v>1889</v>
      </c>
      <c r="H577" s="11" t="s">
        <v>1890</v>
      </c>
      <c r="I577" s="11" t="s">
        <v>185</v>
      </c>
    </row>
    <row r="578" spans="1:9" x14ac:dyDescent="0.15">
      <c r="A578" s="10">
        <v>577</v>
      </c>
      <c r="B578" s="11" t="s">
        <v>9</v>
      </c>
      <c r="C578" s="11" t="s">
        <v>253</v>
      </c>
      <c r="D578" s="11" t="s">
        <v>254</v>
      </c>
      <c r="E578" s="9" t="str">
        <f>+HYPERLINK("http://trademark.i-assist.jp/data/china/image_1903th/79062068.pdf", "79062068")</f>
        <v>79062068</v>
      </c>
      <c r="F578" s="11" t="s">
        <v>1891</v>
      </c>
      <c r="G578" s="11" t="s">
        <v>1819</v>
      </c>
      <c r="H578" s="11" t="s">
        <v>1892</v>
      </c>
      <c r="I578" s="11" t="s">
        <v>185</v>
      </c>
    </row>
    <row r="579" spans="1:9" x14ac:dyDescent="0.15">
      <c r="A579" s="10">
        <v>578</v>
      </c>
      <c r="B579" s="11" t="s">
        <v>9</v>
      </c>
      <c r="C579" s="11" t="s">
        <v>253</v>
      </c>
      <c r="D579" s="11" t="s">
        <v>254</v>
      </c>
      <c r="E579" s="9" t="str">
        <f>+HYPERLINK("http://trademark.i-assist.jp/data/china/image_1903th/79062770.pdf", "79062770")</f>
        <v>79062770</v>
      </c>
      <c r="F579" s="11" t="s">
        <v>1893</v>
      </c>
      <c r="G579" s="11" t="s">
        <v>1894</v>
      </c>
      <c r="H579" s="11" t="s">
        <v>1895</v>
      </c>
      <c r="I579" s="11" t="s">
        <v>185</v>
      </c>
    </row>
    <row r="580" spans="1:9" x14ac:dyDescent="0.15">
      <c r="A580" s="10">
        <v>579</v>
      </c>
      <c r="B580" s="11" t="s">
        <v>9</v>
      </c>
      <c r="C580" s="11" t="s">
        <v>253</v>
      </c>
      <c r="D580" s="11" t="s">
        <v>254</v>
      </c>
      <c r="E580" s="9" t="str">
        <f>+HYPERLINK("http://trademark.i-assist.jp/data/china/image_1903th/79062775.pdf", "79062775")</f>
        <v>79062775</v>
      </c>
      <c r="F580" s="11" t="s">
        <v>1896</v>
      </c>
      <c r="G580" s="11" t="s">
        <v>191</v>
      </c>
      <c r="H580" s="11" t="s">
        <v>1897</v>
      </c>
      <c r="I580" s="11" t="s">
        <v>185</v>
      </c>
    </row>
    <row r="581" spans="1:9" x14ac:dyDescent="0.15">
      <c r="A581" s="10">
        <v>580</v>
      </c>
      <c r="B581" s="11" t="s">
        <v>9</v>
      </c>
      <c r="C581" s="11" t="s">
        <v>253</v>
      </c>
      <c r="D581" s="11" t="s">
        <v>254</v>
      </c>
      <c r="E581" s="9" t="str">
        <f>+HYPERLINK("http://trademark.i-assist.jp/data/china/image_1903th/79063499.pdf", "79063499")</f>
        <v>79063499</v>
      </c>
      <c r="F581" s="11" t="s">
        <v>1898</v>
      </c>
      <c r="G581" s="11" t="s">
        <v>199</v>
      </c>
      <c r="H581" s="11" t="s">
        <v>1899</v>
      </c>
      <c r="I581" s="11" t="s">
        <v>185</v>
      </c>
    </row>
    <row r="582" spans="1:9" x14ac:dyDescent="0.15">
      <c r="A582" s="10">
        <v>581</v>
      </c>
      <c r="B582" s="11" t="s">
        <v>9</v>
      </c>
      <c r="C582" s="11" t="s">
        <v>253</v>
      </c>
      <c r="D582" s="11" t="s">
        <v>254</v>
      </c>
      <c r="E582" s="9" t="str">
        <f>+HYPERLINK("http://trademark.i-assist.jp/data/china/image_1903th/79064236.pdf", "79064236")</f>
        <v>79064236</v>
      </c>
      <c r="F582" s="11" t="s">
        <v>1900</v>
      </c>
      <c r="G582" s="11" t="s">
        <v>1901</v>
      </c>
      <c r="H582" s="11" t="s">
        <v>1902</v>
      </c>
      <c r="I582" s="11" t="s">
        <v>196</v>
      </c>
    </row>
    <row r="583" spans="1:9" x14ac:dyDescent="0.15">
      <c r="A583" s="10">
        <v>582</v>
      </c>
      <c r="B583" s="11" t="s">
        <v>9</v>
      </c>
      <c r="C583" s="11" t="s">
        <v>253</v>
      </c>
      <c r="D583" s="11" t="s">
        <v>254</v>
      </c>
      <c r="E583" s="9" t="str">
        <f>+HYPERLINK("http://trademark.i-assist.jp/data/china/image_1903th/79064506.pdf", "79064506")</f>
        <v>79064506</v>
      </c>
      <c r="F583" s="11" t="s">
        <v>1903</v>
      </c>
      <c r="G583" s="11" t="s">
        <v>1904</v>
      </c>
      <c r="H583" s="11" t="s">
        <v>1905</v>
      </c>
      <c r="I583" s="11" t="s">
        <v>196</v>
      </c>
    </row>
    <row r="584" spans="1:9" x14ac:dyDescent="0.15">
      <c r="A584" s="10">
        <v>583</v>
      </c>
      <c r="B584" s="11" t="s">
        <v>9</v>
      </c>
      <c r="C584" s="11" t="s">
        <v>253</v>
      </c>
      <c r="D584" s="11" t="s">
        <v>254</v>
      </c>
      <c r="E584" s="9" t="str">
        <f>+HYPERLINK("http://trademark.i-assist.jp/data/china/image_1903th/79065951.pdf", "79065951")</f>
        <v>79065951</v>
      </c>
      <c r="F584" s="11" t="s">
        <v>1906</v>
      </c>
      <c r="G584" s="11" t="s">
        <v>1907</v>
      </c>
      <c r="H584" s="11" t="s">
        <v>1908</v>
      </c>
      <c r="I584" s="11" t="s">
        <v>196</v>
      </c>
    </row>
    <row r="585" spans="1:9" x14ac:dyDescent="0.15">
      <c r="A585" s="10">
        <v>584</v>
      </c>
      <c r="B585" s="11" t="s">
        <v>9</v>
      </c>
      <c r="C585" s="11" t="s">
        <v>253</v>
      </c>
      <c r="D585" s="11" t="s">
        <v>254</v>
      </c>
      <c r="E585" s="9" t="str">
        <f>+HYPERLINK("http://trademark.i-assist.jp/data/china/image_1903th/79066904.pdf", "79066904")</f>
        <v>79066904</v>
      </c>
      <c r="F585" s="11" t="s">
        <v>1909</v>
      </c>
      <c r="G585" s="11" t="s">
        <v>1910</v>
      </c>
      <c r="H585" s="11" t="s">
        <v>1911</v>
      </c>
      <c r="I585" s="11" t="s">
        <v>196</v>
      </c>
    </row>
    <row r="586" spans="1:9" x14ac:dyDescent="0.15">
      <c r="A586" s="10">
        <v>585</v>
      </c>
      <c r="B586" s="11" t="s">
        <v>9</v>
      </c>
      <c r="C586" s="11" t="s">
        <v>253</v>
      </c>
      <c r="D586" s="11" t="s">
        <v>254</v>
      </c>
      <c r="E586" s="9" t="str">
        <f>+HYPERLINK("http://trademark.i-assist.jp/data/china/image_1903th/79068105.pdf", "79068105")</f>
        <v>79068105</v>
      </c>
      <c r="F586" s="11" t="s">
        <v>1912</v>
      </c>
      <c r="G586" s="11" t="s">
        <v>1913</v>
      </c>
      <c r="H586" s="11" t="s">
        <v>1914</v>
      </c>
      <c r="I586" s="11" t="s">
        <v>196</v>
      </c>
    </row>
    <row r="587" spans="1:9" x14ac:dyDescent="0.15">
      <c r="A587" s="10">
        <v>586</v>
      </c>
      <c r="B587" s="11" t="s">
        <v>9</v>
      </c>
      <c r="C587" s="11" t="s">
        <v>253</v>
      </c>
      <c r="D587" s="11" t="s">
        <v>254</v>
      </c>
      <c r="E587" s="9" t="str">
        <f>+HYPERLINK("http://trademark.i-assist.jp/data/china/image_1903th/79070337.pdf", "79070337")</f>
        <v>79070337</v>
      </c>
      <c r="F587" s="11" t="s">
        <v>1915</v>
      </c>
      <c r="G587" s="11" t="s">
        <v>132</v>
      </c>
      <c r="H587" s="11" t="s">
        <v>1916</v>
      </c>
      <c r="I587" s="11" t="s">
        <v>196</v>
      </c>
    </row>
    <row r="588" spans="1:9" x14ac:dyDescent="0.15">
      <c r="A588" s="10">
        <v>587</v>
      </c>
      <c r="B588" s="11" t="s">
        <v>9</v>
      </c>
      <c r="C588" s="11" t="s">
        <v>253</v>
      </c>
      <c r="D588" s="11" t="s">
        <v>254</v>
      </c>
      <c r="E588" s="9" t="str">
        <f>+HYPERLINK("http://trademark.i-assist.jp/data/china/image_1903th/79070669.pdf", "79070669")</f>
        <v>79070669</v>
      </c>
      <c r="F588" s="11" t="s">
        <v>1917</v>
      </c>
      <c r="G588" s="11" t="s">
        <v>1918</v>
      </c>
      <c r="H588" s="11" t="s">
        <v>1919</v>
      </c>
      <c r="I588" s="11" t="s">
        <v>196</v>
      </c>
    </row>
    <row r="589" spans="1:9" x14ac:dyDescent="0.15">
      <c r="A589" s="10">
        <v>588</v>
      </c>
      <c r="B589" s="11" t="s">
        <v>9</v>
      </c>
      <c r="C589" s="11" t="s">
        <v>253</v>
      </c>
      <c r="D589" s="11" t="s">
        <v>254</v>
      </c>
      <c r="E589" s="9" t="str">
        <f>+HYPERLINK("http://trademark.i-assist.jp/data/china/image_1903th/79072324.pdf", "79072324")</f>
        <v>79072324</v>
      </c>
      <c r="F589" s="11" t="s">
        <v>1920</v>
      </c>
      <c r="G589" s="11" t="s">
        <v>1921</v>
      </c>
      <c r="H589" s="11" t="s">
        <v>1922</v>
      </c>
      <c r="I589" s="11" t="s">
        <v>196</v>
      </c>
    </row>
    <row r="590" spans="1:9" x14ac:dyDescent="0.15">
      <c r="A590" s="10">
        <v>589</v>
      </c>
      <c r="B590" s="11" t="s">
        <v>9</v>
      </c>
      <c r="C590" s="11" t="s">
        <v>253</v>
      </c>
      <c r="D590" s="11" t="s">
        <v>254</v>
      </c>
      <c r="E590" s="9" t="str">
        <f>+HYPERLINK("http://trademark.i-assist.jp/data/china/image_1903th/79073051.pdf", "79073051")</f>
        <v>79073051</v>
      </c>
      <c r="F590" s="11" t="s">
        <v>1923</v>
      </c>
      <c r="G590" s="11" t="s">
        <v>1924</v>
      </c>
      <c r="H590" s="11" t="s">
        <v>1925</v>
      </c>
      <c r="I590" s="11" t="s">
        <v>196</v>
      </c>
    </row>
    <row r="591" spans="1:9" x14ac:dyDescent="0.15">
      <c r="A591" s="10">
        <v>590</v>
      </c>
      <c r="B591" s="11" t="s">
        <v>9</v>
      </c>
      <c r="C591" s="11" t="s">
        <v>253</v>
      </c>
      <c r="D591" s="11" t="s">
        <v>254</v>
      </c>
      <c r="E591" s="9" t="str">
        <f>+HYPERLINK("http://trademark.i-assist.jp/data/china/image_1903th/79073159.pdf", "79073159")</f>
        <v>79073159</v>
      </c>
      <c r="F591" s="11" t="s">
        <v>1926</v>
      </c>
      <c r="G591" s="11" t="s">
        <v>1927</v>
      </c>
      <c r="H591" s="11" t="s">
        <v>1928</v>
      </c>
      <c r="I591" s="11" t="s">
        <v>196</v>
      </c>
    </row>
    <row r="592" spans="1:9" x14ac:dyDescent="0.15">
      <c r="A592" s="10">
        <v>591</v>
      </c>
      <c r="B592" s="11" t="s">
        <v>9</v>
      </c>
      <c r="C592" s="11" t="s">
        <v>253</v>
      </c>
      <c r="D592" s="11" t="s">
        <v>254</v>
      </c>
      <c r="E592" s="9" t="str">
        <f>+HYPERLINK("http://trademark.i-assist.jp/data/china/image_1903th/79073345.pdf", "79073345")</f>
        <v>79073345</v>
      </c>
      <c r="F592" s="11" t="s">
        <v>1929</v>
      </c>
      <c r="G592" s="11" t="s">
        <v>1930</v>
      </c>
      <c r="H592" s="11" t="s">
        <v>1931</v>
      </c>
      <c r="I592" s="11" t="s">
        <v>196</v>
      </c>
    </row>
    <row r="593" spans="1:9" x14ac:dyDescent="0.15">
      <c r="A593" s="10">
        <v>592</v>
      </c>
      <c r="B593" s="11" t="s">
        <v>9</v>
      </c>
      <c r="C593" s="11" t="s">
        <v>253</v>
      </c>
      <c r="D593" s="11" t="s">
        <v>254</v>
      </c>
      <c r="E593" s="9" t="str">
        <f>+HYPERLINK("http://trademark.i-assist.jp/data/china/image_1903th/79073638.pdf", "79073638")</f>
        <v>79073638</v>
      </c>
      <c r="F593" s="11" t="s">
        <v>1932</v>
      </c>
      <c r="G593" s="11" t="s">
        <v>1933</v>
      </c>
      <c r="H593" s="11" t="s">
        <v>1934</v>
      </c>
      <c r="I593" s="11" t="s">
        <v>196</v>
      </c>
    </row>
    <row r="594" spans="1:9" x14ac:dyDescent="0.15">
      <c r="A594" s="10">
        <v>593</v>
      </c>
      <c r="B594" s="11" t="s">
        <v>9</v>
      </c>
      <c r="C594" s="11" t="s">
        <v>253</v>
      </c>
      <c r="D594" s="11" t="s">
        <v>254</v>
      </c>
      <c r="E594" s="9" t="str">
        <f>+HYPERLINK("http://trademark.i-assist.jp/data/china/image_1903th/79074231.pdf", "79074231")</f>
        <v>79074231</v>
      </c>
      <c r="F594" s="11" t="s">
        <v>1935</v>
      </c>
      <c r="G594" s="11" t="s">
        <v>1936</v>
      </c>
      <c r="H594" s="11" t="s">
        <v>1937</v>
      </c>
      <c r="I594" s="11" t="s">
        <v>196</v>
      </c>
    </row>
    <row r="595" spans="1:9" x14ac:dyDescent="0.15">
      <c r="A595" s="10">
        <v>594</v>
      </c>
      <c r="B595" s="11" t="s">
        <v>9</v>
      </c>
      <c r="C595" s="11" t="s">
        <v>253</v>
      </c>
      <c r="D595" s="11" t="s">
        <v>254</v>
      </c>
      <c r="E595" s="9" t="str">
        <f>+HYPERLINK("http://trademark.i-assist.jp/data/china/image_1903th/79074406.pdf", "79074406")</f>
        <v>79074406</v>
      </c>
      <c r="F595" s="11" t="s">
        <v>1938</v>
      </c>
      <c r="G595" s="11" t="s">
        <v>1939</v>
      </c>
      <c r="H595" s="11" t="s">
        <v>1940</v>
      </c>
      <c r="I595" s="11" t="s">
        <v>196</v>
      </c>
    </row>
    <row r="596" spans="1:9" x14ac:dyDescent="0.15">
      <c r="A596" s="10">
        <v>595</v>
      </c>
      <c r="B596" s="11" t="s">
        <v>9</v>
      </c>
      <c r="C596" s="11" t="s">
        <v>253</v>
      </c>
      <c r="D596" s="11" t="s">
        <v>254</v>
      </c>
      <c r="E596" s="9" t="str">
        <f>+HYPERLINK("http://trademark.i-assist.jp/data/china/image_1903th/79074419.pdf", "79074419")</f>
        <v>79074419</v>
      </c>
      <c r="F596" s="11" t="s">
        <v>1941</v>
      </c>
      <c r="G596" s="11" t="s">
        <v>1939</v>
      </c>
      <c r="H596" s="11" t="s">
        <v>1942</v>
      </c>
      <c r="I596" s="11" t="s">
        <v>196</v>
      </c>
    </row>
    <row r="597" spans="1:9" x14ac:dyDescent="0.15">
      <c r="A597" s="10">
        <v>596</v>
      </c>
      <c r="B597" s="11" t="s">
        <v>9</v>
      </c>
      <c r="C597" s="11" t="s">
        <v>253</v>
      </c>
      <c r="D597" s="11" t="s">
        <v>254</v>
      </c>
      <c r="E597" s="9" t="str">
        <f>+HYPERLINK("http://trademark.i-assist.jp/data/china/image_1903th/79074806.pdf", "79074806")</f>
        <v>79074806</v>
      </c>
      <c r="F597" s="11" t="s">
        <v>1943</v>
      </c>
      <c r="G597" s="11" t="s">
        <v>1944</v>
      </c>
      <c r="H597" s="11" t="s">
        <v>1945</v>
      </c>
      <c r="I597" s="11" t="s">
        <v>196</v>
      </c>
    </row>
    <row r="598" spans="1:9" x14ac:dyDescent="0.15">
      <c r="A598" s="10">
        <v>597</v>
      </c>
      <c r="B598" s="11" t="s">
        <v>9</v>
      </c>
      <c r="C598" s="11" t="s">
        <v>253</v>
      </c>
      <c r="D598" s="11" t="s">
        <v>254</v>
      </c>
      <c r="E598" s="9" t="str">
        <f>+HYPERLINK("http://trademark.i-assist.jp/data/china/image_1903th/79074991.pdf", "79074991")</f>
        <v>79074991</v>
      </c>
      <c r="F598" s="11" t="s">
        <v>1946</v>
      </c>
      <c r="G598" s="11" t="s">
        <v>1947</v>
      </c>
      <c r="H598" s="11" t="s">
        <v>1948</v>
      </c>
      <c r="I598" s="11" t="s">
        <v>196</v>
      </c>
    </row>
    <row r="599" spans="1:9" x14ac:dyDescent="0.15">
      <c r="A599" s="10">
        <v>598</v>
      </c>
      <c r="B599" s="11" t="s">
        <v>9</v>
      </c>
      <c r="C599" s="11" t="s">
        <v>253</v>
      </c>
      <c r="D599" s="11" t="s">
        <v>254</v>
      </c>
      <c r="E599" s="9" t="str">
        <f>+HYPERLINK("http://trademark.i-assist.jp/data/china/image_1903th/79075006.pdf", "79075006")</f>
        <v>79075006</v>
      </c>
      <c r="F599" s="11" t="s">
        <v>1949</v>
      </c>
      <c r="G599" s="11" t="s">
        <v>1950</v>
      </c>
      <c r="H599" s="11" t="s">
        <v>1951</v>
      </c>
      <c r="I599" s="11" t="s">
        <v>196</v>
      </c>
    </row>
    <row r="600" spans="1:9" x14ac:dyDescent="0.15">
      <c r="A600" s="10">
        <v>599</v>
      </c>
      <c r="B600" s="11" t="s">
        <v>9</v>
      </c>
      <c r="C600" s="11" t="s">
        <v>253</v>
      </c>
      <c r="D600" s="11" t="s">
        <v>254</v>
      </c>
      <c r="E600" s="9" t="str">
        <f>+HYPERLINK("http://trademark.i-assist.jp/data/china/image_1903th/79076471.pdf", "79076471")</f>
        <v>79076471</v>
      </c>
      <c r="F600" s="11" t="s">
        <v>12</v>
      </c>
      <c r="G600" s="11" t="s">
        <v>1952</v>
      </c>
      <c r="H600" s="11" t="s">
        <v>1953</v>
      </c>
      <c r="I600" s="11" t="s">
        <v>196</v>
      </c>
    </row>
    <row r="601" spans="1:9" x14ac:dyDescent="0.15">
      <c r="A601" s="10">
        <v>600</v>
      </c>
      <c r="B601" s="11" t="s">
        <v>9</v>
      </c>
      <c r="C601" s="11" t="s">
        <v>253</v>
      </c>
      <c r="D601" s="11" t="s">
        <v>254</v>
      </c>
      <c r="E601" s="9" t="str">
        <f>+HYPERLINK("http://trademark.i-assist.jp/data/china/image_1903th/79077351.pdf", "79077351")</f>
        <v>79077351</v>
      </c>
      <c r="F601" s="11" t="s">
        <v>1954</v>
      </c>
      <c r="G601" s="11" t="s">
        <v>1585</v>
      </c>
      <c r="H601" s="11" t="s">
        <v>1955</v>
      </c>
      <c r="I601" s="11" t="s">
        <v>196</v>
      </c>
    </row>
    <row r="602" spans="1:9" x14ac:dyDescent="0.15">
      <c r="A602" s="10">
        <v>601</v>
      </c>
      <c r="B602" s="11" t="s">
        <v>9</v>
      </c>
      <c r="C602" s="11" t="s">
        <v>253</v>
      </c>
      <c r="D602" s="11" t="s">
        <v>254</v>
      </c>
      <c r="E602" s="9" t="str">
        <f>+HYPERLINK("http://trademark.i-assist.jp/data/china/image_1903th/79077664.pdf", "79077664")</f>
        <v>79077664</v>
      </c>
      <c r="F602" s="11" t="s">
        <v>1956</v>
      </c>
      <c r="G602" s="11" t="s">
        <v>1957</v>
      </c>
      <c r="H602" s="11" t="s">
        <v>1958</v>
      </c>
      <c r="I602" s="11" t="s">
        <v>196</v>
      </c>
    </row>
    <row r="603" spans="1:9" x14ac:dyDescent="0.15">
      <c r="A603" s="10">
        <v>602</v>
      </c>
      <c r="B603" s="11" t="s">
        <v>9</v>
      </c>
      <c r="C603" s="11" t="s">
        <v>253</v>
      </c>
      <c r="D603" s="11" t="s">
        <v>254</v>
      </c>
      <c r="E603" s="9" t="str">
        <f>+HYPERLINK("http://trademark.i-assist.jp/data/china/image_1903th/79077757.pdf", "79077757")</f>
        <v>79077757</v>
      </c>
      <c r="F603" s="11" t="s">
        <v>1959</v>
      </c>
      <c r="G603" s="11" t="s">
        <v>1960</v>
      </c>
      <c r="H603" s="11" t="s">
        <v>1961</v>
      </c>
      <c r="I603" s="11" t="s">
        <v>196</v>
      </c>
    </row>
    <row r="604" spans="1:9" x14ac:dyDescent="0.15">
      <c r="A604" s="10">
        <v>603</v>
      </c>
      <c r="B604" s="11" t="s">
        <v>9</v>
      </c>
      <c r="C604" s="11" t="s">
        <v>253</v>
      </c>
      <c r="D604" s="11" t="s">
        <v>254</v>
      </c>
      <c r="E604" s="9" t="str">
        <f>+HYPERLINK("http://trademark.i-assist.jp/data/china/image_1903th/79077935.pdf", "79077935")</f>
        <v>79077935</v>
      </c>
      <c r="F604" s="11" t="s">
        <v>1962</v>
      </c>
      <c r="G604" s="11" t="s">
        <v>132</v>
      </c>
      <c r="H604" s="11" t="s">
        <v>1963</v>
      </c>
      <c r="I604" s="11" t="s">
        <v>196</v>
      </c>
    </row>
    <row r="605" spans="1:9" x14ac:dyDescent="0.15">
      <c r="A605" s="10">
        <v>604</v>
      </c>
      <c r="B605" s="11" t="s">
        <v>9</v>
      </c>
      <c r="C605" s="11" t="s">
        <v>253</v>
      </c>
      <c r="D605" s="11" t="s">
        <v>254</v>
      </c>
      <c r="E605" s="9" t="str">
        <f>+HYPERLINK("http://trademark.i-assist.jp/data/china/image_1903th/79077979.pdf", "79077979")</f>
        <v>79077979</v>
      </c>
      <c r="F605" s="11" t="s">
        <v>1964</v>
      </c>
      <c r="G605" s="11" t="s">
        <v>1965</v>
      </c>
      <c r="H605" s="11" t="s">
        <v>1966</v>
      </c>
      <c r="I605" s="11" t="s">
        <v>196</v>
      </c>
    </row>
    <row r="606" spans="1:9" x14ac:dyDescent="0.15">
      <c r="A606" s="10">
        <v>605</v>
      </c>
      <c r="B606" s="11" t="s">
        <v>9</v>
      </c>
      <c r="C606" s="11" t="s">
        <v>253</v>
      </c>
      <c r="D606" s="11" t="s">
        <v>254</v>
      </c>
      <c r="E606" s="9" t="str">
        <f>+HYPERLINK("http://trademark.i-assist.jp/data/china/image_1903th/79078093.pdf", "79078093")</f>
        <v>79078093</v>
      </c>
      <c r="F606" s="11" t="s">
        <v>1967</v>
      </c>
      <c r="G606" s="11" t="s">
        <v>1968</v>
      </c>
      <c r="H606" s="11" t="s">
        <v>1969</v>
      </c>
      <c r="I606" s="11" t="s">
        <v>196</v>
      </c>
    </row>
    <row r="607" spans="1:9" x14ac:dyDescent="0.15">
      <c r="A607" s="10">
        <v>606</v>
      </c>
      <c r="B607" s="11" t="s">
        <v>9</v>
      </c>
      <c r="C607" s="11" t="s">
        <v>253</v>
      </c>
      <c r="D607" s="11" t="s">
        <v>254</v>
      </c>
      <c r="E607" s="9" t="str">
        <f>+HYPERLINK("http://trademark.i-assist.jp/data/china/image_1903th/79078326.pdf", "79078326")</f>
        <v>79078326</v>
      </c>
      <c r="F607" s="11" t="s">
        <v>12</v>
      </c>
      <c r="G607" s="11" t="s">
        <v>1970</v>
      </c>
      <c r="H607" s="11" t="s">
        <v>1971</v>
      </c>
      <c r="I607" s="11" t="s">
        <v>196</v>
      </c>
    </row>
    <row r="608" spans="1:9" x14ac:dyDescent="0.15">
      <c r="A608" s="10">
        <v>607</v>
      </c>
      <c r="B608" s="11" t="s">
        <v>9</v>
      </c>
      <c r="C608" s="11" t="s">
        <v>253</v>
      </c>
      <c r="D608" s="11" t="s">
        <v>254</v>
      </c>
      <c r="E608" s="9" t="str">
        <f>+HYPERLINK("http://trademark.i-assist.jp/data/china/image_1903th/79079226.pdf", "79079226")</f>
        <v>79079226</v>
      </c>
      <c r="F608" s="11" t="s">
        <v>1972</v>
      </c>
      <c r="G608" s="11" t="s">
        <v>1464</v>
      </c>
      <c r="H608" s="11" t="s">
        <v>1973</v>
      </c>
      <c r="I608" s="11" t="s">
        <v>196</v>
      </c>
    </row>
    <row r="609" spans="1:9" x14ac:dyDescent="0.15">
      <c r="A609" s="10">
        <v>608</v>
      </c>
      <c r="B609" s="11" t="s">
        <v>9</v>
      </c>
      <c r="C609" s="11" t="s">
        <v>253</v>
      </c>
      <c r="D609" s="11" t="s">
        <v>254</v>
      </c>
      <c r="E609" s="9" t="str">
        <f>+HYPERLINK("http://trademark.i-assist.jp/data/china/image_1903th/79079668.pdf", "79079668")</f>
        <v>79079668</v>
      </c>
      <c r="F609" s="11" t="s">
        <v>1974</v>
      </c>
      <c r="G609" s="11" t="s">
        <v>198</v>
      </c>
      <c r="H609" s="11" t="s">
        <v>1975</v>
      </c>
      <c r="I609" s="11" t="s">
        <v>196</v>
      </c>
    </row>
    <row r="610" spans="1:9" x14ac:dyDescent="0.15">
      <c r="A610" s="10">
        <v>609</v>
      </c>
      <c r="B610" s="11" t="s">
        <v>9</v>
      </c>
      <c r="C610" s="11" t="s">
        <v>253</v>
      </c>
      <c r="D610" s="11" t="s">
        <v>254</v>
      </c>
      <c r="E610" s="9" t="str">
        <f>+HYPERLINK("http://trademark.i-assist.jp/data/china/image_1903th/79079747.pdf", "79079747")</f>
        <v>79079747</v>
      </c>
      <c r="F610" s="11" t="s">
        <v>1976</v>
      </c>
      <c r="G610" s="11" t="s">
        <v>1977</v>
      </c>
      <c r="H610" s="11" t="s">
        <v>1978</v>
      </c>
      <c r="I610" s="11" t="s">
        <v>196</v>
      </c>
    </row>
    <row r="611" spans="1:9" x14ac:dyDescent="0.15">
      <c r="A611" s="10">
        <v>610</v>
      </c>
      <c r="B611" s="11" t="s">
        <v>9</v>
      </c>
      <c r="C611" s="11" t="s">
        <v>253</v>
      </c>
      <c r="D611" s="11" t="s">
        <v>254</v>
      </c>
      <c r="E611" s="9" t="str">
        <f>+HYPERLINK("http://trademark.i-assist.jp/data/china/image_1903th/79080503.pdf", "79080503")</f>
        <v>79080503</v>
      </c>
      <c r="F611" s="11" t="s">
        <v>1979</v>
      </c>
      <c r="G611" s="11" t="s">
        <v>1980</v>
      </c>
      <c r="H611" s="11" t="s">
        <v>1981</v>
      </c>
      <c r="I611" s="11" t="s">
        <v>196</v>
      </c>
    </row>
    <row r="612" spans="1:9" x14ac:dyDescent="0.15">
      <c r="A612" s="10">
        <v>611</v>
      </c>
      <c r="B612" s="11" t="s">
        <v>9</v>
      </c>
      <c r="C612" s="11" t="s">
        <v>253</v>
      </c>
      <c r="D612" s="11" t="s">
        <v>254</v>
      </c>
      <c r="E612" s="9" t="str">
        <f>+HYPERLINK("http://trademark.i-assist.jp/data/china/image_1903th/79080845.pdf", "79080845")</f>
        <v>79080845</v>
      </c>
      <c r="F612" s="11" t="s">
        <v>1982</v>
      </c>
      <c r="G612" s="11" t="s">
        <v>1983</v>
      </c>
      <c r="H612" s="11" t="s">
        <v>1984</v>
      </c>
      <c r="I612" s="11" t="s">
        <v>196</v>
      </c>
    </row>
    <row r="613" spans="1:9" x14ac:dyDescent="0.15">
      <c r="A613" s="10">
        <v>612</v>
      </c>
      <c r="B613" s="11" t="s">
        <v>9</v>
      </c>
      <c r="C613" s="11" t="s">
        <v>253</v>
      </c>
      <c r="D613" s="11" t="s">
        <v>254</v>
      </c>
      <c r="E613" s="9" t="str">
        <f>+HYPERLINK("http://trademark.i-assist.jp/data/china/image_1903th/79081623.pdf", "79081623")</f>
        <v>79081623</v>
      </c>
      <c r="F613" s="11" t="s">
        <v>1985</v>
      </c>
      <c r="G613" s="11" t="s">
        <v>1986</v>
      </c>
      <c r="H613" s="11" t="s">
        <v>1987</v>
      </c>
      <c r="I613" s="11" t="s">
        <v>196</v>
      </c>
    </row>
    <row r="614" spans="1:9" x14ac:dyDescent="0.15">
      <c r="A614" s="10">
        <v>613</v>
      </c>
      <c r="B614" s="11" t="s">
        <v>9</v>
      </c>
      <c r="C614" s="11" t="s">
        <v>253</v>
      </c>
      <c r="D614" s="11" t="s">
        <v>254</v>
      </c>
      <c r="E614" s="9" t="str">
        <f>+HYPERLINK("http://trademark.i-assist.jp/data/china/image_1903th/79082199.pdf", "79082199")</f>
        <v>79082199</v>
      </c>
      <c r="F614" s="11" t="s">
        <v>1988</v>
      </c>
      <c r="G614" s="11" t="s">
        <v>1989</v>
      </c>
      <c r="H614" s="11" t="s">
        <v>1990</v>
      </c>
      <c r="I614" s="11" t="s">
        <v>196</v>
      </c>
    </row>
    <row r="615" spans="1:9" x14ac:dyDescent="0.15">
      <c r="A615" s="10">
        <v>614</v>
      </c>
      <c r="B615" s="11" t="s">
        <v>9</v>
      </c>
      <c r="C615" s="11" t="s">
        <v>253</v>
      </c>
      <c r="D615" s="11" t="s">
        <v>254</v>
      </c>
      <c r="E615" s="9" t="str">
        <f>+HYPERLINK("http://trademark.i-assist.jp/data/china/image_1903th/79082787.pdf", "79082787")</f>
        <v>79082787</v>
      </c>
      <c r="F615" s="11" t="s">
        <v>1991</v>
      </c>
      <c r="G615" s="11" t="s">
        <v>1992</v>
      </c>
      <c r="H615" s="11" t="s">
        <v>1993</v>
      </c>
      <c r="I615" s="11" t="s">
        <v>196</v>
      </c>
    </row>
    <row r="616" spans="1:9" x14ac:dyDescent="0.15">
      <c r="A616" s="10">
        <v>615</v>
      </c>
      <c r="B616" s="11" t="s">
        <v>9</v>
      </c>
      <c r="C616" s="11" t="s">
        <v>253</v>
      </c>
      <c r="D616" s="11" t="s">
        <v>254</v>
      </c>
      <c r="E616" s="9" t="str">
        <f>+HYPERLINK("http://trademark.i-assist.jp/data/china/image_1903th/79083126.pdf", "79083126")</f>
        <v>79083126</v>
      </c>
      <c r="F616" s="11" t="s">
        <v>1994</v>
      </c>
      <c r="G616" s="11" t="s">
        <v>1995</v>
      </c>
      <c r="H616" s="11" t="s">
        <v>1996</v>
      </c>
      <c r="I616" s="11" t="s">
        <v>196</v>
      </c>
    </row>
    <row r="617" spans="1:9" x14ac:dyDescent="0.15">
      <c r="A617" s="10">
        <v>616</v>
      </c>
      <c r="B617" s="11" t="s">
        <v>9</v>
      </c>
      <c r="C617" s="11" t="s">
        <v>253</v>
      </c>
      <c r="D617" s="11" t="s">
        <v>254</v>
      </c>
      <c r="E617" s="9" t="str">
        <f>+HYPERLINK("http://trademark.i-assist.jp/data/china/image_1903th/79083620.pdf", "79083620")</f>
        <v>79083620</v>
      </c>
      <c r="F617" s="11" t="s">
        <v>1997</v>
      </c>
      <c r="G617" s="11" t="s">
        <v>1998</v>
      </c>
      <c r="H617" s="11" t="s">
        <v>1999</v>
      </c>
      <c r="I617" s="11" t="s">
        <v>196</v>
      </c>
    </row>
    <row r="618" spans="1:9" x14ac:dyDescent="0.15">
      <c r="A618" s="10">
        <v>617</v>
      </c>
      <c r="B618" s="11" t="s">
        <v>9</v>
      </c>
      <c r="C618" s="11" t="s">
        <v>253</v>
      </c>
      <c r="D618" s="11" t="s">
        <v>254</v>
      </c>
      <c r="E618" s="9" t="str">
        <f>+HYPERLINK("http://trademark.i-assist.jp/data/china/image_1903th/79083731.pdf", "79083731")</f>
        <v>79083731</v>
      </c>
      <c r="F618" s="11" t="s">
        <v>2000</v>
      </c>
      <c r="G618" s="11" t="s">
        <v>2001</v>
      </c>
      <c r="H618" s="11" t="s">
        <v>2002</v>
      </c>
      <c r="I618" s="11" t="s">
        <v>196</v>
      </c>
    </row>
    <row r="619" spans="1:9" x14ac:dyDescent="0.15">
      <c r="A619" s="10">
        <v>618</v>
      </c>
      <c r="B619" s="11" t="s">
        <v>9</v>
      </c>
      <c r="C619" s="11" t="s">
        <v>253</v>
      </c>
      <c r="D619" s="11" t="s">
        <v>254</v>
      </c>
      <c r="E619" s="9" t="str">
        <f>+HYPERLINK("http://trademark.i-assist.jp/data/china/image_1903th/79084276.pdf", "79084276")</f>
        <v>79084276</v>
      </c>
      <c r="F619" s="11" t="s">
        <v>2003</v>
      </c>
      <c r="G619" s="11" t="s">
        <v>2004</v>
      </c>
      <c r="H619" s="11" t="s">
        <v>2005</v>
      </c>
      <c r="I619" s="11" t="s">
        <v>196</v>
      </c>
    </row>
    <row r="620" spans="1:9" x14ac:dyDescent="0.15">
      <c r="A620" s="10">
        <v>619</v>
      </c>
      <c r="B620" s="11" t="s">
        <v>9</v>
      </c>
      <c r="C620" s="11" t="s">
        <v>253</v>
      </c>
      <c r="D620" s="11" t="s">
        <v>254</v>
      </c>
      <c r="E620" s="9" t="str">
        <f>+HYPERLINK("http://trademark.i-assist.jp/data/china/image_1903th/79084410.pdf", "79084410")</f>
        <v>79084410</v>
      </c>
      <c r="F620" s="11" t="s">
        <v>12</v>
      </c>
      <c r="G620" s="11" t="s">
        <v>200</v>
      </c>
      <c r="H620" s="11" t="s">
        <v>2006</v>
      </c>
      <c r="I620" s="11" t="s">
        <v>196</v>
      </c>
    </row>
    <row r="621" spans="1:9" x14ac:dyDescent="0.15">
      <c r="A621" s="10">
        <v>620</v>
      </c>
      <c r="B621" s="11" t="s">
        <v>9</v>
      </c>
      <c r="C621" s="11" t="s">
        <v>253</v>
      </c>
      <c r="D621" s="11" t="s">
        <v>254</v>
      </c>
      <c r="E621" s="9" t="str">
        <f>+HYPERLINK("http://trademark.i-assist.jp/data/china/image_1903th/79084677.pdf", "79084677")</f>
        <v>79084677</v>
      </c>
      <c r="F621" s="11" t="s">
        <v>2007</v>
      </c>
      <c r="G621" s="11" t="s">
        <v>2008</v>
      </c>
      <c r="H621" s="11" t="s">
        <v>2009</v>
      </c>
      <c r="I621" s="11" t="s">
        <v>196</v>
      </c>
    </row>
    <row r="622" spans="1:9" x14ac:dyDescent="0.15">
      <c r="A622" s="10">
        <v>621</v>
      </c>
      <c r="B622" s="11" t="s">
        <v>9</v>
      </c>
      <c r="C622" s="11" t="s">
        <v>253</v>
      </c>
      <c r="D622" s="11" t="s">
        <v>254</v>
      </c>
      <c r="E622" s="9" t="str">
        <f>+HYPERLINK("http://trademark.i-assist.jp/data/china/image_1903th/79085063.pdf", "79085063")</f>
        <v>79085063</v>
      </c>
      <c r="F622" s="11" t="s">
        <v>2010</v>
      </c>
      <c r="G622" s="11" t="s">
        <v>1950</v>
      </c>
      <c r="H622" s="11" t="s">
        <v>2011</v>
      </c>
      <c r="I622" s="11" t="s">
        <v>196</v>
      </c>
    </row>
    <row r="623" spans="1:9" x14ac:dyDescent="0.15">
      <c r="A623" s="10">
        <v>622</v>
      </c>
      <c r="B623" s="11" t="s">
        <v>9</v>
      </c>
      <c r="C623" s="11" t="s">
        <v>253</v>
      </c>
      <c r="D623" s="11" t="s">
        <v>254</v>
      </c>
      <c r="E623" s="9" t="str">
        <f>+HYPERLINK("http://trademark.i-assist.jp/data/china/image_1903th/79085455.pdf", "79085455")</f>
        <v>79085455</v>
      </c>
      <c r="F623" s="11" t="s">
        <v>2012</v>
      </c>
      <c r="G623" s="11" t="s">
        <v>132</v>
      </c>
      <c r="H623" s="11" t="s">
        <v>2013</v>
      </c>
      <c r="I623" s="11" t="s">
        <v>196</v>
      </c>
    </row>
    <row r="624" spans="1:9" x14ac:dyDescent="0.15">
      <c r="A624" s="10">
        <v>623</v>
      </c>
      <c r="B624" s="11" t="s">
        <v>9</v>
      </c>
      <c r="C624" s="11" t="s">
        <v>253</v>
      </c>
      <c r="D624" s="11" t="s">
        <v>254</v>
      </c>
      <c r="E624" s="9" t="str">
        <f>+HYPERLINK("http://trademark.i-assist.jp/data/china/image_1903th/79085708.pdf", "79085708")</f>
        <v>79085708</v>
      </c>
      <c r="F624" s="11" t="s">
        <v>2014</v>
      </c>
      <c r="G624" s="11" t="s">
        <v>1939</v>
      </c>
      <c r="H624" s="11" t="s">
        <v>2015</v>
      </c>
      <c r="I624" s="11" t="s">
        <v>196</v>
      </c>
    </row>
    <row r="625" spans="1:9" x14ac:dyDescent="0.15">
      <c r="A625" s="10">
        <v>624</v>
      </c>
      <c r="B625" s="11" t="s">
        <v>9</v>
      </c>
      <c r="C625" s="11" t="s">
        <v>253</v>
      </c>
      <c r="D625" s="11" t="s">
        <v>254</v>
      </c>
      <c r="E625" s="9" t="str">
        <f>+HYPERLINK("http://trademark.i-assist.jp/data/china/image_1903th/79085875.pdf", "79085875")</f>
        <v>79085875</v>
      </c>
      <c r="F625" s="11" t="s">
        <v>2016</v>
      </c>
      <c r="G625" s="11" t="s">
        <v>2017</v>
      </c>
      <c r="H625" s="11" t="s">
        <v>2018</v>
      </c>
      <c r="I625" s="11" t="s">
        <v>196</v>
      </c>
    </row>
    <row r="626" spans="1:9" x14ac:dyDescent="0.15">
      <c r="A626" s="10">
        <v>625</v>
      </c>
      <c r="B626" s="11" t="s">
        <v>9</v>
      </c>
      <c r="C626" s="11" t="s">
        <v>253</v>
      </c>
      <c r="D626" s="11" t="s">
        <v>254</v>
      </c>
      <c r="E626" s="9" t="str">
        <f>+HYPERLINK("http://trademark.i-assist.jp/data/china/image_1903th/79086085.pdf", "79086085")</f>
        <v>79086085</v>
      </c>
      <c r="F626" s="11" t="s">
        <v>2019</v>
      </c>
      <c r="G626" s="11" t="s">
        <v>1585</v>
      </c>
      <c r="H626" s="11" t="s">
        <v>2020</v>
      </c>
      <c r="I626" s="11" t="s">
        <v>196</v>
      </c>
    </row>
    <row r="627" spans="1:9" x14ac:dyDescent="0.15">
      <c r="A627" s="10">
        <v>626</v>
      </c>
      <c r="B627" s="11" t="s">
        <v>9</v>
      </c>
      <c r="C627" s="11" t="s">
        <v>253</v>
      </c>
      <c r="D627" s="11" t="s">
        <v>254</v>
      </c>
      <c r="E627" s="9" t="str">
        <f>+HYPERLINK("http://trademark.i-assist.jp/data/china/image_1903th/79086339.pdf", "79086339")</f>
        <v>79086339</v>
      </c>
      <c r="F627" s="11" t="s">
        <v>2021</v>
      </c>
      <c r="G627" s="11" t="s">
        <v>2022</v>
      </c>
      <c r="H627" s="11" t="s">
        <v>2023</v>
      </c>
      <c r="I627" s="11" t="s">
        <v>196</v>
      </c>
    </row>
    <row r="628" spans="1:9" x14ac:dyDescent="0.15">
      <c r="A628" s="10">
        <v>627</v>
      </c>
      <c r="B628" s="11" t="s">
        <v>9</v>
      </c>
      <c r="C628" s="11" t="s">
        <v>253</v>
      </c>
      <c r="D628" s="11" t="s">
        <v>254</v>
      </c>
      <c r="E628" s="9" t="str">
        <f>+HYPERLINK("http://trademark.i-assist.jp/data/china/image_1903th/79086854.pdf", "79086854")</f>
        <v>79086854</v>
      </c>
      <c r="F628" s="11" t="s">
        <v>2024</v>
      </c>
      <c r="G628" s="11" t="s">
        <v>1947</v>
      </c>
      <c r="H628" s="11" t="s">
        <v>2025</v>
      </c>
      <c r="I628" s="11" t="s">
        <v>196</v>
      </c>
    </row>
    <row r="629" spans="1:9" x14ac:dyDescent="0.15">
      <c r="A629" s="10">
        <v>628</v>
      </c>
      <c r="B629" s="11" t="s">
        <v>9</v>
      </c>
      <c r="C629" s="11" t="s">
        <v>253</v>
      </c>
      <c r="D629" s="11" t="s">
        <v>254</v>
      </c>
      <c r="E629" s="9" t="str">
        <f>+HYPERLINK("http://trademark.i-assist.jp/data/china/image_1903th/79086997.pdf", "79086997")</f>
        <v>79086997</v>
      </c>
      <c r="F629" s="11" t="s">
        <v>2026</v>
      </c>
      <c r="G629" s="11" t="s">
        <v>2027</v>
      </c>
      <c r="H629" s="11" t="s">
        <v>2028</v>
      </c>
      <c r="I629" s="11" t="s">
        <v>196</v>
      </c>
    </row>
    <row r="630" spans="1:9" x14ac:dyDescent="0.15">
      <c r="A630" s="10">
        <v>629</v>
      </c>
      <c r="B630" s="11" t="s">
        <v>9</v>
      </c>
      <c r="C630" s="11" t="s">
        <v>253</v>
      </c>
      <c r="D630" s="11" t="s">
        <v>254</v>
      </c>
      <c r="E630" s="9" t="str">
        <f>+HYPERLINK("http://trademark.i-assist.jp/data/china/image_1903th/79087099.pdf", "79087099")</f>
        <v>79087099</v>
      </c>
      <c r="F630" s="11" t="s">
        <v>2029</v>
      </c>
      <c r="G630" s="11" t="s">
        <v>164</v>
      </c>
      <c r="H630" s="11" t="s">
        <v>2030</v>
      </c>
      <c r="I630" s="11" t="s">
        <v>196</v>
      </c>
    </row>
    <row r="631" spans="1:9" x14ac:dyDescent="0.15">
      <c r="A631" s="10">
        <v>630</v>
      </c>
      <c r="B631" s="11" t="s">
        <v>9</v>
      </c>
      <c r="C631" s="11" t="s">
        <v>253</v>
      </c>
      <c r="D631" s="11" t="s">
        <v>254</v>
      </c>
      <c r="E631" s="9" t="str">
        <f>+HYPERLINK("http://trademark.i-assist.jp/data/china/image_1903th/79087635.pdf", "79087635")</f>
        <v>79087635</v>
      </c>
      <c r="F631" s="11" t="s">
        <v>2031</v>
      </c>
      <c r="G631" s="11" t="s">
        <v>2032</v>
      </c>
      <c r="H631" s="11" t="s">
        <v>2033</v>
      </c>
      <c r="I631" s="11" t="s">
        <v>196</v>
      </c>
    </row>
    <row r="632" spans="1:9" x14ac:dyDescent="0.15">
      <c r="A632" s="10">
        <v>631</v>
      </c>
      <c r="B632" s="11" t="s">
        <v>9</v>
      </c>
      <c r="C632" s="11" t="s">
        <v>253</v>
      </c>
      <c r="D632" s="11" t="s">
        <v>254</v>
      </c>
      <c r="E632" s="9" t="str">
        <f>+HYPERLINK("http://trademark.i-assist.jp/data/china/image_1903th/79088544.pdf", "79088544")</f>
        <v>79088544</v>
      </c>
      <c r="F632" s="11" t="s">
        <v>2034</v>
      </c>
      <c r="G632" s="11" t="s">
        <v>2035</v>
      </c>
      <c r="H632" s="11" t="s">
        <v>2036</v>
      </c>
      <c r="I632" s="11" t="s">
        <v>196</v>
      </c>
    </row>
    <row r="633" spans="1:9" x14ac:dyDescent="0.15">
      <c r="A633" s="10">
        <v>632</v>
      </c>
      <c r="B633" s="11" t="s">
        <v>9</v>
      </c>
      <c r="C633" s="11" t="s">
        <v>253</v>
      </c>
      <c r="D633" s="11" t="s">
        <v>254</v>
      </c>
      <c r="E633" s="9" t="str">
        <f>+HYPERLINK("http://trademark.i-assist.jp/data/china/image_1903th/79088596.pdf", "79088596")</f>
        <v>79088596</v>
      </c>
      <c r="F633" s="11" t="s">
        <v>2037</v>
      </c>
      <c r="G633" s="11" t="s">
        <v>132</v>
      </c>
      <c r="H633" s="11" t="s">
        <v>2038</v>
      </c>
      <c r="I633" s="11" t="s">
        <v>196</v>
      </c>
    </row>
    <row r="634" spans="1:9" x14ac:dyDescent="0.15">
      <c r="A634" s="10">
        <v>633</v>
      </c>
      <c r="B634" s="11" t="s">
        <v>9</v>
      </c>
      <c r="C634" s="11" t="s">
        <v>253</v>
      </c>
      <c r="D634" s="11" t="s">
        <v>254</v>
      </c>
      <c r="E634" s="9" t="str">
        <f>+HYPERLINK("http://trademark.i-assist.jp/data/china/image_1903th/79088669.pdf", "79088669")</f>
        <v>79088669</v>
      </c>
      <c r="F634" s="11" t="s">
        <v>2039</v>
      </c>
      <c r="G634" s="11" t="s">
        <v>1013</v>
      </c>
      <c r="H634" s="11" t="s">
        <v>2040</v>
      </c>
      <c r="I634" s="11" t="s">
        <v>196</v>
      </c>
    </row>
    <row r="635" spans="1:9" x14ac:dyDescent="0.15">
      <c r="A635" s="10">
        <v>634</v>
      </c>
      <c r="B635" s="11" t="s">
        <v>9</v>
      </c>
      <c r="C635" s="11" t="s">
        <v>253</v>
      </c>
      <c r="D635" s="11" t="s">
        <v>254</v>
      </c>
      <c r="E635" s="9" t="str">
        <f>+HYPERLINK("http://trademark.i-assist.jp/data/china/image_1903th/79089467.pdf", "79089467")</f>
        <v>79089467</v>
      </c>
      <c r="F635" s="11" t="s">
        <v>2041</v>
      </c>
      <c r="G635" s="11" t="s">
        <v>2042</v>
      </c>
      <c r="H635" s="11" t="s">
        <v>2043</v>
      </c>
      <c r="I635" s="11" t="s">
        <v>202</v>
      </c>
    </row>
    <row r="636" spans="1:9" x14ac:dyDescent="0.15">
      <c r="A636" s="10">
        <v>635</v>
      </c>
      <c r="B636" s="11" t="s">
        <v>9</v>
      </c>
      <c r="C636" s="11" t="s">
        <v>253</v>
      </c>
      <c r="D636" s="11" t="s">
        <v>254</v>
      </c>
      <c r="E636" s="9" t="str">
        <f>+HYPERLINK("http://trademark.i-assist.jp/data/china/image_1903th/79090004.pdf", "79090004")</f>
        <v>79090004</v>
      </c>
      <c r="F636" s="11" t="s">
        <v>2044</v>
      </c>
      <c r="G636" s="11" t="s">
        <v>2045</v>
      </c>
      <c r="H636" s="11" t="s">
        <v>2043</v>
      </c>
      <c r="I636" s="11" t="s">
        <v>202</v>
      </c>
    </row>
    <row r="637" spans="1:9" x14ac:dyDescent="0.15">
      <c r="A637" s="10">
        <v>636</v>
      </c>
      <c r="B637" s="11" t="s">
        <v>9</v>
      </c>
      <c r="C637" s="11" t="s">
        <v>253</v>
      </c>
      <c r="D637" s="11" t="s">
        <v>254</v>
      </c>
      <c r="E637" s="9" t="str">
        <f>+HYPERLINK("http://trademark.i-assist.jp/data/china/image_1903th/79090530.pdf", "79090530")</f>
        <v>79090530</v>
      </c>
      <c r="F637" s="11" t="s">
        <v>2046</v>
      </c>
      <c r="G637" s="11" t="s">
        <v>236</v>
      </c>
      <c r="H637" s="11" t="s">
        <v>2047</v>
      </c>
      <c r="I637" s="11" t="s">
        <v>202</v>
      </c>
    </row>
    <row r="638" spans="1:9" x14ac:dyDescent="0.15">
      <c r="A638" s="10">
        <v>637</v>
      </c>
      <c r="B638" s="11" t="s">
        <v>9</v>
      </c>
      <c r="C638" s="11" t="s">
        <v>253</v>
      </c>
      <c r="D638" s="11" t="s">
        <v>254</v>
      </c>
      <c r="E638" s="9" t="str">
        <f>+HYPERLINK("http://trademark.i-assist.jp/data/china/image_1903th/79091909.pdf", "79091909")</f>
        <v>79091909</v>
      </c>
      <c r="F638" s="11" t="s">
        <v>2048</v>
      </c>
      <c r="G638" s="11" t="s">
        <v>2049</v>
      </c>
      <c r="H638" s="11" t="s">
        <v>2050</v>
      </c>
      <c r="I638" s="11" t="s">
        <v>202</v>
      </c>
    </row>
    <row r="639" spans="1:9" x14ac:dyDescent="0.15">
      <c r="A639" s="10">
        <v>638</v>
      </c>
      <c r="B639" s="11" t="s">
        <v>9</v>
      </c>
      <c r="C639" s="11" t="s">
        <v>253</v>
      </c>
      <c r="D639" s="11" t="s">
        <v>254</v>
      </c>
      <c r="E639" s="9" t="str">
        <f>+HYPERLINK("http://trademark.i-assist.jp/data/china/image_1903th/79092328.pdf", "79092328")</f>
        <v>79092328</v>
      </c>
      <c r="F639" s="11" t="s">
        <v>2051</v>
      </c>
      <c r="G639" s="11" t="s">
        <v>2052</v>
      </c>
      <c r="H639" s="11" t="s">
        <v>2053</v>
      </c>
      <c r="I639" s="11" t="s">
        <v>202</v>
      </c>
    </row>
    <row r="640" spans="1:9" x14ac:dyDescent="0.15">
      <c r="A640" s="10">
        <v>639</v>
      </c>
      <c r="B640" s="11" t="s">
        <v>9</v>
      </c>
      <c r="C640" s="11" t="s">
        <v>253</v>
      </c>
      <c r="D640" s="11" t="s">
        <v>254</v>
      </c>
      <c r="E640" s="9" t="str">
        <f>+HYPERLINK("http://trademark.i-assist.jp/data/china/image_1903th/79092773.pdf", "79092773")</f>
        <v>79092773</v>
      </c>
      <c r="F640" s="11" t="s">
        <v>2054</v>
      </c>
      <c r="G640" s="11" t="s">
        <v>2055</v>
      </c>
      <c r="H640" s="11" t="s">
        <v>2056</v>
      </c>
      <c r="I640" s="11" t="s">
        <v>202</v>
      </c>
    </row>
    <row r="641" spans="1:9" x14ac:dyDescent="0.15">
      <c r="A641" s="10">
        <v>640</v>
      </c>
      <c r="B641" s="11" t="s">
        <v>9</v>
      </c>
      <c r="C641" s="11" t="s">
        <v>253</v>
      </c>
      <c r="D641" s="11" t="s">
        <v>254</v>
      </c>
      <c r="E641" s="9" t="str">
        <f>+HYPERLINK("http://trademark.i-assist.jp/data/china/image_1903th/79092932.pdf", "79092932")</f>
        <v>79092932</v>
      </c>
      <c r="F641" s="11" t="s">
        <v>2057</v>
      </c>
      <c r="G641" s="11" t="s">
        <v>2058</v>
      </c>
      <c r="H641" s="11" t="s">
        <v>2059</v>
      </c>
      <c r="I641" s="11" t="s">
        <v>202</v>
      </c>
    </row>
    <row r="642" spans="1:9" x14ac:dyDescent="0.15">
      <c r="A642" s="10">
        <v>641</v>
      </c>
      <c r="B642" s="11" t="s">
        <v>9</v>
      </c>
      <c r="C642" s="11" t="s">
        <v>253</v>
      </c>
      <c r="D642" s="11" t="s">
        <v>254</v>
      </c>
      <c r="E642" s="9" t="str">
        <f>+HYPERLINK("http://trademark.i-assist.jp/data/china/image_1903th/79094747.pdf", "79094747")</f>
        <v>79094747</v>
      </c>
      <c r="F642" s="11" t="s">
        <v>2060</v>
      </c>
      <c r="G642" s="11" t="s">
        <v>175</v>
      </c>
      <c r="H642" s="11" t="s">
        <v>2061</v>
      </c>
      <c r="I642" s="11" t="s">
        <v>202</v>
      </c>
    </row>
    <row r="643" spans="1:9" x14ac:dyDescent="0.15">
      <c r="A643" s="10">
        <v>642</v>
      </c>
      <c r="B643" s="11" t="s">
        <v>9</v>
      </c>
      <c r="C643" s="11" t="s">
        <v>253</v>
      </c>
      <c r="D643" s="11" t="s">
        <v>254</v>
      </c>
      <c r="E643" s="9" t="str">
        <f>+HYPERLINK("http://trademark.i-assist.jp/data/china/image_1903th/79094751.pdf", "79094751")</f>
        <v>79094751</v>
      </c>
      <c r="F643" s="11" t="s">
        <v>12</v>
      </c>
      <c r="G643" s="11" t="s">
        <v>2062</v>
      </c>
      <c r="H643" s="11" t="s">
        <v>2063</v>
      </c>
      <c r="I643" s="11" t="s">
        <v>202</v>
      </c>
    </row>
    <row r="644" spans="1:9" x14ac:dyDescent="0.15">
      <c r="A644" s="10">
        <v>643</v>
      </c>
      <c r="B644" s="11" t="s">
        <v>9</v>
      </c>
      <c r="C644" s="11" t="s">
        <v>253</v>
      </c>
      <c r="D644" s="11" t="s">
        <v>254</v>
      </c>
      <c r="E644" s="9" t="str">
        <f>+HYPERLINK("http://trademark.i-assist.jp/data/china/image_1903th/79094889.pdf", "79094889")</f>
        <v>79094889</v>
      </c>
      <c r="F644" s="11" t="s">
        <v>2064</v>
      </c>
      <c r="G644" s="11" t="s">
        <v>2065</v>
      </c>
      <c r="H644" s="11" t="s">
        <v>2066</v>
      </c>
      <c r="I644" s="11" t="s">
        <v>202</v>
      </c>
    </row>
    <row r="645" spans="1:9" x14ac:dyDescent="0.15">
      <c r="A645" s="10">
        <v>644</v>
      </c>
      <c r="B645" s="11" t="s">
        <v>9</v>
      </c>
      <c r="C645" s="11" t="s">
        <v>253</v>
      </c>
      <c r="D645" s="11" t="s">
        <v>254</v>
      </c>
      <c r="E645" s="9" t="str">
        <f>+HYPERLINK("http://trademark.i-assist.jp/data/china/image_1903th/79095208.pdf", "79095208")</f>
        <v>79095208</v>
      </c>
      <c r="F645" s="11" t="s">
        <v>2067</v>
      </c>
      <c r="G645" s="11" t="s">
        <v>2055</v>
      </c>
      <c r="H645" s="11" t="s">
        <v>2068</v>
      </c>
      <c r="I645" s="11" t="s">
        <v>202</v>
      </c>
    </row>
    <row r="646" spans="1:9" x14ac:dyDescent="0.15">
      <c r="A646" s="10">
        <v>645</v>
      </c>
      <c r="B646" s="11" t="s">
        <v>9</v>
      </c>
      <c r="C646" s="11" t="s">
        <v>253</v>
      </c>
      <c r="D646" s="11" t="s">
        <v>254</v>
      </c>
      <c r="E646" s="9" t="str">
        <f>+HYPERLINK("http://trademark.i-assist.jp/data/china/image_1903th/79095218.pdf", "79095218")</f>
        <v>79095218</v>
      </c>
      <c r="F646" s="11" t="s">
        <v>2069</v>
      </c>
      <c r="G646" s="11" t="s">
        <v>2055</v>
      </c>
      <c r="H646" s="11" t="s">
        <v>2070</v>
      </c>
      <c r="I646" s="11" t="s">
        <v>202</v>
      </c>
    </row>
    <row r="647" spans="1:9" x14ac:dyDescent="0.15">
      <c r="A647" s="10">
        <v>646</v>
      </c>
      <c r="B647" s="11" t="s">
        <v>9</v>
      </c>
      <c r="C647" s="11" t="s">
        <v>253</v>
      </c>
      <c r="D647" s="11" t="s">
        <v>254</v>
      </c>
      <c r="E647" s="9" t="str">
        <f>+HYPERLINK("http://trademark.i-assist.jp/data/china/image_1903th/79095225.pdf", "79095225")</f>
        <v>79095225</v>
      </c>
      <c r="F647" s="11" t="s">
        <v>2071</v>
      </c>
      <c r="G647" s="11" t="s">
        <v>2055</v>
      </c>
      <c r="H647" s="11" t="s">
        <v>2072</v>
      </c>
      <c r="I647" s="11" t="s">
        <v>202</v>
      </c>
    </row>
    <row r="648" spans="1:9" x14ac:dyDescent="0.15">
      <c r="A648" s="10">
        <v>647</v>
      </c>
      <c r="B648" s="11" t="s">
        <v>9</v>
      </c>
      <c r="C648" s="11" t="s">
        <v>253</v>
      </c>
      <c r="D648" s="11" t="s">
        <v>254</v>
      </c>
      <c r="E648" s="9" t="str">
        <f>+HYPERLINK("http://trademark.i-assist.jp/data/china/image_1903th/79096127.pdf", "79096127")</f>
        <v>79096127</v>
      </c>
      <c r="F648" s="11" t="s">
        <v>2073</v>
      </c>
      <c r="G648" s="11" t="s">
        <v>2074</v>
      </c>
      <c r="H648" s="11" t="s">
        <v>2075</v>
      </c>
      <c r="I648" s="11" t="s">
        <v>202</v>
      </c>
    </row>
    <row r="649" spans="1:9" x14ac:dyDescent="0.15">
      <c r="A649" s="10">
        <v>648</v>
      </c>
      <c r="B649" s="11" t="s">
        <v>9</v>
      </c>
      <c r="C649" s="11" t="s">
        <v>253</v>
      </c>
      <c r="D649" s="11" t="s">
        <v>254</v>
      </c>
      <c r="E649" s="9" t="str">
        <f>+HYPERLINK("http://trademark.i-assist.jp/data/china/image_1903th/79096377.pdf", "79096377")</f>
        <v>79096377</v>
      </c>
      <c r="F649" s="11" t="s">
        <v>2076</v>
      </c>
      <c r="G649" s="11" t="s">
        <v>2077</v>
      </c>
      <c r="H649" s="11" t="s">
        <v>2078</v>
      </c>
      <c r="I649" s="11" t="s">
        <v>202</v>
      </c>
    </row>
    <row r="650" spans="1:9" x14ac:dyDescent="0.15">
      <c r="A650" s="10">
        <v>649</v>
      </c>
      <c r="B650" s="11" t="s">
        <v>9</v>
      </c>
      <c r="C650" s="11" t="s">
        <v>253</v>
      </c>
      <c r="D650" s="11" t="s">
        <v>254</v>
      </c>
      <c r="E650" s="9" t="str">
        <f>+HYPERLINK("http://trademark.i-assist.jp/data/china/image_1903th/79097178.pdf", "79097178")</f>
        <v>79097178</v>
      </c>
      <c r="F650" s="11" t="s">
        <v>2079</v>
      </c>
      <c r="G650" s="11" t="s">
        <v>2052</v>
      </c>
      <c r="H650" s="11" t="s">
        <v>2080</v>
      </c>
      <c r="I650" s="11" t="s">
        <v>202</v>
      </c>
    </row>
    <row r="651" spans="1:9" x14ac:dyDescent="0.15">
      <c r="A651" s="10">
        <v>650</v>
      </c>
      <c r="B651" s="11" t="s">
        <v>9</v>
      </c>
      <c r="C651" s="11" t="s">
        <v>253</v>
      </c>
      <c r="D651" s="11" t="s">
        <v>254</v>
      </c>
      <c r="E651" s="9" t="str">
        <f>+HYPERLINK("http://trademark.i-assist.jp/data/china/image_1903th/79097441.pdf", "79097441")</f>
        <v>79097441</v>
      </c>
      <c r="F651" s="11" t="s">
        <v>2081</v>
      </c>
      <c r="G651" s="11" t="s">
        <v>2082</v>
      </c>
      <c r="H651" s="11" t="s">
        <v>2083</v>
      </c>
      <c r="I651" s="11" t="s">
        <v>202</v>
      </c>
    </row>
    <row r="652" spans="1:9" x14ac:dyDescent="0.15">
      <c r="A652" s="10">
        <v>651</v>
      </c>
      <c r="B652" s="11" t="s">
        <v>9</v>
      </c>
      <c r="C652" s="11" t="s">
        <v>253</v>
      </c>
      <c r="D652" s="11" t="s">
        <v>254</v>
      </c>
      <c r="E652" s="9" t="str">
        <f>+HYPERLINK("http://trademark.i-assist.jp/data/china/image_1903th/79097956.pdf", "79097956")</f>
        <v>79097956</v>
      </c>
      <c r="F652" s="11" t="s">
        <v>2084</v>
      </c>
      <c r="G652" s="11" t="s">
        <v>2065</v>
      </c>
      <c r="H652" s="11" t="s">
        <v>2085</v>
      </c>
      <c r="I652" s="11" t="s">
        <v>202</v>
      </c>
    </row>
    <row r="653" spans="1:9" x14ac:dyDescent="0.15">
      <c r="A653" s="10">
        <v>652</v>
      </c>
      <c r="B653" s="11" t="s">
        <v>9</v>
      </c>
      <c r="C653" s="11" t="s">
        <v>253</v>
      </c>
      <c r="D653" s="11" t="s">
        <v>254</v>
      </c>
      <c r="E653" s="9" t="str">
        <f>+HYPERLINK("http://trademark.i-assist.jp/data/china/image_1903th/79098605.pdf", "79098605")</f>
        <v>79098605</v>
      </c>
      <c r="F653" s="11" t="s">
        <v>2086</v>
      </c>
      <c r="G653" s="11" t="s">
        <v>128</v>
      </c>
      <c r="H653" s="11" t="s">
        <v>2087</v>
      </c>
      <c r="I653" s="11" t="s">
        <v>202</v>
      </c>
    </row>
    <row r="654" spans="1:9" x14ac:dyDescent="0.15">
      <c r="A654" s="10">
        <v>653</v>
      </c>
      <c r="B654" s="11" t="s">
        <v>9</v>
      </c>
      <c r="C654" s="11" t="s">
        <v>253</v>
      </c>
      <c r="D654" s="11" t="s">
        <v>254</v>
      </c>
      <c r="E654" s="9" t="str">
        <f>+HYPERLINK("http://trademark.i-assist.jp/data/china/image_1903th/79099485.pdf", "79099485")</f>
        <v>79099485</v>
      </c>
      <c r="F654" s="11" t="s">
        <v>2088</v>
      </c>
      <c r="G654" s="11" t="s">
        <v>2089</v>
      </c>
      <c r="H654" s="11" t="s">
        <v>2090</v>
      </c>
      <c r="I654" s="11" t="s">
        <v>202</v>
      </c>
    </row>
    <row r="655" spans="1:9" x14ac:dyDescent="0.15">
      <c r="A655" s="10">
        <v>654</v>
      </c>
      <c r="B655" s="11" t="s">
        <v>9</v>
      </c>
      <c r="C655" s="11" t="s">
        <v>253</v>
      </c>
      <c r="D655" s="11" t="s">
        <v>254</v>
      </c>
      <c r="E655" s="9" t="str">
        <f>+HYPERLINK("http://trademark.i-assist.jp/data/china/image_1903th/79099723.pdf", "79099723")</f>
        <v>79099723</v>
      </c>
      <c r="F655" s="11" t="s">
        <v>2091</v>
      </c>
      <c r="G655" s="11" t="s">
        <v>203</v>
      </c>
      <c r="H655" s="11" t="s">
        <v>2092</v>
      </c>
      <c r="I655" s="11" t="s">
        <v>202</v>
      </c>
    </row>
    <row r="656" spans="1:9" x14ac:dyDescent="0.15">
      <c r="A656" s="10">
        <v>655</v>
      </c>
      <c r="B656" s="11" t="s">
        <v>9</v>
      </c>
      <c r="C656" s="11" t="s">
        <v>253</v>
      </c>
      <c r="D656" s="11" t="s">
        <v>254</v>
      </c>
      <c r="E656" s="9" t="str">
        <f>+HYPERLINK("http://trademark.i-assist.jp/data/china/image_1903th/79099879.pdf", "79099879")</f>
        <v>79099879</v>
      </c>
      <c r="F656" s="11" t="s">
        <v>2045</v>
      </c>
      <c r="G656" s="11" t="s">
        <v>2045</v>
      </c>
      <c r="H656" s="11" t="s">
        <v>2093</v>
      </c>
      <c r="I656" s="11" t="s">
        <v>202</v>
      </c>
    </row>
    <row r="657" spans="1:9" x14ac:dyDescent="0.15">
      <c r="A657" s="10">
        <v>656</v>
      </c>
      <c r="B657" s="11" t="s">
        <v>9</v>
      </c>
      <c r="C657" s="11" t="s">
        <v>253</v>
      </c>
      <c r="D657" s="11" t="s">
        <v>254</v>
      </c>
      <c r="E657" s="9" t="str">
        <f>+HYPERLINK("http://trademark.i-assist.jp/data/china/image_1903th/79099973.pdf", "79099973")</f>
        <v>79099973</v>
      </c>
      <c r="F657" s="11" t="s">
        <v>2094</v>
      </c>
      <c r="G657" s="11" t="s">
        <v>2095</v>
      </c>
      <c r="H657" s="11" t="s">
        <v>2096</v>
      </c>
      <c r="I657" s="11" t="s">
        <v>202</v>
      </c>
    </row>
    <row r="658" spans="1:9" x14ac:dyDescent="0.15">
      <c r="A658" s="10">
        <v>657</v>
      </c>
      <c r="B658" s="11" t="s">
        <v>9</v>
      </c>
      <c r="C658" s="11" t="s">
        <v>253</v>
      </c>
      <c r="D658" s="11" t="s">
        <v>254</v>
      </c>
      <c r="E658" s="9" t="str">
        <f>+HYPERLINK("http://trademark.i-assist.jp/data/china/image_1903th/79100167.pdf", "79100167")</f>
        <v>79100167</v>
      </c>
      <c r="F658" s="11" t="s">
        <v>2097</v>
      </c>
      <c r="G658" s="11" t="s">
        <v>2052</v>
      </c>
      <c r="H658" s="11" t="s">
        <v>2098</v>
      </c>
      <c r="I658" s="11" t="s">
        <v>202</v>
      </c>
    </row>
    <row r="659" spans="1:9" x14ac:dyDescent="0.15">
      <c r="A659" s="10">
        <v>658</v>
      </c>
      <c r="B659" s="11" t="s">
        <v>9</v>
      </c>
      <c r="C659" s="11" t="s">
        <v>253</v>
      </c>
      <c r="D659" s="11" t="s">
        <v>254</v>
      </c>
      <c r="E659" s="9" t="str">
        <f>+HYPERLINK("http://trademark.i-assist.jp/data/china/image_1903th/79100321.pdf", "79100321")</f>
        <v>79100321</v>
      </c>
      <c r="F659" s="11" t="s">
        <v>12</v>
      </c>
      <c r="G659" s="11" t="s">
        <v>2099</v>
      </c>
      <c r="H659" s="11" t="s">
        <v>2100</v>
      </c>
      <c r="I659" s="11" t="s">
        <v>202</v>
      </c>
    </row>
    <row r="660" spans="1:9" x14ac:dyDescent="0.15">
      <c r="A660" s="10">
        <v>659</v>
      </c>
      <c r="B660" s="11" t="s">
        <v>9</v>
      </c>
      <c r="C660" s="11" t="s">
        <v>253</v>
      </c>
      <c r="D660" s="11" t="s">
        <v>254</v>
      </c>
      <c r="E660" s="9" t="str">
        <f>+HYPERLINK("http://trademark.i-assist.jp/data/china/image_1903th/79100411.pdf", "79100411")</f>
        <v>79100411</v>
      </c>
      <c r="F660" s="11" t="s">
        <v>2101</v>
      </c>
      <c r="G660" s="11" t="s">
        <v>204</v>
      </c>
      <c r="H660" s="11" t="s">
        <v>2102</v>
      </c>
      <c r="I660" s="11" t="s">
        <v>202</v>
      </c>
    </row>
    <row r="661" spans="1:9" x14ac:dyDescent="0.15">
      <c r="A661" s="10">
        <v>660</v>
      </c>
      <c r="B661" s="11" t="s">
        <v>9</v>
      </c>
      <c r="C661" s="11" t="s">
        <v>253</v>
      </c>
      <c r="D661" s="11" t="s">
        <v>254</v>
      </c>
      <c r="E661" s="9" t="str">
        <f>+HYPERLINK("http://trademark.i-assist.jp/data/china/image_1903th/79101236.pdf", "79101236")</f>
        <v>79101236</v>
      </c>
      <c r="F661" s="11" t="s">
        <v>2103</v>
      </c>
      <c r="G661" s="11" t="s">
        <v>2104</v>
      </c>
      <c r="H661" s="11" t="s">
        <v>2105</v>
      </c>
      <c r="I661" s="11" t="s">
        <v>202</v>
      </c>
    </row>
    <row r="662" spans="1:9" x14ac:dyDescent="0.15">
      <c r="A662" s="10">
        <v>661</v>
      </c>
      <c r="B662" s="11" t="s">
        <v>9</v>
      </c>
      <c r="C662" s="11" t="s">
        <v>253</v>
      </c>
      <c r="D662" s="11" t="s">
        <v>254</v>
      </c>
      <c r="E662" s="9" t="str">
        <f>+HYPERLINK("http://trademark.i-assist.jp/data/china/image_1903th/79101295.pdf", "79101295")</f>
        <v>79101295</v>
      </c>
      <c r="F662" s="11" t="s">
        <v>2106</v>
      </c>
      <c r="G662" s="11" t="s">
        <v>203</v>
      </c>
      <c r="H662" s="11" t="s">
        <v>2107</v>
      </c>
      <c r="I662" s="11" t="s">
        <v>202</v>
      </c>
    </row>
    <row r="663" spans="1:9" x14ac:dyDescent="0.15">
      <c r="A663" s="10">
        <v>662</v>
      </c>
      <c r="B663" s="11" t="s">
        <v>9</v>
      </c>
      <c r="C663" s="11" t="s">
        <v>253</v>
      </c>
      <c r="D663" s="11" t="s">
        <v>254</v>
      </c>
      <c r="E663" s="9" t="str">
        <f>+HYPERLINK("http://trademark.i-assist.jp/data/china/image_1903th/79102584.pdf", "79102584")</f>
        <v>79102584</v>
      </c>
      <c r="F663" s="11" t="s">
        <v>2108</v>
      </c>
      <c r="G663" s="11" t="s">
        <v>208</v>
      </c>
      <c r="H663" s="11" t="s">
        <v>2109</v>
      </c>
      <c r="I663" s="11" t="s">
        <v>202</v>
      </c>
    </row>
    <row r="664" spans="1:9" x14ac:dyDescent="0.15">
      <c r="A664" s="10">
        <v>663</v>
      </c>
      <c r="B664" s="11" t="s">
        <v>9</v>
      </c>
      <c r="C664" s="11" t="s">
        <v>253</v>
      </c>
      <c r="D664" s="11" t="s">
        <v>254</v>
      </c>
      <c r="E664" s="9" t="str">
        <f>+HYPERLINK("http://trademark.i-assist.jp/data/china/image_1903th/79102633.pdf", "79102633")</f>
        <v>79102633</v>
      </c>
      <c r="F664" s="11" t="s">
        <v>2110</v>
      </c>
      <c r="G664" s="11" t="s">
        <v>2111</v>
      </c>
      <c r="H664" s="11" t="s">
        <v>2112</v>
      </c>
      <c r="I664" s="11" t="s">
        <v>202</v>
      </c>
    </row>
    <row r="665" spans="1:9" x14ac:dyDescent="0.15">
      <c r="A665" s="10">
        <v>664</v>
      </c>
      <c r="B665" s="11" t="s">
        <v>9</v>
      </c>
      <c r="C665" s="11" t="s">
        <v>253</v>
      </c>
      <c r="D665" s="11" t="s">
        <v>254</v>
      </c>
      <c r="E665" s="9" t="str">
        <f>+HYPERLINK("http://trademark.i-assist.jp/data/china/image_1903th/79102916.pdf", "79102916")</f>
        <v>79102916</v>
      </c>
      <c r="F665" s="11" t="s">
        <v>2113</v>
      </c>
      <c r="G665" s="11" t="s">
        <v>2114</v>
      </c>
      <c r="H665" s="11" t="s">
        <v>2115</v>
      </c>
      <c r="I665" s="11" t="s">
        <v>202</v>
      </c>
    </row>
    <row r="666" spans="1:9" x14ac:dyDescent="0.15">
      <c r="A666" s="10">
        <v>665</v>
      </c>
      <c r="B666" s="11" t="s">
        <v>9</v>
      </c>
      <c r="C666" s="11" t="s">
        <v>253</v>
      </c>
      <c r="D666" s="11" t="s">
        <v>254</v>
      </c>
      <c r="E666" s="9" t="str">
        <f>+HYPERLINK("http://trademark.i-assist.jp/data/china/image_1903th/79102987.pdf", "79102987")</f>
        <v>79102987</v>
      </c>
      <c r="F666" s="11" t="s">
        <v>2116</v>
      </c>
      <c r="G666" s="11" t="s">
        <v>2065</v>
      </c>
      <c r="H666" s="11" t="s">
        <v>2117</v>
      </c>
      <c r="I666" s="11" t="s">
        <v>202</v>
      </c>
    </row>
    <row r="667" spans="1:9" x14ac:dyDescent="0.15">
      <c r="A667" s="10">
        <v>666</v>
      </c>
      <c r="B667" s="11" t="s">
        <v>9</v>
      </c>
      <c r="C667" s="11" t="s">
        <v>253</v>
      </c>
      <c r="D667" s="11" t="s">
        <v>254</v>
      </c>
      <c r="E667" s="9" t="str">
        <f>+HYPERLINK("http://trademark.i-assist.jp/data/china/image_1903th/79104183.pdf", "79104183")</f>
        <v>79104183</v>
      </c>
      <c r="F667" s="11" t="s">
        <v>2118</v>
      </c>
      <c r="G667" s="11" t="s">
        <v>2052</v>
      </c>
      <c r="H667" s="11" t="s">
        <v>2119</v>
      </c>
      <c r="I667" s="11" t="s">
        <v>202</v>
      </c>
    </row>
    <row r="668" spans="1:9" x14ac:dyDescent="0.15">
      <c r="A668" s="10">
        <v>667</v>
      </c>
      <c r="B668" s="11" t="s">
        <v>9</v>
      </c>
      <c r="C668" s="11" t="s">
        <v>253</v>
      </c>
      <c r="D668" s="11" t="s">
        <v>254</v>
      </c>
      <c r="E668" s="9" t="str">
        <f>+HYPERLINK("http://trademark.i-assist.jp/data/china/image_1903th/79104279.pdf", "79104279")</f>
        <v>79104279</v>
      </c>
      <c r="F668" s="11" t="s">
        <v>2120</v>
      </c>
      <c r="G668" s="11" t="s">
        <v>2121</v>
      </c>
      <c r="H668" s="11" t="s">
        <v>2122</v>
      </c>
      <c r="I668" s="11" t="s">
        <v>202</v>
      </c>
    </row>
    <row r="669" spans="1:9" x14ac:dyDescent="0.15">
      <c r="A669" s="10">
        <v>668</v>
      </c>
      <c r="B669" s="11" t="s">
        <v>9</v>
      </c>
      <c r="C669" s="11" t="s">
        <v>253</v>
      </c>
      <c r="D669" s="11" t="s">
        <v>254</v>
      </c>
      <c r="E669" s="9" t="str">
        <f>+HYPERLINK("http://trademark.i-assist.jp/data/china/image_1903th/79104542.pdf", "79104542")</f>
        <v>79104542</v>
      </c>
      <c r="F669" s="11" t="s">
        <v>2123</v>
      </c>
      <c r="G669" s="11" t="s">
        <v>2124</v>
      </c>
      <c r="H669" s="11" t="s">
        <v>2125</v>
      </c>
      <c r="I669" s="11" t="s">
        <v>202</v>
      </c>
    </row>
    <row r="670" spans="1:9" x14ac:dyDescent="0.15">
      <c r="A670" s="10">
        <v>669</v>
      </c>
      <c r="B670" s="11" t="s">
        <v>9</v>
      </c>
      <c r="C670" s="11" t="s">
        <v>253</v>
      </c>
      <c r="D670" s="11" t="s">
        <v>254</v>
      </c>
      <c r="E670" s="9" t="str">
        <f>+HYPERLINK("http://trademark.i-assist.jp/data/china/image_1903th/79104724.pdf", "79104724")</f>
        <v>79104724</v>
      </c>
      <c r="F670" s="11" t="s">
        <v>2126</v>
      </c>
      <c r="G670" s="11" t="s">
        <v>2065</v>
      </c>
      <c r="H670" s="11" t="s">
        <v>2127</v>
      </c>
      <c r="I670" s="11" t="s">
        <v>202</v>
      </c>
    </row>
    <row r="671" spans="1:9" x14ac:dyDescent="0.15">
      <c r="A671" s="10">
        <v>670</v>
      </c>
      <c r="B671" s="11" t="s">
        <v>9</v>
      </c>
      <c r="C671" s="11" t="s">
        <v>253</v>
      </c>
      <c r="D671" s="11" t="s">
        <v>254</v>
      </c>
      <c r="E671" s="9" t="str">
        <f>+HYPERLINK("http://trademark.i-assist.jp/data/china/image_1903th/79104728.pdf", "79104728")</f>
        <v>79104728</v>
      </c>
      <c r="F671" s="11" t="s">
        <v>2128</v>
      </c>
      <c r="G671" s="11" t="s">
        <v>2065</v>
      </c>
      <c r="H671" s="11" t="s">
        <v>2129</v>
      </c>
      <c r="I671" s="11" t="s">
        <v>202</v>
      </c>
    </row>
    <row r="672" spans="1:9" x14ac:dyDescent="0.15">
      <c r="A672" s="10">
        <v>671</v>
      </c>
      <c r="B672" s="11" t="s">
        <v>9</v>
      </c>
      <c r="C672" s="11" t="s">
        <v>253</v>
      </c>
      <c r="D672" s="11" t="s">
        <v>254</v>
      </c>
      <c r="E672" s="9" t="str">
        <f>+HYPERLINK("http://trademark.i-assist.jp/data/china/image_1903th/79105979.pdf", "79105979")</f>
        <v>79105979</v>
      </c>
      <c r="F672" s="11" t="s">
        <v>2130</v>
      </c>
      <c r="G672" s="11" t="s">
        <v>2065</v>
      </c>
      <c r="H672" s="11" t="s">
        <v>2131</v>
      </c>
      <c r="I672" s="11" t="s">
        <v>202</v>
      </c>
    </row>
    <row r="673" spans="1:9" x14ac:dyDescent="0.15">
      <c r="A673" s="10">
        <v>672</v>
      </c>
      <c r="B673" s="11" t="s">
        <v>9</v>
      </c>
      <c r="C673" s="11" t="s">
        <v>253</v>
      </c>
      <c r="D673" s="11" t="s">
        <v>254</v>
      </c>
      <c r="E673" s="9" t="str">
        <f>+HYPERLINK("http://trademark.i-assist.jp/data/china/image_1903th/79106100.pdf", "79106100")</f>
        <v>79106100</v>
      </c>
      <c r="F673" s="11" t="s">
        <v>2132</v>
      </c>
      <c r="G673" s="11" t="s">
        <v>2052</v>
      </c>
      <c r="H673" s="11" t="s">
        <v>2133</v>
      </c>
      <c r="I673" s="11" t="s">
        <v>202</v>
      </c>
    </row>
    <row r="674" spans="1:9" x14ac:dyDescent="0.15">
      <c r="A674" s="10">
        <v>673</v>
      </c>
      <c r="B674" s="11" t="s">
        <v>9</v>
      </c>
      <c r="C674" s="11" t="s">
        <v>253</v>
      </c>
      <c r="D674" s="11" t="s">
        <v>254</v>
      </c>
      <c r="E674" s="9" t="str">
        <f>+HYPERLINK("http://trademark.i-assist.jp/data/china/image_1903th/79106250.pdf", "79106250")</f>
        <v>79106250</v>
      </c>
      <c r="F674" s="11" t="s">
        <v>2134</v>
      </c>
      <c r="G674" s="11" t="s">
        <v>2135</v>
      </c>
      <c r="H674" s="11" t="s">
        <v>2136</v>
      </c>
      <c r="I674" s="11" t="s">
        <v>202</v>
      </c>
    </row>
    <row r="675" spans="1:9" x14ac:dyDescent="0.15">
      <c r="A675" s="10">
        <v>674</v>
      </c>
      <c r="B675" s="11" t="s">
        <v>9</v>
      </c>
      <c r="C675" s="11" t="s">
        <v>253</v>
      </c>
      <c r="D675" s="11" t="s">
        <v>254</v>
      </c>
      <c r="E675" s="9" t="str">
        <f>+HYPERLINK("http://trademark.i-assist.jp/data/china/image_1903th/79107227.pdf", "79107227")</f>
        <v>79107227</v>
      </c>
      <c r="F675" s="11" t="s">
        <v>2137</v>
      </c>
      <c r="G675" s="11" t="s">
        <v>2135</v>
      </c>
      <c r="H675" s="11" t="s">
        <v>2138</v>
      </c>
      <c r="I675" s="11" t="s">
        <v>202</v>
      </c>
    </row>
    <row r="676" spans="1:9" x14ac:dyDescent="0.15">
      <c r="A676" s="10">
        <v>675</v>
      </c>
      <c r="B676" s="11" t="s">
        <v>9</v>
      </c>
      <c r="C676" s="11" t="s">
        <v>253</v>
      </c>
      <c r="D676" s="11" t="s">
        <v>254</v>
      </c>
      <c r="E676" s="9" t="str">
        <f>+HYPERLINK("http://trademark.i-assist.jp/data/china/image_1903th/79107271.pdf", "79107271")</f>
        <v>79107271</v>
      </c>
      <c r="F676" s="11" t="s">
        <v>2139</v>
      </c>
      <c r="G676" s="11" t="s">
        <v>209</v>
      </c>
      <c r="H676" s="11" t="s">
        <v>2140</v>
      </c>
      <c r="I676" s="11" t="s">
        <v>202</v>
      </c>
    </row>
    <row r="677" spans="1:9" x14ac:dyDescent="0.15">
      <c r="A677" s="10">
        <v>676</v>
      </c>
      <c r="B677" s="11" t="s">
        <v>9</v>
      </c>
      <c r="C677" s="11" t="s">
        <v>253</v>
      </c>
      <c r="D677" s="11" t="s">
        <v>254</v>
      </c>
      <c r="E677" s="9" t="str">
        <f>+HYPERLINK("http://trademark.i-assist.jp/data/china/image_1903th/79107743.pdf", "79107743")</f>
        <v>79107743</v>
      </c>
      <c r="F677" s="11" t="s">
        <v>2141</v>
      </c>
      <c r="G677" s="11" t="s">
        <v>2142</v>
      </c>
      <c r="H677" s="11" t="s">
        <v>2143</v>
      </c>
      <c r="I677" s="11" t="s">
        <v>202</v>
      </c>
    </row>
    <row r="678" spans="1:9" x14ac:dyDescent="0.15">
      <c r="A678" s="10">
        <v>677</v>
      </c>
      <c r="B678" s="11" t="s">
        <v>9</v>
      </c>
      <c r="C678" s="11" t="s">
        <v>253</v>
      </c>
      <c r="D678" s="11" t="s">
        <v>254</v>
      </c>
      <c r="E678" s="9" t="str">
        <f>+HYPERLINK("http://trademark.i-assist.jp/data/china/image_1903th/79108514.pdf", "79108514")</f>
        <v>79108514</v>
      </c>
      <c r="F678" s="11" t="s">
        <v>2144</v>
      </c>
      <c r="G678" s="11" t="s">
        <v>217</v>
      </c>
      <c r="H678" s="11" t="s">
        <v>2145</v>
      </c>
      <c r="I678" s="11" t="s">
        <v>202</v>
      </c>
    </row>
    <row r="679" spans="1:9" x14ac:dyDescent="0.15">
      <c r="A679" s="10">
        <v>678</v>
      </c>
      <c r="B679" s="11" t="s">
        <v>9</v>
      </c>
      <c r="C679" s="11" t="s">
        <v>253</v>
      </c>
      <c r="D679" s="11" t="s">
        <v>254</v>
      </c>
      <c r="E679" s="9" t="str">
        <f>+HYPERLINK("http://trademark.i-assist.jp/data/china/image_1903th/79108777.pdf", "79108777")</f>
        <v>79108777</v>
      </c>
      <c r="F679" s="11" t="s">
        <v>2146</v>
      </c>
      <c r="G679" s="11" t="s">
        <v>2147</v>
      </c>
      <c r="H679" s="11" t="s">
        <v>2148</v>
      </c>
      <c r="I679" s="11" t="s">
        <v>202</v>
      </c>
    </row>
    <row r="680" spans="1:9" x14ac:dyDescent="0.15">
      <c r="A680" s="10">
        <v>679</v>
      </c>
      <c r="B680" s="11" t="s">
        <v>9</v>
      </c>
      <c r="C680" s="11" t="s">
        <v>253</v>
      </c>
      <c r="D680" s="11" t="s">
        <v>254</v>
      </c>
      <c r="E680" s="9" t="str">
        <f>+HYPERLINK("http://trademark.i-assist.jp/data/china/image_1903th/79109435.pdf", "79109435")</f>
        <v>79109435</v>
      </c>
      <c r="F680" s="11" t="s">
        <v>2149</v>
      </c>
      <c r="G680" s="11" t="s">
        <v>2150</v>
      </c>
      <c r="H680" s="11" t="s">
        <v>2151</v>
      </c>
      <c r="I680" s="11" t="s">
        <v>202</v>
      </c>
    </row>
    <row r="681" spans="1:9" x14ac:dyDescent="0.15">
      <c r="A681" s="10">
        <v>680</v>
      </c>
      <c r="B681" s="11" t="s">
        <v>9</v>
      </c>
      <c r="C681" s="11" t="s">
        <v>253</v>
      </c>
      <c r="D681" s="11" t="s">
        <v>254</v>
      </c>
      <c r="E681" s="9" t="str">
        <f>+HYPERLINK("http://trademark.i-assist.jp/data/china/image_1903th/79110048.pdf", "79110048")</f>
        <v>79110048</v>
      </c>
      <c r="F681" s="11" t="s">
        <v>2152</v>
      </c>
      <c r="G681" s="11" t="s">
        <v>2153</v>
      </c>
      <c r="H681" s="11" t="s">
        <v>2154</v>
      </c>
      <c r="I681" s="11" t="s">
        <v>202</v>
      </c>
    </row>
    <row r="682" spans="1:9" x14ac:dyDescent="0.15">
      <c r="A682" s="10">
        <v>681</v>
      </c>
      <c r="B682" s="11" t="s">
        <v>9</v>
      </c>
      <c r="C682" s="11" t="s">
        <v>253</v>
      </c>
      <c r="D682" s="11" t="s">
        <v>254</v>
      </c>
      <c r="E682" s="9" t="str">
        <f>+HYPERLINK("http://trademark.i-assist.jp/data/china/image_1903th/79110762.pdf", "79110762")</f>
        <v>79110762</v>
      </c>
      <c r="F682" s="11" t="s">
        <v>2155</v>
      </c>
      <c r="G682" s="11" t="s">
        <v>2156</v>
      </c>
      <c r="H682" s="11" t="s">
        <v>2157</v>
      </c>
      <c r="I682" s="11" t="s">
        <v>202</v>
      </c>
    </row>
    <row r="683" spans="1:9" x14ac:dyDescent="0.15">
      <c r="A683" s="10">
        <v>682</v>
      </c>
      <c r="B683" s="11" t="s">
        <v>9</v>
      </c>
      <c r="C683" s="11" t="s">
        <v>253</v>
      </c>
      <c r="D683" s="11" t="s">
        <v>254</v>
      </c>
      <c r="E683" s="9" t="str">
        <f>+HYPERLINK("http://trademark.i-assist.jp/data/china/image_1903th/79111447.pdf", "79111447")</f>
        <v>79111447</v>
      </c>
      <c r="F683" s="11" t="s">
        <v>2158</v>
      </c>
      <c r="G683" s="11" t="s">
        <v>2159</v>
      </c>
      <c r="H683" s="11" t="s">
        <v>2160</v>
      </c>
      <c r="I683" s="11" t="s">
        <v>202</v>
      </c>
    </row>
    <row r="684" spans="1:9" x14ac:dyDescent="0.15">
      <c r="A684" s="10">
        <v>683</v>
      </c>
      <c r="B684" s="11" t="s">
        <v>9</v>
      </c>
      <c r="C684" s="11" t="s">
        <v>253</v>
      </c>
      <c r="D684" s="11" t="s">
        <v>254</v>
      </c>
      <c r="E684" s="9" t="str">
        <f>+HYPERLINK("http://trademark.i-assist.jp/data/china/image_1903th/79111450.pdf", "79111450")</f>
        <v>79111450</v>
      </c>
      <c r="F684" s="11" t="s">
        <v>2161</v>
      </c>
      <c r="G684" s="11" t="s">
        <v>2162</v>
      </c>
      <c r="H684" s="11" t="s">
        <v>2163</v>
      </c>
      <c r="I684" s="11" t="s">
        <v>202</v>
      </c>
    </row>
    <row r="685" spans="1:9" x14ac:dyDescent="0.15">
      <c r="A685" s="10">
        <v>684</v>
      </c>
      <c r="B685" s="11" t="s">
        <v>9</v>
      </c>
      <c r="C685" s="11" t="s">
        <v>253</v>
      </c>
      <c r="D685" s="11" t="s">
        <v>254</v>
      </c>
      <c r="E685" s="9" t="str">
        <f>+HYPERLINK("http://trademark.i-assist.jp/data/china/image_1903th/79111973.pdf", "79111973")</f>
        <v>79111973</v>
      </c>
      <c r="F685" s="11" t="s">
        <v>2164</v>
      </c>
      <c r="G685" s="11" t="s">
        <v>2165</v>
      </c>
      <c r="H685" s="11" t="s">
        <v>2166</v>
      </c>
      <c r="I685" s="11" t="s">
        <v>202</v>
      </c>
    </row>
    <row r="686" spans="1:9" x14ac:dyDescent="0.15">
      <c r="A686" s="10">
        <v>685</v>
      </c>
      <c r="B686" s="11" t="s">
        <v>9</v>
      </c>
      <c r="C686" s="11" t="s">
        <v>253</v>
      </c>
      <c r="D686" s="11" t="s">
        <v>254</v>
      </c>
      <c r="E686" s="9" t="str">
        <f>+HYPERLINK("http://trademark.i-assist.jp/data/china/image_1903th/79112049.pdf", "79112049")</f>
        <v>79112049</v>
      </c>
      <c r="F686" s="11" t="s">
        <v>2167</v>
      </c>
      <c r="G686" s="11" t="s">
        <v>2168</v>
      </c>
      <c r="H686" s="11" t="s">
        <v>2169</v>
      </c>
      <c r="I686" s="11" t="s">
        <v>202</v>
      </c>
    </row>
    <row r="687" spans="1:9" x14ac:dyDescent="0.15">
      <c r="A687" s="10">
        <v>686</v>
      </c>
      <c r="B687" s="11" t="s">
        <v>9</v>
      </c>
      <c r="C687" s="11" t="s">
        <v>253</v>
      </c>
      <c r="D687" s="11" t="s">
        <v>254</v>
      </c>
      <c r="E687" s="9" t="str">
        <f>+HYPERLINK("http://trademark.i-assist.jp/data/china/image_1903th/79112158.pdf", "79112158")</f>
        <v>79112158</v>
      </c>
      <c r="F687" s="11" t="s">
        <v>2170</v>
      </c>
      <c r="G687" s="11" t="s">
        <v>2052</v>
      </c>
      <c r="H687" s="11" t="s">
        <v>2171</v>
      </c>
      <c r="I687" s="11" t="s">
        <v>202</v>
      </c>
    </row>
    <row r="688" spans="1:9" x14ac:dyDescent="0.15">
      <c r="A688" s="10">
        <v>687</v>
      </c>
      <c r="B688" s="11" t="s">
        <v>9</v>
      </c>
      <c r="C688" s="11" t="s">
        <v>253</v>
      </c>
      <c r="D688" s="11" t="s">
        <v>254</v>
      </c>
      <c r="E688" s="9" t="str">
        <f>+HYPERLINK("http://trademark.i-assist.jp/data/china/image_1903th/79113790.pdf", "79113790")</f>
        <v>79113790</v>
      </c>
      <c r="F688" s="11" t="s">
        <v>2172</v>
      </c>
      <c r="G688" s="11" t="s">
        <v>186</v>
      </c>
      <c r="H688" s="11" t="s">
        <v>2173</v>
      </c>
      <c r="I688" s="11" t="s">
        <v>202</v>
      </c>
    </row>
    <row r="689" spans="1:9" x14ac:dyDescent="0.15">
      <c r="A689" s="10">
        <v>688</v>
      </c>
      <c r="B689" s="11" t="s">
        <v>9</v>
      </c>
      <c r="C689" s="11" t="s">
        <v>253</v>
      </c>
      <c r="D689" s="11" t="s">
        <v>254</v>
      </c>
      <c r="E689" s="9" t="str">
        <f>+HYPERLINK("http://trademark.i-assist.jp/data/china/image_1903th/79114043.pdf", "79114043")</f>
        <v>79114043</v>
      </c>
      <c r="F689" s="11" t="s">
        <v>2174</v>
      </c>
      <c r="G689" s="11" t="s">
        <v>2121</v>
      </c>
      <c r="H689" s="11" t="s">
        <v>2175</v>
      </c>
      <c r="I689" s="11" t="s">
        <v>202</v>
      </c>
    </row>
    <row r="690" spans="1:9" x14ac:dyDescent="0.15">
      <c r="A690" s="10">
        <v>689</v>
      </c>
      <c r="B690" s="11" t="s">
        <v>9</v>
      </c>
      <c r="C690" s="11" t="s">
        <v>253</v>
      </c>
      <c r="D690" s="11" t="s">
        <v>254</v>
      </c>
      <c r="E690" s="9" t="str">
        <f>+HYPERLINK("http://trademark.i-assist.jp/data/china/image_1903th/79114052.pdf", "79114052")</f>
        <v>79114052</v>
      </c>
      <c r="F690" s="11" t="s">
        <v>2176</v>
      </c>
      <c r="G690" s="11" t="s">
        <v>2177</v>
      </c>
      <c r="H690" s="11" t="s">
        <v>2178</v>
      </c>
      <c r="I690" s="11" t="s">
        <v>202</v>
      </c>
    </row>
    <row r="691" spans="1:9" x14ac:dyDescent="0.15">
      <c r="A691" s="10">
        <v>690</v>
      </c>
      <c r="B691" s="11" t="s">
        <v>9</v>
      </c>
      <c r="C691" s="11" t="s">
        <v>253</v>
      </c>
      <c r="D691" s="11" t="s">
        <v>254</v>
      </c>
      <c r="E691" s="9" t="str">
        <f>+HYPERLINK("http://trademark.i-assist.jp/data/china/image_1903th/79114158.pdf", "79114158")</f>
        <v>79114158</v>
      </c>
      <c r="F691" s="11" t="s">
        <v>2179</v>
      </c>
      <c r="G691" s="11" t="s">
        <v>2180</v>
      </c>
      <c r="H691" s="11" t="s">
        <v>2181</v>
      </c>
      <c r="I691" s="11" t="s">
        <v>202</v>
      </c>
    </row>
    <row r="692" spans="1:9" x14ac:dyDescent="0.15">
      <c r="A692" s="10">
        <v>691</v>
      </c>
      <c r="B692" s="11" t="s">
        <v>9</v>
      </c>
      <c r="C692" s="11" t="s">
        <v>253</v>
      </c>
      <c r="D692" s="11" t="s">
        <v>254</v>
      </c>
      <c r="E692" s="9" t="str">
        <f>+HYPERLINK("http://trademark.i-assist.jp/data/china/image_1903th/79114481.pdf", "79114481")</f>
        <v>79114481</v>
      </c>
      <c r="F692" s="11" t="s">
        <v>2182</v>
      </c>
      <c r="G692" s="11" t="s">
        <v>2183</v>
      </c>
      <c r="H692" s="11" t="s">
        <v>2184</v>
      </c>
      <c r="I692" s="11" t="s">
        <v>202</v>
      </c>
    </row>
    <row r="693" spans="1:9" x14ac:dyDescent="0.15">
      <c r="A693" s="10">
        <v>692</v>
      </c>
      <c r="B693" s="11" t="s">
        <v>9</v>
      </c>
      <c r="C693" s="11" t="s">
        <v>253</v>
      </c>
      <c r="D693" s="11" t="s">
        <v>254</v>
      </c>
      <c r="E693" s="9" t="str">
        <f>+HYPERLINK("http://trademark.i-assist.jp/data/china/image_1903th/79115136.pdf", "79115136")</f>
        <v>79115136</v>
      </c>
      <c r="F693" s="11" t="s">
        <v>2185</v>
      </c>
      <c r="G693" s="11" t="s">
        <v>2186</v>
      </c>
      <c r="H693" s="11" t="s">
        <v>2187</v>
      </c>
      <c r="I693" s="11" t="s">
        <v>202</v>
      </c>
    </row>
    <row r="694" spans="1:9" x14ac:dyDescent="0.15">
      <c r="A694" s="10">
        <v>693</v>
      </c>
      <c r="B694" s="11" t="s">
        <v>9</v>
      </c>
      <c r="C694" s="11" t="s">
        <v>253</v>
      </c>
      <c r="D694" s="11" t="s">
        <v>254</v>
      </c>
      <c r="E694" s="9" t="str">
        <f>+HYPERLINK("http://trademark.i-assist.jp/data/china/image_1903th/79115266.pdf", "79115266")</f>
        <v>79115266</v>
      </c>
      <c r="F694" s="11" t="s">
        <v>2188</v>
      </c>
      <c r="G694" s="11" t="s">
        <v>28</v>
      </c>
      <c r="H694" s="11" t="s">
        <v>2189</v>
      </c>
      <c r="I694" s="11" t="s">
        <v>202</v>
      </c>
    </row>
    <row r="695" spans="1:9" x14ac:dyDescent="0.15">
      <c r="A695" s="10">
        <v>694</v>
      </c>
      <c r="B695" s="11" t="s">
        <v>9</v>
      </c>
      <c r="C695" s="11" t="s">
        <v>253</v>
      </c>
      <c r="D695" s="11" t="s">
        <v>254</v>
      </c>
      <c r="E695" s="9" t="str">
        <f>+HYPERLINK("http://trademark.i-assist.jp/data/china/image_1903th/79115656.pdf", "79115656")</f>
        <v>79115656</v>
      </c>
      <c r="F695" s="11" t="s">
        <v>2190</v>
      </c>
      <c r="G695" s="11" t="s">
        <v>2191</v>
      </c>
      <c r="H695" s="11" t="s">
        <v>2192</v>
      </c>
      <c r="I695" s="11" t="s">
        <v>202</v>
      </c>
    </row>
    <row r="696" spans="1:9" x14ac:dyDescent="0.15">
      <c r="A696" s="10">
        <v>695</v>
      </c>
      <c r="B696" s="11" t="s">
        <v>9</v>
      </c>
      <c r="C696" s="11" t="s">
        <v>253</v>
      </c>
      <c r="D696" s="11" t="s">
        <v>254</v>
      </c>
      <c r="E696" s="9" t="str">
        <f>+HYPERLINK("http://trademark.i-assist.jp/data/china/image_1903th/79115802.pdf", "79115802")</f>
        <v>79115802</v>
      </c>
      <c r="F696" s="11" t="s">
        <v>2193</v>
      </c>
      <c r="G696" s="11" t="s">
        <v>2194</v>
      </c>
      <c r="H696" s="11" t="s">
        <v>2195</v>
      </c>
      <c r="I696" s="11" t="s">
        <v>202</v>
      </c>
    </row>
    <row r="697" spans="1:9" x14ac:dyDescent="0.15">
      <c r="A697" s="10">
        <v>696</v>
      </c>
      <c r="B697" s="11" t="s">
        <v>9</v>
      </c>
      <c r="C697" s="11" t="s">
        <v>253</v>
      </c>
      <c r="D697" s="11" t="s">
        <v>254</v>
      </c>
      <c r="E697" s="9" t="str">
        <f>+HYPERLINK("http://trademark.i-assist.jp/data/china/image_1903th/79116623.pdf", "79116623")</f>
        <v>79116623</v>
      </c>
      <c r="F697" s="11" t="s">
        <v>2196</v>
      </c>
      <c r="G697" s="11" t="s">
        <v>2197</v>
      </c>
      <c r="H697" s="11" t="s">
        <v>2198</v>
      </c>
      <c r="I697" s="11" t="s">
        <v>202</v>
      </c>
    </row>
    <row r="698" spans="1:9" x14ac:dyDescent="0.15">
      <c r="A698" s="10">
        <v>697</v>
      </c>
      <c r="B698" s="11" t="s">
        <v>9</v>
      </c>
      <c r="C698" s="11" t="s">
        <v>253</v>
      </c>
      <c r="D698" s="11" t="s">
        <v>254</v>
      </c>
      <c r="E698" s="9" t="str">
        <f>+HYPERLINK("http://trademark.i-assist.jp/data/china/image_1903th/79117477.pdf", "79117477")</f>
        <v>79117477</v>
      </c>
      <c r="F698" s="11" t="s">
        <v>2199</v>
      </c>
      <c r="G698" s="11" t="s">
        <v>2200</v>
      </c>
      <c r="H698" s="11" t="s">
        <v>2201</v>
      </c>
      <c r="I698" s="11" t="s">
        <v>202</v>
      </c>
    </row>
    <row r="699" spans="1:9" x14ac:dyDescent="0.15">
      <c r="A699" s="10">
        <v>698</v>
      </c>
      <c r="B699" s="11" t="s">
        <v>9</v>
      </c>
      <c r="C699" s="11" t="s">
        <v>253</v>
      </c>
      <c r="D699" s="11" t="s">
        <v>254</v>
      </c>
      <c r="E699" s="9" t="str">
        <f>+HYPERLINK("http://trademark.i-assist.jp/data/china/image_1903th/79118672.pdf", "79118672")</f>
        <v>79118672</v>
      </c>
      <c r="F699" s="11" t="s">
        <v>2202</v>
      </c>
      <c r="G699" s="11" t="s">
        <v>2203</v>
      </c>
      <c r="H699" s="11" t="s">
        <v>2204</v>
      </c>
      <c r="I699" s="11" t="s">
        <v>213</v>
      </c>
    </row>
    <row r="700" spans="1:9" x14ac:dyDescent="0.15">
      <c r="A700" s="10">
        <v>699</v>
      </c>
      <c r="B700" s="11" t="s">
        <v>9</v>
      </c>
      <c r="C700" s="11" t="s">
        <v>253</v>
      </c>
      <c r="D700" s="11" t="s">
        <v>254</v>
      </c>
      <c r="E700" s="9" t="str">
        <f>+HYPERLINK("http://trademark.i-assist.jp/data/china/image_1903th/79120734.pdf", "79120734")</f>
        <v>79120734</v>
      </c>
      <c r="F700" s="11" t="s">
        <v>2205</v>
      </c>
      <c r="G700" s="11" t="s">
        <v>2206</v>
      </c>
      <c r="H700" s="11" t="s">
        <v>2207</v>
      </c>
      <c r="I700" s="11" t="s">
        <v>213</v>
      </c>
    </row>
    <row r="701" spans="1:9" x14ac:dyDescent="0.15">
      <c r="A701" s="10">
        <v>700</v>
      </c>
      <c r="B701" s="11" t="s">
        <v>9</v>
      </c>
      <c r="C701" s="11" t="s">
        <v>253</v>
      </c>
      <c r="D701" s="11" t="s">
        <v>254</v>
      </c>
      <c r="E701" s="9" t="str">
        <f>+HYPERLINK("http://trademark.i-assist.jp/data/china/image_1903th/79121302.pdf", "79121302")</f>
        <v>79121302</v>
      </c>
      <c r="F701" s="11" t="s">
        <v>2208</v>
      </c>
      <c r="G701" s="11" t="s">
        <v>2209</v>
      </c>
      <c r="H701" s="11" t="s">
        <v>2210</v>
      </c>
      <c r="I701" s="11" t="s">
        <v>213</v>
      </c>
    </row>
    <row r="702" spans="1:9" x14ac:dyDescent="0.15">
      <c r="A702" s="10">
        <v>701</v>
      </c>
      <c r="B702" s="11" t="s">
        <v>9</v>
      </c>
      <c r="C702" s="11" t="s">
        <v>253</v>
      </c>
      <c r="D702" s="11" t="s">
        <v>254</v>
      </c>
      <c r="E702" s="9" t="str">
        <f>+HYPERLINK("http://trademark.i-assist.jp/data/china/image_1903th/79121864.pdf", "79121864")</f>
        <v>79121864</v>
      </c>
      <c r="F702" s="11" t="s">
        <v>2211</v>
      </c>
      <c r="G702" s="11" t="s">
        <v>2212</v>
      </c>
      <c r="H702" s="11" t="s">
        <v>2213</v>
      </c>
      <c r="I702" s="11" t="s">
        <v>213</v>
      </c>
    </row>
    <row r="703" spans="1:9" x14ac:dyDescent="0.15">
      <c r="A703" s="10">
        <v>702</v>
      </c>
      <c r="B703" s="11" t="s">
        <v>9</v>
      </c>
      <c r="C703" s="11" t="s">
        <v>253</v>
      </c>
      <c r="D703" s="11" t="s">
        <v>254</v>
      </c>
      <c r="E703" s="9" t="str">
        <f>+HYPERLINK("http://trademark.i-assist.jp/data/china/image_1903th/79123380.pdf", "79123380")</f>
        <v>79123380</v>
      </c>
      <c r="F703" s="11" t="s">
        <v>12</v>
      </c>
      <c r="G703" s="11" t="s">
        <v>2214</v>
      </c>
      <c r="H703" s="11" t="s">
        <v>2215</v>
      </c>
      <c r="I703" s="11" t="s">
        <v>216</v>
      </c>
    </row>
    <row r="704" spans="1:9" x14ac:dyDescent="0.15">
      <c r="A704" s="10">
        <v>703</v>
      </c>
      <c r="B704" s="11" t="s">
        <v>9</v>
      </c>
      <c r="C704" s="11" t="s">
        <v>253</v>
      </c>
      <c r="D704" s="11" t="s">
        <v>254</v>
      </c>
      <c r="E704" s="9" t="str">
        <f>+HYPERLINK("http://trademark.i-assist.jp/data/china/image_1903th/79124378.pdf", "79124378")</f>
        <v>79124378</v>
      </c>
      <c r="F704" s="11" t="s">
        <v>2216</v>
      </c>
      <c r="G704" s="11" t="s">
        <v>2217</v>
      </c>
      <c r="H704" s="11" t="s">
        <v>2218</v>
      </c>
      <c r="I704" s="11" t="s">
        <v>216</v>
      </c>
    </row>
    <row r="705" spans="1:9" x14ac:dyDescent="0.15">
      <c r="A705" s="10">
        <v>704</v>
      </c>
      <c r="B705" s="11" t="s">
        <v>9</v>
      </c>
      <c r="C705" s="11" t="s">
        <v>253</v>
      </c>
      <c r="D705" s="11" t="s">
        <v>254</v>
      </c>
      <c r="E705" s="9" t="str">
        <f>+HYPERLINK("http://trademark.i-assist.jp/data/china/image_1903th/79124435.pdf", "79124435")</f>
        <v>79124435</v>
      </c>
      <c r="F705" s="11" t="s">
        <v>2219</v>
      </c>
      <c r="G705" s="11" t="s">
        <v>2220</v>
      </c>
      <c r="H705" s="11" t="s">
        <v>2221</v>
      </c>
      <c r="I705" s="11" t="s">
        <v>218</v>
      </c>
    </row>
    <row r="706" spans="1:9" x14ac:dyDescent="0.15">
      <c r="A706" s="10">
        <v>705</v>
      </c>
      <c r="B706" s="11" t="s">
        <v>9</v>
      </c>
      <c r="C706" s="11" t="s">
        <v>253</v>
      </c>
      <c r="D706" s="11" t="s">
        <v>254</v>
      </c>
      <c r="E706" s="9" t="str">
        <f>+HYPERLINK("http://trademark.i-assist.jp/data/china/image_1903th/79124788.pdf", "79124788")</f>
        <v>79124788</v>
      </c>
      <c r="F706" s="11" t="s">
        <v>2222</v>
      </c>
      <c r="G706" s="11" t="s">
        <v>2223</v>
      </c>
      <c r="H706" s="11" t="s">
        <v>2224</v>
      </c>
      <c r="I706" s="11" t="s">
        <v>218</v>
      </c>
    </row>
    <row r="707" spans="1:9" x14ac:dyDescent="0.15">
      <c r="A707" s="10">
        <v>706</v>
      </c>
      <c r="B707" s="11" t="s">
        <v>9</v>
      </c>
      <c r="C707" s="11" t="s">
        <v>253</v>
      </c>
      <c r="D707" s="11" t="s">
        <v>254</v>
      </c>
      <c r="E707" s="9" t="str">
        <f>+HYPERLINK("http://trademark.i-assist.jp/data/china/image_1903th/79127651.pdf", "79127651")</f>
        <v>79127651</v>
      </c>
      <c r="F707" s="11" t="s">
        <v>12</v>
      </c>
      <c r="G707" s="11" t="s">
        <v>2225</v>
      </c>
      <c r="H707" s="11" t="s">
        <v>2226</v>
      </c>
      <c r="I707" s="11" t="s">
        <v>219</v>
      </c>
    </row>
    <row r="708" spans="1:9" x14ac:dyDescent="0.15">
      <c r="A708" s="10">
        <v>707</v>
      </c>
      <c r="B708" s="11" t="s">
        <v>9</v>
      </c>
      <c r="C708" s="11" t="s">
        <v>253</v>
      </c>
      <c r="D708" s="11" t="s">
        <v>254</v>
      </c>
      <c r="E708" s="9" t="str">
        <f>+HYPERLINK("http://trademark.i-assist.jp/data/china/image_1903th/79127676.pdf", "79127676")</f>
        <v>79127676</v>
      </c>
      <c r="F708" s="11" t="s">
        <v>2227</v>
      </c>
      <c r="G708" s="11" t="s">
        <v>2228</v>
      </c>
      <c r="H708" s="11" t="s">
        <v>2229</v>
      </c>
      <c r="I708" s="11" t="s">
        <v>219</v>
      </c>
    </row>
    <row r="709" spans="1:9" x14ac:dyDescent="0.15">
      <c r="A709" s="10">
        <v>708</v>
      </c>
      <c r="B709" s="11" t="s">
        <v>9</v>
      </c>
      <c r="C709" s="11" t="s">
        <v>253</v>
      </c>
      <c r="D709" s="11" t="s">
        <v>254</v>
      </c>
      <c r="E709" s="9" t="str">
        <f>+HYPERLINK("http://trademark.i-assist.jp/data/china/image_1903th/79127843.pdf", "79127843")</f>
        <v>79127843</v>
      </c>
      <c r="F709" s="11" t="s">
        <v>2230</v>
      </c>
      <c r="G709" s="11" t="s">
        <v>2231</v>
      </c>
      <c r="H709" s="11" t="s">
        <v>2232</v>
      </c>
      <c r="I709" s="11" t="s">
        <v>219</v>
      </c>
    </row>
    <row r="710" spans="1:9" x14ac:dyDescent="0.15">
      <c r="A710" s="10">
        <v>709</v>
      </c>
      <c r="B710" s="11" t="s">
        <v>9</v>
      </c>
      <c r="C710" s="11" t="s">
        <v>253</v>
      </c>
      <c r="D710" s="11" t="s">
        <v>254</v>
      </c>
      <c r="E710" s="9" t="str">
        <f>+HYPERLINK("http://trademark.i-assist.jp/data/china/image_1903th/79128207.pdf", "79128207")</f>
        <v>79128207</v>
      </c>
      <c r="F710" s="11" t="s">
        <v>2233</v>
      </c>
      <c r="G710" s="11" t="s">
        <v>229</v>
      </c>
      <c r="H710" s="11" t="s">
        <v>2234</v>
      </c>
      <c r="I710" s="11" t="s">
        <v>219</v>
      </c>
    </row>
    <row r="711" spans="1:9" x14ac:dyDescent="0.15">
      <c r="A711" s="10">
        <v>710</v>
      </c>
      <c r="B711" s="11" t="s">
        <v>9</v>
      </c>
      <c r="C711" s="11" t="s">
        <v>253</v>
      </c>
      <c r="D711" s="11" t="s">
        <v>254</v>
      </c>
      <c r="E711" s="9" t="str">
        <f>+HYPERLINK("http://trademark.i-assist.jp/data/china/image_1903th/79128427.pdf", "79128427")</f>
        <v>79128427</v>
      </c>
      <c r="F711" s="11" t="s">
        <v>2235</v>
      </c>
      <c r="G711" s="11" t="s">
        <v>2236</v>
      </c>
      <c r="H711" s="11" t="s">
        <v>2237</v>
      </c>
      <c r="I711" s="11" t="s">
        <v>219</v>
      </c>
    </row>
    <row r="712" spans="1:9" x14ac:dyDescent="0.15">
      <c r="A712" s="10">
        <v>711</v>
      </c>
      <c r="B712" s="11" t="s">
        <v>9</v>
      </c>
      <c r="C712" s="11" t="s">
        <v>253</v>
      </c>
      <c r="D712" s="11" t="s">
        <v>254</v>
      </c>
      <c r="E712" s="9" t="str">
        <f>+HYPERLINK("http://trademark.i-assist.jp/data/china/image_1903th/79128678.pdf", "79128678")</f>
        <v>79128678</v>
      </c>
      <c r="F712" s="11" t="s">
        <v>2238</v>
      </c>
      <c r="G712" s="11" t="s">
        <v>2239</v>
      </c>
      <c r="H712" s="11" t="s">
        <v>2240</v>
      </c>
      <c r="I712" s="11" t="s">
        <v>219</v>
      </c>
    </row>
    <row r="713" spans="1:9" x14ac:dyDescent="0.15">
      <c r="A713" s="10">
        <v>712</v>
      </c>
      <c r="B713" s="11" t="s">
        <v>9</v>
      </c>
      <c r="C713" s="11" t="s">
        <v>253</v>
      </c>
      <c r="D713" s="11" t="s">
        <v>254</v>
      </c>
      <c r="E713" s="9" t="str">
        <f>+HYPERLINK("http://trademark.i-assist.jp/data/china/image_1903th/79128757.pdf", "79128757")</f>
        <v>79128757</v>
      </c>
      <c r="F713" s="11" t="s">
        <v>2241</v>
      </c>
      <c r="G713" s="11" t="s">
        <v>2242</v>
      </c>
      <c r="H713" s="11" t="s">
        <v>2243</v>
      </c>
      <c r="I713" s="11" t="s">
        <v>219</v>
      </c>
    </row>
    <row r="714" spans="1:9" x14ac:dyDescent="0.15">
      <c r="A714" s="10">
        <v>713</v>
      </c>
      <c r="B714" s="11" t="s">
        <v>9</v>
      </c>
      <c r="C714" s="11" t="s">
        <v>253</v>
      </c>
      <c r="D714" s="11" t="s">
        <v>254</v>
      </c>
      <c r="E714" s="9" t="str">
        <f>+HYPERLINK("http://trademark.i-assist.jp/data/china/image_1903th/79128781.pdf", "79128781")</f>
        <v>79128781</v>
      </c>
      <c r="F714" s="11" t="s">
        <v>2244</v>
      </c>
      <c r="G714" s="11" t="s">
        <v>2245</v>
      </c>
      <c r="H714" s="11" t="s">
        <v>2246</v>
      </c>
      <c r="I714" s="11" t="s">
        <v>219</v>
      </c>
    </row>
    <row r="715" spans="1:9" x14ac:dyDescent="0.15">
      <c r="A715" s="10">
        <v>714</v>
      </c>
      <c r="B715" s="11" t="s">
        <v>9</v>
      </c>
      <c r="C715" s="11" t="s">
        <v>253</v>
      </c>
      <c r="D715" s="11" t="s">
        <v>254</v>
      </c>
      <c r="E715" s="9" t="str">
        <f>+HYPERLINK("http://trademark.i-assist.jp/data/china/image_1903th/79129212.pdf", "79129212")</f>
        <v>79129212</v>
      </c>
      <c r="F715" s="11" t="s">
        <v>2247</v>
      </c>
      <c r="G715" s="11" t="s">
        <v>2248</v>
      </c>
      <c r="H715" s="11" t="s">
        <v>2249</v>
      </c>
      <c r="I715" s="11" t="s">
        <v>219</v>
      </c>
    </row>
    <row r="716" spans="1:9" x14ac:dyDescent="0.15">
      <c r="A716" s="10">
        <v>715</v>
      </c>
      <c r="B716" s="11" t="s">
        <v>9</v>
      </c>
      <c r="C716" s="11" t="s">
        <v>253</v>
      </c>
      <c r="D716" s="11" t="s">
        <v>254</v>
      </c>
      <c r="E716" s="9" t="str">
        <f>+HYPERLINK("http://trademark.i-assist.jp/data/china/image_1903th/79130110.pdf", "79130110")</f>
        <v>79130110</v>
      </c>
      <c r="F716" s="11" t="s">
        <v>2250</v>
      </c>
      <c r="G716" s="11" t="s">
        <v>2251</v>
      </c>
      <c r="H716" s="11" t="s">
        <v>2252</v>
      </c>
      <c r="I716" s="11" t="s">
        <v>219</v>
      </c>
    </row>
    <row r="717" spans="1:9" x14ac:dyDescent="0.15">
      <c r="A717" s="10">
        <v>716</v>
      </c>
      <c r="B717" s="11" t="s">
        <v>9</v>
      </c>
      <c r="C717" s="11" t="s">
        <v>253</v>
      </c>
      <c r="D717" s="11" t="s">
        <v>254</v>
      </c>
      <c r="E717" s="9" t="str">
        <f>+HYPERLINK("http://trademark.i-assist.jp/data/china/image_1903th/79130599.pdf", "79130599")</f>
        <v>79130599</v>
      </c>
      <c r="F717" s="11" t="s">
        <v>2253</v>
      </c>
      <c r="G717" s="11" t="s">
        <v>2254</v>
      </c>
      <c r="H717" s="11" t="s">
        <v>2255</v>
      </c>
      <c r="I717" s="11" t="s">
        <v>219</v>
      </c>
    </row>
    <row r="718" spans="1:9" x14ac:dyDescent="0.15">
      <c r="A718" s="10">
        <v>717</v>
      </c>
      <c r="B718" s="11" t="s">
        <v>9</v>
      </c>
      <c r="C718" s="11" t="s">
        <v>253</v>
      </c>
      <c r="D718" s="11" t="s">
        <v>254</v>
      </c>
      <c r="E718" s="9" t="str">
        <f>+HYPERLINK("http://trademark.i-assist.jp/data/china/image_1903th/79130812.pdf", "79130812")</f>
        <v>79130812</v>
      </c>
      <c r="F718" s="11" t="s">
        <v>2256</v>
      </c>
      <c r="G718" s="11" t="s">
        <v>2257</v>
      </c>
      <c r="H718" s="11" t="s">
        <v>2258</v>
      </c>
      <c r="I718" s="11" t="s">
        <v>219</v>
      </c>
    </row>
    <row r="719" spans="1:9" x14ac:dyDescent="0.15">
      <c r="A719" s="10">
        <v>718</v>
      </c>
      <c r="B719" s="11" t="s">
        <v>9</v>
      </c>
      <c r="C719" s="11" t="s">
        <v>253</v>
      </c>
      <c r="D719" s="11" t="s">
        <v>254</v>
      </c>
      <c r="E719" s="9" t="str">
        <f>+HYPERLINK("http://trademark.i-assist.jp/data/china/image_1903th/79131035.pdf", "79131035")</f>
        <v>79131035</v>
      </c>
      <c r="F719" s="11" t="s">
        <v>2259</v>
      </c>
      <c r="G719" s="11" t="s">
        <v>221</v>
      </c>
      <c r="H719" s="11" t="s">
        <v>2260</v>
      </c>
      <c r="I719" s="11" t="s">
        <v>219</v>
      </c>
    </row>
    <row r="720" spans="1:9" x14ac:dyDescent="0.15">
      <c r="A720" s="10">
        <v>719</v>
      </c>
      <c r="B720" s="11" t="s">
        <v>9</v>
      </c>
      <c r="C720" s="11" t="s">
        <v>253</v>
      </c>
      <c r="D720" s="11" t="s">
        <v>254</v>
      </c>
      <c r="E720" s="9" t="str">
        <f>+HYPERLINK("http://trademark.i-assist.jp/data/china/image_1903th/79131432.pdf", "79131432")</f>
        <v>79131432</v>
      </c>
      <c r="F720" s="11" t="s">
        <v>2261</v>
      </c>
      <c r="G720" s="11" t="s">
        <v>2262</v>
      </c>
      <c r="H720" s="11" t="s">
        <v>2263</v>
      </c>
      <c r="I720" s="11" t="s">
        <v>219</v>
      </c>
    </row>
    <row r="721" spans="1:9" x14ac:dyDescent="0.15">
      <c r="A721" s="10">
        <v>720</v>
      </c>
      <c r="B721" s="11" t="s">
        <v>9</v>
      </c>
      <c r="C721" s="11" t="s">
        <v>253</v>
      </c>
      <c r="D721" s="11" t="s">
        <v>254</v>
      </c>
      <c r="E721" s="9" t="str">
        <f>+HYPERLINK("http://trademark.i-assist.jp/data/china/image_1903th/79131982.pdf", "79131982")</f>
        <v>79131982</v>
      </c>
      <c r="F721" s="11" t="s">
        <v>2264</v>
      </c>
      <c r="G721" s="11" t="s">
        <v>2265</v>
      </c>
      <c r="H721" s="11" t="s">
        <v>2266</v>
      </c>
      <c r="I721" s="11" t="s">
        <v>219</v>
      </c>
    </row>
    <row r="722" spans="1:9" x14ac:dyDescent="0.15">
      <c r="A722" s="10">
        <v>721</v>
      </c>
      <c r="B722" s="11" t="s">
        <v>9</v>
      </c>
      <c r="C722" s="11" t="s">
        <v>253</v>
      </c>
      <c r="D722" s="11" t="s">
        <v>254</v>
      </c>
      <c r="E722" s="9" t="str">
        <f>+HYPERLINK("http://trademark.i-assist.jp/data/china/image_1903th/79132721.pdf", "79132721")</f>
        <v>79132721</v>
      </c>
      <c r="F722" s="11" t="s">
        <v>2267</v>
      </c>
      <c r="G722" s="11" t="s">
        <v>2268</v>
      </c>
      <c r="H722" s="11" t="s">
        <v>2269</v>
      </c>
      <c r="I722" s="11" t="s">
        <v>219</v>
      </c>
    </row>
    <row r="723" spans="1:9" x14ac:dyDescent="0.15">
      <c r="A723" s="10">
        <v>722</v>
      </c>
      <c r="B723" s="11" t="s">
        <v>9</v>
      </c>
      <c r="C723" s="11" t="s">
        <v>253</v>
      </c>
      <c r="D723" s="11" t="s">
        <v>254</v>
      </c>
      <c r="E723" s="9" t="str">
        <f>+HYPERLINK("http://trademark.i-assist.jp/data/china/image_1903th/79133626.pdf", "79133626")</f>
        <v>79133626</v>
      </c>
      <c r="F723" s="11" t="s">
        <v>2270</v>
      </c>
      <c r="G723" s="11" t="s">
        <v>2271</v>
      </c>
      <c r="H723" s="11" t="s">
        <v>2272</v>
      </c>
      <c r="I723" s="11" t="s">
        <v>219</v>
      </c>
    </row>
    <row r="724" spans="1:9" x14ac:dyDescent="0.15">
      <c r="A724" s="10">
        <v>723</v>
      </c>
      <c r="B724" s="11" t="s">
        <v>9</v>
      </c>
      <c r="C724" s="11" t="s">
        <v>253</v>
      </c>
      <c r="D724" s="11" t="s">
        <v>254</v>
      </c>
      <c r="E724" s="9" t="str">
        <f>+HYPERLINK("http://trademark.i-assist.jp/data/china/image_1903th/79134280.pdf", "79134280")</f>
        <v>79134280</v>
      </c>
      <c r="F724" s="11" t="s">
        <v>2273</v>
      </c>
      <c r="G724" s="11" t="s">
        <v>2274</v>
      </c>
      <c r="H724" s="11" t="s">
        <v>2275</v>
      </c>
      <c r="I724" s="11" t="s">
        <v>219</v>
      </c>
    </row>
    <row r="725" spans="1:9" x14ac:dyDescent="0.15">
      <c r="A725" s="10">
        <v>724</v>
      </c>
      <c r="B725" s="11" t="s">
        <v>9</v>
      </c>
      <c r="C725" s="11" t="s">
        <v>253</v>
      </c>
      <c r="D725" s="11" t="s">
        <v>254</v>
      </c>
      <c r="E725" s="9" t="str">
        <f>+HYPERLINK("http://trademark.i-assist.jp/data/china/image_1903th/79134517.pdf", "79134517")</f>
        <v>79134517</v>
      </c>
      <c r="F725" s="11" t="s">
        <v>2276</v>
      </c>
      <c r="G725" s="11" t="s">
        <v>163</v>
      </c>
      <c r="H725" s="11" t="s">
        <v>2277</v>
      </c>
      <c r="I725" s="11" t="s">
        <v>219</v>
      </c>
    </row>
    <row r="726" spans="1:9" x14ac:dyDescent="0.15">
      <c r="A726" s="10">
        <v>725</v>
      </c>
      <c r="B726" s="11" t="s">
        <v>9</v>
      </c>
      <c r="C726" s="11" t="s">
        <v>253</v>
      </c>
      <c r="D726" s="11" t="s">
        <v>254</v>
      </c>
      <c r="E726" s="9" t="str">
        <f>+HYPERLINK("http://trademark.i-assist.jp/data/china/image_1903th/79134542.pdf", "79134542")</f>
        <v>79134542</v>
      </c>
      <c r="F726" s="11" t="s">
        <v>2278</v>
      </c>
      <c r="G726" s="11" t="s">
        <v>2279</v>
      </c>
      <c r="H726" s="11" t="s">
        <v>2280</v>
      </c>
      <c r="I726" s="11" t="s">
        <v>219</v>
      </c>
    </row>
    <row r="727" spans="1:9" x14ac:dyDescent="0.15">
      <c r="A727" s="10">
        <v>726</v>
      </c>
      <c r="B727" s="11" t="s">
        <v>9</v>
      </c>
      <c r="C727" s="11" t="s">
        <v>253</v>
      </c>
      <c r="D727" s="11" t="s">
        <v>254</v>
      </c>
      <c r="E727" s="9" t="str">
        <f>+HYPERLINK("http://trademark.i-assist.jp/data/china/image_1903th/79135046.pdf", "79135046")</f>
        <v>79135046</v>
      </c>
      <c r="F727" s="11" t="s">
        <v>2281</v>
      </c>
      <c r="G727" s="11" t="s">
        <v>2282</v>
      </c>
      <c r="H727" s="11" t="s">
        <v>2283</v>
      </c>
      <c r="I727" s="11" t="s">
        <v>219</v>
      </c>
    </row>
    <row r="728" spans="1:9" x14ac:dyDescent="0.15">
      <c r="A728" s="10">
        <v>727</v>
      </c>
      <c r="B728" s="11" t="s">
        <v>9</v>
      </c>
      <c r="C728" s="11" t="s">
        <v>253</v>
      </c>
      <c r="D728" s="11" t="s">
        <v>254</v>
      </c>
      <c r="E728" s="9" t="str">
        <f>+HYPERLINK("http://trademark.i-assist.jp/data/china/image_1903th/79135236.pdf", "79135236")</f>
        <v>79135236</v>
      </c>
      <c r="F728" s="11" t="s">
        <v>2284</v>
      </c>
      <c r="G728" s="11" t="s">
        <v>2239</v>
      </c>
      <c r="H728" s="11" t="s">
        <v>2285</v>
      </c>
      <c r="I728" s="11" t="s">
        <v>219</v>
      </c>
    </row>
    <row r="729" spans="1:9" x14ac:dyDescent="0.15">
      <c r="A729" s="10">
        <v>728</v>
      </c>
      <c r="B729" s="11" t="s">
        <v>9</v>
      </c>
      <c r="C729" s="11" t="s">
        <v>253</v>
      </c>
      <c r="D729" s="11" t="s">
        <v>254</v>
      </c>
      <c r="E729" s="9" t="str">
        <f>+HYPERLINK("http://trademark.i-assist.jp/data/china/image_1903th/79136201.pdf", "79136201")</f>
        <v>79136201</v>
      </c>
      <c r="F729" s="11" t="s">
        <v>2286</v>
      </c>
      <c r="G729" s="11" t="s">
        <v>2287</v>
      </c>
      <c r="H729" s="11" t="s">
        <v>2288</v>
      </c>
      <c r="I729" s="11" t="s">
        <v>219</v>
      </c>
    </row>
    <row r="730" spans="1:9" x14ac:dyDescent="0.15">
      <c r="A730" s="10">
        <v>729</v>
      </c>
      <c r="B730" s="11" t="s">
        <v>9</v>
      </c>
      <c r="C730" s="11" t="s">
        <v>253</v>
      </c>
      <c r="D730" s="11" t="s">
        <v>254</v>
      </c>
      <c r="E730" s="9" t="str">
        <f>+HYPERLINK("http://trademark.i-assist.jp/data/china/image_1903th/79136504.pdf", "79136504")</f>
        <v>79136504</v>
      </c>
      <c r="F730" s="11" t="s">
        <v>2289</v>
      </c>
      <c r="G730" s="11" t="s">
        <v>2290</v>
      </c>
      <c r="H730" s="11" t="s">
        <v>2291</v>
      </c>
      <c r="I730" s="11" t="s">
        <v>219</v>
      </c>
    </row>
    <row r="731" spans="1:9" x14ac:dyDescent="0.15">
      <c r="A731" s="10">
        <v>730</v>
      </c>
      <c r="B731" s="11" t="s">
        <v>9</v>
      </c>
      <c r="C731" s="11" t="s">
        <v>253</v>
      </c>
      <c r="D731" s="11" t="s">
        <v>254</v>
      </c>
      <c r="E731" s="9" t="str">
        <f>+HYPERLINK("http://trademark.i-assist.jp/data/china/image_1903th/79137262.pdf", "79137262")</f>
        <v>79137262</v>
      </c>
      <c r="F731" s="11" t="s">
        <v>2292</v>
      </c>
      <c r="G731" s="11" t="s">
        <v>2239</v>
      </c>
      <c r="H731" s="11" t="s">
        <v>2293</v>
      </c>
      <c r="I731" s="11" t="s">
        <v>219</v>
      </c>
    </row>
    <row r="732" spans="1:9" x14ac:dyDescent="0.15">
      <c r="A732" s="10">
        <v>731</v>
      </c>
      <c r="B732" s="11" t="s">
        <v>9</v>
      </c>
      <c r="C732" s="11" t="s">
        <v>253</v>
      </c>
      <c r="D732" s="11" t="s">
        <v>254</v>
      </c>
      <c r="E732" s="9" t="str">
        <f>+HYPERLINK("http://trademark.i-assist.jp/data/china/image_1903th/79137952.pdf", "79137952")</f>
        <v>79137952</v>
      </c>
      <c r="F732" s="11" t="s">
        <v>12</v>
      </c>
      <c r="G732" s="11" t="s">
        <v>2294</v>
      </c>
      <c r="H732" s="11" t="s">
        <v>2295</v>
      </c>
      <c r="I732" s="11" t="s">
        <v>219</v>
      </c>
    </row>
    <row r="733" spans="1:9" x14ac:dyDescent="0.15">
      <c r="A733" s="10">
        <v>732</v>
      </c>
      <c r="B733" s="11" t="s">
        <v>9</v>
      </c>
      <c r="C733" s="11" t="s">
        <v>253</v>
      </c>
      <c r="D733" s="11" t="s">
        <v>254</v>
      </c>
      <c r="E733" s="9" t="str">
        <f>+HYPERLINK("http://trademark.i-assist.jp/data/china/image_1903th/79138448.pdf", "79138448")</f>
        <v>79138448</v>
      </c>
      <c r="F733" s="11" t="s">
        <v>2296</v>
      </c>
      <c r="G733" s="11" t="s">
        <v>2297</v>
      </c>
      <c r="H733" s="11" t="s">
        <v>2298</v>
      </c>
      <c r="I733" s="11" t="s">
        <v>219</v>
      </c>
    </row>
    <row r="734" spans="1:9" x14ac:dyDescent="0.15">
      <c r="A734" s="10">
        <v>733</v>
      </c>
      <c r="B734" s="11" t="s">
        <v>9</v>
      </c>
      <c r="C734" s="11" t="s">
        <v>253</v>
      </c>
      <c r="D734" s="11" t="s">
        <v>254</v>
      </c>
      <c r="E734" s="9" t="str">
        <f>+HYPERLINK("http://trademark.i-assist.jp/data/china/image_1903th/79138863.pdf", "79138863")</f>
        <v>79138863</v>
      </c>
      <c r="F734" s="11" t="s">
        <v>2299</v>
      </c>
      <c r="G734" s="11" t="s">
        <v>2300</v>
      </c>
      <c r="H734" s="11" t="s">
        <v>2301</v>
      </c>
      <c r="I734" s="11" t="s">
        <v>219</v>
      </c>
    </row>
    <row r="735" spans="1:9" x14ac:dyDescent="0.15">
      <c r="A735" s="10">
        <v>734</v>
      </c>
      <c r="B735" s="11" t="s">
        <v>9</v>
      </c>
      <c r="C735" s="11" t="s">
        <v>253</v>
      </c>
      <c r="D735" s="11" t="s">
        <v>254</v>
      </c>
      <c r="E735" s="9" t="str">
        <f>+HYPERLINK("http://trademark.i-assist.jp/data/china/image_1903th/79138866.pdf", "79138866")</f>
        <v>79138866</v>
      </c>
      <c r="F735" s="11" t="s">
        <v>2302</v>
      </c>
      <c r="G735" s="11" t="s">
        <v>2300</v>
      </c>
      <c r="H735" s="11" t="s">
        <v>2303</v>
      </c>
      <c r="I735" s="11" t="s">
        <v>219</v>
      </c>
    </row>
    <row r="736" spans="1:9" x14ac:dyDescent="0.15">
      <c r="A736" s="10">
        <v>735</v>
      </c>
      <c r="B736" s="11" t="s">
        <v>9</v>
      </c>
      <c r="C736" s="11" t="s">
        <v>253</v>
      </c>
      <c r="D736" s="11" t="s">
        <v>254</v>
      </c>
      <c r="E736" s="9" t="str">
        <f>+HYPERLINK("http://trademark.i-assist.jp/data/china/image_1903th/79138962.pdf", "79138962")</f>
        <v>79138962</v>
      </c>
      <c r="F736" s="11" t="s">
        <v>2304</v>
      </c>
      <c r="G736" s="11" t="s">
        <v>2300</v>
      </c>
      <c r="H736" s="11" t="s">
        <v>2305</v>
      </c>
      <c r="I736" s="11" t="s">
        <v>219</v>
      </c>
    </row>
    <row r="737" spans="1:9" x14ac:dyDescent="0.15">
      <c r="A737" s="10">
        <v>736</v>
      </c>
      <c r="B737" s="11" t="s">
        <v>9</v>
      </c>
      <c r="C737" s="11" t="s">
        <v>253</v>
      </c>
      <c r="D737" s="11" t="s">
        <v>254</v>
      </c>
      <c r="E737" s="9" t="str">
        <f>+HYPERLINK("http://trademark.i-assist.jp/data/china/image_1903th/79139219.pdf", "79139219")</f>
        <v>79139219</v>
      </c>
      <c r="F737" s="11" t="s">
        <v>2306</v>
      </c>
      <c r="G737" s="11" t="s">
        <v>2307</v>
      </c>
      <c r="H737" s="11" t="s">
        <v>2308</v>
      </c>
      <c r="I737" s="11" t="s">
        <v>219</v>
      </c>
    </row>
    <row r="738" spans="1:9" x14ac:dyDescent="0.15">
      <c r="A738" s="10">
        <v>737</v>
      </c>
      <c r="B738" s="11" t="s">
        <v>9</v>
      </c>
      <c r="C738" s="11" t="s">
        <v>253</v>
      </c>
      <c r="D738" s="11" t="s">
        <v>254</v>
      </c>
      <c r="E738" s="9" t="str">
        <f>+HYPERLINK("http://trademark.i-assist.jp/data/china/image_1903th/79139696.pdf", "79139696")</f>
        <v>79139696</v>
      </c>
      <c r="F738" s="11" t="s">
        <v>2309</v>
      </c>
      <c r="G738" s="11" t="s">
        <v>2310</v>
      </c>
      <c r="H738" s="11" t="s">
        <v>2311</v>
      </c>
      <c r="I738" s="11" t="s">
        <v>219</v>
      </c>
    </row>
    <row r="739" spans="1:9" x14ac:dyDescent="0.15">
      <c r="A739" s="10">
        <v>738</v>
      </c>
      <c r="B739" s="11" t="s">
        <v>9</v>
      </c>
      <c r="C739" s="11" t="s">
        <v>253</v>
      </c>
      <c r="D739" s="11" t="s">
        <v>254</v>
      </c>
      <c r="E739" s="9" t="str">
        <f>+HYPERLINK("http://trademark.i-assist.jp/data/china/image_1903th/79140511.pdf", "79140511")</f>
        <v>79140511</v>
      </c>
      <c r="F739" s="11" t="s">
        <v>2312</v>
      </c>
      <c r="G739" s="11" t="s">
        <v>2313</v>
      </c>
      <c r="H739" s="11" t="s">
        <v>2314</v>
      </c>
      <c r="I739" s="11" t="s">
        <v>219</v>
      </c>
    </row>
    <row r="740" spans="1:9" x14ac:dyDescent="0.15">
      <c r="A740" s="10">
        <v>739</v>
      </c>
      <c r="B740" s="11" t="s">
        <v>9</v>
      </c>
      <c r="C740" s="11" t="s">
        <v>253</v>
      </c>
      <c r="D740" s="11" t="s">
        <v>254</v>
      </c>
      <c r="E740" s="9" t="str">
        <f>+HYPERLINK("http://trademark.i-assist.jp/data/china/image_1903th/79140617.pdf", "79140617")</f>
        <v>79140617</v>
      </c>
      <c r="F740" s="11" t="s">
        <v>2315</v>
      </c>
      <c r="G740" s="11" t="s">
        <v>2316</v>
      </c>
      <c r="H740" s="11" t="s">
        <v>2317</v>
      </c>
      <c r="I740" s="11" t="s">
        <v>219</v>
      </c>
    </row>
    <row r="741" spans="1:9" x14ac:dyDescent="0.15">
      <c r="A741" s="10">
        <v>740</v>
      </c>
      <c r="B741" s="11" t="s">
        <v>9</v>
      </c>
      <c r="C741" s="11" t="s">
        <v>253</v>
      </c>
      <c r="D741" s="11" t="s">
        <v>254</v>
      </c>
      <c r="E741" s="9" t="str">
        <f>+HYPERLINK("http://trademark.i-assist.jp/data/china/image_1903th/79140644.pdf", "79140644")</f>
        <v>79140644</v>
      </c>
      <c r="F741" s="11" t="s">
        <v>2318</v>
      </c>
      <c r="G741" s="11" t="s">
        <v>2319</v>
      </c>
      <c r="H741" s="11" t="s">
        <v>2320</v>
      </c>
      <c r="I741" s="11" t="s">
        <v>219</v>
      </c>
    </row>
    <row r="742" spans="1:9" x14ac:dyDescent="0.15">
      <c r="A742" s="10">
        <v>741</v>
      </c>
      <c r="B742" s="11" t="s">
        <v>9</v>
      </c>
      <c r="C742" s="11" t="s">
        <v>253</v>
      </c>
      <c r="D742" s="11" t="s">
        <v>254</v>
      </c>
      <c r="E742" s="9" t="str">
        <f>+HYPERLINK("http://trademark.i-assist.jp/data/china/image_1903th/79140963.pdf", "79140963")</f>
        <v>79140963</v>
      </c>
      <c r="F742" s="11" t="s">
        <v>2321</v>
      </c>
      <c r="G742" s="11" t="s">
        <v>2322</v>
      </c>
      <c r="H742" s="11" t="s">
        <v>2323</v>
      </c>
      <c r="I742" s="11" t="s">
        <v>219</v>
      </c>
    </row>
    <row r="743" spans="1:9" x14ac:dyDescent="0.15">
      <c r="A743" s="10">
        <v>742</v>
      </c>
      <c r="B743" s="11" t="s">
        <v>9</v>
      </c>
      <c r="C743" s="11" t="s">
        <v>253</v>
      </c>
      <c r="D743" s="11" t="s">
        <v>254</v>
      </c>
      <c r="E743" s="9" t="str">
        <f>+HYPERLINK("http://trademark.i-assist.jp/data/china/image_1903th/79141486.pdf", "79141486")</f>
        <v>79141486</v>
      </c>
      <c r="F743" s="11" t="s">
        <v>2324</v>
      </c>
      <c r="G743" s="11" t="s">
        <v>2300</v>
      </c>
      <c r="H743" s="11" t="s">
        <v>2325</v>
      </c>
      <c r="I743" s="11" t="s">
        <v>219</v>
      </c>
    </row>
    <row r="744" spans="1:9" x14ac:dyDescent="0.15">
      <c r="A744" s="10">
        <v>743</v>
      </c>
      <c r="B744" s="11" t="s">
        <v>9</v>
      </c>
      <c r="C744" s="11" t="s">
        <v>253</v>
      </c>
      <c r="D744" s="11" t="s">
        <v>254</v>
      </c>
      <c r="E744" s="9" t="str">
        <f>+HYPERLINK("http://trademark.i-assist.jp/data/china/image_1903th/79141490.pdf", "79141490")</f>
        <v>79141490</v>
      </c>
      <c r="F744" s="11" t="s">
        <v>2326</v>
      </c>
      <c r="G744" s="11" t="s">
        <v>2300</v>
      </c>
      <c r="H744" s="11" t="s">
        <v>2327</v>
      </c>
      <c r="I744" s="11" t="s">
        <v>219</v>
      </c>
    </row>
    <row r="745" spans="1:9" x14ac:dyDescent="0.15">
      <c r="A745" s="10">
        <v>744</v>
      </c>
      <c r="B745" s="11" t="s">
        <v>9</v>
      </c>
      <c r="C745" s="11" t="s">
        <v>253</v>
      </c>
      <c r="D745" s="11" t="s">
        <v>254</v>
      </c>
      <c r="E745" s="9" t="str">
        <f>+HYPERLINK("http://trademark.i-assist.jp/data/china/image_1903th/79141601.pdf", "79141601")</f>
        <v>79141601</v>
      </c>
      <c r="F745" s="11" t="s">
        <v>2328</v>
      </c>
      <c r="G745" s="11" t="s">
        <v>2239</v>
      </c>
      <c r="H745" s="11" t="s">
        <v>2329</v>
      </c>
      <c r="I745" s="11" t="s">
        <v>219</v>
      </c>
    </row>
    <row r="746" spans="1:9" x14ac:dyDescent="0.15">
      <c r="A746" s="10">
        <v>745</v>
      </c>
      <c r="B746" s="11" t="s">
        <v>9</v>
      </c>
      <c r="C746" s="11" t="s">
        <v>253</v>
      </c>
      <c r="D746" s="11" t="s">
        <v>254</v>
      </c>
      <c r="E746" s="9" t="str">
        <f>+HYPERLINK("http://trademark.i-assist.jp/data/china/image_1903th/79141779.pdf", "79141779")</f>
        <v>79141779</v>
      </c>
      <c r="F746" s="11" t="s">
        <v>2330</v>
      </c>
      <c r="G746" s="11" t="s">
        <v>31</v>
      </c>
      <c r="H746" s="11" t="s">
        <v>2331</v>
      </c>
      <c r="I746" s="11" t="s">
        <v>219</v>
      </c>
    </row>
    <row r="747" spans="1:9" x14ac:dyDescent="0.15">
      <c r="A747" s="10">
        <v>746</v>
      </c>
      <c r="B747" s="11" t="s">
        <v>9</v>
      </c>
      <c r="C747" s="11" t="s">
        <v>253</v>
      </c>
      <c r="D747" s="11" t="s">
        <v>254</v>
      </c>
      <c r="E747" s="9" t="str">
        <f>+HYPERLINK("http://trademark.i-assist.jp/data/china/image_1903th/79141849.pdf", "79141849")</f>
        <v>79141849</v>
      </c>
      <c r="F747" s="11" t="s">
        <v>2332</v>
      </c>
      <c r="G747" s="11" t="s">
        <v>2333</v>
      </c>
      <c r="H747" s="11" t="s">
        <v>2334</v>
      </c>
      <c r="I747" s="11" t="s">
        <v>219</v>
      </c>
    </row>
    <row r="748" spans="1:9" x14ac:dyDescent="0.15">
      <c r="A748" s="10">
        <v>747</v>
      </c>
      <c r="B748" s="11" t="s">
        <v>9</v>
      </c>
      <c r="C748" s="11" t="s">
        <v>253</v>
      </c>
      <c r="D748" s="11" t="s">
        <v>254</v>
      </c>
      <c r="E748" s="9" t="str">
        <f>+HYPERLINK("http://trademark.i-assist.jp/data/china/image_1903th/79141960.pdf", "79141960")</f>
        <v>79141960</v>
      </c>
      <c r="F748" s="11" t="s">
        <v>2335</v>
      </c>
      <c r="G748" s="11" t="s">
        <v>2336</v>
      </c>
      <c r="H748" s="11" t="s">
        <v>2337</v>
      </c>
      <c r="I748" s="11" t="s">
        <v>219</v>
      </c>
    </row>
    <row r="749" spans="1:9" x14ac:dyDescent="0.15">
      <c r="A749" s="10">
        <v>748</v>
      </c>
      <c r="B749" s="11" t="s">
        <v>9</v>
      </c>
      <c r="C749" s="11" t="s">
        <v>253</v>
      </c>
      <c r="D749" s="11" t="s">
        <v>254</v>
      </c>
      <c r="E749" s="9" t="str">
        <f>+HYPERLINK("http://trademark.i-assist.jp/data/china/image_1903th/79142446.pdf", "79142446")</f>
        <v>79142446</v>
      </c>
      <c r="F749" s="11" t="s">
        <v>2338</v>
      </c>
      <c r="G749" s="11" t="s">
        <v>2339</v>
      </c>
      <c r="H749" s="11" t="s">
        <v>2340</v>
      </c>
      <c r="I749" s="11" t="s">
        <v>219</v>
      </c>
    </row>
    <row r="750" spans="1:9" x14ac:dyDescent="0.15">
      <c r="A750" s="10">
        <v>749</v>
      </c>
      <c r="B750" s="11" t="s">
        <v>9</v>
      </c>
      <c r="C750" s="11" t="s">
        <v>253</v>
      </c>
      <c r="D750" s="11" t="s">
        <v>254</v>
      </c>
      <c r="E750" s="9" t="str">
        <f>+HYPERLINK("http://trademark.i-assist.jp/data/china/image_1903th/79143005.pdf", "79143005")</f>
        <v>79143005</v>
      </c>
      <c r="F750" s="11" t="s">
        <v>12</v>
      </c>
      <c r="G750" s="11" t="s">
        <v>2341</v>
      </c>
      <c r="H750" s="11" t="s">
        <v>2342</v>
      </c>
      <c r="I750" s="11" t="s">
        <v>219</v>
      </c>
    </row>
    <row r="751" spans="1:9" x14ac:dyDescent="0.15">
      <c r="A751" s="10">
        <v>750</v>
      </c>
      <c r="B751" s="11" t="s">
        <v>9</v>
      </c>
      <c r="C751" s="11" t="s">
        <v>253</v>
      </c>
      <c r="D751" s="11" t="s">
        <v>254</v>
      </c>
      <c r="E751" s="9" t="str">
        <f>+HYPERLINK("http://trademark.i-assist.jp/data/china/image_1903th/79143011.pdf", "79143011")</f>
        <v>79143011</v>
      </c>
      <c r="F751" s="11" t="s">
        <v>2343</v>
      </c>
      <c r="G751" s="11" t="s">
        <v>2344</v>
      </c>
      <c r="H751" s="11" t="s">
        <v>2345</v>
      </c>
      <c r="I751" s="11" t="s">
        <v>219</v>
      </c>
    </row>
    <row r="752" spans="1:9" x14ac:dyDescent="0.15">
      <c r="A752" s="10">
        <v>751</v>
      </c>
      <c r="B752" s="11" t="s">
        <v>9</v>
      </c>
      <c r="C752" s="11" t="s">
        <v>253</v>
      </c>
      <c r="D752" s="11" t="s">
        <v>254</v>
      </c>
      <c r="E752" s="9" t="str">
        <f>+HYPERLINK("http://trademark.i-assist.jp/data/china/image_1903th/79143251.pdf", "79143251")</f>
        <v>79143251</v>
      </c>
      <c r="F752" s="11" t="s">
        <v>2346</v>
      </c>
      <c r="G752" s="11" t="s">
        <v>2347</v>
      </c>
      <c r="H752" s="11" t="s">
        <v>2348</v>
      </c>
      <c r="I752" s="11" t="s">
        <v>219</v>
      </c>
    </row>
    <row r="753" spans="1:9" x14ac:dyDescent="0.15">
      <c r="A753" s="10">
        <v>752</v>
      </c>
      <c r="B753" s="11" t="s">
        <v>9</v>
      </c>
      <c r="C753" s="11" t="s">
        <v>253</v>
      </c>
      <c r="D753" s="11" t="s">
        <v>254</v>
      </c>
      <c r="E753" s="9" t="str">
        <f>+HYPERLINK("http://trademark.i-assist.jp/data/china/image_1903th/79144575.pdf", "79144575")</f>
        <v>79144575</v>
      </c>
      <c r="F753" s="11" t="s">
        <v>2349</v>
      </c>
      <c r="G753" s="11" t="s">
        <v>228</v>
      </c>
      <c r="H753" s="11" t="s">
        <v>2350</v>
      </c>
      <c r="I753" s="11" t="s">
        <v>219</v>
      </c>
    </row>
    <row r="754" spans="1:9" x14ac:dyDescent="0.15">
      <c r="A754" s="10">
        <v>753</v>
      </c>
      <c r="B754" s="11" t="s">
        <v>9</v>
      </c>
      <c r="C754" s="11" t="s">
        <v>253</v>
      </c>
      <c r="D754" s="11" t="s">
        <v>254</v>
      </c>
      <c r="E754" s="9" t="str">
        <f>+HYPERLINK("http://trademark.i-assist.jp/data/china/image_1903th/79145983.pdf", "79145983")</f>
        <v>79145983</v>
      </c>
      <c r="F754" s="11" t="s">
        <v>2351</v>
      </c>
      <c r="G754" s="11" t="s">
        <v>2352</v>
      </c>
      <c r="H754" s="11" t="s">
        <v>2353</v>
      </c>
      <c r="I754" s="11" t="s">
        <v>219</v>
      </c>
    </row>
    <row r="755" spans="1:9" x14ac:dyDescent="0.15">
      <c r="A755" s="10">
        <v>754</v>
      </c>
      <c r="B755" s="11" t="s">
        <v>9</v>
      </c>
      <c r="C755" s="11" t="s">
        <v>253</v>
      </c>
      <c r="D755" s="11" t="s">
        <v>254</v>
      </c>
      <c r="E755" s="9" t="str">
        <f>+HYPERLINK("http://trademark.i-assist.jp/data/china/image_1903th/79145994.pdf", "79145994")</f>
        <v>79145994</v>
      </c>
      <c r="F755" s="11" t="s">
        <v>2354</v>
      </c>
      <c r="G755" s="11" t="s">
        <v>2355</v>
      </c>
      <c r="H755" s="11" t="s">
        <v>2356</v>
      </c>
      <c r="I755" s="11" t="s">
        <v>219</v>
      </c>
    </row>
    <row r="756" spans="1:9" x14ac:dyDescent="0.15">
      <c r="A756" s="10">
        <v>755</v>
      </c>
      <c r="B756" s="11" t="s">
        <v>9</v>
      </c>
      <c r="C756" s="11" t="s">
        <v>253</v>
      </c>
      <c r="D756" s="11" t="s">
        <v>254</v>
      </c>
      <c r="E756" s="9" t="str">
        <f>+HYPERLINK("http://trademark.i-assist.jp/data/china/image_1903th/79146194.pdf", "79146194")</f>
        <v>79146194</v>
      </c>
      <c r="F756" s="11" t="s">
        <v>2357</v>
      </c>
      <c r="G756" s="11" t="s">
        <v>2358</v>
      </c>
      <c r="H756" s="11" t="s">
        <v>2359</v>
      </c>
      <c r="I756" s="11" t="s">
        <v>219</v>
      </c>
    </row>
    <row r="757" spans="1:9" x14ac:dyDescent="0.15">
      <c r="A757" s="10">
        <v>756</v>
      </c>
      <c r="B757" s="11" t="s">
        <v>9</v>
      </c>
      <c r="C757" s="11" t="s">
        <v>253</v>
      </c>
      <c r="D757" s="11" t="s">
        <v>254</v>
      </c>
      <c r="E757" s="9" t="str">
        <f>+HYPERLINK("http://trademark.i-assist.jp/data/china/image_1903th/79146840.pdf", "79146840")</f>
        <v>79146840</v>
      </c>
      <c r="F757" s="11" t="s">
        <v>2360</v>
      </c>
      <c r="G757" s="11" t="s">
        <v>2361</v>
      </c>
      <c r="H757" s="11" t="s">
        <v>2362</v>
      </c>
      <c r="I757" s="11" t="s">
        <v>219</v>
      </c>
    </row>
    <row r="758" spans="1:9" x14ac:dyDescent="0.15">
      <c r="A758" s="10">
        <v>757</v>
      </c>
      <c r="B758" s="11" t="s">
        <v>9</v>
      </c>
      <c r="C758" s="11" t="s">
        <v>253</v>
      </c>
      <c r="D758" s="11" t="s">
        <v>254</v>
      </c>
      <c r="E758" s="9" t="str">
        <f>+HYPERLINK("http://trademark.i-assist.jp/data/china/image_1903th/79146917.pdf", "79146917")</f>
        <v>79146917</v>
      </c>
      <c r="F758" s="11" t="s">
        <v>2363</v>
      </c>
      <c r="G758" s="11" t="s">
        <v>2364</v>
      </c>
      <c r="H758" s="11" t="s">
        <v>2365</v>
      </c>
      <c r="I758" s="11" t="s">
        <v>219</v>
      </c>
    </row>
    <row r="759" spans="1:9" x14ac:dyDescent="0.15">
      <c r="A759" s="10">
        <v>758</v>
      </c>
      <c r="B759" s="11" t="s">
        <v>9</v>
      </c>
      <c r="C759" s="11" t="s">
        <v>253</v>
      </c>
      <c r="D759" s="11" t="s">
        <v>254</v>
      </c>
      <c r="E759" s="9" t="str">
        <f>+HYPERLINK("http://trademark.i-assist.jp/data/china/image_1903th/79146974.pdf", "79146974")</f>
        <v>79146974</v>
      </c>
      <c r="F759" s="11" t="s">
        <v>2366</v>
      </c>
      <c r="G759" s="11" t="s">
        <v>2367</v>
      </c>
      <c r="H759" s="11" t="s">
        <v>2368</v>
      </c>
      <c r="I759" s="11" t="s">
        <v>219</v>
      </c>
    </row>
    <row r="760" spans="1:9" x14ac:dyDescent="0.15">
      <c r="A760" s="10">
        <v>759</v>
      </c>
      <c r="B760" s="11" t="s">
        <v>9</v>
      </c>
      <c r="C760" s="11" t="s">
        <v>253</v>
      </c>
      <c r="D760" s="11" t="s">
        <v>254</v>
      </c>
      <c r="E760" s="9" t="str">
        <f>+HYPERLINK("http://trademark.i-assist.jp/data/china/image_1903th/79147670.pdf", "79147670")</f>
        <v>79147670</v>
      </c>
      <c r="F760" s="11" t="s">
        <v>2369</v>
      </c>
      <c r="G760" s="11" t="s">
        <v>2370</v>
      </c>
      <c r="H760" s="11" t="s">
        <v>2371</v>
      </c>
      <c r="I760" s="11" t="s">
        <v>219</v>
      </c>
    </row>
    <row r="761" spans="1:9" x14ac:dyDescent="0.15">
      <c r="A761" s="10">
        <v>760</v>
      </c>
      <c r="B761" s="11" t="s">
        <v>9</v>
      </c>
      <c r="C761" s="11" t="s">
        <v>253</v>
      </c>
      <c r="D761" s="11" t="s">
        <v>254</v>
      </c>
      <c r="E761" s="9" t="str">
        <f>+HYPERLINK("http://trademark.i-assist.jp/data/china/image_1903th/79148161.pdf", "79148161")</f>
        <v>79148161</v>
      </c>
      <c r="F761" s="11" t="s">
        <v>2372</v>
      </c>
      <c r="G761" s="11" t="s">
        <v>163</v>
      </c>
      <c r="H761" s="11" t="s">
        <v>2373</v>
      </c>
      <c r="I761" s="11" t="s">
        <v>219</v>
      </c>
    </row>
    <row r="762" spans="1:9" x14ac:dyDescent="0.15">
      <c r="A762" s="10">
        <v>761</v>
      </c>
      <c r="B762" s="11" t="s">
        <v>9</v>
      </c>
      <c r="C762" s="11" t="s">
        <v>253</v>
      </c>
      <c r="D762" s="11" t="s">
        <v>254</v>
      </c>
      <c r="E762" s="9" t="str">
        <f>+HYPERLINK("http://trademark.i-assist.jp/data/china/image_1903th/79149300.pdf", "79149300")</f>
        <v>79149300</v>
      </c>
      <c r="F762" s="11" t="s">
        <v>2374</v>
      </c>
      <c r="G762" s="11" t="s">
        <v>2375</v>
      </c>
      <c r="H762" s="11" t="s">
        <v>2376</v>
      </c>
      <c r="I762" s="11" t="s">
        <v>219</v>
      </c>
    </row>
    <row r="763" spans="1:9" x14ac:dyDescent="0.15">
      <c r="A763" s="10">
        <v>762</v>
      </c>
      <c r="B763" s="11" t="s">
        <v>9</v>
      </c>
      <c r="C763" s="11" t="s">
        <v>253</v>
      </c>
      <c r="D763" s="11" t="s">
        <v>254</v>
      </c>
      <c r="E763" s="9" t="str">
        <f>+HYPERLINK("http://trademark.i-assist.jp/data/china/image_1903th/79149578.pdf", "79149578")</f>
        <v>79149578</v>
      </c>
      <c r="F763" s="11" t="s">
        <v>2377</v>
      </c>
      <c r="G763" s="11" t="s">
        <v>2378</v>
      </c>
      <c r="H763" s="11" t="s">
        <v>2379</v>
      </c>
      <c r="I763" s="11" t="s">
        <v>219</v>
      </c>
    </row>
    <row r="764" spans="1:9" x14ac:dyDescent="0.15">
      <c r="A764" s="10">
        <v>763</v>
      </c>
      <c r="B764" s="11" t="s">
        <v>9</v>
      </c>
      <c r="C764" s="11" t="s">
        <v>253</v>
      </c>
      <c r="D764" s="11" t="s">
        <v>254</v>
      </c>
      <c r="E764" s="9" t="str">
        <f>+HYPERLINK("http://trademark.i-assist.jp/data/china/image_1903th/79149833.pdf", "79149833")</f>
        <v>79149833</v>
      </c>
      <c r="F764" s="11" t="s">
        <v>2380</v>
      </c>
      <c r="G764" s="11" t="s">
        <v>2381</v>
      </c>
      <c r="H764" s="11" t="s">
        <v>2382</v>
      </c>
      <c r="I764" s="11" t="s">
        <v>219</v>
      </c>
    </row>
    <row r="765" spans="1:9" x14ac:dyDescent="0.15">
      <c r="A765" s="10">
        <v>764</v>
      </c>
      <c r="B765" s="11" t="s">
        <v>9</v>
      </c>
      <c r="C765" s="11" t="s">
        <v>253</v>
      </c>
      <c r="D765" s="11" t="s">
        <v>254</v>
      </c>
      <c r="E765" s="9" t="str">
        <f>+HYPERLINK("http://trademark.i-assist.jp/data/china/image_1903th/79149980.pdf", "79149980")</f>
        <v>79149980</v>
      </c>
      <c r="F765" s="11" t="s">
        <v>2383</v>
      </c>
      <c r="G765" s="11" t="s">
        <v>2239</v>
      </c>
      <c r="H765" s="11" t="s">
        <v>2384</v>
      </c>
      <c r="I765" s="11" t="s">
        <v>219</v>
      </c>
    </row>
    <row r="766" spans="1:9" x14ac:dyDescent="0.15">
      <c r="A766" s="10">
        <v>765</v>
      </c>
      <c r="B766" s="11" t="s">
        <v>9</v>
      </c>
      <c r="C766" s="11" t="s">
        <v>253</v>
      </c>
      <c r="D766" s="11" t="s">
        <v>254</v>
      </c>
      <c r="E766" s="9" t="str">
        <f>+HYPERLINK("http://trademark.i-assist.jp/data/china/image_1903th/79150603.pdf", "79150603")</f>
        <v>79150603</v>
      </c>
      <c r="F766" s="11" t="s">
        <v>2385</v>
      </c>
      <c r="G766" s="11" t="s">
        <v>2386</v>
      </c>
      <c r="H766" s="11" t="s">
        <v>2387</v>
      </c>
      <c r="I766" s="11" t="s">
        <v>219</v>
      </c>
    </row>
    <row r="767" spans="1:9" x14ac:dyDescent="0.15">
      <c r="A767" s="10">
        <v>766</v>
      </c>
      <c r="B767" s="11" t="s">
        <v>9</v>
      </c>
      <c r="C767" s="11" t="s">
        <v>253</v>
      </c>
      <c r="D767" s="11" t="s">
        <v>254</v>
      </c>
      <c r="E767" s="9" t="str">
        <f>+HYPERLINK("http://trademark.i-assist.jp/data/china/image_1903th/79151273.pdf", "79151273")</f>
        <v>79151273</v>
      </c>
      <c r="F767" s="11" t="s">
        <v>12</v>
      </c>
      <c r="G767" s="11" t="s">
        <v>2388</v>
      </c>
      <c r="H767" s="11" t="s">
        <v>2389</v>
      </c>
      <c r="I767" s="11" t="s">
        <v>219</v>
      </c>
    </row>
    <row r="768" spans="1:9" x14ac:dyDescent="0.15">
      <c r="A768" s="10">
        <v>767</v>
      </c>
      <c r="B768" s="11" t="s">
        <v>9</v>
      </c>
      <c r="C768" s="11" t="s">
        <v>253</v>
      </c>
      <c r="D768" s="11" t="s">
        <v>254</v>
      </c>
      <c r="E768" s="9" t="str">
        <f>+HYPERLINK("http://trademark.i-assist.jp/data/china/image_1903th/79151575.pdf", "79151575")</f>
        <v>79151575</v>
      </c>
      <c r="F768" s="11" t="s">
        <v>2390</v>
      </c>
      <c r="G768" s="11" t="s">
        <v>2391</v>
      </c>
      <c r="H768" s="11" t="s">
        <v>2392</v>
      </c>
      <c r="I768" s="11" t="s">
        <v>219</v>
      </c>
    </row>
    <row r="769" spans="1:9" x14ac:dyDescent="0.15">
      <c r="A769" s="10">
        <v>768</v>
      </c>
      <c r="B769" s="11" t="s">
        <v>9</v>
      </c>
      <c r="C769" s="11" t="s">
        <v>253</v>
      </c>
      <c r="D769" s="11" t="s">
        <v>254</v>
      </c>
      <c r="E769" s="9" t="str">
        <f>+HYPERLINK("http://trademark.i-assist.jp/data/china/image_1903th/79151618.pdf", "79151618")</f>
        <v>79151618</v>
      </c>
      <c r="F769" s="11" t="s">
        <v>2393</v>
      </c>
      <c r="G769" s="11" t="s">
        <v>2394</v>
      </c>
      <c r="H769" s="11" t="s">
        <v>2395</v>
      </c>
      <c r="I769" s="11" t="s">
        <v>219</v>
      </c>
    </row>
    <row r="770" spans="1:9" x14ac:dyDescent="0.15">
      <c r="A770" s="10">
        <v>769</v>
      </c>
      <c r="B770" s="11" t="s">
        <v>9</v>
      </c>
      <c r="C770" s="11" t="s">
        <v>253</v>
      </c>
      <c r="D770" s="11" t="s">
        <v>254</v>
      </c>
      <c r="E770" s="9" t="str">
        <f>+HYPERLINK("http://trademark.i-assist.jp/data/china/image_1903th/79152002.pdf", "79152002")</f>
        <v>79152002</v>
      </c>
      <c r="F770" s="11" t="s">
        <v>2396</v>
      </c>
      <c r="G770" s="11" t="s">
        <v>201</v>
      </c>
      <c r="H770" s="11" t="s">
        <v>2397</v>
      </c>
      <c r="I770" s="11" t="s">
        <v>219</v>
      </c>
    </row>
    <row r="771" spans="1:9" x14ac:dyDescent="0.15">
      <c r="A771" s="10">
        <v>770</v>
      </c>
      <c r="B771" s="11" t="s">
        <v>9</v>
      </c>
      <c r="C771" s="11" t="s">
        <v>253</v>
      </c>
      <c r="D771" s="11" t="s">
        <v>254</v>
      </c>
      <c r="E771" s="9" t="str">
        <f>+HYPERLINK("http://trademark.i-assist.jp/data/china/image_1903th/79152371.pdf", "79152371")</f>
        <v>79152371</v>
      </c>
      <c r="F771" s="11" t="s">
        <v>2398</v>
      </c>
      <c r="G771" s="11" t="s">
        <v>163</v>
      </c>
      <c r="H771" s="11" t="s">
        <v>2399</v>
      </c>
      <c r="I771" s="11" t="s">
        <v>219</v>
      </c>
    </row>
    <row r="772" spans="1:9" x14ac:dyDescent="0.15">
      <c r="A772" s="10">
        <v>771</v>
      </c>
      <c r="B772" s="11" t="s">
        <v>9</v>
      </c>
      <c r="C772" s="11" t="s">
        <v>253</v>
      </c>
      <c r="D772" s="11" t="s">
        <v>254</v>
      </c>
      <c r="E772" s="9" t="str">
        <f>+HYPERLINK("http://trademark.i-assist.jp/data/china/image_1903th/79152388.pdf", "79152388")</f>
        <v>79152388</v>
      </c>
      <c r="F772" s="11" t="s">
        <v>12</v>
      </c>
      <c r="G772" s="11" t="s">
        <v>2400</v>
      </c>
      <c r="H772" s="11" t="s">
        <v>2401</v>
      </c>
      <c r="I772" s="11" t="s">
        <v>219</v>
      </c>
    </row>
    <row r="773" spans="1:9" x14ac:dyDescent="0.15">
      <c r="A773" s="10">
        <v>772</v>
      </c>
      <c r="B773" s="11" t="s">
        <v>9</v>
      </c>
      <c r="C773" s="11" t="s">
        <v>253</v>
      </c>
      <c r="D773" s="11" t="s">
        <v>254</v>
      </c>
      <c r="E773" s="9" t="str">
        <f>+HYPERLINK("http://trademark.i-assist.jp/data/china/image_1903th/79152769.pdf", "79152769")</f>
        <v>79152769</v>
      </c>
      <c r="F773" s="11" t="s">
        <v>2402</v>
      </c>
      <c r="G773" s="11" t="s">
        <v>2254</v>
      </c>
      <c r="H773" s="11" t="s">
        <v>2403</v>
      </c>
      <c r="I773" s="11" t="s">
        <v>219</v>
      </c>
    </row>
    <row r="774" spans="1:9" x14ac:dyDescent="0.15">
      <c r="A774" s="10">
        <v>773</v>
      </c>
      <c r="B774" s="11" t="s">
        <v>9</v>
      </c>
      <c r="C774" s="11" t="s">
        <v>253</v>
      </c>
      <c r="D774" s="11" t="s">
        <v>254</v>
      </c>
      <c r="E774" s="9" t="str">
        <f>+HYPERLINK("http://trademark.i-assist.jp/data/china/image_1903th/79152906.pdf", "79152906")</f>
        <v>79152906</v>
      </c>
      <c r="F774" s="11" t="s">
        <v>2404</v>
      </c>
      <c r="G774" s="11" t="s">
        <v>2405</v>
      </c>
      <c r="H774" s="11" t="s">
        <v>2406</v>
      </c>
      <c r="I774" s="11" t="s">
        <v>219</v>
      </c>
    </row>
    <row r="775" spans="1:9" x14ac:dyDescent="0.15">
      <c r="A775" s="10">
        <v>774</v>
      </c>
      <c r="B775" s="11" t="s">
        <v>9</v>
      </c>
      <c r="C775" s="11" t="s">
        <v>253</v>
      </c>
      <c r="D775" s="11" t="s">
        <v>254</v>
      </c>
      <c r="E775" s="9" t="str">
        <f>+HYPERLINK("http://trademark.i-assist.jp/data/china/image_1903th/79153622.pdf", "79153622")</f>
        <v>79153622</v>
      </c>
      <c r="F775" s="11" t="s">
        <v>2407</v>
      </c>
      <c r="G775" s="11" t="s">
        <v>2408</v>
      </c>
      <c r="H775" s="11" t="s">
        <v>2409</v>
      </c>
      <c r="I775" s="11" t="s">
        <v>230</v>
      </c>
    </row>
    <row r="776" spans="1:9" x14ac:dyDescent="0.15">
      <c r="A776" s="10">
        <v>775</v>
      </c>
      <c r="B776" s="11" t="s">
        <v>9</v>
      </c>
      <c r="C776" s="11" t="s">
        <v>253</v>
      </c>
      <c r="D776" s="11" t="s">
        <v>254</v>
      </c>
      <c r="E776" s="9" t="str">
        <f>+HYPERLINK("http://trademark.i-assist.jp/data/china/image_1903th/79153892.pdf", "79153892")</f>
        <v>79153892</v>
      </c>
      <c r="F776" s="11" t="s">
        <v>2410</v>
      </c>
      <c r="G776" s="11" t="s">
        <v>57</v>
      </c>
      <c r="H776" s="11" t="s">
        <v>2411</v>
      </c>
      <c r="I776" s="11" t="s">
        <v>230</v>
      </c>
    </row>
    <row r="777" spans="1:9" x14ac:dyDescent="0.15">
      <c r="A777" s="10">
        <v>776</v>
      </c>
      <c r="B777" s="11" t="s">
        <v>9</v>
      </c>
      <c r="C777" s="11" t="s">
        <v>253</v>
      </c>
      <c r="D777" s="11" t="s">
        <v>254</v>
      </c>
      <c r="E777" s="9" t="str">
        <f>+HYPERLINK("http://trademark.i-assist.jp/data/china/image_1903th/79153922.pdf", "79153922")</f>
        <v>79153922</v>
      </c>
      <c r="F777" s="11" t="s">
        <v>2412</v>
      </c>
      <c r="G777" s="11" t="s">
        <v>2413</v>
      </c>
      <c r="H777" s="11" t="s">
        <v>2414</v>
      </c>
      <c r="I777" s="11" t="s">
        <v>230</v>
      </c>
    </row>
    <row r="778" spans="1:9" x14ac:dyDescent="0.15">
      <c r="A778" s="10">
        <v>777</v>
      </c>
      <c r="B778" s="11" t="s">
        <v>9</v>
      </c>
      <c r="C778" s="11" t="s">
        <v>253</v>
      </c>
      <c r="D778" s="11" t="s">
        <v>254</v>
      </c>
      <c r="E778" s="9" t="str">
        <f>+HYPERLINK("http://trademark.i-assist.jp/data/china/image_1903th/79153972.pdf", "79153972")</f>
        <v>79153972</v>
      </c>
      <c r="F778" s="11" t="s">
        <v>2415</v>
      </c>
      <c r="G778" s="11" t="s">
        <v>2416</v>
      </c>
      <c r="H778" s="11" t="s">
        <v>2417</v>
      </c>
      <c r="I778" s="11" t="s">
        <v>230</v>
      </c>
    </row>
    <row r="779" spans="1:9" x14ac:dyDescent="0.15">
      <c r="A779" s="10">
        <v>778</v>
      </c>
      <c r="B779" s="11" t="s">
        <v>9</v>
      </c>
      <c r="C779" s="11" t="s">
        <v>253</v>
      </c>
      <c r="D779" s="11" t="s">
        <v>254</v>
      </c>
      <c r="E779" s="9" t="str">
        <f>+HYPERLINK("http://trademark.i-assist.jp/data/china/image_1903th/79154005.pdf", "79154005")</f>
        <v>79154005</v>
      </c>
      <c r="F779" s="11" t="s">
        <v>2418</v>
      </c>
      <c r="G779" s="11" t="s">
        <v>226</v>
      </c>
      <c r="H779" s="11" t="s">
        <v>2419</v>
      </c>
      <c r="I779" s="11" t="s">
        <v>230</v>
      </c>
    </row>
    <row r="780" spans="1:9" x14ac:dyDescent="0.15">
      <c r="A780" s="10">
        <v>779</v>
      </c>
      <c r="B780" s="11" t="s">
        <v>9</v>
      </c>
      <c r="C780" s="11" t="s">
        <v>253</v>
      </c>
      <c r="D780" s="11" t="s">
        <v>254</v>
      </c>
      <c r="E780" s="9" t="str">
        <f>+HYPERLINK("http://trademark.i-assist.jp/data/china/image_1903th/79154431.pdf", "79154431")</f>
        <v>79154431</v>
      </c>
      <c r="F780" s="11" t="s">
        <v>2420</v>
      </c>
      <c r="G780" s="11" t="s">
        <v>2421</v>
      </c>
      <c r="H780" s="11" t="s">
        <v>2422</v>
      </c>
      <c r="I780" s="11" t="s">
        <v>230</v>
      </c>
    </row>
    <row r="781" spans="1:9" x14ac:dyDescent="0.15">
      <c r="A781" s="10">
        <v>780</v>
      </c>
      <c r="B781" s="11" t="s">
        <v>9</v>
      </c>
      <c r="C781" s="11" t="s">
        <v>253</v>
      </c>
      <c r="D781" s="11" t="s">
        <v>254</v>
      </c>
      <c r="E781" s="9" t="str">
        <f>+HYPERLINK("http://trademark.i-assist.jp/data/china/image_1903th/79155785.pdf", "79155785")</f>
        <v>79155785</v>
      </c>
      <c r="F781" s="11" t="s">
        <v>2423</v>
      </c>
      <c r="G781" s="11" t="s">
        <v>2424</v>
      </c>
      <c r="H781" s="11" t="s">
        <v>2425</v>
      </c>
      <c r="I781" s="11" t="s">
        <v>230</v>
      </c>
    </row>
    <row r="782" spans="1:9" x14ac:dyDescent="0.15">
      <c r="A782" s="10">
        <v>781</v>
      </c>
      <c r="B782" s="11" t="s">
        <v>9</v>
      </c>
      <c r="C782" s="11" t="s">
        <v>253</v>
      </c>
      <c r="D782" s="11" t="s">
        <v>254</v>
      </c>
      <c r="E782" s="9" t="str">
        <f>+HYPERLINK("http://trademark.i-assist.jp/data/china/image_1903th/79156759.pdf", "79156759")</f>
        <v>79156759</v>
      </c>
      <c r="F782" s="11" t="s">
        <v>2426</v>
      </c>
      <c r="G782" s="11" t="s">
        <v>2427</v>
      </c>
      <c r="H782" s="11" t="s">
        <v>2428</v>
      </c>
      <c r="I782" s="11" t="s">
        <v>230</v>
      </c>
    </row>
    <row r="783" spans="1:9" x14ac:dyDescent="0.15">
      <c r="A783" s="10">
        <v>782</v>
      </c>
      <c r="B783" s="11" t="s">
        <v>9</v>
      </c>
      <c r="C783" s="11" t="s">
        <v>253</v>
      </c>
      <c r="D783" s="11" t="s">
        <v>254</v>
      </c>
      <c r="E783" s="9" t="str">
        <f>+HYPERLINK("http://trademark.i-assist.jp/data/china/image_1903th/79157011.pdf", "79157011")</f>
        <v>79157011</v>
      </c>
      <c r="F783" s="11" t="s">
        <v>2429</v>
      </c>
      <c r="G783" s="11" t="s">
        <v>2430</v>
      </c>
      <c r="H783" s="11" t="s">
        <v>2431</v>
      </c>
      <c r="I783" s="11" t="s">
        <v>230</v>
      </c>
    </row>
    <row r="784" spans="1:9" x14ac:dyDescent="0.15">
      <c r="A784" s="10">
        <v>783</v>
      </c>
      <c r="B784" s="11" t="s">
        <v>9</v>
      </c>
      <c r="C784" s="11" t="s">
        <v>253</v>
      </c>
      <c r="D784" s="11" t="s">
        <v>254</v>
      </c>
      <c r="E784" s="9" t="str">
        <f>+HYPERLINK("http://trademark.i-assist.jp/data/china/image_1903th/79157228.pdf", "79157228")</f>
        <v>79157228</v>
      </c>
      <c r="F784" s="11" t="s">
        <v>2432</v>
      </c>
      <c r="G784" s="11" t="s">
        <v>2433</v>
      </c>
      <c r="H784" s="11" t="s">
        <v>2434</v>
      </c>
      <c r="I784" s="11" t="s">
        <v>230</v>
      </c>
    </row>
    <row r="785" spans="1:9" x14ac:dyDescent="0.15">
      <c r="A785" s="10">
        <v>784</v>
      </c>
      <c r="B785" s="11" t="s">
        <v>9</v>
      </c>
      <c r="C785" s="11" t="s">
        <v>253</v>
      </c>
      <c r="D785" s="11" t="s">
        <v>254</v>
      </c>
      <c r="E785" s="9" t="str">
        <f>+HYPERLINK("http://trademark.i-assist.jp/data/china/image_1903th/79157366.pdf", "79157366")</f>
        <v>79157366</v>
      </c>
      <c r="F785" s="11" t="s">
        <v>2435</v>
      </c>
      <c r="G785" s="11" t="s">
        <v>2436</v>
      </c>
      <c r="H785" s="11" t="s">
        <v>2437</v>
      </c>
      <c r="I785" s="11" t="s">
        <v>230</v>
      </c>
    </row>
    <row r="786" spans="1:9" x14ac:dyDescent="0.15">
      <c r="A786" s="10">
        <v>785</v>
      </c>
      <c r="B786" s="11" t="s">
        <v>9</v>
      </c>
      <c r="C786" s="11" t="s">
        <v>253</v>
      </c>
      <c r="D786" s="11" t="s">
        <v>254</v>
      </c>
      <c r="E786" s="9" t="str">
        <f>+HYPERLINK("http://trademark.i-assist.jp/data/china/image_1903th/79157708.pdf", "79157708")</f>
        <v>79157708</v>
      </c>
      <c r="F786" s="11" t="s">
        <v>2438</v>
      </c>
      <c r="G786" s="11" t="s">
        <v>2439</v>
      </c>
      <c r="H786" s="11" t="s">
        <v>2440</v>
      </c>
      <c r="I786" s="11" t="s">
        <v>230</v>
      </c>
    </row>
    <row r="787" spans="1:9" x14ac:dyDescent="0.15">
      <c r="A787" s="10">
        <v>786</v>
      </c>
      <c r="B787" s="11" t="s">
        <v>9</v>
      </c>
      <c r="C787" s="11" t="s">
        <v>253</v>
      </c>
      <c r="D787" s="11" t="s">
        <v>254</v>
      </c>
      <c r="E787" s="9" t="str">
        <f>+HYPERLINK("http://trademark.i-assist.jp/data/china/image_1903th/79158015.pdf", "79158015")</f>
        <v>79158015</v>
      </c>
      <c r="F787" s="11" t="s">
        <v>2441</v>
      </c>
      <c r="G787" s="11" t="s">
        <v>2442</v>
      </c>
      <c r="H787" s="11" t="s">
        <v>2443</v>
      </c>
      <c r="I787" s="11" t="s">
        <v>230</v>
      </c>
    </row>
    <row r="788" spans="1:9" x14ac:dyDescent="0.15">
      <c r="A788" s="10">
        <v>787</v>
      </c>
      <c r="B788" s="11" t="s">
        <v>9</v>
      </c>
      <c r="C788" s="11" t="s">
        <v>253</v>
      </c>
      <c r="D788" s="11" t="s">
        <v>254</v>
      </c>
      <c r="E788" s="9" t="str">
        <f>+HYPERLINK("http://trademark.i-assist.jp/data/china/image_1903th/79158596.pdf", "79158596")</f>
        <v>79158596</v>
      </c>
      <c r="F788" s="11" t="s">
        <v>2444</v>
      </c>
      <c r="G788" s="11" t="s">
        <v>226</v>
      </c>
      <c r="H788" s="11" t="s">
        <v>2445</v>
      </c>
      <c r="I788" s="11" t="s">
        <v>230</v>
      </c>
    </row>
    <row r="789" spans="1:9" x14ac:dyDescent="0.15">
      <c r="A789" s="10">
        <v>788</v>
      </c>
      <c r="B789" s="11" t="s">
        <v>9</v>
      </c>
      <c r="C789" s="11" t="s">
        <v>253</v>
      </c>
      <c r="D789" s="11" t="s">
        <v>254</v>
      </c>
      <c r="E789" s="9" t="str">
        <f>+HYPERLINK("http://trademark.i-assist.jp/data/china/image_1903th/79158871.pdf", "79158871")</f>
        <v>79158871</v>
      </c>
      <c r="F789" s="11" t="s">
        <v>2446</v>
      </c>
      <c r="G789" s="11" t="s">
        <v>2447</v>
      </c>
      <c r="H789" s="11" t="s">
        <v>2448</v>
      </c>
      <c r="I789" s="11" t="s">
        <v>230</v>
      </c>
    </row>
    <row r="790" spans="1:9" x14ac:dyDescent="0.15">
      <c r="A790" s="10">
        <v>789</v>
      </c>
      <c r="B790" s="11" t="s">
        <v>9</v>
      </c>
      <c r="C790" s="11" t="s">
        <v>253</v>
      </c>
      <c r="D790" s="11" t="s">
        <v>254</v>
      </c>
      <c r="E790" s="9" t="str">
        <f>+HYPERLINK("http://trademark.i-assist.jp/data/china/image_1903th/79159036.pdf", "79159036")</f>
        <v>79159036</v>
      </c>
      <c r="F790" s="11" t="s">
        <v>2449</v>
      </c>
      <c r="G790" s="11" t="s">
        <v>2450</v>
      </c>
      <c r="H790" s="11" t="s">
        <v>2451</v>
      </c>
      <c r="I790" s="11" t="s">
        <v>230</v>
      </c>
    </row>
    <row r="791" spans="1:9" x14ac:dyDescent="0.15">
      <c r="A791" s="10">
        <v>790</v>
      </c>
      <c r="B791" s="11" t="s">
        <v>9</v>
      </c>
      <c r="C791" s="11" t="s">
        <v>253</v>
      </c>
      <c r="D791" s="11" t="s">
        <v>254</v>
      </c>
      <c r="E791" s="9" t="str">
        <f>+HYPERLINK("http://trademark.i-assist.jp/data/china/image_1903th/79160315.pdf", "79160315")</f>
        <v>79160315</v>
      </c>
      <c r="F791" s="11" t="s">
        <v>2452</v>
      </c>
      <c r="G791" s="11" t="s">
        <v>2453</v>
      </c>
      <c r="H791" s="11" t="s">
        <v>2454</v>
      </c>
      <c r="I791" s="11" t="s">
        <v>230</v>
      </c>
    </row>
    <row r="792" spans="1:9" x14ac:dyDescent="0.15">
      <c r="A792" s="10">
        <v>791</v>
      </c>
      <c r="B792" s="11" t="s">
        <v>9</v>
      </c>
      <c r="C792" s="11" t="s">
        <v>253</v>
      </c>
      <c r="D792" s="11" t="s">
        <v>254</v>
      </c>
      <c r="E792" s="9" t="str">
        <f>+HYPERLINK("http://trademark.i-assist.jp/data/china/image_1903th/79160848.pdf", "79160848")</f>
        <v>79160848</v>
      </c>
      <c r="F792" s="11" t="s">
        <v>2455</v>
      </c>
      <c r="G792" s="11" t="s">
        <v>2456</v>
      </c>
      <c r="H792" s="11" t="s">
        <v>2457</v>
      </c>
      <c r="I792" s="11" t="s">
        <v>230</v>
      </c>
    </row>
    <row r="793" spans="1:9" x14ac:dyDescent="0.15">
      <c r="A793" s="10">
        <v>792</v>
      </c>
      <c r="B793" s="11" t="s">
        <v>9</v>
      </c>
      <c r="C793" s="11" t="s">
        <v>253</v>
      </c>
      <c r="D793" s="11" t="s">
        <v>254</v>
      </c>
      <c r="E793" s="9" t="str">
        <f>+HYPERLINK("http://trademark.i-assist.jp/data/china/image_1903th/79160984.pdf", "79160984")</f>
        <v>79160984</v>
      </c>
      <c r="F793" s="11" t="s">
        <v>2458</v>
      </c>
      <c r="G793" s="11" t="s">
        <v>2459</v>
      </c>
      <c r="H793" s="11" t="s">
        <v>2460</v>
      </c>
      <c r="I793" s="11" t="s">
        <v>230</v>
      </c>
    </row>
    <row r="794" spans="1:9" x14ac:dyDescent="0.15">
      <c r="A794" s="10">
        <v>793</v>
      </c>
      <c r="B794" s="11" t="s">
        <v>9</v>
      </c>
      <c r="C794" s="11" t="s">
        <v>253</v>
      </c>
      <c r="D794" s="11" t="s">
        <v>254</v>
      </c>
      <c r="E794" s="9" t="str">
        <f>+HYPERLINK("http://trademark.i-assist.jp/data/china/image_1903th/79161120.pdf", "79161120")</f>
        <v>79161120</v>
      </c>
      <c r="F794" s="11" t="s">
        <v>2461</v>
      </c>
      <c r="G794" s="11" t="s">
        <v>2462</v>
      </c>
      <c r="H794" s="11" t="s">
        <v>2463</v>
      </c>
      <c r="I794" s="11" t="s">
        <v>230</v>
      </c>
    </row>
    <row r="795" spans="1:9" x14ac:dyDescent="0.15">
      <c r="A795" s="10">
        <v>794</v>
      </c>
      <c r="B795" s="11" t="s">
        <v>9</v>
      </c>
      <c r="C795" s="11" t="s">
        <v>253</v>
      </c>
      <c r="D795" s="11" t="s">
        <v>254</v>
      </c>
      <c r="E795" s="9" t="str">
        <f>+HYPERLINK("http://trademark.i-assist.jp/data/china/image_1903th/79162418.pdf", "79162418")</f>
        <v>79162418</v>
      </c>
      <c r="F795" s="11" t="s">
        <v>2464</v>
      </c>
      <c r="G795" s="11" t="s">
        <v>2465</v>
      </c>
      <c r="H795" s="11" t="s">
        <v>2466</v>
      </c>
      <c r="I795" s="11" t="s">
        <v>230</v>
      </c>
    </row>
    <row r="796" spans="1:9" x14ac:dyDescent="0.15">
      <c r="A796" s="10">
        <v>795</v>
      </c>
      <c r="B796" s="11" t="s">
        <v>9</v>
      </c>
      <c r="C796" s="11" t="s">
        <v>253</v>
      </c>
      <c r="D796" s="11" t="s">
        <v>254</v>
      </c>
      <c r="E796" s="9" t="str">
        <f>+HYPERLINK("http://trademark.i-assist.jp/data/china/image_1903th/79162467.pdf", "79162467")</f>
        <v>79162467</v>
      </c>
      <c r="F796" s="11" t="s">
        <v>2467</v>
      </c>
      <c r="G796" s="11" t="s">
        <v>2468</v>
      </c>
      <c r="H796" s="11" t="s">
        <v>2469</v>
      </c>
      <c r="I796" s="11" t="s">
        <v>230</v>
      </c>
    </row>
    <row r="797" spans="1:9" x14ac:dyDescent="0.15">
      <c r="A797" s="10">
        <v>796</v>
      </c>
      <c r="B797" s="11" t="s">
        <v>9</v>
      </c>
      <c r="C797" s="11" t="s">
        <v>253</v>
      </c>
      <c r="D797" s="11" t="s">
        <v>254</v>
      </c>
      <c r="E797" s="9" t="str">
        <f>+HYPERLINK("http://trademark.i-assist.jp/data/china/image_1903th/79163467.pdf", "79163467")</f>
        <v>79163467</v>
      </c>
      <c r="F797" s="11" t="s">
        <v>2470</v>
      </c>
      <c r="G797" s="11" t="s">
        <v>2471</v>
      </c>
      <c r="H797" s="11" t="s">
        <v>2472</v>
      </c>
      <c r="I797" s="11" t="s">
        <v>230</v>
      </c>
    </row>
    <row r="798" spans="1:9" x14ac:dyDescent="0.15">
      <c r="A798" s="10">
        <v>797</v>
      </c>
      <c r="B798" s="11" t="s">
        <v>9</v>
      </c>
      <c r="C798" s="11" t="s">
        <v>253</v>
      </c>
      <c r="D798" s="11" t="s">
        <v>254</v>
      </c>
      <c r="E798" s="9" t="str">
        <f>+HYPERLINK("http://trademark.i-assist.jp/data/china/image_1903th/79163510.pdf", "79163510")</f>
        <v>79163510</v>
      </c>
      <c r="F798" s="11" t="s">
        <v>2473</v>
      </c>
      <c r="G798" s="11" t="s">
        <v>2474</v>
      </c>
      <c r="H798" s="11" t="s">
        <v>2475</v>
      </c>
      <c r="I798" s="11" t="s">
        <v>230</v>
      </c>
    </row>
    <row r="799" spans="1:9" x14ac:dyDescent="0.15">
      <c r="A799" s="10">
        <v>798</v>
      </c>
      <c r="B799" s="11" t="s">
        <v>9</v>
      </c>
      <c r="C799" s="11" t="s">
        <v>253</v>
      </c>
      <c r="D799" s="11" t="s">
        <v>254</v>
      </c>
      <c r="E799" s="9" t="str">
        <f>+HYPERLINK("http://trademark.i-assist.jp/data/china/image_1903th/79163735.pdf", "79163735")</f>
        <v>79163735</v>
      </c>
      <c r="F799" s="11" t="s">
        <v>2476</v>
      </c>
      <c r="G799" s="11" t="s">
        <v>2477</v>
      </c>
      <c r="H799" s="11" t="s">
        <v>2478</v>
      </c>
      <c r="I799" s="11" t="s">
        <v>230</v>
      </c>
    </row>
    <row r="800" spans="1:9" x14ac:dyDescent="0.15">
      <c r="A800" s="10">
        <v>799</v>
      </c>
      <c r="B800" s="11" t="s">
        <v>9</v>
      </c>
      <c r="C800" s="11" t="s">
        <v>253</v>
      </c>
      <c r="D800" s="11" t="s">
        <v>254</v>
      </c>
      <c r="E800" s="9" t="str">
        <f>+HYPERLINK("http://trademark.i-assist.jp/data/china/image_1903th/79163896.pdf", "79163896")</f>
        <v>79163896</v>
      </c>
      <c r="F800" s="11" t="s">
        <v>2479</v>
      </c>
      <c r="G800" s="11" t="s">
        <v>2480</v>
      </c>
      <c r="H800" s="11" t="s">
        <v>2481</v>
      </c>
      <c r="I800" s="11" t="s">
        <v>230</v>
      </c>
    </row>
    <row r="801" spans="1:9" x14ac:dyDescent="0.15">
      <c r="A801" s="10">
        <v>800</v>
      </c>
      <c r="B801" s="11" t="s">
        <v>9</v>
      </c>
      <c r="C801" s="11" t="s">
        <v>253</v>
      </c>
      <c r="D801" s="11" t="s">
        <v>254</v>
      </c>
      <c r="E801" s="9" t="str">
        <f>+HYPERLINK("http://trademark.i-assist.jp/data/china/image_1903th/79165236.pdf", "79165236")</f>
        <v>79165236</v>
      </c>
      <c r="F801" s="11" t="s">
        <v>118</v>
      </c>
      <c r="G801" s="11" t="s">
        <v>2482</v>
      </c>
      <c r="H801" s="11" t="s">
        <v>2483</v>
      </c>
      <c r="I801" s="11" t="s">
        <v>230</v>
      </c>
    </row>
    <row r="802" spans="1:9" x14ac:dyDescent="0.15">
      <c r="A802" s="10">
        <v>801</v>
      </c>
      <c r="B802" s="11" t="s">
        <v>9</v>
      </c>
      <c r="C802" s="11" t="s">
        <v>253</v>
      </c>
      <c r="D802" s="11" t="s">
        <v>254</v>
      </c>
      <c r="E802" s="9" t="str">
        <f>+HYPERLINK("http://trademark.i-assist.jp/data/china/image_1903th/79165824.pdf", "79165824")</f>
        <v>79165824</v>
      </c>
      <c r="F802" s="11" t="s">
        <v>2484</v>
      </c>
      <c r="G802" s="11" t="s">
        <v>2485</v>
      </c>
      <c r="H802" s="11" t="s">
        <v>2486</v>
      </c>
      <c r="I802" s="11" t="s">
        <v>230</v>
      </c>
    </row>
    <row r="803" spans="1:9" x14ac:dyDescent="0.15">
      <c r="A803" s="10">
        <v>802</v>
      </c>
      <c r="B803" s="11" t="s">
        <v>9</v>
      </c>
      <c r="C803" s="11" t="s">
        <v>253</v>
      </c>
      <c r="D803" s="11" t="s">
        <v>254</v>
      </c>
      <c r="E803" s="9" t="str">
        <f>+HYPERLINK("http://trademark.i-assist.jp/data/china/image_1903th/79165947.pdf", "79165947")</f>
        <v>79165947</v>
      </c>
      <c r="F803" s="11" t="s">
        <v>2487</v>
      </c>
      <c r="G803" s="11" t="s">
        <v>2488</v>
      </c>
      <c r="H803" s="11" t="s">
        <v>2489</v>
      </c>
      <c r="I803" s="11" t="s">
        <v>230</v>
      </c>
    </row>
    <row r="804" spans="1:9" x14ac:dyDescent="0.15">
      <c r="A804" s="10">
        <v>803</v>
      </c>
      <c r="B804" s="11" t="s">
        <v>9</v>
      </c>
      <c r="C804" s="11" t="s">
        <v>253</v>
      </c>
      <c r="D804" s="11" t="s">
        <v>254</v>
      </c>
      <c r="E804" s="9" t="str">
        <f>+HYPERLINK("http://trademark.i-assist.jp/data/china/image_1903th/79166394.pdf", "79166394")</f>
        <v>79166394</v>
      </c>
      <c r="F804" s="11" t="s">
        <v>2490</v>
      </c>
      <c r="G804" s="11" t="s">
        <v>2491</v>
      </c>
      <c r="H804" s="11" t="s">
        <v>2492</v>
      </c>
      <c r="I804" s="11" t="s">
        <v>230</v>
      </c>
    </row>
    <row r="805" spans="1:9" x14ac:dyDescent="0.15">
      <c r="A805" s="10">
        <v>804</v>
      </c>
      <c r="B805" s="11" t="s">
        <v>9</v>
      </c>
      <c r="C805" s="11" t="s">
        <v>253</v>
      </c>
      <c r="D805" s="11" t="s">
        <v>254</v>
      </c>
      <c r="E805" s="9" t="str">
        <f>+HYPERLINK("http://trademark.i-assist.jp/data/china/image_1903th/79167957.pdf", "79167957")</f>
        <v>79167957</v>
      </c>
      <c r="F805" s="11" t="s">
        <v>2493</v>
      </c>
      <c r="G805" s="11" t="s">
        <v>2494</v>
      </c>
      <c r="H805" s="11" t="s">
        <v>2495</v>
      </c>
      <c r="I805" s="11" t="s">
        <v>230</v>
      </c>
    </row>
    <row r="806" spans="1:9" x14ac:dyDescent="0.15">
      <c r="A806" s="10">
        <v>805</v>
      </c>
      <c r="B806" s="11" t="s">
        <v>9</v>
      </c>
      <c r="C806" s="11" t="s">
        <v>253</v>
      </c>
      <c r="D806" s="11" t="s">
        <v>254</v>
      </c>
      <c r="E806" s="9" t="str">
        <f>+HYPERLINK("http://trademark.i-assist.jp/data/china/image_1903th/79168980.pdf", "79168980")</f>
        <v>79168980</v>
      </c>
      <c r="F806" s="11" t="s">
        <v>2496</v>
      </c>
      <c r="G806" s="11" t="s">
        <v>2497</v>
      </c>
      <c r="H806" s="11" t="s">
        <v>2498</v>
      </c>
      <c r="I806" s="11" t="s">
        <v>230</v>
      </c>
    </row>
    <row r="807" spans="1:9" x14ac:dyDescent="0.15">
      <c r="A807" s="10">
        <v>806</v>
      </c>
      <c r="B807" s="11" t="s">
        <v>9</v>
      </c>
      <c r="C807" s="11" t="s">
        <v>253</v>
      </c>
      <c r="D807" s="11" t="s">
        <v>254</v>
      </c>
      <c r="E807" s="9" t="str">
        <f>+HYPERLINK("http://trademark.i-assist.jp/data/china/image_1903th/79169292.pdf", "79169292")</f>
        <v>79169292</v>
      </c>
      <c r="F807" s="11" t="s">
        <v>2499</v>
      </c>
      <c r="G807" s="11" t="s">
        <v>2442</v>
      </c>
      <c r="H807" s="11" t="s">
        <v>2500</v>
      </c>
      <c r="I807" s="11" t="s">
        <v>230</v>
      </c>
    </row>
    <row r="808" spans="1:9" x14ac:dyDescent="0.15">
      <c r="A808" s="10">
        <v>807</v>
      </c>
      <c r="B808" s="11" t="s">
        <v>9</v>
      </c>
      <c r="C808" s="11" t="s">
        <v>253</v>
      </c>
      <c r="D808" s="11" t="s">
        <v>254</v>
      </c>
      <c r="E808" s="9" t="str">
        <f>+HYPERLINK("http://trademark.i-assist.jp/data/china/image_1903th/79169458.pdf", "79169458")</f>
        <v>79169458</v>
      </c>
      <c r="F808" s="11" t="s">
        <v>2501</v>
      </c>
      <c r="G808" s="11" t="s">
        <v>2502</v>
      </c>
      <c r="H808" s="11" t="s">
        <v>2503</v>
      </c>
      <c r="I808" s="11" t="s">
        <v>230</v>
      </c>
    </row>
    <row r="809" spans="1:9" x14ac:dyDescent="0.15">
      <c r="A809" s="10">
        <v>808</v>
      </c>
      <c r="B809" s="11" t="s">
        <v>9</v>
      </c>
      <c r="C809" s="11" t="s">
        <v>253</v>
      </c>
      <c r="D809" s="11" t="s">
        <v>254</v>
      </c>
      <c r="E809" s="9" t="str">
        <f>+HYPERLINK("http://trademark.i-assist.jp/data/china/image_1903th/79169777.pdf", "79169777")</f>
        <v>79169777</v>
      </c>
      <c r="F809" s="11" t="s">
        <v>2504</v>
      </c>
      <c r="G809" s="11" t="s">
        <v>2505</v>
      </c>
      <c r="H809" s="11" t="s">
        <v>2506</v>
      </c>
      <c r="I809" s="11" t="s">
        <v>230</v>
      </c>
    </row>
    <row r="810" spans="1:9" x14ac:dyDescent="0.15">
      <c r="A810" s="10">
        <v>809</v>
      </c>
      <c r="B810" s="11" t="s">
        <v>9</v>
      </c>
      <c r="C810" s="11" t="s">
        <v>253</v>
      </c>
      <c r="D810" s="11" t="s">
        <v>254</v>
      </c>
      <c r="E810" s="9" t="str">
        <f>+HYPERLINK("http://trademark.i-assist.jp/data/china/image_1903th/79169993.pdf", "79169993")</f>
        <v>79169993</v>
      </c>
      <c r="F810" s="11" t="s">
        <v>2507</v>
      </c>
      <c r="G810" s="11" t="s">
        <v>2508</v>
      </c>
      <c r="H810" s="11" t="s">
        <v>2509</v>
      </c>
      <c r="I810" s="11" t="s">
        <v>230</v>
      </c>
    </row>
    <row r="811" spans="1:9" x14ac:dyDescent="0.15">
      <c r="A811" s="10">
        <v>810</v>
      </c>
      <c r="B811" s="11" t="s">
        <v>9</v>
      </c>
      <c r="C811" s="11" t="s">
        <v>253</v>
      </c>
      <c r="D811" s="11" t="s">
        <v>254</v>
      </c>
      <c r="E811" s="9" t="str">
        <f>+HYPERLINK("http://trademark.i-assist.jp/data/china/image_1903th/79170642.pdf", "79170642")</f>
        <v>79170642</v>
      </c>
      <c r="F811" s="11" t="s">
        <v>2510</v>
      </c>
      <c r="G811" s="11" t="s">
        <v>2511</v>
      </c>
      <c r="H811" s="11" t="s">
        <v>2512</v>
      </c>
      <c r="I811" s="11" t="s">
        <v>230</v>
      </c>
    </row>
    <row r="812" spans="1:9" x14ac:dyDescent="0.15">
      <c r="A812" s="10">
        <v>811</v>
      </c>
      <c r="B812" s="11" t="s">
        <v>9</v>
      </c>
      <c r="C812" s="11" t="s">
        <v>253</v>
      </c>
      <c r="D812" s="11" t="s">
        <v>254</v>
      </c>
      <c r="E812" s="9" t="str">
        <f>+HYPERLINK("http://trademark.i-assist.jp/data/china/image_1903th/79171996.pdf", "79171996")</f>
        <v>79171996</v>
      </c>
      <c r="F812" s="11" t="s">
        <v>2513</v>
      </c>
      <c r="G812" s="11" t="s">
        <v>2514</v>
      </c>
      <c r="H812" s="11" t="s">
        <v>2515</v>
      </c>
      <c r="I812" s="11" t="s">
        <v>230</v>
      </c>
    </row>
    <row r="813" spans="1:9" x14ac:dyDescent="0.15">
      <c r="A813" s="10">
        <v>812</v>
      </c>
      <c r="B813" s="11" t="s">
        <v>9</v>
      </c>
      <c r="C813" s="11" t="s">
        <v>253</v>
      </c>
      <c r="D813" s="11" t="s">
        <v>254</v>
      </c>
      <c r="E813" s="9" t="str">
        <f>+HYPERLINK("http://trademark.i-assist.jp/data/china/image_1903th/79172390.pdf", "79172390")</f>
        <v>79172390</v>
      </c>
      <c r="F813" s="11" t="s">
        <v>2516</v>
      </c>
      <c r="G813" s="11" t="s">
        <v>2488</v>
      </c>
      <c r="H813" s="11" t="s">
        <v>2517</v>
      </c>
      <c r="I813" s="11" t="s">
        <v>230</v>
      </c>
    </row>
    <row r="814" spans="1:9" x14ac:dyDescent="0.15">
      <c r="A814" s="10">
        <v>813</v>
      </c>
      <c r="B814" s="11" t="s">
        <v>9</v>
      </c>
      <c r="C814" s="11" t="s">
        <v>253</v>
      </c>
      <c r="D814" s="11" t="s">
        <v>254</v>
      </c>
      <c r="E814" s="9" t="str">
        <f>+HYPERLINK("http://trademark.i-assist.jp/data/china/image_1903th/79172631.pdf", "79172631")</f>
        <v>79172631</v>
      </c>
      <c r="F814" s="11" t="s">
        <v>2518</v>
      </c>
      <c r="G814" s="11" t="s">
        <v>143</v>
      </c>
      <c r="H814" s="11" t="s">
        <v>2519</v>
      </c>
      <c r="I814" s="11" t="s">
        <v>230</v>
      </c>
    </row>
    <row r="815" spans="1:9" x14ac:dyDescent="0.15">
      <c r="A815" s="10">
        <v>814</v>
      </c>
      <c r="B815" s="11" t="s">
        <v>9</v>
      </c>
      <c r="C815" s="11" t="s">
        <v>253</v>
      </c>
      <c r="D815" s="11" t="s">
        <v>254</v>
      </c>
      <c r="E815" s="9" t="str">
        <f>+HYPERLINK("http://trademark.i-assist.jp/data/china/image_1903th/79173093.pdf", "79173093")</f>
        <v>79173093</v>
      </c>
      <c r="F815" s="11" t="s">
        <v>2520</v>
      </c>
      <c r="G815" s="11" t="s">
        <v>2521</v>
      </c>
      <c r="H815" s="11" t="s">
        <v>2522</v>
      </c>
      <c r="I815" s="11" t="s">
        <v>230</v>
      </c>
    </row>
    <row r="816" spans="1:9" x14ac:dyDescent="0.15">
      <c r="A816" s="10">
        <v>815</v>
      </c>
      <c r="B816" s="11" t="s">
        <v>9</v>
      </c>
      <c r="C816" s="11" t="s">
        <v>253</v>
      </c>
      <c r="D816" s="11" t="s">
        <v>254</v>
      </c>
      <c r="E816" s="9" t="str">
        <f>+HYPERLINK("http://trademark.i-assist.jp/data/china/image_1903th/79173190.pdf", "79173190")</f>
        <v>79173190</v>
      </c>
      <c r="F816" s="11" t="s">
        <v>2523</v>
      </c>
      <c r="G816" s="11" t="s">
        <v>2524</v>
      </c>
      <c r="H816" s="11" t="s">
        <v>2525</v>
      </c>
      <c r="I816" s="11" t="s">
        <v>230</v>
      </c>
    </row>
    <row r="817" spans="1:9" x14ac:dyDescent="0.15">
      <c r="A817" s="10">
        <v>816</v>
      </c>
      <c r="B817" s="11" t="s">
        <v>9</v>
      </c>
      <c r="C817" s="11" t="s">
        <v>253</v>
      </c>
      <c r="D817" s="11" t="s">
        <v>254</v>
      </c>
      <c r="E817" s="9" t="str">
        <f>+HYPERLINK("http://trademark.i-assist.jp/data/china/image_1903th/79175184.pdf", "79175184")</f>
        <v>79175184</v>
      </c>
      <c r="F817" s="11" t="s">
        <v>2526</v>
      </c>
      <c r="G817" s="11" t="s">
        <v>2421</v>
      </c>
      <c r="H817" s="11" t="s">
        <v>2527</v>
      </c>
      <c r="I817" s="11" t="s">
        <v>230</v>
      </c>
    </row>
    <row r="818" spans="1:9" x14ac:dyDescent="0.15">
      <c r="A818" s="10">
        <v>817</v>
      </c>
      <c r="B818" s="11" t="s">
        <v>9</v>
      </c>
      <c r="C818" s="11" t="s">
        <v>253</v>
      </c>
      <c r="D818" s="11" t="s">
        <v>254</v>
      </c>
      <c r="E818" s="9" t="str">
        <f>+HYPERLINK("http://trademark.i-assist.jp/data/china/image_1903th/79175519.pdf", "79175519")</f>
        <v>79175519</v>
      </c>
      <c r="F818" s="11" t="s">
        <v>2528</v>
      </c>
      <c r="G818" s="11" t="s">
        <v>2529</v>
      </c>
      <c r="H818" s="11" t="s">
        <v>2530</v>
      </c>
      <c r="I818" s="11" t="s">
        <v>230</v>
      </c>
    </row>
    <row r="819" spans="1:9" x14ac:dyDescent="0.15">
      <c r="A819" s="10">
        <v>818</v>
      </c>
      <c r="B819" s="11" t="s">
        <v>9</v>
      </c>
      <c r="C819" s="11" t="s">
        <v>253</v>
      </c>
      <c r="D819" s="11" t="s">
        <v>254</v>
      </c>
      <c r="E819" s="9" t="str">
        <f>+HYPERLINK("http://trademark.i-assist.jp/data/china/image_1903th/79175703.pdf", "79175703")</f>
        <v>79175703</v>
      </c>
      <c r="F819" s="11" t="s">
        <v>2531</v>
      </c>
      <c r="G819" s="11" t="s">
        <v>2532</v>
      </c>
      <c r="H819" s="11" t="s">
        <v>2533</v>
      </c>
      <c r="I819" s="11" t="s">
        <v>230</v>
      </c>
    </row>
    <row r="820" spans="1:9" x14ac:dyDescent="0.15">
      <c r="A820" s="10">
        <v>819</v>
      </c>
      <c r="B820" s="11" t="s">
        <v>9</v>
      </c>
      <c r="C820" s="11" t="s">
        <v>253</v>
      </c>
      <c r="D820" s="11" t="s">
        <v>254</v>
      </c>
      <c r="E820" s="9" t="str">
        <f>+HYPERLINK("http://trademark.i-assist.jp/data/china/image_1903th/79175743.pdf", "79175743")</f>
        <v>79175743</v>
      </c>
      <c r="F820" s="11" t="s">
        <v>12</v>
      </c>
      <c r="G820" s="11" t="s">
        <v>2534</v>
      </c>
      <c r="H820" s="11" t="s">
        <v>2535</v>
      </c>
      <c r="I820" s="11" t="s">
        <v>230</v>
      </c>
    </row>
    <row r="821" spans="1:9" x14ac:dyDescent="0.15">
      <c r="A821" s="10">
        <v>820</v>
      </c>
      <c r="B821" s="11" t="s">
        <v>9</v>
      </c>
      <c r="C821" s="11" t="s">
        <v>253</v>
      </c>
      <c r="D821" s="11" t="s">
        <v>254</v>
      </c>
      <c r="E821" s="9" t="str">
        <f>+HYPERLINK("http://trademark.i-assist.jp/data/china/image_1903th/79175949.pdf", "79175949")</f>
        <v>79175949</v>
      </c>
      <c r="F821" s="11" t="s">
        <v>2536</v>
      </c>
      <c r="G821" s="11" t="s">
        <v>2537</v>
      </c>
      <c r="H821" s="11" t="s">
        <v>2538</v>
      </c>
      <c r="I821" s="11" t="s">
        <v>230</v>
      </c>
    </row>
    <row r="822" spans="1:9" x14ac:dyDescent="0.15">
      <c r="A822" s="10">
        <v>821</v>
      </c>
      <c r="B822" s="11" t="s">
        <v>9</v>
      </c>
      <c r="C822" s="11" t="s">
        <v>253</v>
      </c>
      <c r="D822" s="11" t="s">
        <v>254</v>
      </c>
      <c r="E822" s="9" t="str">
        <f>+HYPERLINK("http://trademark.i-assist.jp/data/china/image_1903th/79177085.pdf", "79177085")</f>
        <v>79177085</v>
      </c>
      <c r="F822" s="11" t="s">
        <v>2539</v>
      </c>
      <c r="G822" s="11" t="s">
        <v>2488</v>
      </c>
      <c r="H822" s="11" t="s">
        <v>2540</v>
      </c>
      <c r="I822" s="11" t="s">
        <v>230</v>
      </c>
    </row>
    <row r="823" spans="1:9" x14ac:dyDescent="0.15">
      <c r="A823" s="10">
        <v>822</v>
      </c>
      <c r="B823" s="11" t="s">
        <v>9</v>
      </c>
      <c r="C823" s="11" t="s">
        <v>253</v>
      </c>
      <c r="D823" s="11" t="s">
        <v>254</v>
      </c>
      <c r="E823" s="9" t="str">
        <f>+HYPERLINK("http://trademark.i-assist.jp/data/china/image_1903th/79177209.pdf", "79177209")</f>
        <v>79177209</v>
      </c>
      <c r="F823" s="11" t="s">
        <v>2541</v>
      </c>
      <c r="G823" s="11" t="s">
        <v>2542</v>
      </c>
      <c r="H823" s="11" t="s">
        <v>2543</v>
      </c>
      <c r="I823" s="11" t="s">
        <v>230</v>
      </c>
    </row>
    <row r="824" spans="1:9" x14ac:dyDescent="0.15">
      <c r="A824" s="10">
        <v>823</v>
      </c>
      <c r="B824" s="11" t="s">
        <v>9</v>
      </c>
      <c r="C824" s="11" t="s">
        <v>253</v>
      </c>
      <c r="D824" s="11" t="s">
        <v>254</v>
      </c>
      <c r="E824" s="9" t="str">
        <f>+HYPERLINK("http://trademark.i-assist.jp/data/china/image_1903th/79178195.pdf", "79178195")</f>
        <v>79178195</v>
      </c>
      <c r="F824" s="11" t="s">
        <v>2544</v>
      </c>
      <c r="G824" s="11" t="s">
        <v>2421</v>
      </c>
      <c r="H824" s="11" t="s">
        <v>2545</v>
      </c>
      <c r="I824" s="11" t="s">
        <v>230</v>
      </c>
    </row>
    <row r="825" spans="1:9" x14ac:dyDescent="0.15">
      <c r="A825" s="10">
        <v>824</v>
      </c>
      <c r="B825" s="11" t="s">
        <v>9</v>
      </c>
      <c r="C825" s="11" t="s">
        <v>253</v>
      </c>
      <c r="D825" s="11" t="s">
        <v>254</v>
      </c>
      <c r="E825" s="9" t="str">
        <f>+HYPERLINK("http://trademark.i-assist.jp/data/china/image_1903th/79178589.pdf", "79178589")</f>
        <v>79178589</v>
      </c>
      <c r="F825" s="11" t="s">
        <v>2546</v>
      </c>
      <c r="G825" s="11" t="s">
        <v>2547</v>
      </c>
      <c r="H825" s="11" t="s">
        <v>2548</v>
      </c>
      <c r="I825" s="11" t="s">
        <v>230</v>
      </c>
    </row>
    <row r="826" spans="1:9" x14ac:dyDescent="0.15">
      <c r="A826" s="10">
        <v>825</v>
      </c>
      <c r="B826" s="11" t="s">
        <v>9</v>
      </c>
      <c r="C826" s="11" t="s">
        <v>253</v>
      </c>
      <c r="D826" s="11" t="s">
        <v>254</v>
      </c>
      <c r="E826" s="9" t="str">
        <f>+HYPERLINK("http://trademark.i-assist.jp/data/china/image_1903th/79178618.pdf", "79178618")</f>
        <v>79178618</v>
      </c>
      <c r="F826" s="11" t="s">
        <v>2549</v>
      </c>
      <c r="G826" s="11" t="s">
        <v>143</v>
      </c>
      <c r="H826" s="11" t="s">
        <v>2550</v>
      </c>
      <c r="I826" s="11" t="s">
        <v>230</v>
      </c>
    </row>
    <row r="827" spans="1:9" x14ac:dyDescent="0.15">
      <c r="A827" s="10">
        <v>826</v>
      </c>
      <c r="B827" s="11" t="s">
        <v>9</v>
      </c>
      <c r="C827" s="11" t="s">
        <v>253</v>
      </c>
      <c r="D827" s="11" t="s">
        <v>254</v>
      </c>
      <c r="E827" s="9" t="str">
        <f>+HYPERLINK("http://trademark.i-assist.jp/data/china/image_1903th/79178865.pdf", "79178865")</f>
        <v>79178865</v>
      </c>
      <c r="F827" s="11" t="s">
        <v>12</v>
      </c>
      <c r="G827" s="11" t="s">
        <v>2551</v>
      </c>
      <c r="H827" s="11" t="s">
        <v>2552</v>
      </c>
      <c r="I827" s="11" t="s">
        <v>230</v>
      </c>
    </row>
    <row r="828" spans="1:9" x14ac:dyDescent="0.15">
      <c r="A828" s="10">
        <v>827</v>
      </c>
      <c r="B828" s="11" t="s">
        <v>9</v>
      </c>
      <c r="C828" s="11" t="s">
        <v>253</v>
      </c>
      <c r="D828" s="11" t="s">
        <v>254</v>
      </c>
      <c r="E828" s="9" t="str">
        <f>+HYPERLINK("http://trademark.i-assist.jp/data/china/image_1903th/79178998.pdf", "79178998")</f>
        <v>79178998</v>
      </c>
      <c r="F828" s="11" t="s">
        <v>2553</v>
      </c>
      <c r="G828" s="11" t="s">
        <v>2300</v>
      </c>
      <c r="H828" s="11" t="s">
        <v>2554</v>
      </c>
      <c r="I828" s="11" t="s">
        <v>230</v>
      </c>
    </row>
    <row r="829" spans="1:9" x14ac:dyDescent="0.15">
      <c r="A829" s="10">
        <v>828</v>
      </c>
      <c r="B829" s="11" t="s">
        <v>9</v>
      </c>
      <c r="C829" s="11" t="s">
        <v>253</v>
      </c>
      <c r="D829" s="11" t="s">
        <v>254</v>
      </c>
      <c r="E829" s="9" t="str">
        <f>+HYPERLINK("http://trademark.i-assist.jp/data/china/image_1903th/79179738.pdf", "79179738")</f>
        <v>79179738</v>
      </c>
      <c r="F829" s="11" t="s">
        <v>2555</v>
      </c>
      <c r="G829" s="11" t="s">
        <v>56</v>
      </c>
      <c r="H829" s="11" t="s">
        <v>2556</v>
      </c>
      <c r="I829" s="11" t="s">
        <v>230</v>
      </c>
    </row>
    <row r="830" spans="1:9" x14ac:dyDescent="0.15">
      <c r="A830" s="10">
        <v>829</v>
      </c>
      <c r="B830" s="11" t="s">
        <v>9</v>
      </c>
      <c r="C830" s="11" t="s">
        <v>253</v>
      </c>
      <c r="D830" s="11" t="s">
        <v>254</v>
      </c>
      <c r="E830" s="9" t="str">
        <f>+HYPERLINK("http://trademark.i-assist.jp/data/china/image_1903th/79180193.pdf", "79180193")</f>
        <v>79180193</v>
      </c>
      <c r="F830" s="11" t="s">
        <v>2557</v>
      </c>
      <c r="G830" s="11" t="s">
        <v>2558</v>
      </c>
      <c r="H830" s="11" t="s">
        <v>2559</v>
      </c>
      <c r="I830" s="11" t="s">
        <v>230</v>
      </c>
    </row>
    <row r="831" spans="1:9" x14ac:dyDescent="0.15">
      <c r="A831" s="10">
        <v>830</v>
      </c>
      <c r="B831" s="11" t="s">
        <v>9</v>
      </c>
      <c r="C831" s="11" t="s">
        <v>253</v>
      </c>
      <c r="D831" s="11" t="s">
        <v>254</v>
      </c>
      <c r="E831" s="9" t="str">
        <f>+HYPERLINK("http://trademark.i-assist.jp/data/china/image_1903th/79180238.pdf", "79180238")</f>
        <v>79180238</v>
      </c>
      <c r="F831" s="11" t="s">
        <v>2560</v>
      </c>
      <c r="G831" s="11" t="s">
        <v>2561</v>
      </c>
      <c r="H831" s="11" t="s">
        <v>2562</v>
      </c>
      <c r="I831" s="11" t="s">
        <v>230</v>
      </c>
    </row>
    <row r="832" spans="1:9" x14ac:dyDescent="0.15">
      <c r="A832" s="10">
        <v>831</v>
      </c>
      <c r="B832" s="11" t="s">
        <v>9</v>
      </c>
      <c r="C832" s="11" t="s">
        <v>253</v>
      </c>
      <c r="D832" s="11" t="s">
        <v>254</v>
      </c>
      <c r="E832" s="9" t="str">
        <f>+HYPERLINK("http://trademark.i-assist.jp/data/china/image_1903th/79182075.pdf", "79182075")</f>
        <v>79182075</v>
      </c>
      <c r="F832" s="11" t="s">
        <v>2563</v>
      </c>
      <c r="G832" s="11" t="s">
        <v>220</v>
      </c>
      <c r="H832" s="11" t="s">
        <v>2564</v>
      </c>
      <c r="I832" s="11" t="s">
        <v>241</v>
      </c>
    </row>
    <row r="833" spans="1:9" x14ac:dyDescent="0.15">
      <c r="A833" s="10">
        <v>832</v>
      </c>
      <c r="B833" s="11" t="s">
        <v>9</v>
      </c>
      <c r="C833" s="11" t="s">
        <v>253</v>
      </c>
      <c r="D833" s="11" t="s">
        <v>254</v>
      </c>
      <c r="E833" s="9" t="str">
        <f>+HYPERLINK("http://trademark.i-assist.jp/data/china/image_1903th/79182185.pdf", "79182185")</f>
        <v>79182185</v>
      </c>
      <c r="F833" s="11" t="s">
        <v>2565</v>
      </c>
      <c r="G833" s="11" t="s">
        <v>2566</v>
      </c>
      <c r="H833" s="11" t="s">
        <v>2567</v>
      </c>
      <c r="I833" s="11" t="s">
        <v>241</v>
      </c>
    </row>
    <row r="834" spans="1:9" x14ac:dyDescent="0.15">
      <c r="A834" s="10">
        <v>833</v>
      </c>
      <c r="B834" s="11" t="s">
        <v>9</v>
      </c>
      <c r="C834" s="11" t="s">
        <v>253</v>
      </c>
      <c r="D834" s="11" t="s">
        <v>254</v>
      </c>
      <c r="E834" s="9" t="str">
        <f>+HYPERLINK("http://trademark.i-assist.jp/data/china/image_1903th/79182286.pdf", "79182286")</f>
        <v>79182286</v>
      </c>
      <c r="F834" s="11" t="s">
        <v>2568</v>
      </c>
      <c r="G834" s="11" t="s">
        <v>2569</v>
      </c>
      <c r="H834" s="11" t="s">
        <v>2570</v>
      </c>
      <c r="I834" s="11" t="s">
        <v>241</v>
      </c>
    </row>
    <row r="835" spans="1:9" x14ac:dyDescent="0.15">
      <c r="A835" s="10">
        <v>834</v>
      </c>
      <c r="B835" s="11" t="s">
        <v>9</v>
      </c>
      <c r="C835" s="11" t="s">
        <v>253</v>
      </c>
      <c r="D835" s="11" t="s">
        <v>254</v>
      </c>
      <c r="E835" s="9" t="str">
        <f>+HYPERLINK("http://trademark.i-assist.jp/data/china/image_1903th/79182694.pdf", "79182694")</f>
        <v>79182694</v>
      </c>
      <c r="F835" s="11" t="s">
        <v>2571</v>
      </c>
      <c r="G835" s="11" t="s">
        <v>2572</v>
      </c>
      <c r="H835" s="11" t="s">
        <v>2573</v>
      </c>
      <c r="I835" s="11" t="s">
        <v>241</v>
      </c>
    </row>
    <row r="836" spans="1:9" x14ac:dyDescent="0.15">
      <c r="A836" s="10">
        <v>835</v>
      </c>
      <c r="B836" s="11" t="s">
        <v>9</v>
      </c>
      <c r="C836" s="11" t="s">
        <v>253</v>
      </c>
      <c r="D836" s="11" t="s">
        <v>254</v>
      </c>
      <c r="E836" s="9" t="str">
        <f>+HYPERLINK("http://trademark.i-assist.jp/data/china/image_1903th/79183492.pdf", "79183492")</f>
        <v>79183492</v>
      </c>
      <c r="F836" s="11" t="s">
        <v>2574</v>
      </c>
      <c r="G836" s="11" t="s">
        <v>2575</v>
      </c>
      <c r="H836" s="11" t="s">
        <v>2576</v>
      </c>
      <c r="I836" s="11" t="s">
        <v>241</v>
      </c>
    </row>
    <row r="837" spans="1:9" x14ac:dyDescent="0.15">
      <c r="A837" s="10">
        <v>836</v>
      </c>
      <c r="B837" s="11" t="s">
        <v>9</v>
      </c>
      <c r="C837" s="11" t="s">
        <v>253</v>
      </c>
      <c r="D837" s="11" t="s">
        <v>254</v>
      </c>
      <c r="E837" s="9" t="str">
        <f>+HYPERLINK("http://trademark.i-assist.jp/data/china/image_1903th/79183613.pdf", "79183613")</f>
        <v>79183613</v>
      </c>
      <c r="F837" s="11" t="s">
        <v>2577</v>
      </c>
      <c r="G837" s="11" t="s">
        <v>2578</v>
      </c>
      <c r="H837" s="11" t="s">
        <v>2579</v>
      </c>
      <c r="I837" s="11" t="s">
        <v>241</v>
      </c>
    </row>
    <row r="838" spans="1:9" x14ac:dyDescent="0.15">
      <c r="A838" s="10">
        <v>837</v>
      </c>
      <c r="B838" s="11" t="s">
        <v>9</v>
      </c>
      <c r="C838" s="11" t="s">
        <v>253</v>
      </c>
      <c r="D838" s="11" t="s">
        <v>254</v>
      </c>
      <c r="E838" s="9" t="str">
        <f>+HYPERLINK("http://trademark.i-assist.jp/data/china/image_1903th/79183962.pdf", "79183962")</f>
        <v>79183962</v>
      </c>
      <c r="F838" s="11" t="s">
        <v>2580</v>
      </c>
      <c r="G838" s="11" t="s">
        <v>2581</v>
      </c>
      <c r="H838" s="11" t="s">
        <v>2582</v>
      </c>
      <c r="I838" s="11" t="s">
        <v>241</v>
      </c>
    </row>
    <row r="839" spans="1:9" x14ac:dyDescent="0.15">
      <c r="A839" s="10">
        <v>838</v>
      </c>
      <c r="B839" s="11" t="s">
        <v>9</v>
      </c>
      <c r="C839" s="11" t="s">
        <v>253</v>
      </c>
      <c r="D839" s="11" t="s">
        <v>254</v>
      </c>
      <c r="E839" s="9" t="str">
        <f>+HYPERLINK("http://trademark.i-assist.jp/data/china/image_1903th/79184298.pdf", "79184298")</f>
        <v>79184298</v>
      </c>
      <c r="F839" s="11" t="s">
        <v>2583</v>
      </c>
      <c r="G839" s="11" t="s">
        <v>238</v>
      </c>
      <c r="H839" s="11" t="s">
        <v>2584</v>
      </c>
      <c r="I839" s="11" t="s">
        <v>241</v>
      </c>
    </row>
    <row r="840" spans="1:9" x14ac:dyDescent="0.15">
      <c r="A840" s="10">
        <v>839</v>
      </c>
      <c r="B840" s="11" t="s">
        <v>9</v>
      </c>
      <c r="C840" s="11" t="s">
        <v>253</v>
      </c>
      <c r="D840" s="11" t="s">
        <v>254</v>
      </c>
      <c r="E840" s="9" t="str">
        <f>+HYPERLINK("http://trademark.i-assist.jp/data/china/image_1903th/79184738.pdf", "79184738")</f>
        <v>79184738</v>
      </c>
      <c r="F840" s="11" t="s">
        <v>2585</v>
      </c>
      <c r="G840" s="11" t="s">
        <v>2586</v>
      </c>
      <c r="H840" s="11" t="s">
        <v>2587</v>
      </c>
      <c r="I840" s="11" t="s">
        <v>241</v>
      </c>
    </row>
    <row r="841" spans="1:9" x14ac:dyDescent="0.15">
      <c r="A841" s="10">
        <v>840</v>
      </c>
      <c r="B841" s="11" t="s">
        <v>9</v>
      </c>
      <c r="C841" s="11" t="s">
        <v>253</v>
      </c>
      <c r="D841" s="11" t="s">
        <v>254</v>
      </c>
      <c r="E841" s="9" t="str">
        <f>+HYPERLINK("http://trademark.i-assist.jp/data/china/image_1903th/79185358.pdf", "79185358")</f>
        <v>79185358</v>
      </c>
      <c r="F841" s="11" t="s">
        <v>2588</v>
      </c>
      <c r="G841" s="11" t="s">
        <v>2589</v>
      </c>
      <c r="H841" s="11" t="s">
        <v>2590</v>
      </c>
      <c r="I841" s="11" t="s">
        <v>241</v>
      </c>
    </row>
    <row r="842" spans="1:9" x14ac:dyDescent="0.15">
      <c r="A842" s="10">
        <v>841</v>
      </c>
      <c r="B842" s="11" t="s">
        <v>9</v>
      </c>
      <c r="C842" s="11" t="s">
        <v>253</v>
      </c>
      <c r="D842" s="11" t="s">
        <v>254</v>
      </c>
      <c r="E842" s="9" t="str">
        <f>+HYPERLINK("http://trademark.i-assist.jp/data/china/image_1903th/79186045.pdf", "79186045")</f>
        <v>79186045</v>
      </c>
      <c r="F842" s="11" t="s">
        <v>2591</v>
      </c>
      <c r="G842" s="11" t="s">
        <v>2566</v>
      </c>
      <c r="H842" s="11" t="s">
        <v>2592</v>
      </c>
      <c r="I842" s="11" t="s">
        <v>241</v>
      </c>
    </row>
    <row r="843" spans="1:9" x14ac:dyDescent="0.15">
      <c r="A843" s="10">
        <v>842</v>
      </c>
      <c r="B843" s="11" t="s">
        <v>9</v>
      </c>
      <c r="C843" s="11" t="s">
        <v>253</v>
      </c>
      <c r="D843" s="11" t="s">
        <v>254</v>
      </c>
      <c r="E843" s="9" t="str">
        <f>+HYPERLINK("http://trademark.i-assist.jp/data/china/image_1903th/79186767.pdf", "79186767")</f>
        <v>79186767</v>
      </c>
      <c r="F843" s="11" t="s">
        <v>2593</v>
      </c>
      <c r="G843" s="11" t="s">
        <v>2594</v>
      </c>
      <c r="H843" s="11" t="s">
        <v>2595</v>
      </c>
      <c r="I843" s="11" t="s">
        <v>241</v>
      </c>
    </row>
    <row r="844" spans="1:9" x14ac:dyDescent="0.15">
      <c r="A844" s="10">
        <v>843</v>
      </c>
      <c r="B844" s="11" t="s">
        <v>9</v>
      </c>
      <c r="C844" s="11" t="s">
        <v>253</v>
      </c>
      <c r="D844" s="11" t="s">
        <v>254</v>
      </c>
      <c r="E844" s="9" t="str">
        <f>+HYPERLINK("http://trademark.i-assist.jp/data/china/image_1903th/79186892.pdf", "79186892")</f>
        <v>79186892</v>
      </c>
      <c r="F844" s="11" t="s">
        <v>2596</v>
      </c>
      <c r="G844" s="11" t="s">
        <v>2597</v>
      </c>
      <c r="H844" s="11" t="s">
        <v>2598</v>
      </c>
      <c r="I844" s="11" t="s">
        <v>241</v>
      </c>
    </row>
    <row r="845" spans="1:9" x14ac:dyDescent="0.15">
      <c r="A845" s="10">
        <v>844</v>
      </c>
      <c r="B845" s="11" t="s">
        <v>9</v>
      </c>
      <c r="C845" s="11" t="s">
        <v>253</v>
      </c>
      <c r="D845" s="11" t="s">
        <v>254</v>
      </c>
      <c r="E845" s="9" t="str">
        <f>+HYPERLINK("http://trademark.i-assist.jp/data/china/image_1903th/79187258.pdf", "79187258")</f>
        <v>79187258</v>
      </c>
      <c r="F845" s="11" t="s">
        <v>2599</v>
      </c>
      <c r="G845" s="11" t="s">
        <v>2600</v>
      </c>
      <c r="H845" s="11" t="s">
        <v>2601</v>
      </c>
      <c r="I845" s="11" t="s">
        <v>241</v>
      </c>
    </row>
    <row r="846" spans="1:9" x14ac:dyDescent="0.15">
      <c r="A846" s="10">
        <v>845</v>
      </c>
      <c r="B846" s="11" t="s">
        <v>9</v>
      </c>
      <c r="C846" s="11" t="s">
        <v>253</v>
      </c>
      <c r="D846" s="11" t="s">
        <v>254</v>
      </c>
      <c r="E846" s="9" t="str">
        <f>+HYPERLINK("http://trademark.i-assist.jp/data/china/image_1903th/79187709.pdf", "79187709")</f>
        <v>79187709</v>
      </c>
      <c r="F846" s="11" t="s">
        <v>2602</v>
      </c>
      <c r="G846" s="11" t="s">
        <v>2603</v>
      </c>
      <c r="H846" s="11" t="s">
        <v>2604</v>
      </c>
      <c r="I846" s="11" t="s">
        <v>241</v>
      </c>
    </row>
    <row r="847" spans="1:9" x14ac:dyDescent="0.15">
      <c r="A847" s="10">
        <v>846</v>
      </c>
      <c r="B847" s="11" t="s">
        <v>9</v>
      </c>
      <c r="C847" s="11" t="s">
        <v>253</v>
      </c>
      <c r="D847" s="11" t="s">
        <v>254</v>
      </c>
      <c r="E847" s="9" t="str">
        <f>+HYPERLINK("http://trademark.i-assist.jp/data/china/image_1903th/79188791.pdf", "79188791")</f>
        <v>79188791</v>
      </c>
      <c r="F847" s="11" t="s">
        <v>2605</v>
      </c>
      <c r="G847" s="11" t="s">
        <v>2606</v>
      </c>
      <c r="H847" s="11" t="s">
        <v>2607</v>
      </c>
      <c r="I847" s="11" t="s">
        <v>241</v>
      </c>
    </row>
    <row r="848" spans="1:9" x14ac:dyDescent="0.15">
      <c r="A848" s="10">
        <v>847</v>
      </c>
      <c r="B848" s="11" t="s">
        <v>9</v>
      </c>
      <c r="C848" s="11" t="s">
        <v>253</v>
      </c>
      <c r="D848" s="11" t="s">
        <v>254</v>
      </c>
      <c r="E848" s="9" t="str">
        <f>+HYPERLINK("http://trademark.i-assist.jp/data/china/image_1903th/79188894.pdf", "79188894")</f>
        <v>79188894</v>
      </c>
      <c r="F848" s="11" t="s">
        <v>2608</v>
      </c>
      <c r="G848" s="11" t="s">
        <v>2609</v>
      </c>
      <c r="H848" s="11" t="s">
        <v>2610</v>
      </c>
      <c r="I848" s="11" t="s">
        <v>241</v>
      </c>
    </row>
    <row r="849" spans="1:9" x14ac:dyDescent="0.15">
      <c r="A849" s="10">
        <v>848</v>
      </c>
      <c r="B849" s="11" t="s">
        <v>9</v>
      </c>
      <c r="C849" s="11" t="s">
        <v>253</v>
      </c>
      <c r="D849" s="11" t="s">
        <v>254</v>
      </c>
      <c r="E849" s="9" t="str">
        <f>+HYPERLINK("http://trademark.i-assist.jp/data/china/image_1903th/79189111.pdf", "79189111")</f>
        <v>79189111</v>
      </c>
      <c r="F849" s="11" t="s">
        <v>2611</v>
      </c>
      <c r="G849" s="11" t="s">
        <v>2612</v>
      </c>
      <c r="H849" s="11" t="s">
        <v>2613</v>
      </c>
      <c r="I849" s="11" t="s">
        <v>241</v>
      </c>
    </row>
    <row r="850" spans="1:9" x14ac:dyDescent="0.15">
      <c r="A850" s="10">
        <v>849</v>
      </c>
      <c r="B850" s="11" t="s">
        <v>9</v>
      </c>
      <c r="C850" s="11" t="s">
        <v>253</v>
      </c>
      <c r="D850" s="11" t="s">
        <v>254</v>
      </c>
      <c r="E850" s="9" t="str">
        <f>+HYPERLINK("http://trademark.i-assist.jp/data/china/image_1903th/79189316.pdf", "79189316")</f>
        <v>79189316</v>
      </c>
      <c r="F850" s="11" t="s">
        <v>2614</v>
      </c>
      <c r="G850" s="11" t="s">
        <v>2615</v>
      </c>
      <c r="H850" s="11" t="s">
        <v>2616</v>
      </c>
      <c r="I850" s="11" t="s">
        <v>241</v>
      </c>
    </row>
    <row r="851" spans="1:9" x14ac:dyDescent="0.15">
      <c r="A851" s="10">
        <v>850</v>
      </c>
      <c r="B851" s="11" t="s">
        <v>9</v>
      </c>
      <c r="C851" s="11" t="s">
        <v>253</v>
      </c>
      <c r="D851" s="11" t="s">
        <v>254</v>
      </c>
      <c r="E851" s="9" t="str">
        <f>+HYPERLINK("http://trademark.i-assist.jp/data/china/image_1903th/79189404.pdf", "79189404")</f>
        <v>79189404</v>
      </c>
      <c r="F851" s="11" t="s">
        <v>2617</v>
      </c>
      <c r="G851" s="11" t="s">
        <v>2618</v>
      </c>
      <c r="H851" s="11" t="s">
        <v>2619</v>
      </c>
      <c r="I851" s="11" t="s">
        <v>241</v>
      </c>
    </row>
    <row r="852" spans="1:9" x14ac:dyDescent="0.15">
      <c r="A852" s="10">
        <v>851</v>
      </c>
      <c r="B852" s="11" t="s">
        <v>9</v>
      </c>
      <c r="C852" s="11" t="s">
        <v>253</v>
      </c>
      <c r="D852" s="11" t="s">
        <v>254</v>
      </c>
      <c r="E852" s="9" t="str">
        <f>+HYPERLINK("http://trademark.i-assist.jp/data/china/image_1903th/79189883.pdf", "79189883")</f>
        <v>79189883</v>
      </c>
      <c r="F852" s="11" t="s">
        <v>2620</v>
      </c>
      <c r="G852" s="11" t="s">
        <v>2621</v>
      </c>
      <c r="H852" s="11" t="s">
        <v>2622</v>
      </c>
      <c r="I852" s="11" t="s">
        <v>241</v>
      </c>
    </row>
    <row r="853" spans="1:9" x14ac:dyDescent="0.15">
      <c r="A853" s="10">
        <v>852</v>
      </c>
      <c r="B853" s="11" t="s">
        <v>9</v>
      </c>
      <c r="C853" s="11" t="s">
        <v>253</v>
      </c>
      <c r="D853" s="11" t="s">
        <v>254</v>
      </c>
      <c r="E853" s="9" t="str">
        <f>+HYPERLINK("http://trademark.i-assist.jp/data/china/image_1903th/79190287.pdf", "79190287")</f>
        <v>79190287</v>
      </c>
      <c r="F853" s="11" t="s">
        <v>2623</v>
      </c>
      <c r="G853" s="11" t="s">
        <v>2624</v>
      </c>
      <c r="H853" s="11" t="s">
        <v>2625</v>
      </c>
      <c r="I853" s="11" t="s">
        <v>241</v>
      </c>
    </row>
    <row r="854" spans="1:9" x14ac:dyDescent="0.15">
      <c r="A854" s="10">
        <v>853</v>
      </c>
      <c r="B854" s="11" t="s">
        <v>9</v>
      </c>
      <c r="C854" s="11" t="s">
        <v>253</v>
      </c>
      <c r="D854" s="11" t="s">
        <v>254</v>
      </c>
      <c r="E854" s="9" t="str">
        <f>+HYPERLINK("http://trademark.i-assist.jp/data/china/image_1903th/79190471.pdf", "79190471")</f>
        <v>79190471</v>
      </c>
      <c r="F854" s="11" t="s">
        <v>2626</v>
      </c>
      <c r="G854" s="11" t="s">
        <v>157</v>
      </c>
      <c r="H854" s="11" t="s">
        <v>2627</v>
      </c>
      <c r="I854" s="11" t="s">
        <v>241</v>
      </c>
    </row>
    <row r="855" spans="1:9" x14ac:dyDescent="0.15">
      <c r="A855" s="10">
        <v>854</v>
      </c>
      <c r="B855" s="11" t="s">
        <v>9</v>
      </c>
      <c r="C855" s="11" t="s">
        <v>253</v>
      </c>
      <c r="D855" s="11" t="s">
        <v>254</v>
      </c>
      <c r="E855" s="9" t="str">
        <f>+HYPERLINK("http://trademark.i-assist.jp/data/china/image_1903th/79190497.pdf", "79190497")</f>
        <v>79190497</v>
      </c>
      <c r="F855" s="11" t="s">
        <v>2628</v>
      </c>
      <c r="G855" s="11" t="s">
        <v>2629</v>
      </c>
      <c r="H855" s="11" t="s">
        <v>2630</v>
      </c>
      <c r="I855" s="11" t="s">
        <v>241</v>
      </c>
    </row>
    <row r="856" spans="1:9" x14ac:dyDescent="0.15">
      <c r="A856" s="10">
        <v>855</v>
      </c>
      <c r="B856" s="11" t="s">
        <v>9</v>
      </c>
      <c r="C856" s="11" t="s">
        <v>253</v>
      </c>
      <c r="D856" s="11" t="s">
        <v>254</v>
      </c>
      <c r="E856" s="9" t="str">
        <f>+HYPERLINK("http://trademark.i-assist.jp/data/china/image_1903th/79190673.pdf", "79190673")</f>
        <v>79190673</v>
      </c>
      <c r="F856" s="11" t="s">
        <v>2631</v>
      </c>
      <c r="G856" s="11" t="s">
        <v>2632</v>
      </c>
      <c r="H856" s="11" t="s">
        <v>2633</v>
      </c>
      <c r="I856" s="11" t="s">
        <v>241</v>
      </c>
    </row>
    <row r="857" spans="1:9" x14ac:dyDescent="0.15">
      <c r="A857" s="10">
        <v>856</v>
      </c>
      <c r="B857" s="11" t="s">
        <v>9</v>
      </c>
      <c r="C857" s="11" t="s">
        <v>253</v>
      </c>
      <c r="D857" s="11" t="s">
        <v>254</v>
      </c>
      <c r="E857" s="9" t="str">
        <f>+HYPERLINK("http://trademark.i-assist.jp/data/china/image_1903th/79190806.pdf", "79190806")</f>
        <v>79190806</v>
      </c>
      <c r="F857" s="11" t="s">
        <v>2634</v>
      </c>
      <c r="G857" s="11" t="s">
        <v>2635</v>
      </c>
      <c r="H857" s="11" t="s">
        <v>2636</v>
      </c>
      <c r="I857" s="11" t="s">
        <v>241</v>
      </c>
    </row>
    <row r="858" spans="1:9" x14ac:dyDescent="0.15">
      <c r="A858" s="10">
        <v>857</v>
      </c>
      <c r="B858" s="11" t="s">
        <v>9</v>
      </c>
      <c r="C858" s="11" t="s">
        <v>253</v>
      </c>
      <c r="D858" s="11" t="s">
        <v>254</v>
      </c>
      <c r="E858" s="9" t="str">
        <f>+HYPERLINK("http://trademark.i-assist.jp/data/china/image_1903th/79190810.pdf", "79190810")</f>
        <v>79190810</v>
      </c>
      <c r="F858" s="11" t="s">
        <v>2637</v>
      </c>
      <c r="G858" s="11" t="s">
        <v>2586</v>
      </c>
      <c r="H858" s="11" t="s">
        <v>2638</v>
      </c>
      <c r="I858" s="11" t="s">
        <v>241</v>
      </c>
    </row>
    <row r="859" spans="1:9" x14ac:dyDescent="0.15">
      <c r="A859" s="10">
        <v>858</v>
      </c>
      <c r="B859" s="11" t="s">
        <v>9</v>
      </c>
      <c r="C859" s="11" t="s">
        <v>253</v>
      </c>
      <c r="D859" s="11" t="s">
        <v>254</v>
      </c>
      <c r="E859" s="9" t="str">
        <f>+HYPERLINK("http://trademark.i-assist.jp/data/china/image_1903th/79191057.pdf", "79191057")</f>
        <v>79191057</v>
      </c>
      <c r="F859" s="11" t="s">
        <v>2639</v>
      </c>
      <c r="G859" s="11" t="s">
        <v>2640</v>
      </c>
      <c r="H859" s="11" t="s">
        <v>2641</v>
      </c>
      <c r="I859" s="11" t="s">
        <v>241</v>
      </c>
    </row>
    <row r="860" spans="1:9" x14ac:dyDescent="0.15">
      <c r="A860" s="10">
        <v>859</v>
      </c>
      <c r="B860" s="11" t="s">
        <v>9</v>
      </c>
      <c r="C860" s="11" t="s">
        <v>253</v>
      </c>
      <c r="D860" s="11" t="s">
        <v>254</v>
      </c>
      <c r="E860" s="9" t="str">
        <f>+HYPERLINK("http://trademark.i-assist.jp/data/china/image_1903th/79191387.pdf", "79191387")</f>
        <v>79191387</v>
      </c>
      <c r="F860" s="11" t="s">
        <v>2642</v>
      </c>
      <c r="G860" s="11" t="s">
        <v>2643</v>
      </c>
      <c r="H860" s="11" t="s">
        <v>2644</v>
      </c>
      <c r="I860" s="11" t="s">
        <v>241</v>
      </c>
    </row>
    <row r="861" spans="1:9" x14ac:dyDescent="0.15">
      <c r="A861" s="10">
        <v>860</v>
      </c>
      <c r="B861" s="11" t="s">
        <v>9</v>
      </c>
      <c r="C861" s="11" t="s">
        <v>253</v>
      </c>
      <c r="D861" s="11" t="s">
        <v>254</v>
      </c>
      <c r="E861" s="9" t="str">
        <f>+HYPERLINK("http://trademark.i-assist.jp/data/china/image_1903th/79191579.pdf", "79191579")</f>
        <v>79191579</v>
      </c>
      <c r="F861" s="11" t="s">
        <v>2645</v>
      </c>
      <c r="G861" s="11" t="s">
        <v>231</v>
      </c>
      <c r="H861" s="11" t="s">
        <v>2646</v>
      </c>
      <c r="I861" s="11" t="s">
        <v>241</v>
      </c>
    </row>
    <row r="862" spans="1:9" x14ac:dyDescent="0.15">
      <c r="A862" s="10">
        <v>861</v>
      </c>
      <c r="B862" s="11" t="s">
        <v>9</v>
      </c>
      <c r="C862" s="11" t="s">
        <v>253</v>
      </c>
      <c r="D862" s="11" t="s">
        <v>254</v>
      </c>
      <c r="E862" s="9" t="str">
        <f>+HYPERLINK("http://trademark.i-assist.jp/data/china/image_1903th/79191776.pdf", "79191776")</f>
        <v>79191776</v>
      </c>
      <c r="F862" s="11" t="s">
        <v>2647</v>
      </c>
      <c r="G862" s="11" t="s">
        <v>2624</v>
      </c>
      <c r="H862" s="11" t="s">
        <v>2648</v>
      </c>
      <c r="I862" s="11" t="s">
        <v>241</v>
      </c>
    </row>
    <row r="863" spans="1:9" x14ac:dyDescent="0.15">
      <c r="A863" s="10">
        <v>862</v>
      </c>
      <c r="B863" s="11" t="s">
        <v>9</v>
      </c>
      <c r="C863" s="11" t="s">
        <v>253</v>
      </c>
      <c r="D863" s="11" t="s">
        <v>254</v>
      </c>
      <c r="E863" s="9" t="str">
        <f>+HYPERLINK("http://trademark.i-assist.jp/data/china/image_1903th/79192087.pdf", "79192087")</f>
        <v>79192087</v>
      </c>
      <c r="F863" s="11" t="s">
        <v>2649</v>
      </c>
      <c r="G863" s="11" t="s">
        <v>2650</v>
      </c>
      <c r="H863" s="11" t="s">
        <v>2651</v>
      </c>
      <c r="I863" s="11" t="s">
        <v>241</v>
      </c>
    </row>
    <row r="864" spans="1:9" x14ac:dyDescent="0.15">
      <c r="A864" s="10">
        <v>863</v>
      </c>
      <c r="B864" s="11" t="s">
        <v>9</v>
      </c>
      <c r="C864" s="11" t="s">
        <v>253</v>
      </c>
      <c r="D864" s="11" t="s">
        <v>254</v>
      </c>
      <c r="E864" s="9" t="str">
        <f>+HYPERLINK("http://trademark.i-assist.jp/data/china/image_1903th/79192308.pdf", "79192308")</f>
        <v>79192308</v>
      </c>
      <c r="F864" s="11" t="s">
        <v>2652</v>
      </c>
      <c r="G864" s="11" t="s">
        <v>2653</v>
      </c>
      <c r="H864" s="11" t="s">
        <v>2654</v>
      </c>
      <c r="I864" s="11" t="s">
        <v>241</v>
      </c>
    </row>
    <row r="865" spans="1:9" x14ac:dyDescent="0.15">
      <c r="A865" s="10">
        <v>864</v>
      </c>
      <c r="B865" s="11" t="s">
        <v>9</v>
      </c>
      <c r="C865" s="11" t="s">
        <v>253</v>
      </c>
      <c r="D865" s="11" t="s">
        <v>254</v>
      </c>
      <c r="E865" s="9" t="str">
        <f>+HYPERLINK("http://trademark.i-assist.jp/data/china/image_1903th/79192345.pdf", "79192345")</f>
        <v>79192345</v>
      </c>
      <c r="F865" s="11" t="s">
        <v>2655</v>
      </c>
      <c r="G865" s="11" t="s">
        <v>231</v>
      </c>
      <c r="H865" s="11" t="s">
        <v>2656</v>
      </c>
      <c r="I865" s="11" t="s">
        <v>241</v>
      </c>
    </row>
    <row r="866" spans="1:9" x14ac:dyDescent="0.15">
      <c r="A866" s="10">
        <v>865</v>
      </c>
      <c r="B866" s="11" t="s">
        <v>9</v>
      </c>
      <c r="C866" s="11" t="s">
        <v>253</v>
      </c>
      <c r="D866" s="11" t="s">
        <v>254</v>
      </c>
      <c r="E866" s="9" t="str">
        <f>+HYPERLINK("http://trademark.i-assist.jp/data/china/image_1903th/79192554.pdf", "79192554")</f>
        <v>79192554</v>
      </c>
      <c r="F866" s="11" t="s">
        <v>2657</v>
      </c>
      <c r="G866" s="11" t="s">
        <v>2658</v>
      </c>
      <c r="H866" s="11" t="s">
        <v>2659</v>
      </c>
      <c r="I866" s="11" t="s">
        <v>241</v>
      </c>
    </row>
    <row r="867" spans="1:9" x14ac:dyDescent="0.15">
      <c r="A867" s="10">
        <v>866</v>
      </c>
      <c r="B867" s="11" t="s">
        <v>9</v>
      </c>
      <c r="C867" s="11" t="s">
        <v>253</v>
      </c>
      <c r="D867" s="11" t="s">
        <v>254</v>
      </c>
      <c r="E867" s="9" t="str">
        <f>+HYPERLINK("http://trademark.i-assist.jp/data/china/image_1903th/79192931.pdf", "79192931")</f>
        <v>79192931</v>
      </c>
      <c r="F867" s="11" t="s">
        <v>2660</v>
      </c>
      <c r="G867" s="11" t="s">
        <v>2661</v>
      </c>
      <c r="H867" s="11" t="s">
        <v>2662</v>
      </c>
      <c r="I867" s="11" t="s">
        <v>241</v>
      </c>
    </row>
    <row r="868" spans="1:9" x14ac:dyDescent="0.15">
      <c r="A868" s="10">
        <v>867</v>
      </c>
      <c r="B868" s="11" t="s">
        <v>9</v>
      </c>
      <c r="C868" s="11" t="s">
        <v>253</v>
      </c>
      <c r="D868" s="11" t="s">
        <v>254</v>
      </c>
      <c r="E868" s="9" t="str">
        <f>+HYPERLINK("http://trademark.i-assist.jp/data/china/image_1903th/79193228.pdf", "79193228")</f>
        <v>79193228</v>
      </c>
      <c r="F868" s="11" t="s">
        <v>2663</v>
      </c>
      <c r="G868" s="11" t="s">
        <v>2664</v>
      </c>
      <c r="H868" s="11" t="s">
        <v>2665</v>
      </c>
      <c r="I868" s="11" t="s">
        <v>241</v>
      </c>
    </row>
    <row r="869" spans="1:9" x14ac:dyDescent="0.15">
      <c r="A869" s="10">
        <v>868</v>
      </c>
      <c r="B869" s="11" t="s">
        <v>9</v>
      </c>
      <c r="C869" s="11" t="s">
        <v>253</v>
      </c>
      <c r="D869" s="11" t="s">
        <v>254</v>
      </c>
      <c r="E869" s="9" t="str">
        <f>+HYPERLINK("http://trademark.i-assist.jp/data/china/image_1903th/79193256.pdf", "79193256")</f>
        <v>79193256</v>
      </c>
      <c r="F869" s="11" t="s">
        <v>12</v>
      </c>
      <c r="G869" s="11" t="s">
        <v>2640</v>
      </c>
      <c r="H869" s="11" t="s">
        <v>2666</v>
      </c>
      <c r="I869" s="11" t="s">
        <v>241</v>
      </c>
    </row>
    <row r="870" spans="1:9" x14ac:dyDescent="0.15">
      <c r="A870" s="10">
        <v>869</v>
      </c>
      <c r="B870" s="11" t="s">
        <v>9</v>
      </c>
      <c r="C870" s="11" t="s">
        <v>253</v>
      </c>
      <c r="D870" s="11" t="s">
        <v>254</v>
      </c>
      <c r="E870" s="9" t="str">
        <f>+HYPERLINK("http://trademark.i-assist.jp/data/china/image_1903th/79193547.pdf", "79193547")</f>
        <v>79193547</v>
      </c>
      <c r="F870" s="11" t="s">
        <v>2667</v>
      </c>
      <c r="G870" s="11" t="s">
        <v>2668</v>
      </c>
      <c r="H870" s="11" t="s">
        <v>2669</v>
      </c>
      <c r="I870" s="11" t="s">
        <v>241</v>
      </c>
    </row>
    <row r="871" spans="1:9" x14ac:dyDescent="0.15">
      <c r="A871" s="10">
        <v>870</v>
      </c>
      <c r="B871" s="11" t="s">
        <v>9</v>
      </c>
      <c r="C871" s="11" t="s">
        <v>253</v>
      </c>
      <c r="D871" s="11" t="s">
        <v>254</v>
      </c>
      <c r="E871" s="9" t="str">
        <f>+HYPERLINK("http://trademark.i-assist.jp/data/china/image_1903th/79194169.pdf", "79194169")</f>
        <v>79194169</v>
      </c>
      <c r="F871" s="11" t="s">
        <v>2670</v>
      </c>
      <c r="G871" s="11" t="s">
        <v>2671</v>
      </c>
      <c r="H871" s="11" t="s">
        <v>2672</v>
      </c>
      <c r="I871" s="11" t="s">
        <v>241</v>
      </c>
    </row>
    <row r="872" spans="1:9" x14ac:dyDescent="0.15">
      <c r="A872" s="10">
        <v>871</v>
      </c>
      <c r="B872" s="11" t="s">
        <v>9</v>
      </c>
      <c r="C872" s="11" t="s">
        <v>253</v>
      </c>
      <c r="D872" s="11" t="s">
        <v>254</v>
      </c>
      <c r="E872" s="9" t="str">
        <f>+HYPERLINK("http://trademark.i-assist.jp/data/china/image_1903th/79194454.pdf", "79194454")</f>
        <v>79194454</v>
      </c>
      <c r="F872" s="11" t="s">
        <v>2673</v>
      </c>
      <c r="G872" s="11" t="s">
        <v>2674</v>
      </c>
      <c r="H872" s="11" t="s">
        <v>2675</v>
      </c>
      <c r="I872" s="11" t="s">
        <v>241</v>
      </c>
    </row>
    <row r="873" spans="1:9" x14ac:dyDescent="0.15">
      <c r="A873" s="10">
        <v>872</v>
      </c>
      <c r="B873" s="11" t="s">
        <v>9</v>
      </c>
      <c r="C873" s="11" t="s">
        <v>253</v>
      </c>
      <c r="D873" s="11" t="s">
        <v>254</v>
      </c>
      <c r="E873" s="9" t="str">
        <f>+HYPERLINK("http://trademark.i-assist.jp/data/china/image_1903th/79194674.pdf", "79194674")</f>
        <v>79194674</v>
      </c>
      <c r="F873" s="11" t="s">
        <v>2676</v>
      </c>
      <c r="G873" s="11" t="s">
        <v>2586</v>
      </c>
      <c r="H873" s="11" t="s">
        <v>2677</v>
      </c>
      <c r="I873" s="11" t="s">
        <v>241</v>
      </c>
    </row>
    <row r="874" spans="1:9" x14ac:dyDescent="0.15">
      <c r="A874" s="10">
        <v>873</v>
      </c>
      <c r="B874" s="11" t="s">
        <v>9</v>
      </c>
      <c r="C874" s="11" t="s">
        <v>253</v>
      </c>
      <c r="D874" s="11" t="s">
        <v>254</v>
      </c>
      <c r="E874" s="9" t="str">
        <f>+HYPERLINK("http://trademark.i-assist.jp/data/china/image_1903th/79194691.pdf", "79194691")</f>
        <v>79194691</v>
      </c>
      <c r="F874" s="11" t="s">
        <v>2678</v>
      </c>
      <c r="G874" s="11" t="s">
        <v>2679</v>
      </c>
      <c r="H874" s="11" t="s">
        <v>2680</v>
      </c>
      <c r="I874" s="11" t="s">
        <v>241</v>
      </c>
    </row>
    <row r="875" spans="1:9" x14ac:dyDescent="0.15">
      <c r="A875" s="10">
        <v>874</v>
      </c>
      <c r="B875" s="11" t="s">
        <v>9</v>
      </c>
      <c r="C875" s="11" t="s">
        <v>253</v>
      </c>
      <c r="D875" s="11" t="s">
        <v>254</v>
      </c>
      <c r="E875" s="9" t="str">
        <f>+HYPERLINK("http://trademark.i-assist.jp/data/china/image_1903th/79194895.pdf", "79194895")</f>
        <v>79194895</v>
      </c>
      <c r="F875" s="11" t="s">
        <v>2681</v>
      </c>
      <c r="G875" s="11" t="s">
        <v>2682</v>
      </c>
      <c r="H875" s="11" t="s">
        <v>2683</v>
      </c>
      <c r="I875" s="11" t="s">
        <v>241</v>
      </c>
    </row>
    <row r="876" spans="1:9" x14ac:dyDescent="0.15">
      <c r="A876" s="10">
        <v>875</v>
      </c>
      <c r="B876" s="11" t="s">
        <v>9</v>
      </c>
      <c r="C876" s="11" t="s">
        <v>253</v>
      </c>
      <c r="D876" s="11" t="s">
        <v>254</v>
      </c>
      <c r="E876" s="9" t="str">
        <f>+HYPERLINK("http://trademark.i-assist.jp/data/china/image_1903th/79194930.pdf", "79194930")</f>
        <v>79194930</v>
      </c>
      <c r="F876" s="11" t="s">
        <v>2684</v>
      </c>
      <c r="G876" s="11" t="s">
        <v>2685</v>
      </c>
      <c r="H876" s="11" t="s">
        <v>2686</v>
      </c>
      <c r="I876" s="11" t="s">
        <v>241</v>
      </c>
    </row>
    <row r="877" spans="1:9" x14ac:dyDescent="0.15">
      <c r="A877" s="10">
        <v>876</v>
      </c>
      <c r="B877" s="11" t="s">
        <v>9</v>
      </c>
      <c r="C877" s="11" t="s">
        <v>253</v>
      </c>
      <c r="D877" s="11" t="s">
        <v>254</v>
      </c>
      <c r="E877" s="9" t="str">
        <f>+HYPERLINK("http://trademark.i-assist.jp/data/china/image_1903th/79195090.pdf", "79195090")</f>
        <v>79195090</v>
      </c>
      <c r="F877" s="11" t="s">
        <v>12</v>
      </c>
      <c r="G877" s="11" t="s">
        <v>2687</v>
      </c>
      <c r="H877" s="11" t="s">
        <v>2688</v>
      </c>
      <c r="I877" s="11" t="s">
        <v>241</v>
      </c>
    </row>
    <row r="878" spans="1:9" x14ac:dyDescent="0.15">
      <c r="A878" s="10">
        <v>877</v>
      </c>
      <c r="B878" s="11" t="s">
        <v>9</v>
      </c>
      <c r="C878" s="11" t="s">
        <v>253</v>
      </c>
      <c r="D878" s="11" t="s">
        <v>254</v>
      </c>
      <c r="E878" s="9" t="str">
        <f>+HYPERLINK("http://trademark.i-assist.jp/data/china/image_1903th/79195118.pdf", "79195118")</f>
        <v>79195118</v>
      </c>
      <c r="F878" s="11" t="s">
        <v>2689</v>
      </c>
      <c r="G878" s="11" t="s">
        <v>2690</v>
      </c>
      <c r="H878" s="11" t="s">
        <v>2691</v>
      </c>
      <c r="I878" s="11" t="s">
        <v>241</v>
      </c>
    </row>
    <row r="879" spans="1:9" x14ac:dyDescent="0.15">
      <c r="A879" s="10">
        <v>878</v>
      </c>
      <c r="B879" s="11" t="s">
        <v>9</v>
      </c>
      <c r="C879" s="11" t="s">
        <v>253</v>
      </c>
      <c r="D879" s="11" t="s">
        <v>254</v>
      </c>
      <c r="E879" s="9" t="str">
        <f>+HYPERLINK("http://trademark.i-assist.jp/data/china/image_1903th/79195317.pdf", "79195317")</f>
        <v>79195317</v>
      </c>
      <c r="F879" s="11" t="s">
        <v>2692</v>
      </c>
      <c r="G879" s="11" t="s">
        <v>2693</v>
      </c>
      <c r="H879" s="11" t="s">
        <v>2694</v>
      </c>
      <c r="I879" s="11" t="s">
        <v>241</v>
      </c>
    </row>
    <row r="880" spans="1:9" x14ac:dyDescent="0.15">
      <c r="A880" s="10">
        <v>879</v>
      </c>
      <c r="B880" s="11" t="s">
        <v>9</v>
      </c>
      <c r="C880" s="11" t="s">
        <v>253</v>
      </c>
      <c r="D880" s="11" t="s">
        <v>254</v>
      </c>
      <c r="E880" s="9" t="str">
        <f>+HYPERLINK("http://trademark.i-assist.jp/data/china/image_1903th/79195381.pdf", "79195381")</f>
        <v>79195381</v>
      </c>
      <c r="F880" s="11" t="s">
        <v>2695</v>
      </c>
      <c r="G880" s="11" t="s">
        <v>2696</v>
      </c>
      <c r="H880" s="11" t="s">
        <v>2697</v>
      </c>
      <c r="I880" s="11" t="s">
        <v>241</v>
      </c>
    </row>
    <row r="881" spans="1:9" x14ac:dyDescent="0.15">
      <c r="A881" s="10">
        <v>880</v>
      </c>
      <c r="B881" s="11" t="s">
        <v>9</v>
      </c>
      <c r="C881" s="11" t="s">
        <v>253</v>
      </c>
      <c r="D881" s="11" t="s">
        <v>254</v>
      </c>
      <c r="E881" s="9" t="str">
        <f>+HYPERLINK("http://trademark.i-assist.jp/data/china/image_1903th/79195387.pdf", "79195387")</f>
        <v>79195387</v>
      </c>
      <c r="F881" s="11" t="s">
        <v>2698</v>
      </c>
      <c r="G881" s="11" t="s">
        <v>2597</v>
      </c>
      <c r="H881" s="11" t="s">
        <v>2699</v>
      </c>
      <c r="I881" s="11" t="s">
        <v>241</v>
      </c>
    </row>
    <row r="882" spans="1:9" x14ac:dyDescent="0.15">
      <c r="A882" s="10">
        <v>881</v>
      </c>
      <c r="B882" s="11" t="s">
        <v>9</v>
      </c>
      <c r="C882" s="11" t="s">
        <v>253</v>
      </c>
      <c r="D882" s="11" t="s">
        <v>254</v>
      </c>
      <c r="E882" s="9" t="str">
        <f>+HYPERLINK("http://trademark.i-assist.jp/data/china/image_1903th/79195789.pdf", "79195789")</f>
        <v>79195789</v>
      </c>
      <c r="F882" s="11" t="s">
        <v>2700</v>
      </c>
      <c r="G882" s="11" t="s">
        <v>2701</v>
      </c>
      <c r="H882" s="11" t="s">
        <v>2702</v>
      </c>
      <c r="I882" s="11" t="s">
        <v>241</v>
      </c>
    </row>
    <row r="883" spans="1:9" x14ac:dyDescent="0.15">
      <c r="A883" s="10">
        <v>882</v>
      </c>
      <c r="B883" s="11" t="s">
        <v>9</v>
      </c>
      <c r="C883" s="11" t="s">
        <v>253</v>
      </c>
      <c r="D883" s="11" t="s">
        <v>254</v>
      </c>
      <c r="E883" s="9" t="str">
        <f>+HYPERLINK("http://trademark.i-assist.jp/data/china/image_1903th/79196224.pdf", "79196224")</f>
        <v>79196224</v>
      </c>
      <c r="F883" s="11" t="s">
        <v>2703</v>
      </c>
      <c r="G883" s="11" t="s">
        <v>2603</v>
      </c>
      <c r="H883" s="11" t="s">
        <v>2704</v>
      </c>
      <c r="I883" s="11" t="s">
        <v>241</v>
      </c>
    </row>
    <row r="884" spans="1:9" x14ac:dyDescent="0.15">
      <c r="A884" s="10">
        <v>883</v>
      </c>
      <c r="B884" s="11" t="s">
        <v>9</v>
      </c>
      <c r="C884" s="11" t="s">
        <v>253</v>
      </c>
      <c r="D884" s="11" t="s">
        <v>254</v>
      </c>
      <c r="E884" s="9" t="str">
        <f>+HYPERLINK("http://trademark.i-assist.jp/data/china/image_1903th/79196552.pdf", "79196552")</f>
        <v>79196552</v>
      </c>
      <c r="F884" s="11" t="s">
        <v>2705</v>
      </c>
      <c r="G884" s="11" t="s">
        <v>2706</v>
      </c>
      <c r="H884" s="11" t="s">
        <v>2707</v>
      </c>
      <c r="I884" s="11" t="s">
        <v>241</v>
      </c>
    </row>
    <row r="885" spans="1:9" x14ac:dyDescent="0.15">
      <c r="A885" s="10">
        <v>884</v>
      </c>
      <c r="B885" s="11" t="s">
        <v>9</v>
      </c>
      <c r="C885" s="11" t="s">
        <v>253</v>
      </c>
      <c r="D885" s="11" t="s">
        <v>254</v>
      </c>
      <c r="E885" s="9" t="str">
        <f>+HYPERLINK("http://trademark.i-assist.jp/data/china/image_1903th/79196689.pdf", "79196689")</f>
        <v>79196689</v>
      </c>
      <c r="F885" s="11" t="s">
        <v>1524</v>
      </c>
      <c r="G885" s="11" t="s">
        <v>1525</v>
      </c>
      <c r="H885" s="11" t="s">
        <v>2708</v>
      </c>
      <c r="I885" s="11" t="s">
        <v>241</v>
      </c>
    </row>
    <row r="886" spans="1:9" x14ac:dyDescent="0.15">
      <c r="A886" s="10">
        <v>885</v>
      </c>
      <c r="B886" s="11" t="s">
        <v>9</v>
      </c>
      <c r="C886" s="11" t="s">
        <v>253</v>
      </c>
      <c r="D886" s="11" t="s">
        <v>254</v>
      </c>
      <c r="E886" s="9" t="str">
        <f>+HYPERLINK("http://trademark.i-assist.jp/data/china/image_1903th/79197257.pdf", "79197257")</f>
        <v>79197257</v>
      </c>
      <c r="F886" s="11" t="s">
        <v>2709</v>
      </c>
      <c r="G886" s="11" t="s">
        <v>220</v>
      </c>
      <c r="H886" s="11" t="s">
        <v>2710</v>
      </c>
      <c r="I886" s="11" t="s">
        <v>241</v>
      </c>
    </row>
    <row r="887" spans="1:9" x14ac:dyDescent="0.15">
      <c r="A887" s="10">
        <v>886</v>
      </c>
      <c r="B887" s="11" t="s">
        <v>9</v>
      </c>
      <c r="C887" s="11" t="s">
        <v>253</v>
      </c>
      <c r="D887" s="11" t="s">
        <v>254</v>
      </c>
      <c r="E887" s="9" t="str">
        <f>+HYPERLINK("http://trademark.i-assist.jp/data/china/image_1903th/79197276.pdf", "79197276")</f>
        <v>79197276</v>
      </c>
      <c r="F887" s="11" t="s">
        <v>2711</v>
      </c>
      <c r="G887" s="11" t="s">
        <v>2600</v>
      </c>
      <c r="H887" s="11" t="s">
        <v>2712</v>
      </c>
      <c r="I887" s="11" t="s">
        <v>241</v>
      </c>
    </row>
    <row r="888" spans="1:9" x14ac:dyDescent="0.15">
      <c r="A888" s="10">
        <v>887</v>
      </c>
      <c r="B888" s="11" t="s">
        <v>9</v>
      </c>
      <c r="C888" s="11" t="s">
        <v>253</v>
      </c>
      <c r="D888" s="11" t="s">
        <v>254</v>
      </c>
      <c r="E888" s="9" t="str">
        <f>+HYPERLINK("http://trademark.i-assist.jp/data/china/image_1903th/79197298.pdf", "79197298")</f>
        <v>79197298</v>
      </c>
      <c r="F888" s="11" t="s">
        <v>2713</v>
      </c>
      <c r="G888" s="11" t="s">
        <v>2714</v>
      </c>
      <c r="H888" s="11" t="s">
        <v>2715</v>
      </c>
      <c r="I888" s="11" t="s">
        <v>241</v>
      </c>
    </row>
    <row r="889" spans="1:9" x14ac:dyDescent="0.15">
      <c r="A889" s="10">
        <v>888</v>
      </c>
      <c r="B889" s="11" t="s">
        <v>9</v>
      </c>
      <c r="C889" s="11" t="s">
        <v>253</v>
      </c>
      <c r="D889" s="11" t="s">
        <v>254</v>
      </c>
      <c r="E889" s="9" t="str">
        <f>+HYPERLINK("http://trademark.i-assist.jp/data/china/image_1903th/79197366.pdf", "79197366")</f>
        <v>79197366</v>
      </c>
      <c r="F889" s="11" t="s">
        <v>2716</v>
      </c>
      <c r="G889" s="11" t="s">
        <v>2717</v>
      </c>
      <c r="H889" s="11" t="s">
        <v>2718</v>
      </c>
      <c r="I889" s="11" t="s">
        <v>241</v>
      </c>
    </row>
    <row r="890" spans="1:9" x14ac:dyDescent="0.15">
      <c r="A890" s="10">
        <v>889</v>
      </c>
      <c r="B890" s="11" t="s">
        <v>9</v>
      </c>
      <c r="C890" s="11" t="s">
        <v>253</v>
      </c>
      <c r="D890" s="11" t="s">
        <v>254</v>
      </c>
      <c r="E890" s="9" t="str">
        <f>+HYPERLINK("http://trademark.i-assist.jp/data/china/image_1903th/79197488.pdf", "79197488")</f>
        <v>79197488</v>
      </c>
      <c r="F890" s="11" t="s">
        <v>2719</v>
      </c>
      <c r="G890" s="11" t="s">
        <v>2720</v>
      </c>
      <c r="H890" s="11" t="s">
        <v>2721</v>
      </c>
      <c r="I890" s="11" t="s">
        <v>241</v>
      </c>
    </row>
    <row r="891" spans="1:9" x14ac:dyDescent="0.15">
      <c r="A891" s="10">
        <v>890</v>
      </c>
      <c r="B891" s="11" t="s">
        <v>9</v>
      </c>
      <c r="C891" s="11" t="s">
        <v>253</v>
      </c>
      <c r="D891" s="11" t="s">
        <v>254</v>
      </c>
      <c r="E891" s="9" t="str">
        <f>+HYPERLINK("http://trademark.i-assist.jp/data/china/image_1903th/79197721.pdf", "79197721")</f>
        <v>79197721</v>
      </c>
      <c r="F891" s="11" t="s">
        <v>2722</v>
      </c>
      <c r="G891" s="11" t="s">
        <v>2609</v>
      </c>
      <c r="H891" s="11" t="s">
        <v>2723</v>
      </c>
      <c r="I891" s="11" t="s">
        <v>241</v>
      </c>
    </row>
    <row r="892" spans="1:9" x14ac:dyDescent="0.15">
      <c r="A892" s="10">
        <v>891</v>
      </c>
      <c r="B892" s="11" t="s">
        <v>9</v>
      </c>
      <c r="C892" s="11" t="s">
        <v>253</v>
      </c>
      <c r="D892" s="11" t="s">
        <v>254</v>
      </c>
      <c r="E892" s="9" t="str">
        <f>+HYPERLINK("http://trademark.i-assist.jp/data/china/image_1903th/79197969.pdf", "79197969")</f>
        <v>79197969</v>
      </c>
      <c r="F892" s="11" t="s">
        <v>2724</v>
      </c>
      <c r="G892" s="11" t="s">
        <v>2725</v>
      </c>
      <c r="H892" s="11" t="s">
        <v>2726</v>
      </c>
      <c r="I892" s="11" t="s">
        <v>241</v>
      </c>
    </row>
    <row r="893" spans="1:9" x14ac:dyDescent="0.15">
      <c r="A893" s="10">
        <v>892</v>
      </c>
      <c r="B893" s="11" t="s">
        <v>9</v>
      </c>
      <c r="C893" s="11" t="s">
        <v>253</v>
      </c>
      <c r="D893" s="11" t="s">
        <v>254</v>
      </c>
      <c r="E893" s="9" t="str">
        <f>+HYPERLINK("http://trademark.i-assist.jp/data/china/image_1903th/79198328.pdf", "79198328")</f>
        <v>79198328</v>
      </c>
      <c r="F893" s="11" t="s">
        <v>2727</v>
      </c>
      <c r="G893" s="11" t="s">
        <v>105</v>
      </c>
      <c r="H893" s="11" t="s">
        <v>2728</v>
      </c>
      <c r="I893" s="11" t="s">
        <v>241</v>
      </c>
    </row>
    <row r="894" spans="1:9" x14ac:dyDescent="0.15">
      <c r="A894" s="10">
        <v>893</v>
      </c>
      <c r="B894" s="11" t="s">
        <v>9</v>
      </c>
      <c r="C894" s="11" t="s">
        <v>253</v>
      </c>
      <c r="D894" s="11" t="s">
        <v>254</v>
      </c>
      <c r="E894" s="9" t="str">
        <f>+HYPERLINK("http://trademark.i-assist.jp/data/china/image_1903th/79198434.pdf", "79198434")</f>
        <v>79198434</v>
      </c>
      <c r="F894" s="11" t="s">
        <v>2729</v>
      </c>
      <c r="G894" s="11" t="s">
        <v>2730</v>
      </c>
      <c r="H894" s="11" t="s">
        <v>2731</v>
      </c>
      <c r="I894" s="11" t="s">
        <v>241</v>
      </c>
    </row>
    <row r="895" spans="1:9" x14ac:dyDescent="0.15">
      <c r="A895" s="10">
        <v>894</v>
      </c>
      <c r="B895" s="11" t="s">
        <v>9</v>
      </c>
      <c r="C895" s="11" t="s">
        <v>253</v>
      </c>
      <c r="D895" s="11" t="s">
        <v>254</v>
      </c>
      <c r="E895" s="9" t="str">
        <f>+HYPERLINK("http://trademark.i-assist.jp/data/china/image_1903th/79198503.pdf", "79198503")</f>
        <v>79198503</v>
      </c>
      <c r="F895" s="11" t="s">
        <v>2639</v>
      </c>
      <c r="G895" s="11" t="s">
        <v>2640</v>
      </c>
      <c r="H895" s="11" t="s">
        <v>2732</v>
      </c>
      <c r="I895" s="11" t="s">
        <v>241</v>
      </c>
    </row>
    <row r="896" spans="1:9" x14ac:dyDescent="0.15">
      <c r="A896" s="10">
        <v>895</v>
      </c>
      <c r="B896" s="11" t="s">
        <v>9</v>
      </c>
      <c r="C896" s="11" t="s">
        <v>253</v>
      </c>
      <c r="D896" s="11" t="s">
        <v>254</v>
      </c>
      <c r="E896" s="9" t="str">
        <f>+HYPERLINK("http://trademark.i-assist.jp/data/china/image_1903th/79198600.pdf", "79198600")</f>
        <v>79198600</v>
      </c>
      <c r="F896" s="11" t="s">
        <v>2733</v>
      </c>
      <c r="G896" s="11" t="s">
        <v>2734</v>
      </c>
      <c r="H896" s="11" t="s">
        <v>2735</v>
      </c>
      <c r="I896" s="11" t="s">
        <v>241</v>
      </c>
    </row>
    <row r="897" spans="1:9" x14ac:dyDescent="0.15">
      <c r="A897" s="10">
        <v>896</v>
      </c>
      <c r="B897" s="11" t="s">
        <v>9</v>
      </c>
      <c r="C897" s="11" t="s">
        <v>253</v>
      </c>
      <c r="D897" s="11" t="s">
        <v>254</v>
      </c>
      <c r="E897" s="9" t="str">
        <f>+HYPERLINK("http://trademark.i-assist.jp/data/china/image_1903th/79198768.pdf", "79198768")</f>
        <v>79198768</v>
      </c>
      <c r="F897" s="11" t="s">
        <v>2736</v>
      </c>
      <c r="G897" s="11" t="s">
        <v>179</v>
      </c>
      <c r="H897" s="11" t="s">
        <v>2737</v>
      </c>
      <c r="I897" s="11" t="s">
        <v>241</v>
      </c>
    </row>
    <row r="898" spans="1:9" x14ac:dyDescent="0.15">
      <c r="A898" s="10">
        <v>897</v>
      </c>
      <c r="B898" s="11" t="s">
        <v>9</v>
      </c>
      <c r="C898" s="11" t="s">
        <v>253</v>
      </c>
      <c r="D898" s="11" t="s">
        <v>254</v>
      </c>
      <c r="E898" s="9" t="str">
        <f>+HYPERLINK("http://trademark.i-assist.jp/data/china/image_1903th/79199053.pdf", "79199053")</f>
        <v>79199053</v>
      </c>
      <c r="F898" s="11" t="s">
        <v>2738</v>
      </c>
      <c r="G898" s="11" t="s">
        <v>2739</v>
      </c>
      <c r="H898" s="11" t="s">
        <v>2740</v>
      </c>
      <c r="I898" s="11" t="s">
        <v>241</v>
      </c>
    </row>
    <row r="899" spans="1:9" x14ac:dyDescent="0.15">
      <c r="A899" s="10">
        <v>898</v>
      </c>
      <c r="B899" s="11" t="s">
        <v>9</v>
      </c>
      <c r="C899" s="11" t="s">
        <v>253</v>
      </c>
      <c r="D899" s="11" t="s">
        <v>254</v>
      </c>
      <c r="E899" s="9" t="str">
        <f>+HYPERLINK("http://trademark.i-assist.jp/data/china/image_1903th/79199302.pdf", "79199302")</f>
        <v>79199302</v>
      </c>
      <c r="F899" s="11" t="s">
        <v>2741</v>
      </c>
      <c r="G899" s="11" t="s">
        <v>2742</v>
      </c>
      <c r="H899" s="11" t="s">
        <v>2743</v>
      </c>
      <c r="I899" s="11" t="s">
        <v>241</v>
      </c>
    </row>
    <row r="900" spans="1:9" x14ac:dyDescent="0.15">
      <c r="A900" s="10">
        <v>899</v>
      </c>
      <c r="B900" s="11" t="s">
        <v>9</v>
      </c>
      <c r="C900" s="11" t="s">
        <v>253</v>
      </c>
      <c r="D900" s="11" t="s">
        <v>254</v>
      </c>
      <c r="E900" s="9" t="str">
        <f>+HYPERLINK("http://trademark.i-assist.jp/data/china/image_1903th/79199522.pdf", "79199522")</f>
        <v>79199522</v>
      </c>
      <c r="F900" s="11" t="s">
        <v>2744</v>
      </c>
      <c r="G900" s="11" t="s">
        <v>2745</v>
      </c>
      <c r="H900" s="11" t="s">
        <v>2746</v>
      </c>
      <c r="I900" s="11" t="s">
        <v>241</v>
      </c>
    </row>
    <row r="901" spans="1:9" x14ac:dyDescent="0.15">
      <c r="A901" s="10">
        <v>900</v>
      </c>
      <c r="B901" s="11" t="s">
        <v>9</v>
      </c>
      <c r="C901" s="11" t="s">
        <v>253</v>
      </c>
      <c r="D901" s="11" t="s">
        <v>254</v>
      </c>
      <c r="E901" s="9" t="str">
        <f>+HYPERLINK("http://trademark.i-assist.jp/data/china/image_1903th/79199597.pdf", "79199597")</f>
        <v>79199597</v>
      </c>
      <c r="F901" s="11" t="s">
        <v>2747</v>
      </c>
      <c r="G901" s="11" t="s">
        <v>2748</v>
      </c>
      <c r="H901" s="11" t="s">
        <v>2749</v>
      </c>
      <c r="I901" s="11" t="s">
        <v>241</v>
      </c>
    </row>
    <row r="902" spans="1:9" x14ac:dyDescent="0.15">
      <c r="A902" s="10">
        <v>901</v>
      </c>
      <c r="B902" s="11" t="s">
        <v>9</v>
      </c>
      <c r="C902" s="11" t="s">
        <v>253</v>
      </c>
      <c r="D902" s="11" t="s">
        <v>254</v>
      </c>
      <c r="E902" s="9" t="str">
        <f>+HYPERLINK("http://trademark.i-assist.jp/data/china/image_1903th/79199911.pdf", "79199911")</f>
        <v>79199911</v>
      </c>
      <c r="F902" s="11" t="s">
        <v>2750</v>
      </c>
      <c r="G902" s="11" t="s">
        <v>2751</v>
      </c>
      <c r="H902" s="11" t="s">
        <v>2752</v>
      </c>
      <c r="I902" s="11" t="s">
        <v>241</v>
      </c>
    </row>
    <row r="903" spans="1:9" x14ac:dyDescent="0.15">
      <c r="A903" s="10">
        <v>902</v>
      </c>
      <c r="B903" s="11" t="s">
        <v>9</v>
      </c>
      <c r="C903" s="11" t="s">
        <v>253</v>
      </c>
      <c r="D903" s="11" t="s">
        <v>254</v>
      </c>
      <c r="E903" s="9" t="str">
        <f>+HYPERLINK("http://trademark.i-assist.jp/data/china/image_1903th/79200028.pdf", "79200028")</f>
        <v>79200028</v>
      </c>
      <c r="F903" s="11" t="s">
        <v>2753</v>
      </c>
      <c r="G903" s="11" t="s">
        <v>2754</v>
      </c>
      <c r="H903" s="11" t="s">
        <v>2755</v>
      </c>
      <c r="I903" s="11" t="s">
        <v>241</v>
      </c>
    </row>
    <row r="904" spans="1:9" x14ac:dyDescent="0.15">
      <c r="A904" s="10">
        <v>903</v>
      </c>
      <c r="B904" s="11" t="s">
        <v>9</v>
      </c>
      <c r="C904" s="11" t="s">
        <v>253</v>
      </c>
      <c r="D904" s="11" t="s">
        <v>254</v>
      </c>
      <c r="E904" s="9" t="str">
        <f>+HYPERLINK("http://trademark.i-assist.jp/data/china/image_1903th/79200367.pdf", "79200367")</f>
        <v>79200367</v>
      </c>
      <c r="F904" s="11" t="s">
        <v>12</v>
      </c>
      <c r="G904" s="11" t="s">
        <v>2756</v>
      </c>
      <c r="H904" s="11" t="s">
        <v>2757</v>
      </c>
      <c r="I904" s="11" t="s">
        <v>241</v>
      </c>
    </row>
    <row r="905" spans="1:9" x14ac:dyDescent="0.15">
      <c r="A905" s="10">
        <v>904</v>
      </c>
      <c r="B905" s="11" t="s">
        <v>9</v>
      </c>
      <c r="C905" s="11" t="s">
        <v>253</v>
      </c>
      <c r="D905" s="11" t="s">
        <v>254</v>
      </c>
      <c r="E905" s="9" t="str">
        <f>+HYPERLINK("http://trademark.i-assist.jp/data/china/image_1903th/79200512.pdf", "79200512")</f>
        <v>79200512</v>
      </c>
      <c r="F905" s="11" t="s">
        <v>2758</v>
      </c>
      <c r="G905" s="11" t="s">
        <v>2759</v>
      </c>
      <c r="H905" s="11" t="s">
        <v>2760</v>
      </c>
      <c r="I905" s="11" t="s">
        <v>241</v>
      </c>
    </row>
    <row r="906" spans="1:9" x14ac:dyDescent="0.15">
      <c r="A906" s="10">
        <v>905</v>
      </c>
      <c r="B906" s="11" t="s">
        <v>9</v>
      </c>
      <c r="C906" s="11" t="s">
        <v>253</v>
      </c>
      <c r="D906" s="11" t="s">
        <v>254</v>
      </c>
      <c r="E906" s="9" t="str">
        <f>+HYPERLINK("http://trademark.i-assist.jp/data/china/image_1903th/79200921.pdf", "79200921")</f>
        <v>79200921</v>
      </c>
      <c r="F906" s="11" t="s">
        <v>2761</v>
      </c>
      <c r="G906" s="11" t="s">
        <v>2762</v>
      </c>
      <c r="H906" s="11" t="s">
        <v>2763</v>
      </c>
      <c r="I906" s="11" t="s">
        <v>241</v>
      </c>
    </row>
    <row r="907" spans="1:9" x14ac:dyDescent="0.15">
      <c r="A907" s="10">
        <v>906</v>
      </c>
      <c r="B907" s="11" t="s">
        <v>9</v>
      </c>
      <c r="C907" s="11" t="s">
        <v>253</v>
      </c>
      <c r="D907" s="11" t="s">
        <v>254</v>
      </c>
      <c r="E907" s="9" t="str">
        <f>+HYPERLINK("http://trademark.i-assist.jp/data/china/image_1903th/79201255.pdf", "79201255")</f>
        <v>79201255</v>
      </c>
      <c r="F907" s="11" t="s">
        <v>2764</v>
      </c>
      <c r="G907" s="11" t="s">
        <v>157</v>
      </c>
      <c r="H907" s="11" t="s">
        <v>2765</v>
      </c>
      <c r="I907" s="11" t="s">
        <v>241</v>
      </c>
    </row>
    <row r="908" spans="1:9" x14ac:dyDescent="0.15">
      <c r="A908" s="10">
        <v>907</v>
      </c>
      <c r="B908" s="11" t="s">
        <v>9</v>
      </c>
      <c r="C908" s="11" t="s">
        <v>253</v>
      </c>
      <c r="D908" s="11" t="s">
        <v>254</v>
      </c>
      <c r="E908" s="9" t="str">
        <f>+HYPERLINK("http://trademark.i-assist.jp/data/china/image_1903th/79202141.pdf", "79202141")</f>
        <v>79202141</v>
      </c>
      <c r="F908" s="11" t="s">
        <v>2766</v>
      </c>
      <c r="G908" s="11" t="s">
        <v>2767</v>
      </c>
      <c r="H908" s="11" t="s">
        <v>2768</v>
      </c>
      <c r="I908" s="11" t="s">
        <v>241</v>
      </c>
    </row>
    <row r="909" spans="1:9" x14ac:dyDescent="0.15">
      <c r="A909" s="10">
        <v>908</v>
      </c>
      <c r="B909" s="11" t="s">
        <v>9</v>
      </c>
      <c r="C909" s="11" t="s">
        <v>253</v>
      </c>
      <c r="D909" s="11" t="s">
        <v>254</v>
      </c>
      <c r="E909" s="9" t="str">
        <f>+HYPERLINK("http://trademark.i-assist.jp/data/china/image_1903th/79202590.pdf", "79202590")</f>
        <v>79202590</v>
      </c>
      <c r="F909" s="11" t="s">
        <v>2769</v>
      </c>
      <c r="G909" s="11" t="s">
        <v>231</v>
      </c>
      <c r="H909" s="11" t="s">
        <v>2770</v>
      </c>
      <c r="I909" s="11" t="s">
        <v>241</v>
      </c>
    </row>
    <row r="910" spans="1:9" x14ac:dyDescent="0.15">
      <c r="A910" s="10">
        <v>909</v>
      </c>
      <c r="B910" s="11" t="s">
        <v>9</v>
      </c>
      <c r="C910" s="11" t="s">
        <v>253</v>
      </c>
      <c r="D910" s="11" t="s">
        <v>254</v>
      </c>
      <c r="E910" s="9" t="str">
        <f>+HYPERLINK("http://trademark.i-assist.jp/data/china/image_1903th/79202696.pdf", "79202696")</f>
        <v>79202696</v>
      </c>
      <c r="F910" s="11" t="s">
        <v>2771</v>
      </c>
      <c r="G910" s="11" t="s">
        <v>2624</v>
      </c>
      <c r="H910" s="11" t="s">
        <v>2772</v>
      </c>
      <c r="I910" s="11" t="s">
        <v>241</v>
      </c>
    </row>
    <row r="911" spans="1:9" x14ac:dyDescent="0.15">
      <c r="A911" s="10">
        <v>910</v>
      </c>
      <c r="B911" s="11" t="s">
        <v>9</v>
      </c>
      <c r="C911" s="11" t="s">
        <v>253</v>
      </c>
      <c r="D911" s="11" t="s">
        <v>254</v>
      </c>
      <c r="E911" s="9" t="str">
        <f>+HYPERLINK("http://trademark.i-assist.jp/data/china/image_1903th/79203063.pdf", "79203063")</f>
        <v>79203063</v>
      </c>
      <c r="F911" s="11" t="s">
        <v>2773</v>
      </c>
      <c r="G911" s="11" t="s">
        <v>2774</v>
      </c>
      <c r="H911" s="11" t="s">
        <v>2775</v>
      </c>
      <c r="I911" s="11" t="s">
        <v>241</v>
      </c>
    </row>
    <row r="912" spans="1:9" x14ac:dyDescent="0.15">
      <c r="A912" s="10">
        <v>911</v>
      </c>
      <c r="B912" s="11" t="s">
        <v>9</v>
      </c>
      <c r="C912" s="11" t="s">
        <v>253</v>
      </c>
      <c r="D912" s="11" t="s">
        <v>254</v>
      </c>
      <c r="E912" s="9" t="str">
        <f>+HYPERLINK("http://trademark.i-assist.jp/data/china/image_1903th/79203078.pdf", "79203078")</f>
        <v>79203078</v>
      </c>
      <c r="F912" s="11" t="s">
        <v>2776</v>
      </c>
      <c r="G912" s="11" t="s">
        <v>2777</v>
      </c>
      <c r="H912" s="11" t="s">
        <v>2778</v>
      </c>
      <c r="I912" s="11" t="s">
        <v>241</v>
      </c>
    </row>
    <row r="913" spans="1:9" x14ac:dyDescent="0.15">
      <c r="A913" s="10">
        <v>912</v>
      </c>
      <c r="B913" s="11" t="s">
        <v>9</v>
      </c>
      <c r="C913" s="11" t="s">
        <v>253</v>
      </c>
      <c r="D913" s="11" t="s">
        <v>254</v>
      </c>
      <c r="E913" s="9" t="str">
        <f>+HYPERLINK("http://trademark.i-assist.jp/data/china/image_1903th/79203137.pdf", "79203137")</f>
        <v>79203137</v>
      </c>
      <c r="F913" s="11" t="s">
        <v>2779</v>
      </c>
      <c r="G913" s="11" t="s">
        <v>2780</v>
      </c>
      <c r="H913" s="11" t="s">
        <v>2781</v>
      </c>
      <c r="I913" s="11" t="s">
        <v>241</v>
      </c>
    </row>
    <row r="914" spans="1:9" x14ac:dyDescent="0.15">
      <c r="A914" s="10">
        <v>913</v>
      </c>
      <c r="B914" s="11" t="s">
        <v>9</v>
      </c>
      <c r="C914" s="11" t="s">
        <v>253</v>
      </c>
      <c r="D914" s="11" t="s">
        <v>254</v>
      </c>
      <c r="E914" s="9" t="str">
        <f>+HYPERLINK("http://trademark.i-assist.jp/data/china/image_1903th/79203166.pdf", "79203166")</f>
        <v>79203166</v>
      </c>
      <c r="F914" s="11" t="s">
        <v>2782</v>
      </c>
      <c r="G914" s="11" t="s">
        <v>2783</v>
      </c>
      <c r="H914" s="11" t="s">
        <v>2784</v>
      </c>
      <c r="I914" s="11" t="s">
        <v>241</v>
      </c>
    </row>
    <row r="915" spans="1:9" x14ac:dyDescent="0.15">
      <c r="A915" s="10">
        <v>914</v>
      </c>
      <c r="B915" s="11" t="s">
        <v>9</v>
      </c>
      <c r="C915" s="11" t="s">
        <v>253</v>
      </c>
      <c r="D915" s="11" t="s">
        <v>254</v>
      </c>
      <c r="E915" s="9" t="str">
        <f>+HYPERLINK("http://trademark.i-assist.jp/data/china/image_1903th/79204008.pdf", "79204008")</f>
        <v>79204008</v>
      </c>
      <c r="F915" s="11" t="s">
        <v>2785</v>
      </c>
      <c r="G915" s="11" t="s">
        <v>2720</v>
      </c>
      <c r="H915" s="11" t="s">
        <v>2786</v>
      </c>
      <c r="I915" s="11" t="s">
        <v>241</v>
      </c>
    </row>
    <row r="916" spans="1:9" x14ac:dyDescent="0.15">
      <c r="A916" s="10">
        <v>915</v>
      </c>
      <c r="B916" s="11" t="s">
        <v>9</v>
      </c>
      <c r="C916" s="11" t="s">
        <v>253</v>
      </c>
      <c r="D916" s="11" t="s">
        <v>254</v>
      </c>
      <c r="E916" s="9" t="str">
        <f>+HYPERLINK("http://trademark.i-assist.jp/data/china/image_1903th/79204120.pdf", "79204120")</f>
        <v>79204120</v>
      </c>
      <c r="F916" s="11" t="s">
        <v>12</v>
      </c>
      <c r="G916" s="11" t="s">
        <v>2787</v>
      </c>
      <c r="H916" s="11" t="s">
        <v>2788</v>
      </c>
      <c r="I916" s="11" t="s">
        <v>241</v>
      </c>
    </row>
    <row r="917" spans="1:9" x14ac:dyDescent="0.15">
      <c r="A917" s="10">
        <v>916</v>
      </c>
      <c r="B917" s="11" t="s">
        <v>9</v>
      </c>
      <c r="C917" s="11" t="s">
        <v>253</v>
      </c>
      <c r="D917" s="11" t="s">
        <v>254</v>
      </c>
      <c r="E917" s="9" t="str">
        <f>+HYPERLINK("http://trademark.i-assist.jp/data/china/image_1903th/79204125.pdf", "79204125")</f>
        <v>79204125</v>
      </c>
      <c r="F917" s="11" t="s">
        <v>2789</v>
      </c>
      <c r="G917" s="11" t="s">
        <v>2787</v>
      </c>
      <c r="H917" s="11" t="s">
        <v>2790</v>
      </c>
      <c r="I917" s="11" t="s">
        <v>241</v>
      </c>
    </row>
    <row r="918" spans="1:9" x14ac:dyDescent="0.15">
      <c r="A918" s="10">
        <v>917</v>
      </c>
      <c r="B918" s="11" t="s">
        <v>9</v>
      </c>
      <c r="C918" s="11" t="s">
        <v>253</v>
      </c>
      <c r="D918" s="11" t="s">
        <v>254</v>
      </c>
      <c r="E918" s="9" t="str">
        <f>+HYPERLINK("http://trademark.i-assist.jp/data/china/image_1903th/79204211.pdf", "79204211")</f>
        <v>79204211</v>
      </c>
      <c r="F918" s="11" t="s">
        <v>2791</v>
      </c>
      <c r="G918" s="11" t="s">
        <v>124</v>
      </c>
      <c r="H918" s="11" t="s">
        <v>2792</v>
      </c>
      <c r="I918" s="11" t="s">
        <v>241</v>
      </c>
    </row>
    <row r="919" spans="1:9" x14ac:dyDescent="0.15">
      <c r="A919" s="10">
        <v>918</v>
      </c>
      <c r="B919" s="11" t="s">
        <v>9</v>
      </c>
      <c r="C919" s="11" t="s">
        <v>253</v>
      </c>
      <c r="D919" s="11" t="s">
        <v>254</v>
      </c>
      <c r="E919" s="9" t="str">
        <f>+HYPERLINK("http://trademark.i-assist.jp/data/china/image_1903th/79204414.pdf", "79204414")</f>
        <v>79204414</v>
      </c>
      <c r="F919" s="11" t="s">
        <v>2793</v>
      </c>
      <c r="G919" s="11" t="s">
        <v>2794</v>
      </c>
      <c r="H919" s="11" t="s">
        <v>2795</v>
      </c>
      <c r="I919" s="11" t="s">
        <v>241</v>
      </c>
    </row>
    <row r="920" spans="1:9" x14ac:dyDescent="0.15">
      <c r="A920" s="10">
        <v>919</v>
      </c>
      <c r="B920" s="11" t="s">
        <v>9</v>
      </c>
      <c r="C920" s="11" t="s">
        <v>253</v>
      </c>
      <c r="D920" s="11" t="s">
        <v>254</v>
      </c>
      <c r="E920" s="9" t="str">
        <f>+HYPERLINK("http://trademark.i-assist.jp/data/china/image_1903th/79204558.pdf", "79204558")</f>
        <v>79204558</v>
      </c>
      <c r="F920" s="11" t="s">
        <v>2796</v>
      </c>
      <c r="G920" s="11" t="s">
        <v>2797</v>
      </c>
      <c r="H920" s="11" t="s">
        <v>2798</v>
      </c>
      <c r="I920" s="11" t="s">
        <v>241</v>
      </c>
    </row>
    <row r="921" spans="1:9" x14ac:dyDescent="0.15">
      <c r="A921" s="10">
        <v>920</v>
      </c>
      <c r="B921" s="11" t="s">
        <v>9</v>
      </c>
      <c r="C921" s="11" t="s">
        <v>253</v>
      </c>
      <c r="D921" s="11" t="s">
        <v>254</v>
      </c>
      <c r="E921" s="9" t="str">
        <f>+HYPERLINK("http://trademark.i-assist.jp/data/china/image_1903th/79204831.pdf", "79204831")</f>
        <v>79204831</v>
      </c>
      <c r="F921" s="11" t="s">
        <v>2799</v>
      </c>
      <c r="G921" s="11" t="s">
        <v>101</v>
      </c>
      <c r="H921" s="11" t="s">
        <v>2800</v>
      </c>
      <c r="I921" s="11" t="s">
        <v>241</v>
      </c>
    </row>
    <row r="922" spans="1:9" x14ac:dyDescent="0.15">
      <c r="A922" s="10">
        <v>921</v>
      </c>
      <c r="B922" s="11" t="s">
        <v>9</v>
      </c>
      <c r="C922" s="11" t="s">
        <v>253</v>
      </c>
      <c r="D922" s="11" t="s">
        <v>254</v>
      </c>
      <c r="E922" s="9" t="str">
        <f>+HYPERLINK("http://trademark.i-assist.jp/data/china/image_1903th/79204839.pdf", "79204839")</f>
        <v>79204839</v>
      </c>
      <c r="F922" s="11" t="s">
        <v>2801</v>
      </c>
      <c r="G922" s="11" t="s">
        <v>2802</v>
      </c>
      <c r="H922" s="11" t="s">
        <v>2803</v>
      </c>
      <c r="I922" s="11" t="s">
        <v>241</v>
      </c>
    </row>
    <row r="923" spans="1:9" x14ac:dyDescent="0.15">
      <c r="A923" s="10">
        <v>922</v>
      </c>
      <c r="B923" s="11" t="s">
        <v>9</v>
      </c>
      <c r="C923" s="11" t="s">
        <v>253</v>
      </c>
      <c r="D923" s="11" t="s">
        <v>254</v>
      </c>
      <c r="E923" s="9" t="str">
        <f>+HYPERLINK("http://trademark.i-assist.jp/data/china/image_1903th/79205096.pdf", "79205096")</f>
        <v>79205096</v>
      </c>
      <c r="F923" s="11" t="s">
        <v>2804</v>
      </c>
      <c r="G923" s="11" t="s">
        <v>2805</v>
      </c>
      <c r="H923" s="11" t="s">
        <v>2806</v>
      </c>
      <c r="I923" s="11" t="s">
        <v>241</v>
      </c>
    </row>
    <row r="924" spans="1:9" x14ac:dyDescent="0.15">
      <c r="A924" s="10">
        <v>923</v>
      </c>
      <c r="B924" s="11" t="s">
        <v>9</v>
      </c>
      <c r="C924" s="11" t="s">
        <v>253</v>
      </c>
      <c r="D924" s="11" t="s">
        <v>254</v>
      </c>
      <c r="E924" s="9" t="str">
        <f>+HYPERLINK("http://trademark.i-assist.jp/data/china/image_1903th/79205127.pdf", "79205127")</f>
        <v>79205127</v>
      </c>
      <c r="F924" s="11" t="s">
        <v>2807</v>
      </c>
      <c r="G924" s="11" t="s">
        <v>2808</v>
      </c>
      <c r="H924" s="11" t="s">
        <v>2809</v>
      </c>
      <c r="I924" s="11" t="s">
        <v>241</v>
      </c>
    </row>
    <row r="925" spans="1:9" x14ac:dyDescent="0.15">
      <c r="A925" s="10">
        <v>924</v>
      </c>
      <c r="B925" s="11" t="s">
        <v>9</v>
      </c>
      <c r="C925" s="11" t="s">
        <v>253</v>
      </c>
      <c r="D925" s="11" t="s">
        <v>254</v>
      </c>
      <c r="E925" s="9" t="str">
        <f>+HYPERLINK("http://trademark.i-assist.jp/data/china/image_1903th/79205159.pdf", "79205159")</f>
        <v>79205159</v>
      </c>
      <c r="F925" s="11" t="s">
        <v>2810</v>
      </c>
      <c r="G925" s="11" t="s">
        <v>2811</v>
      </c>
      <c r="H925" s="11" t="s">
        <v>2812</v>
      </c>
      <c r="I925" s="11" t="s">
        <v>241</v>
      </c>
    </row>
    <row r="926" spans="1:9" x14ac:dyDescent="0.15">
      <c r="A926" s="10">
        <v>925</v>
      </c>
      <c r="B926" s="11" t="s">
        <v>9</v>
      </c>
      <c r="C926" s="11" t="s">
        <v>253</v>
      </c>
      <c r="D926" s="11" t="s">
        <v>254</v>
      </c>
      <c r="E926" s="9" t="str">
        <f>+HYPERLINK("http://trademark.i-assist.jp/data/china/image_1903th/79205214.pdf", "79205214")</f>
        <v>79205214</v>
      </c>
      <c r="F926" s="11" t="s">
        <v>2813</v>
      </c>
      <c r="G926" s="11" t="s">
        <v>2814</v>
      </c>
      <c r="H926" s="11" t="s">
        <v>2815</v>
      </c>
      <c r="I926" s="11" t="s">
        <v>241</v>
      </c>
    </row>
    <row r="927" spans="1:9" x14ac:dyDescent="0.15">
      <c r="A927" s="10">
        <v>926</v>
      </c>
      <c r="B927" s="11" t="s">
        <v>9</v>
      </c>
      <c r="C927" s="11" t="s">
        <v>253</v>
      </c>
      <c r="D927" s="11" t="s">
        <v>254</v>
      </c>
      <c r="E927" s="9" t="str">
        <f>+HYPERLINK("http://trademark.i-assist.jp/data/china/image_1903th/79205330.pdf", "79205330")</f>
        <v>79205330</v>
      </c>
      <c r="F927" s="11" t="s">
        <v>2816</v>
      </c>
      <c r="G927" s="11" t="s">
        <v>2817</v>
      </c>
      <c r="H927" s="11" t="s">
        <v>2818</v>
      </c>
      <c r="I927" s="11" t="s">
        <v>241</v>
      </c>
    </row>
    <row r="928" spans="1:9" x14ac:dyDescent="0.15">
      <c r="A928" s="10">
        <v>927</v>
      </c>
      <c r="B928" s="11" t="s">
        <v>9</v>
      </c>
      <c r="C928" s="11" t="s">
        <v>253</v>
      </c>
      <c r="D928" s="11" t="s">
        <v>254</v>
      </c>
      <c r="E928" s="9" t="str">
        <f>+HYPERLINK("http://trademark.i-assist.jp/data/china/image_1903th/79205651.pdf", "79205651")</f>
        <v>79205651</v>
      </c>
      <c r="F928" s="11" t="s">
        <v>2819</v>
      </c>
      <c r="G928" s="11" t="s">
        <v>2820</v>
      </c>
      <c r="H928" s="11" t="s">
        <v>2821</v>
      </c>
      <c r="I928" s="11" t="s">
        <v>241</v>
      </c>
    </row>
    <row r="929" spans="1:9" x14ac:dyDescent="0.15">
      <c r="A929" s="10">
        <v>928</v>
      </c>
      <c r="B929" s="11" t="s">
        <v>9</v>
      </c>
      <c r="C929" s="11" t="s">
        <v>253</v>
      </c>
      <c r="D929" s="11" t="s">
        <v>254</v>
      </c>
      <c r="E929" s="9" t="str">
        <f>+HYPERLINK("http://trademark.i-assist.jp/data/china/image_1903th/79205654.pdf", "79205654")</f>
        <v>79205654</v>
      </c>
      <c r="F929" s="11" t="s">
        <v>1823</v>
      </c>
      <c r="G929" s="11" t="s">
        <v>194</v>
      </c>
      <c r="H929" s="11" t="s">
        <v>2822</v>
      </c>
      <c r="I929" s="11" t="s">
        <v>241</v>
      </c>
    </row>
    <row r="930" spans="1:9" x14ac:dyDescent="0.15">
      <c r="A930" s="10">
        <v>929</v>
      </c>
      <c r="B930" s="11" t="s">
        <v>9</v>
      </c>
      <c r="C930" s="11" t="s">
        <v>253</v>
      </c>
      <c r="D930" s="11" t="s">
        <v>254</v>
      </c>
      <c r="E930" s="9" t="str">
        <f>+HYPERLINK("http://trademark.i-assist.jp/data/china/image_1903th/79205672.pdf", "79205672")</f>
        <v>79205672</v>
      </c>
      <c r="F930" s="11" t="s">
        <v>2823</v>
      </c>
      <c r="G930" s="11" t="s">
        <v>2720</v>
      </c>
      <c r="H930" s="11" t="s">
        <v>2824</v>
      </c>
      <c r="I930" s="11" t="s">
        <v>241</v>
      </c>
    </row>
    <row r="931" spans="1:9" x14ac:dyDescent="0.15">
      <c r="A931" s="10">
        <v>930</v>
      </c>
      <c r="B931" s="11" t="s">
        <v>9</v>
      </c>
      <c r="C931" s="11" t="s">
        <v>253</v>
      </c>
      <c r="D931" s="11" t="s">
        <v>254</v>
      </c>
      <c r="E931" s="9" t="str">
        <f>+HYPERLINK("http://trademark.i-assist.jp/data/china/image_1903th/79205744.pdf", "79205744")</f>
        <v>79205744</v>
      </c>
      <c r="F931" s="11" t="s">
        <v>2825</v>
      </c>
      <c r="G931" s="11" t="s">
        <v>2826</v>
      </c>
      <c r="H931" s="11" t="s">
        <v>2827</v>
      </c>
      <c r="I931" s="11" t="s">
        <v>241</v>
      </c>
    </row>
    <row r="932" spans="1:9" x14ac:dyDescent="0.15">
      <c r="A932" s="10">
        <v>931</v>
      </c>
      <c r="B932" s="11" t="s">
        <v>9</v>
      </c>
      <c r="C932" s="11" t="s">
        <v>253</v>
      </c>
      <c r="D932" s="11" t="s">
        <v>254</v>
      </c>
      <c r="E932" s="9" t="str">
        <f>+HYPERLINK("http://trademark.i-assist.jp/data/china/image_1903th/79205974.pdf", "79205974")</f>
        <v>79205974</v>
      </c>
      <c r="F932" s="11" t="s">
        <v>12</v>
      </c>
      <c r="G932" s="11" t="s">
        <v>2828</v>
      </c>
      <c r="H932" s="11" t="s">
        <v>2829</v>
      </c>
      <c r="I932" s="11" t="s">
        <v>241</v>
      </c>
    </row>
    <row r="933" spans="1:9" x14ac:dyDescent="0.15">
      <c r="A933" s="10">
        <v>932</v>
      </c>
      <c r="B933" s="11" t="s">
        <v>9</v>
      </c>
      <c r="C933" s="11" t="s">
        <v>253</v>
      </c>
      <c r="D933" s="11" t="s">
        <v>254</v>
      </c>
      <c r="E933" s="9" t="str">
        <f>+HYPERLINK("http://trademark.i-assist.jp/data/china/image_1903th/79206034.pdf", "79206034")</f>
        <v>79206034</v>
      </c>
      <c r="F933" s="11" t="s">
        <v>2830</v>
      </c>
      <c r="G933" s="11" t="s">
        <v>2831</v>
      </c>
      <c r="H933" s="11" t="s">
        <v>2832</v>
      </c>
      <c r="I933" s="11" t="s">
        <v>241</v>
      </c>
    </row>
    <row r="934" spans="1:9" x14ac:dyDescent="0.15">
      <c r="A934" s="10">
        <v>933</v>
      </c>
      <c r="B934" s="11" t="s">
        <v>9</v>
      </c>
      <c r="C934" s="11" t="s">
        <v>253</v>
      </c>
      <c r="D934" s="11" t="s">
        <v>254</v>
      </c>
      <c r="E934" s="9" t="str">
        <f>+HYPERLINK("http://trademark.i-assist.jp/data/china/image_1903th/79206248.pdf", "79206248")</f>
        <v>79206248</v>
      </c>
      <c r="F934" s="11" t="s">
        <v>2833</v>
      </c>
      <c r="G934" s="11" t="s">
        <v>2600</v>
      </c>
      <c r="H934" s="11" t="s">
        <v>2834</v>
      </c>
      <c r="I934" s="11" t="s">
        <v>241</v>
      </c>
    </row>
    <row r="935" spans="1:9" x14ac:dyDescent="0.15">
      <c r="A935" s="10">
        <v>934</v>
      </c>
      <c r="B935" s="11" t="s">
        <v>9</v>
      </c>
      <c r="C935" s="11" t="s">
        <v>253</v>
      </c>
      <c r="D935" s="11" t="s">
        <v>254</v>
      </c>
      <c r="E935" s="9" t="str">
        <f>+HYPERLINK("http://trademark.i-assist.jp/data/china/image_1903th/79206758.pdf", "79206758")</f>
        <v>79206758</v>
      </c>
      <c r="F935" s="11" t="s">
        <v>2835</v>
      </c>
      <c r="G935" s="11" t="s">
        <v>2836</v>
      </c>
      <c r="H935" s="11" t="s">
        <v>2837</v>
      </c>
      <c r="I935" s="11" t="s">
        <v>243</v>
      </c>
    </row>
    <row r="936" spans="1:9" x14ac:dyDescent="0.15">
      <c r="A936" s="10">
        <v>935</v>
      </c>
      <c r="B936" s="11" t="s">
        <v>9</v>
      </c>
      <c r="C936" s="11" t="s">
        <v>253</v>
      </c>
      <c r="D936" s="11" t="s">
        <v>254</v>
      </c>
      <c r="E936" s="9" t="str">
        <f>+HYPERLINK("http://trademark.i-assist.jp/data/china/image_1903th/79206908.pdf", "79206908")</f>
        <v>79206908</v>
      </c>
      <c r="F936" s="11" t="s">
        <v>12</v>
      </c>
      <c r="G936" s="11" t="s">
        <v>2838</v>
      </c>
      <c r="H936" s="11" t="s">
        <v>2839</v>
      </c>
      <c r="I936" s="11" t="s">
        <v>243</v>
      </c>
    </row>
    <row r="937" spans="1:9" x14ac:dyDescent="0.15">
      <c r="A937" s="10">
        <v>936</v>
      </c>
      <c r="B937" s="11" t="s">
        <v>9</v>
      </c>
      <c r="C937" s="11" t="s">
        <v>253</v>
      </c>
      <c r="D937" s="11" t="s">
        <v>254</v>
      </c>
      <c r="E937" s="9" t="str">
        <f>+HYPERLINK("http://trademark.i-assist.jp/data/china/image_1903th/79206964.pdf", "79206964")</f>
        <v>79206964</v>
      </c>
      <c r="F937" s="11" t="s">
        <v>2840</v>
      </c>
      <c r="G937" s="11" t="s">
        <v>2841</v>
      </c>
      <c r="H937" s="11" t="s">
        <v>2842</v>
      </c>
      <c r="I937" s="11" t="s">
        <v>243</v>
      </c>
    </row>
    <row r="938" spans="1:9" x14ac:dyDescent="0.15">
      <c r="A938" s="10">
        <v>937</v>
      </c>
      <c r="B938" s="11" t="s">
        <v>9</v>
      </c>
      <c r="C938" s="11" t="s">
        <v>253</v>
      </c>
      <c r="D938" s="11" t="s">
        <v>254</v>
      </c>
      <c r="E938" s="9" t="str">
        <f>+HYPERLINK("http://trademark.i-assist.jp/data/china/image_1903th/79207443.pdf", "79207443")</f>
        <v>79207443</v>
      </c>
      <c r="F938" s="11" t="s">
        <v>2843</v>
      </c>
      <c r="G938" s="11" t="s">
        <v>2844</v>
      </c>
      <c r="H938" s="11" t="s">
        <v>2845</v>
      </c>
      <c r="I938" s="11" t="s">
        <v>243</v>
      </c>
    </row>
    <row r="939" spans="1:9" x14ac:dyDescent="0.15">
      <c r="A939" s="10">
        <v>938</v>
      </c>
      <c r="B939" s="11" t="s">
        <v>9</v>
      </c>
      <c r="C939" s="11" t="s">
        <v>253</v>
      </c>
      <c r="D939" s="11" t="s">
        <v>254</v>
      </c>
      <c r="E939" s="9" t="str">
        <f>+HYPERLINK("http://trademark.i-assist.jp/data/china/image_1903th/79207660.pdf", "79207660")</f>
        <v>79207660</v>
      </c>
      <c r="F939" s="11" t="s">
        <v>2846</v>
      </c>
      <c r="G939" s="11" t="s">
        <v>2847</v>
      </c>
      <c r="H939" s="11" t="s">
        <v>2848</v>
      </c>
      <c r="I939" s="11" t="s">
        <v>243</v>
      </c>
    </row>
    <row r="940" spans="1:9" x14ac:dyDescent="0.15">
      <c r="A940" s="10">
        <v>939</v>
      </c>
      <c r="B940" s="11" t="s">
        <v>9</v>
      </c>
      <c r="C940" s="11" t="s">
        <v>253</v>
      </c>
      <c r="D940" s="11" t="s">
        <v>254</v>
      </c>
      <c r="E940" s="9" t="str">
        <f>+HYPERLINK("http://trademark.i-assist.jp/data/china/image_1903th/79207754.pdf", "79207754")</f>
        <v>79207754</v>
      </c>
      <c r="F940" s="11" t="s">
        <v>2849</v>
      </c>
      <c r="G940" s="11" t="s">
        <v>2850</v>
      </c>
      <c r="H940" s="11" t="s">
        <v>2851</v>
      </c>
      <c r="I940" s="11" t="s">
        <v>243</v>
      </c>
    </row>
    <row r="941" spans="1:9" x14ac:dyDescent="0.15">
      <c r="A941" s="10">
        <v>940</v>
      </c>
      <c r="B941" s="11" t="s">
        <v>9</v>
      </c>
      <c r="C941" s="11" t="s">
        <v>253</v>
      </c>
      <c r="D941" s="11" t="s">
        <v>254</v>
      </c>
      <c r="E941" s="9" t="str">
        <f>+HYPERLINK("http://trademark.i-assist.jp/data/china/image_1903th/79207763.pdf", "79207763")</f>
        <v>79207763</v>
      </c>
      <c r="F941" s="11" t="s">
        <v>2852</v>
      </c>
      <c r="G941" s="11" t="s">
        <v>2853</v>
      </c>
      <c r="H941" s="11" t="s">
        <v>2854</v>
      </c>
      <c r="I941" s="11" t="s">
        <v>243</v>
      </c>
    </row>
    <row r="942" spans="1:9" x14ac:dyDescent="0.15">
      <c r="A942" s="10">
        <v>941</v>
      </c>
      <c r="B942" s="11" t="s">
        <v>9</v>
      </c>
      <c r="C942" s="11" t="s">
        <v>253</v>
      </c>
      <c r="D942" s="11" t="s">
        <v>254</v>
      </c>
      <c r="E942" s="9" t="str">
        <f>+HYPERLINK("http://trademark.i-assist.jp/data/china/image_1903th/79207912.pdf", "79207912")</f>
        <v>79207912</v>
      </c>
      <c r="F942" s="11" t="s">
        <v>2855</v>
      </c>
      <c r="G942" s="11" t="s">
        <v>2856</v>
      </c>
      <c r="H942" s="11" t="s">
        <v>2857</v>
      </c>
      <c r="I942" s="11" t="s">
        <v>243</v>
      </c>
    </row>
    <row r="943" spans="1:9" x14ac:dyDescent="0.15">
      <c r="A943" s="10">
        <v>942</v>
      </c>
      <c r="B943" s="11" t="s">
        <v>9</v>
      </c>
      <c r="C943" s="11" t="s">
        <v>253</v>
      </c>
      <c r="D943" s="11" t="s">
        <v>254</v>
      </c>
      <c r="E943" s="9" t="str">
        <f>+HYPERLINK("http://trademark.i-assist.jp/data/china/image_1903th/79207989.pdf", "79207989")</f>
        <v>79207989</v>
      </c>
      <c r="F943" s="11" t="s">
        <v>2858</v>
      </c>
      <c r="G943" s="11" t="s">
        <v>2859</v>
      </c>
      <c r="H943" s="11" t="s">
        <v>2860</v>
      </c>
      <c r="I943" s="11" t="s">
        <v>243</v>
      </c>
    </row>
    <row r="944" spans="1:9" x14ac:dyDescent="0.15">
      <c r="A944" s="10">
        <v>943</v>
      </c>
      <c r="B944" s="11" t="s">
        <v>9</v>
      </c>
      <c r="C944" s="11" t="s">
        <v>253</v>
      </c>
      <c r="D944" s="11" t="s">
        <v>254</v>
      </c>
      <c r="E944" s="9" t="str">
        <f>+HYPERLINK("http://trademark.i-assist.jp/data/china/image_1903th/79208100.pdf", "79208100")</f>
        <v>79208100</v>
      </c>
      <c r="F944" s="11" t="s">
        <v>2861</v>
      </c>
      <c r="G944" s="11" t="s">
        <v>2862</v>
      </c>
      <c r="H944" s="11" t="s">
        <v>2863</v>
      </c>
      <c r="I944" s="11" t="s">
        <v>243</v>
      </c>
    </row>
    <row r="945" spans="1:9" x14ac:dyDescent="0.15">
      <c r="A945" s="10">
        <v>944</v>
      </c>
      <c r="B945" s="11" t="s">
        <v>9</v>
      </c>
      <c r="C945" s="11" t="s">
        <v>253</v>
      </c>
      <c r="D945" s="11" t="s">
        <v>254</v>
      </c>
      <c r="E945" s="9" t="str">
        <f>+HYPERLINK("http://trademark.i-assist.jp/data/china/image_1903th/79208492.pdf", "79208492")</f>
        <v>79208492</v>
      </c>
      <c r="F945" s="11" t="s">
        <v>2864</v>
      </c>
      <c r="G945" s="11" t="s">
        <v>2865</v>
      </c>
      <c r="H945" s="11" t="s">
        <v>2866</v>
      </c>
      <c r="I945" s="11" t="s">
        <v>243</v>
      </c>
    </row>
    <row r="946" spans="1:9" x14ac:dyDescent="0.15">
      <c r="A946" s="10">
        <v>945</v>
      </c>
      <c r="B946" s="11" t="s">
        <v>9</v>
      </c>
      <c r="C946" s="11" t="s">
        <v>253</v>
      </c>
      <c r="D946" s="11" t="s">
        <v>254</v>
      </c>
      <c r="E946" s="9" t="str">
        <f>+HYPERLINK("http://trademark.i-assist.jp/data/china/image_1903th/79208525.pdf", "79208525")</f>
        <v>79208525</v>
      </c>
      <c r="F946" s="11" t="s">
        <v>2867</v>
      </c>
      <c r="G946" s="11" t="s">
        <v>2316</v>
      </c>
      <c r="H946" s="11" t="s">
        <v>2868</v>
      </c>
      <c r="I946" s="11" t="s">
        <v>243</v>
      </c>
    </row>
    <row r="947" spans="1:9" x14ac:dyDescent="0.15">
      <c r="A947" s="10">
        <v>946</v>
      </c>
      <c r="B947" s="11" t="s">
        <v>9</v>
      </c>
      <c r="C947" s="11" t="s">
        <v>253</v>
      </c>
      <c r="D947" s="11" t="s">
        <v>254</v>
      </c>
      <c r="E947" s="9" t="str">
        <f>+HYPERLINK("http://trademark.i-assist.jp/data/china/image_1903th/79210044.pdf", "79210044")</f>
        <v>79210044</v>
      </c>
      <c r="F947" s="11" t="s">
        <v>2869</v>
      </c>
      <c r="G947" s="11" t="s">
        <v>2870</v>
      </c>
      <c r="H947" s="11" t="s">
        <v>2871</v>
      </c>
      <c r="I947" s="11" t="s">
        <v>243</v>
      </c>
    </row>
    <row r="948" spans="1:9" x14ac:dyDescent="0.15">
      <c r="A948" s="10">
        <v>947</v>
      </c>
      <c r="B948" s="11" t="s">
        <v>9</v>
      </c>
      <c r="C948" s="11" t="s">
        <v>253</v>
      </c>
      <c r="D948" s="11" t="s">
        <v>254</v>
      </c>
      <c r="E948" s="9" t="str">
        <f>+HYPERLINK("http://trademark.i-assist.jp/data/china/image_1903th/79210872.pdf", "79210872")</f>
        <v>79210872</v>
      </c>
      <c r="F948" s="11" t="s">
        <v>2872</v>
      </c>
      <c r="G948" s="11" t="s">
        <v>2873</v>
      </c>
      <c r="H948" s="11" t="s">
        <v>2874</v>
      </c>
      <c r="I948" s="11" t="s">
        <v>243</v>
      </c>
    </row>
    <row r="949" spans="1:9" x14ac:dyDescent="0.15">
      <c r="A949" s="10">
        <v>948</v>
      </c>
      <c r="B949" s="11" t="s">
        <v>9</v>
      </c>
      <c r="C949" s="11" t="s">
        <v>253</v>
      </c>
      <c r="D949" s="11" t="s">
        <v>254</v>
      </c>
      <c r="E949" s="9" t="str">
        <f>+HYPERLINK("http://trademark.i-assist.jp/data/china/image_1903th/79211123.pdf", "79211123")</f>
        <v>79211123</v>
      </c>
      <c r="F949" s="11" t="s">
        <v>2875</v>
      </c>
      <c r="G949" s="11" t="s">
        <v>2876</v>
      </c>
      <c r="H949" s="11" t="s">
        <v>2877</v>
      </c>
      <c r="I949" s="11" t="s">
        <v>243</v>
      </c>
    </row>
    <row r="950" spans="1:9" x14ac:dyDescent="0.15">
      <c r="A950" s="10">
        <v>949</v>
      </c>
      <c r="B950" s="11" t="s">
        <v>9</v>
      </c>
      <c r="C950" s="11" t="s">
        <v>253</v>
      </c>
      <c r="D950" s="11" t="s">
        <v>254</v>
      </c>
      <c r="E950" s="9" t="str">
        <f>+HYPERLINK("http://trademark.i-assist.jp/data/china/image_1903th/79211616.pdf", "79211616")</f>
        <v>79211616</v>
      </c>
      <c r="F950" s="11" t="s">
        <v>2878</v>
      </c>
      <c r="G950" s="11" t="s">
        <v>2879</v>
      </c>
      <c r="H950" s="11" t="s">
        <v>2880</v>
      </c>
      <c r="I950" s="11" t="s">
        <v>243</v>
      </c>
    </row>
    <row r="951" spans="1:9" x14ac:dyDescent="0.15">
      <c r="A951" s="10">
        <v>950</v>
      </c>
      <c r="B951" s="11" t="s">
        <v>9</v>
      </c>
      <c r="C951" s="11" t="s">
        <v>253</v>
      </c>
      <c r="D951" s="11" t="s">
        <v>254</v>
      </c>
      <c r="E951" s="9" t="str">
        <f>+HYPERLINK("http://trademark.i-assist.jp/data/china/image_1903th/79211670.pdf", "79211670")</f>
        <v>79211670</v>
      </c>
      <c r="F951" s="11" t="s">
        <v>2881</v>
      </c>
      <c r="G951" s="11" t="s">
        <v>2882</v>
      </c>
      <c r="H951" s="11" t="s">
        <v>2883</v>
      </c>
      <c r="I951" s="11" t="s">
        <v>243</v>
      </c>
    </row>
    <row r="952" spans="1:9" x14ac:dyDescent="0.15">
      <c r="A952" s="10">
        <v>951</v>
      </c>
      <c r="B952" s="11" t="s">
        <v>9</v>
      </c>
      <c r="C952" s="11" t="s">
        <v>253</v>
      </c>
      <c r="D952" s="11" t="s">
        <v>254</v>
      </c>
      <c r="E952" s="9" t="str">
        <f>+HYPERLINK("http://trademark.i-assist.jp/data/china/image_1903th/79212328.pdf", "79212328")</f>
        <v>79212328</v>
      </c>
      <c r="F952" s="11" t="s">
        <v>2884</v>
      </c>
      <c r="G952" s="11" t="s">
        <v>2885</v>
      </c>
      <c r="H952" s="11" t="s">
        <v>2886</v>
      </c>
      <c r="I952" s="11" t="s">
        <v>243</v>
      </c>
    </row>
    <row r="953" spans="1:9" x14ac:dyDescent="0.15">
      <c r="A953" s="10">
        <v>952</v>
      </c>
      <c r="B953" s="11" t="s">
        <v>9</v>
      </c>
      <c r="C953" s="11" t="s">
        <v>253</v>
      </c>
      <c r="D953" s="11" t="s">
        <v>254</v>
      </c>
      <c r="E953" s="9" t="str">
        <f>+HYPERLINK("http://trademark.i-assist.jp/data/china/image_1903th/79212511.pdf", "79212511")</f>
        <v>79212511</v>
      </c>
      <c r="F953" s="11" t="s">
        <v>2887</v>
      </c>
      <c r="G953" s="11" t="s">
        <v>2888</v>
      </c>
      <c r="H953" s="11" t="s">
        <v>78</v>
      </c>
      <c r="I953" s="11" t="s">
        <v>243</v>
      </c>
    </row>
    <row r="954" spans="1:9" x14ac:dyDescent="0.15">
      <c r="A954" s="10">
        <v>953</v>
      </c>
      <c r="B954" s="11" t="s">
        <v>9</v>
      </c>
      <c r="C954" s="11" t="s">
        <v>253</v>
      </c>
      <c r="D954" s="11" t="s">
        <v>254</v>
      </c>
      <c r="E954" s="9" t="str">
        <f>+HYPERLINK("http://trademark.i-assist.jp/data/china/image_1903th/79212733.pdf", "79212733")</f>
        <v>79212733</v>
      </c>
      <c r="F954" s="11" t="s">
        <v>2889</v>
      </c>
      <c r="G954" s="11" t="s">
        <v>239</v>
      </c>
      <c r="H954" s="11" t="s">
        <v>2890</v>
      </c>
      <c r="I954" s="11" t="s">
        <v>243</v>
      </c>
    </row>
    <row r="955" spans="1:9" x14ac:dyDescent="0.15">
      <c r="A955" s="10">
        <v>954</v>
      </c>
      <c r="B955" s="11" t="s">
        <v>9</v>
      </c>
      <c r="C955" s="11" t="s">
        <v>253</v>
      </c>
      <c r="D955" s="11" t="s">
        <v>254</v>
      </c>
      <c r="E955" s="9" t="str">
        <f>+HYPERLINK("http://trademark.i-assist.jp/data/china/image_1903th/79212780.pdf", "79212780")</f>
        <v>79212780</v>
      </c>
      <c r="F955" s="11" t="s">
        <v>2891</v>
      </c>
      <c r="G955" s="11" t="s">
        <v>2892</v>
      </c>
      <c r="H955" s="11" t="s">
        <v>2893</v>
      </c>
      <c r="I955" s="11" t="s">
        <v>243</v>
      </c>
    </row>
    <row r="956" spans="1:9" x14ac:dyDescent="0.15">
      <c r="A956" s="10">
        <v>955</v>
      </c>
      <c r="B956" s="11" t="s">
        <v>9</v>
      </c>
      <c r="C956" s="11" t="s">
        <v>253</v>
      </c>
      <c r="D956" s="11" t="s">
        <v>254</v>
      </c>
      <c r="E956" s="9" t="str">
        <f>+HYPERLINK("http://trademark.i-assist.jp/data/china/image_1903th/79213023.pdf", "79213023")</f>
        <v>79213023</v>
      </c>
      <c r="F956" s="11" t="s">
        <v>2894</v>
      </c>
      <c r="G956" s="11" t="s">
        <v>2895</v>
      </c>
      <c r="H956" s="11" t="s">
        <v>2896</v>
      </c>
      <c r="I956" s="11" t="s">
        <v>243</v>
      </c>
    </row>
    <row r="957" spans="1:9" x14ac:dyDescent="0.15">
      <c r="A957" s="10">
        <v>956</v>
      </c>
      <c r="B957" s="11" t="s">
        <v>9</v>
      </c>
      <c r="C957" s="11" t="s">
        <v>253</v>
      </c>
      <c r="D957" s="11" t="s">
        <v>254</v>
      </c>
      <c r="E957" s="9" t="str">
        <f>+HYPERLINK("http://trademark.i-assist.jp/data/china/image_1903th/79213488.pdf", "79213488")</f>
        <v>79213488</v>
      </c>
      <c r="F957" s="11" t="s">
        <v>2897</v>
      </c>
      <c r="G957" s="11" t="s">
        <v>182</v>
      </c>
      <c r="H957" s="11" t="s">
        <v>2898</v>
      </c>
      <c r="I957" s="11" t="s">
        <v>243</v>
      </c>
    </row>
    <row r="958" spans="1:9" x14ac:dyDescent="0.15">
      <c r="A958" s="10">
        <v>957</v>
      </c>
      <c r="B958" s="11" t="s">
        <v>9</v>
      </c>
      <c r="C958" s="11" t="s">
        <v>253</v>
      </c>
      <c r="D958" s="11" t="s">
        <v>254</v>
      </c>
      <c r="E958" s="9" t="str">
        <f>+HYPERLINK("http://trademark.i-assist.jp/data/china/image_1903th/79213561.pdf", "79213561")</f>
        <v>79213561</v>
      </c>
      <c r="F958" s="11" t="s">
        <v>2899</v>
      </c>
      <c r="G958" s="11" t="s">
        <v>2900</v>
      </c>
      <c r="H958" s="11" t="s">
        <v>2901</v>
      </c>
      <c r="I958" s="11" t="s">
        <v>243</v>
      </c>
    </row>
    <row r="959" spans="1:9" x14ac:dyDescent="0.15">
      <c r="A959" s="10">
        <v>958</v>
      </c>
      <c r="B959" s="11" t="s">
        <v>9</v>
      </c>
      <c r="C959" s="11" t="s">
        <v>253</v>
      </c>
      <c r="D959" s="11" t="s">
        <v>254</v>
      </c>
      <c r="E959" s="9" t="str">
        <f>+HYPERLINK("http://trademark.i-assist.jp/data/china/image_1903th/79213811.pdf", "79213811")</f>
        <v>79213811</v>
      </c>
      <c r="F959" s="11" t="s">
        <v>2902</v>
      </c>
      <c r="G959" s="11" t="s">
        <v>2903</v>
      </c>
      <c r="H959" s="11" t="s">
        <v>2904</v>
      </c>
      <c r="I959" s="11" t="s">
        <v>243</v>
      </c>
    </row>
    <row r="960" spans="1:9" x14ac:dyDescent="0.15">
      <c r="A960" s="10">
        <v>959</v>
      </c>
      <c r="B960" s="11" t="s">
        <v>9</v>
      </c>
      <c r="C960" s="11" t="s">
        <v>253</v>
      </c>
      <c r="D960" s="11" t="s">
        <v>254</v>
      </c>
      <c r="E960" s="9" t="str">
        <f>+HYPERLINK("http://trademark.i-assist.jp/data/china/image_1903th/79214371.pdf", "79214371")</f>
        <v>79214371</v>
      </c>
      <c r="F960" s="11" t="s">
        <v>2905</v>
      </c>
      <c r="G960" s="11" t="s">
        <v>2906</v>
      </c>
      <c r="H960" s="11" t="s">
        <v>2907</v>
      </c>
      <c r="I960" s="11" t="s">
        <v>243</v>
      </c>
    </row>
    <row r="961" spans="1:9" x14ac:dyDescent="0.15">
      <c r="A961" s="10">
        <v>960</v>
      </c>
      <c r="B961" s="11" t="s">
        <v>9</v>
      </c>
      <c r="C961" s="11" t="s">
        <v>253</v>
      </c>
      <c r="D961" s="11" t="s">
        <v>254</v>
      </c>
      <c r="E961" s="9" t="str">
        <f>+HYPERLINK("http://trademark.i-assist.jp/data/china/image_1903th/79214568.pdf", "79214568")</f>
        <v>79214568</v>
      </c>
      <c r="F961" s="11" t="s">
        <v>2908</v>
      </c>
      <c r="G961" s="11" t="s">
        <v>2909</v>
      </c>
      <c r="H961" s="11" t="s">
        <v>2910</v>
      </c>
      <c r="I961" s="11" t="s">
        <v>243</v>
      </c>
    </row>
    <row r="962" spans="1:9" x14ac:dyDescent="0.15">
      <c r="A962" s="10">
        <v>961</v>
      </c>
      <c r="B962" s="11" t="s">
        <v>9</v>
      </c>
      <c r="C962" s="11" t="s">
        <v>253</v>
      </c>
      <c r="D962" s="11" t="s">
        <v>254</v>
      </c>
      <c r="E962" s="9" t="str">
        <f>+HYPERLINK("http://trademark.i-assist.jp/data/china/image_1903th/79214710.pdf", "79214710")</f>
        <v>79214710</v>
      </c>
      <c r="F962" s="11" t="s">
        <v>2911</v>
      </c>
      <c r="G962" s="11" t="s">
        <v>2912</v>
      </c>
      <c r="H962" s="11" t="s">
        <v>2913</v>
      </c>
      <c r="I962" s="11" t="s">
        <v>243</v>
      </c>
    </row>
    <row r="963" spans="1:9" x14ac:dyDescent="0.15">
      <c r="A963" s="10">
        <v>962</v>
      </c>
      <c r="B963" s="11" t="s">
        <v>9</v>
      </c>
      <c r="C963" s="11" t="s">
        <v>253</v>
      </c>
      <c r="D963" s="11" t="s">
        <v>254</v>
      </c>
      <c r="E963" s="9" t="str">
        <f>+HYPERLINK("http://trademark.i-assist.jp/data/china/image_1903th/79215056.pdf", "79215056")</f>
        <v>79215056</v>
      </c>
      <c r="F963" s="11" t="s">
        <v>2914</v>
      </c>
      <c r="G963" s="11" t="s">
        <v>2915</v>
      </c>
      <c r="H963" s="11" t="s">
        <v>2916</v>
      </c>
      <c r="I963" s="11" t="s">
        <v>243</v>
      </c>
    </row>
    <row r="964" spans="1:9" x14ac:dyDescent="0.15">
      <c r="A964" s="10">
        <v>963</v>
      </c>
      <c r="B964" s="11" t="s">
        <v>9</v>
      </c>
      <c r="C964" s="11" t="s">
        <v>253</v>
      </c>
      <c r="D964" s="11" t="s">
        <v>254</v>
      </c>
      <c r="E964" s="9" t="str">
        <f>+HYPERLINK("http://trademark.i-assist.jp/data/china/image_1903th/79215639.pdf", "79215639")</f>
        <v>79215639</v>
      </c>
      <c r="F964" s="11" t="s">
        <v>2917</v>
      </c>
      <c r="G964" s="11" t="s">
        <v>2918</v>
      </c>
      <c r="H964" s="11" t="s">
        <v>2919</v>
      </c>
      <c r="I964" s="11" t="s">
        <v>243</v>
      </c>
    </row>
    <row r="965" spans="1:9" x14ac:dyDescent="0.15">
      <c r="A965" s="10">
        <v>964</v>
      </c>
      <c r="B965" s="11" t="s">
        <v>9</v>
      </c>
      <c r="C965" s="11" t="s">
        <v>253</v>
      </c>
      <c r="D965" s="11" t="s">
        <v>254</v>
      </c>
      <c r="E965" s="9" t="str">
        <f>+HYPERLINK("http://trademark.i-assist.jp/data/china/image_1903th/79215713.pdf", "79215713")</f>
        <v>79215713</v>
      </c>
      <c r="F965" s="11" t="s">
        <v>2920</v>
      </c>
      <c r="G965" s="11" t="s">
        <v>2921</v>
      </c>
      <c r="H965" s="11" t="s">
        <v>2922</v>
      </c>
      <c r="I965" s="11" t="s">
        <v>243</v>
      </c>
    </row>
    <row r="966" spans="1:9" x14ac:dyDescent="0.15">
      <c r="A966" s="10">
        <v>965</v>
      </c>
      <c r="B966" s="11" t="s">
        <v>9</v>
      </c>
      <c r="C966" s="11" t="s">
        <v>253</v>
      </c>
      <c r="D966" s="11" t="s">
        <v>254</v>
      </c>
      <c r="E966" s="9" t="str">
        <f>+HYPERLINK("http://trademark.i-assist.jp/data/china/image_1903th/79215737.pdf", "79215737")</f>
        <v>79215737</v>
      </c>
      <c r="F966" s="11" t="s">
        <v>2923</v>
      </c>
      <c r="G966" s="11" t="s">
        <v>2924</v>
      </c>
      <c r="H966" s="11" t="s">
        <v>2925</v>
      </c>
      <c r="I966" s="11" t="s">
        <v>243</v>
      </c>
    </row>
    <row r="967" spans="1:9" x14ac:dyDescent="0.15">
      <c r="A967" s="10">
        <v>966</v>
      </c>
      <c r="B967" s="11" t="s">
        <v>9</v>
      </c>
      <c r="C967" s="11" t="s">
        <v>253</v>
      </c>
      <c r="D967" s="11" t="s">
        <v>254</v>
      </c>
      <c r="E967" s="9" t="str">
        <f>+HYPERLINK("http://trademark.i-assist.jp/data/china/image_1903th/79215958.pdf", "79215958")</f>
        <v>79215958</v>
      </c>
      <c r="F967" s="11" t="s">
        <v>2926</v>
      </c>
      <c r="G967" s="11" t="s">
        <v>2927</v>
      </c>
      <c r="H967" s="11" t="s">
        <v>2925</v>
      </c>
      <c r="I967" s="11" t="s">
        <v>243</v>
      </c>
    </row>
    <row r="968" spans="1:9" x14ac:dyDescent="0.15">
      <c r="A968" s="10">
        <v>967</v>
      </c>
      <c r="B968" s="11" t="s">
        <v>9</v>
      </c>
      <c r="C968" s="11" t="s">
        <v>253</v>
      </c>
      <c r="D968" s="11" t="s">
        <v>254</v>
      </c>
      <c r="E968" s="9" t="str">
        <f>+HYPERLINK("http://trademark.i-assist.jp/data/china/image_1903th/79216103.pdf", "79216103")</f>
        <v>79216103</v>
      </c>
      <c r="F968" s="11" t="s">
        <v>2928</v>
      </c>
      <c r="G968" s="11" t="s">
        <v>153</v>
      </c>
      <c r="H968" s="11" t="s">
        <v>2929</v>
      </c>
      <c r="I968" s="11" t="s">
        <v>243</v>
      </c>
    </row>
    <row r="969" spans="1:9" x14ac:dyDescent="0.15">
      <c r="A969" s="10">
        <v>968</v>
      </c>
      <c r="B969" s="11" t="s">
        <v>9</v>
      </c>
      <c r="C969" s="11" t="s">
        <v>253</v>
      </c>
      <c r="D969" s="11" t="s">
        <v>254</v>
      </c>
      <c r="E969" s="9" t="str">
        <f>+HYPERLINK("http://trademark.i-assist.jp/data/china/image_1903th/79216739.pdf", "79216739")</f>
        <v>79216739</v>
      </c>
      <c r="F969" s="11" t="s">
        <v>2930</v>
      </c>
      <c r="G969" s="11" t="s">
        <v>2931</v>
      </c>
      <c r="H969" s="11" t="s">
        <v>2932</v>
      </c>
      <c r="I969" s="11" t="s">
        <v>243</v>
      </c>
    </row>
    <row r="970" spans="1:9" x14ac:dyDescent="0.15">
      <c r="A970" s="10">
        <v>969</v>
      </c>
      <c r="B970" s="11" t="s">
        <v>9</v>
      </c>
      <c r="C970" s="11" t="s">
        <v>253</v>
      </c>
      <c r="D970" s="11" t="s">
        <v>254</v>
      </c>
      <c r="E970" s="9" t="str">
        <f>+HYPERLINK("http://trademark.i-assist.jp/data/china/image_1903th/79217216.pdf", "79217216")</f>
        <v>79217216</v>
      </c>
      <c r="F970" s="11" t="s">
        <v>2933</v>
      </c>
      <c r="G970" s="11" t="s">
        <v>2934</v>
      </c>
      <c r="H970" s="11" t="s">
        <v>2935</v>
      </c>
      <c r="I970" s="11" t="s">
        <v>243</v>
      </c>
    </row>
    <row r="971" spans="1:9" x14ac:dyDescent="0.15">
      <c r="A971" s="10">
        <v>970</v>
      </c>
      <c r="B971" s="11" t="s">
        <v>9</v>
      </c>
      <c r="C971" s="11" t="s">
        <v>253</v>
      </c>
      <c r="D971" s="11" t="s">
        <v>254</v>
      </c>
      <c r="E971" s="9" t="str">
        <f>+HYPERLINK("http://trademark.i-assist.jp/data/china/image_1903th/79217675.pdf", "79217675")</f>
        <v>79217675</v>
      </c>
      <c r="F971" s="11" t="s">
        <v>2872</v>
      </c>
      <c r="G971" s="11" t="s">
        <v>2873</v>
      </c>
      <c r="H971" s="11" t="s">
        <v>2936</v>
      </c>
      <c r="I971" s="11" t="s">
        <v>243</v>
      </c>
    </row>
    <row r="972" spans="1:9" x14ac:dyDescent="0.15">
      <c r="A972" s="10">
        <v>971</v>
      </c>
      <c r="B972" s="11" t="s">
        <v>9</v>
      </c>
      <c r="C972" s="11" t="s">
        <v>253</v>
      </c>
      <c r="D972" s="11" t="s">
        <v>254</v>
      </c>
      <c r="E972" s="9" t="str">
        <f>+HYPERLINK("http://trademark.i-assist.jp/data/china/image_1903th/79217779.pdf", "79217779")</f>
        <v>79217779</v>
      </c>
      <c r="F972" s="11" t="s">
        <v>2937</v>
      </c>
      <c r="G972" s="11" t="s">
        <v>2865</v>
      </c>
      <c r="H972" s="11" t="s">
        <v>2938</v>
      </c>
      <c r="I972" s="11" t="s">
        <v>243</v>
      </c>
    </row>
    <row r="973" spans="1:9" x14ac:dyDescent="0.15">
      <c r="A973" s="10">
        <v>972</v>
      </c>
      <c r="B973" s="11" t="s">
        <v>9</v>
      </c>
      <c r="C973" s="11" t="s">
        <v>253</v>
      </c>
      <c r="D973" s="11" t="s">
        <v>254</v>
      </c>
      <c r="E973" s="9" t="str">
        <f>+HYPERLINK("http://trademark.i-assist.jp/data/china/image_1903th/79217813.pdf", "79217813")</f>
        <v>79217813</v>
      </c>
      <c r="F973" s="11" t="s">
        <v>2939</v>
      </c>
      <c r="G973" s="11" t="s">
        <v>2865</v>
      </c>
      <c r="H973" s="11" t="s">
        <v>2940</v>
      </c>
      <c r="I973" s="11" t="s">
        <v>243</v>
      </c>
    </row>
    <row r="974" spans="1:9" x14ac:dyDescent="0.15">
      <c r="A974" s="10">
        <v>973</v>
      </c>
      <c r="B974" s="11" t="s">
        <v>9</v>
      </c>
      <c r="C974" s="11" t="s">
        <v>253</v>
      </c>
      <c r="D974" s="11" t="s">
        <v>254</v>
      </c>
      <c r="E974" s="9" t="str">
        <f>+HYPERLINK("http://trademark.i-assist.jp/data/china/image_1903th/79217933.pdf", "79217933")</f>
        <v>79217933</v>
      </c>
      <c r="F974" s="11" t="s">
        <v>2941</v>
      </c>
      <c r="G974" s="11" t="s">
        <v>2942</v>
      </c>
      <c r="H974" s="11" t="s">
        <v>2943</v>
      </c>
      <c r="I974" s="11" t="s">
        <v>243</v>
      </c>
    </row>
    <row r="975" spans="1:9" x14ac:dyDescent="0.15">
      <c r="A975" s="10">
        <v>974</v>
      </c>
      <c r="B975" s="11" t="s">
        <v>9</v>
      </c>
      <c r="C975" s="11" t="s">
        <v>253</v>
      </c>
      <c r="D975" s="11" t="s">
        <v>254</v>
      </c>
      <c r="E975" s="9" t="str">
        <f>+HYPERLINK("http://trademark.i-assist.jp/data/china/image_1903th/79217984.pdf", "79217984")</f>
        <v>79217984</v>
      </c>
      <c r="F975" s="11" t="s">
        <v>2944</v>
      </c>
      <c r="G975" s="11" t="s">
        <v>2945</v>
      </c>
      <c r="H975" s="11" t="s">
        <v>2946</v>
      </c>
      <c r="I975" s="11" t="s">
        <v>243</v>
      </c>
    </row>
    <row r="976" spans="1:9" x14ac:dyDescent="0.15">
      <c r="A976" s="10">
        <v>975</v>
      </c>
      <c r="B976" s="11" t="s">
        <v>9</v>
      </c>
      <c r="C976" s="11" t="s">
        <v>253</v>
      </c>
      <c r="D976" s="11" t="s">
        <v>254</v>
      </c>
      <c r="E976" s="9" t="str">
        <f>+HYPERLINK("http://trademark.i-assist.jp/data/china/image_1903th/79218582.pdf", "79218582")</f>
        <v>79218582</v>
      </c>
      <c r="F976" s="11" t="s">
        <v>2947</v>
      </c>
      <c r="G976" s="11" t="s">
        <v>2948</v>
      </c>
      <c r="H976" s="11" t="s">
        <v>2949</v>
      </c>
      <c r="I976" s="11" t="s">
        <v>243</v>
      </c>
    </row>
    <row r="977" spans="1:9" x14ac:dyDescent="0.15">
      <c r="A977" s="10">
        <v>976</v>
      </c>
      <c r="B977" s="11" t="s">
        <v>9</v>
      </c>
      <c r="C977" s="11" t="s">
        <v>253</v>
      </c>
      <c r="D977" s="11" t="s">
        <v>254</v>
      </c>
      <c r="E977" s="9" t="str">
        <f>+HYPERLINK("http://trademark.i-assist.jp/data/china/image_1903th/79218621.pdf", "79218621")</f>
        <v>79218621</v>
      </c>
      <c r="F977" s="11" t="s">
        <v>2950</v>
      </c>
      <c r="G977" s="11" t="s">
        <v>2951</v>
      </c>
      <c r="H977" s="11" t="s">
        <v>2952</v>
      </c>
      <c r="I977" s="11" t="s">
        <v>243</v>
      </c>
    </row>
    <row r="978" spans="1:9" x14ac:dyDescent="0.15">
      <c r="A978" s="10">
        <v>977</v>
      </c>
      <c r="B978" s="11" t="s">
        <v>9</v>
      </c>
      <c r="C978" s="11" t="s">
        <v>253</v>
      </c>
      <c r="D978" s="11" t="s">
        <v>254</v>
      </c>
      <c r="E978" s="9" t="str">
        <f>+HYPERLINK("http://trademark.i-assist.jp/data/china/image_1903th/79218625.pdf", "79218625")</f>
        <v>79218625</v>
      </c>
      <c r="F978" s="11" t="s">
        <v>12</v>
      </c>
      <c r="G978" s="11" t="s">
        <v>2953</v>
      </c>
      <c r="H978" s="11" t="s">
        <v>2954</v>
      </c>
      <c r="I978" s="11" t="s">
        <v>243</v>
      </c>
    </row>
    <row r="979" spans="1:9" x14ac:dyDescent="0.15">
      <c r="A979" s="10">
        <v>978</v>
      </c>
      <c r="B979" s="11" t="s">
        <v>9</v>
      </c>
      <c r="C979" s="11" t="s">
        <v>253</v>
      </c>
      <c r="D979" s="11" t="s">
        <v>254</v>
      </c>
      <c r="E979" s="9" t="str">
        <f>+HYPERLINK("http://trademark.i-assist.jp/data/china/image_1903th/79218694.pdf", "79218694")</f>
        <v>79218694</v>
      </c>
      <c r="F979" s="11" t="s">
        <v>2955</v>
      </c>
      <c r="G979" s="11" t="s">
        <v>2956</v>
      </c>
      <c r="H979" s="11" t="s">
        <v>2957</v>
      </c>
      <c r="I979" s="11" t="s">
        <v>243</v>
      </c>
    </row>
    <row r="980" spans="1:9" x14ac:dyDescent="0.15">
      <c r="A980" s="10">
        <v>979</v>
      </c>
      <c r="B980" s="11" t="s">
        <v>9</v>
      </c>
      <c r="C980" s="11" t="s">
        <v>253</v>
      </c>
      <c r="D980" s="11" t="s">
        <v>254</v>
      </c>
      <c r="E980" s="9" t="str">
        <f>+HYPERLINK("http://trademark.i-assist.jp/data/china/image_1903th/79218697.pdf", "79218697")</f>
        <v>79218697</v>
      </c>
      <c r="F980" s="11" t="s">
        <v>2958</v>
      </c>
      <c r="G980" s="11" t="s">
        <v>2959</v>
      </c>
      <c r="H980" s="11" t="s">
        <v>2960</v>
      </c>
      <c r="I980" s="11" t="s">
        <v>243</v>
      </c>
    </row>
    <row r="981" spans="1:9" x14ac:dyDescent="0.15">
      <c r="A981" s="10">
        <v>980</v>
      </c>
      <c r="B981" s="11" t="s">
        <v>9</v>
      </c>
      <c r="C981" s="11" t="s">
        <v>253</v>
      </c>
      <c r="D981" s="11" t="s">
        <v>254</v>
      </c>
      <c r="E981" s="9" t="str">
        <f>+HYPERLINK("http://trademark.i-assist.jp/data/china/image_1903th/79218848.pdf", "79218848")</f>
        <v>79218848</v>
      </c>
      <c r="F981" s="11" t="s">
        <v>2961</v>
      </c>
      <c r="G981" s="11" t="s">
        <v>211</v>
      </c>
      <c r="H981" s="11" t="s">
        <v>2962</v>
      </c>
      <c r="I981" s="11" t="s">
        <v>243</v>
      </c>
    </row>
    <row r="982" spans="1:9" x14ac:dyDescent="0.15">
      <c r="A982" s="10">
        <v>981</v>
      </c>
      <c r="B982" s="11" t="s">
        <v>9</v>
      </c>
      <c r="C982" s="11" t="s">
        <v>253</v>
      </c>
      <c r="D982" s="11" t="s">
        <v>254</v>
      </c>
      <c r="E982" s="9" t="str">
        <f>+HYPERLINK("http://trademark.i-assist.jp/data/china/image_1903th/79218873.pdf", "79218873")</f>
        <v>79218873</v>
      </c>
      <c r="F982" s="11" t="s">
        <v>2963</v>
      </c>
      <c r="G982" s="11" t="s">
        <v>153</v>
      </c>
      <c r="H982" s="11" t="s">
        <v>2964</v>
      </c>
      <c r="I982" s="11" t="s">
        <v>243</v>
      </c>
    </row>
    <row r="983" spans="1:9" x14ac:dyDescent="0.15">
      <c r="A983" s="10">
        <v>982</v>
      </c>
      <c r="B983" s="11" t="s">
        <v>9</v>
      </c>
      <c r="C983" s="11" t="s">
        <v>253</v>
      </c>
      <c r="D983" s="11" t="s">
        <v>254</v>
      </c>
      <c r="E983" s="9" t="str">
        <f>+HYPERLINK("http://trademark.i-assist.jp/data/china/image_1903th/79218886.pdf", "79218886")</f>
        <v>79218886</v>
      </c>
      <c r="F983" s="11" t="s">
        <v>2965</v>
      </c>
      <c r="G983" s="11" t="s">
        <v>153</v>
      </c>
      <c r="H983" s="11" t="s">
        <v>2966</v>
      </c>
      <c r="I983" s="11" t="s">
        <v>243</v>
      </c>
    </row>
    <row r="984" spans="1:9" x14ac:dyDescent="0.15">
      <c r="A984" s="10">
        <v>983</v>
      </c>
      <c r="B984" s="11" t="s">
        <v>9</v>
      </c>
      <c r="C984" s="11" t="s">
        <v>253</v>
      </c>
      <c r="D984" s="11" t="s">
        <v>254</v>
      </c>
      <c r="E984" s="9" t="str">
        <f>+HYPERLINK("http://trademark.i-assist.jp/data/china/image_1903th/79219529.pdf", "79219529")</f>
        <v>79219529</v>
      </c>
      <c r="F984" s="11" t="s">
        <v>2967</v>
      </c>
      <c r="G984" s="11" t="s">
        <v>2865</v>
      </c>
      <c r="H984" s="11" t="s">
        <v>2968</v>
      </c>
      <c r="I984" s="11" t="s">
        <v>243</v>
      </c>
    </row>
    <row r="985" spans="1:9" x14ac:dyDescent="0.15">
      <c r="A985" s="10">
        <v>984</v>
      </c>
      <c r="B985" s="11" t="s">
        <v>9</v>
      </c>
      <c r="C985" s="11" t="s">
        <v>253</v>
      </c>
      <c r="D985" s="11" t="s">
        <v>254</v>
      </c>
      <c r="E985" s="9" t="str">
        <f>+HYPERLINK("http://trademark.i-assist.jp/data/china/image_1903th/79219542.pdf", "79219542")</f>
        <v>79219542</v>
      </c>
      <c r="F985" s="11" t="s">
        <v>2969</v>
      </c>
      <c r="G985" s="11" t="s">
        <v>116</v>
      </c>
      <c r="H985" s="11" t="s">
        <v>2970</v>
      </c>
      <c r="I985" s="11" t="s">
        <v>243</v>
      </c>
    </row>
    <row r="986" spans="1:9" x14ac:dyDescent="0.15">
      <c r="A986" s="10">
        <v>985</v>
      </c>
      <c r="B986" s="11" t="s">
        <v>9</v>
      </c>
      <c r="C986" s="11" t="s">
        <v>253</v>
      </c>
      <c r="D986" s="11" t="s">
        <v>254</v>
      </c>
      <c r="E986" s="9" t="str">
        <f>+HYPERLINK("http://trademark.i-assist.jp/data/china/image_1903th/79219750.pdf", "79219750")</f>
        <v>79219750</v>
      </c>
      <c r="F986" s="11" t="s">
        <v>2971</v>
      </c>
      <c r="G986" s="11" t="s">
        <v>2972</v>
      </c>
      <c r="H986" s="11" t="s">
        <v>2973</v>
      </c>
      <c r="I986" s="11" t="s">
        <v>243</v>
      </c>
    </row>
    <row r="987" spans="1:9" x14ac:dyDescent="0.15">
      <c r="A987" s="10">
        <v>986</v>
      </c>
      <c r="B987" s="11" t="s">
        <v>9</v>
      </c>
      <c r="C987" s="11" t="s">
        <v>253</v>
      </c>
      <c r="D987" s="11" t="s">
        <v>254</v>
      </c>
      <c r="E987" s="9" t="str">
        <f>+HYPERLINK("http://trademark.i-assist.jp/data/china/image_1903th/79219765.pdf", "79219765")</f>
        <v>79219765</v>
      </c>
      <c r="F987" s="11" t="s">
        <v>2974</v>
      </c>
      <c r="G987" s="11" t="s">
        <v>2975</v>
      </c>
      <c r="H987" s="11" t="s">
        <v>2976</v>
      </c>
      <c r="I987" s="11" t="s">
        <v>243</v>
      </c>
    </row>
    <row r="988" spans="1:9" x14ac:dyDescent="0.15">
      <c r="A988" s="10">
        <v>987</v>
      </c>
      <c r="B988" s="11" t="s">
        <v>9</v>
      </c>
      <c r="C988" s="11" t="s">
        <v>253</v>
      </c>
      <c r="D988" s="11" t="s">
        <v>254</v>
      </c>
      <c r="E988" s="9" t="str">
        <f>+HYPERLINK("http://trademark.i-assist.jp/data/china/image_1903th/79220026.pdf", "79220026")</f>
        <v>79220026</v>
      </c>
      <c r="F988" s="11" t="s">
        <v>2977</v>
      </c>
      <c r="G988" s="11" t="s">
        <v>2978</v>
      </c>
      <c r="H988" s="11" t="s">
        <v>2979</v>
      </c>
      <c r="I988" s="11" t="s">
        <v>243</v>
      </c>
    </row>
    <row r="989" spans="1:9" x14ac:dyDescent="0.15">
      <c r="A989" s="10">
        <v>988</v>
      </c>
      <c r="B989" s="11" t="s">
        <v>9</v>
      </c>
      <c r="C989" s="11" t="s">
        <v>253</v>
      </c>
      <c r="D989" s="11" t="s">
        <v>254</v>
      </c>
      <c r="E989" s="9" t="str">
        <f>+HYPERLINK("http://trademark.i-assist.jp/data/china/image_1903th/79220549.pdf", "79220549")</f>
        <v>79220549</v>
      </c>
      <c r="F989" s="11" t="s">
        <v>2980</v>
      </c>
      <c r="G989" s="11" t="s">
        <v>2981</v>
      </c>
      <c r="H989" s="11" t="s">
        <v>2982</v>
      </c>
      <c r="I989" s="11" t="s">
        <v>243</v>
      </c>
    </row>
    <row r="990" spans="1:9" x14ac:dyDescent="0.15">
      <c r="A990" s="10">
        <v>989</v>
      </c>
      <c r="B990" s="11" t="s">
        <v>9</v>
      </c>
      <c r="C990" s="11" t="s">
        <v>253</v>
      </c>
      <c r="D990" s="11" t="s">
        <v>254</v>
      </c>
      <c r="E990" s="9" t="str">
        <f>+HYPERLINK("http://trademark.i-assist.jp/data/china/image_1903th/79220905.pdf", "79220905")</f>
        <v>79220905</v>
      </c>
      <c r="F990" s="11" t="s">
        <v>2983</v>
      </c>
      <c r="G990" s="11" t="s">
        <v>2984</v>
      </c>
      <c r="H990" s="11" t="s">
        <v>2985</v>
      </c>
      <c r="I990" s="11" t="s">
        <v>243</v>
      </c>
    </row>
    <row r="991" spans="1:9" x14ac:dyDescent="0.15">
      <c r="A991" s="10">
        <v>990</v>
      </c>
      <c r="B991" s="11" t="s">
        <v>9</v>
      </c>
      <c r="C991" s="11" t="s">
        <v>253</v>
      </c>
      <c r="D991" s="11" t="s">
        <v>254</v>
      </c>
      <c r="E991" s="9" t="str">
        <f>+HYPERLINK("http://trademark.i-assist.jp/data/china/image_1903th/79221022.pdf", "79221022")</f>
        <v>79221022</v>
      </c>
      <c r="F991" s="11" t="s">
        <v>2986</v>
      </c>
      <c r="G991" s="11" t="s">
        <v>175</v>
      </c>
      <c r="H991" s="11" t="s">
        <v>2987</v>
      </c>
      <c r="I991" s="11" t="s">
        <v>243</v>
      </c>
    </row>
    <row r="992" spans="1:9" x14ac:dyDescent="0.15">
      <c r="A992" s="10">
        <v>991</v>
      </c>
      <c r="B992" s="11" t="s">
        <v>9</v>
      </c>
      <c r="C992" s="11" t="s">
        <v>253</v>
      </c>
      <c r="D992" s="11" t="s">
        <v>254</v>
      </c>
      <c r="E992" s="9" t="str">
        <f>+HYPERLINK("http://trademark.i-assist.jp/data/china/image_1903th/79221023.pdf", "79221023")</f>
        <v>79221023</v>
      </c>
      <c r="F992" s="11" t="s">
        <v>235</v>
      </c>
      <c r="G992" s="11" t="s">
        <v>236</v>
      </c>
      <c r="H992" s="11" t="s">
        <v>2988</v>
      </c>
      <c r="I992" s="11" t="s">
        <v>243</v>
      </c>
    </row>
    <row r="993" spans="1:9" x14ac:dyDescent="0.15">
      <c r="A993" s="10">
        <v>992</v>
      </c>
      <c r="B993" s="11" t="s">
        <v>9</v>
      </c>
      <c r="C993" s="11" t="s">
        <v>253</v>
      </c>
      <c r="D993" s="11" t="s">
        <v>254</v>
      </c>
      <c r="E993" s="9" t="str">
        <f>+HYPERLINK("http://trademark.i-assist.jp/data/china/image_1903th/79221940.pdf", "79221940")</f>
        <v>79221940</v>
      </c>
      <c r="F993" s="11" t="s">
        <v>2989</v>
      </c>
      <c r="G993" s="11" t="s">
        <v>2990</v>
      </c>
      <c r="H993" s="11" t="s">
        <v>2991</v>
      </c>
      <c r="I993" s="11" t="s">
        <v>243</v>
      </c>
    </row>
    <row r="994" spans="1:9" x14ac:dyDescent="0.15">
      <c r="A994" s="10">
        <v>993</v>
      </c>
      <c r="B994" s="11" t="s">
        <v>9</v>
      </c>
      <c r="C994" s="11" t="s">
        <v>253</v>
      </c>
      <c r="D994" s="11" t="s">
        <v>254</v>
      </c>
      <c r="E994" s="9" t="str">
        <f>+HYPERLINK("http://trademark.i-assist.jp/data/china/image_1903th/79222046.pdf", "79222046")</f>
        <v>79222046</v>
      </c>
      <c r="F994" s="11" t="s">
        <v>2992</v>
      </c>
      <c r="G994" s="11" t="s">
        <v>2921</v>
      </c>
      <c r="H994" s="11" t="s">
        <v>2993</v>
      </c>
      <c r="I994" s="11" t="s">
        <v>243</v>
      </c>
    </row>
    <row r="995" spans="1:9" x14ac:dyDescent="0.15">
      <c r="A995" s="10">
        <v>994</v>
      </c>
      <c r="B995" s="11" t="s">
        <v>9</v>
      </c>
      <c r="C995" s="11" t="s">
        <v>253</v>
      </c>
      <c r="D995" s="11" t="s">
        <v>254</v>
      </c>
      <c r="E995" s="9" t="str">
        <f>+HYPERLINK("http://trademark.i-assist.jp/data/china/image_1903th/79222205.pdf", "79222205")</f>
        <v>79222205</v>
      </c>
      <c r="F995" s="11" t="s">
        <v>2994</v>
      </c>
      <c r="G995" s="11" t="s">
        <v>2995</v>
      </c>
      <c r="H995" s="11" t="s">
        <v>2996</v>
      </c>
      <c r="I995" s="11" t="s">
        <v>243</v>
      </c>
    </row>
    <row r="996" spans="1:9" x14ac:dyDescent="0.15">
      <c r="A996" s="10">
        <v>995</v>
      </c>
      <c r="B996" s="11" t="s">
        <v>9</v>
      </c>
      <c r="C996" s="11" t="s">
        <v>253</v>
      </c>
      <c r="D996" s="11" t="s">
        <v>254</v>
      </c>
      <c r="E996" s="9" t="str">
        <f>+HYPERLINK("http://trademark.i-assist.jp/data/china/image_1903th/79222397.pdf", "79222397")</f>
        <v>79222397</v>
      </c>
      <c r="F996" s="11" t="s">
        <v>2997</v>
      </c>
      <c r="G996" s="11" t="s">
        <v>2998</v>
      </c>
      <c r="H996" s="11" t="s">
        <v>2999</v>
      </c>
      <c r="I996" s="11" t="s">
        <v>243</v>
      </c>
    </row>
    <row r="997" spans="1:9" x14ac:dyDescent="0.15">
      <c r="A997" s="10">
        <v>996</v>
      </c>
      <c r="B997" s="11" t="s">
        <v>9</v>
      </c>
      <c r="C997" s="11" t="s">
        <v>253</v>
      </c>
      <c r="D997" s="11" t="s">
        <v>254</v>
      </c>
      <c r="E997" s="9" t="str">
        <f>+HYPERLINK("http://trademark.i-assist.jp/data/china/image_1903th/79223074.pdf", "79223074")</f>
        <v>79223074</v>
      </c>
      <c r="F997" s="11" t="s">
        <v>3000</v>
      </c>
      <c r="G997" s="11" t="s">
        <v>3001</v>
      </c>
      <c r="H997" s="11" t="s">
        <v>3002</v>
      </c>
      <c r="I997" s="11" t="s">
        <v>243</v>
      </c>
    </row>
    <row r="998" spans="1:9" x14ac:dyDescent="0.15">
      <c r="A998" s="10">
        <v>997</v>
      </c>
      <c r="B998" s="11" t="s">
        <v>9</v>
      </c>
      <c r="C998" s="11" t="s">
        <v>253</v>
      </c>
      <c r="D998" s="11" t="s">
        <v>254</v>
      </c>
      <c r="E998" s="9" t="str">
        <f>+HYPERLINK("http://trademark.i-assist.jp/data/china/image_1903th/79223180.pdf", "79223180")</f>
        <v>79223180</v>
      </c>
      <c r="F998" s="11" t="s">
        <v>3003</v>
      </c>
      <c r="G998" s="11" t="s">
        <v>3004</v>
      </c>
      <c r="H998" s="11" t="s">
        <v>3005</v>
      </c>
      <c r="I998" s="11" t="s">
        <v>243</v>
      </c>
    </row>
    <row r="999" spans="1:9" x14ac:dyDescent="0.15">
      <c r="A999" s="10">
        <v>998</v>
      </c>
      <c r="B999" s="11" t="s">
        <v>9</v>
      </c>
      <c r="C999" s="11" t="s">
        <v>253</v>
      </c>
      <c r="D999" s="11" t="s">
        <v>254</v>
      </c>
      <c r="E999" s="9" t="str">
        <f>+HYPERLINK("http://trademark.i-assist.jp/data/china/image_1903th/79223466.pdf", "79223466")</f>
        <v>79223466</v>
      </c>
      <c r="F999" s="11" t="s">
        <v>12</v>
      </c>
      <c r="G999" s="11" t="s">
        <v>3006</v>
      </c>
      <c r="H999" s="11" t="s">
        <v>3007</v>
      </c>
      <c r="I999" s="11" t="s">
        <v>243</v>
      </c>
    </row>
    <row r="1000" spans="1:9" x14ac:dyDescent="0.15">
      <c r="A1000" s="10">
        <v>999</v>
      </c>
      <c r="B1000" s="11" t="s">
        <v>9</v>
      </c>
      <c r="C1000" s="11" t="s">
        <v>253</v>
      </c>
      <c r="D1000" s="11" t="s">
        <v>254</v>
      </c>
      <c r="E1000" s="9" t="str">
        <f>+HYPERLINK("http://trademark.i-assist.jp/data/china/image_1903th/79223527.pdf", "79223527")</f>
        <v>79223527</v>
      </c>
      <c r="F1000" s="11" t="s">
        <v>3008</v>
      </c>
      <c r="G1000" s="11" t="s">
        <v>3009</v>
      </c>
      <c r="H1000" s="11" t="s">
        <v>3010</v>
      </c>
      <c r="I1000" s="11" t="s">
        <v>243</v>
      </c>
    </row>
    <row r="1001" spans="1:9" x14ac:dyDescent="0.15">
      <c r="A1001" s="10">
        <v>1000</v>
      </c>
      <c r="B1001" s="11" t="s">
        <v>9</v>
      </c>
      <c r="C1001" s="11" t="s">
        <v>253</v>
      </c>
      <c r="D1001" s="11" t="s">
        <v>254</v>
      </c>
      <c r="E1001" s="9" t="str">
        <f>+HYPERLINK("http://trademark.i-assist.jp/data/china/image_1903th/79223853.pdf", "79223853")</f>
        <v>79223853</v>
      </c>
      <c r="F1001" s="11" t="s">
        <v>3011</v>
      </c>
      <c r="G1001" s="11" t="s">
        <v>153</v>
      </c>
      <c r="H1001" s="11" t="s">
        <v>3012</v>
      </c>
      <c r="I1001" s="11" t="s">
        <v>243</v>
      </c>
    </row>
    <row r="1002" spans="1:9" x14ac:dyDescent="0.15">
      <c r="A1002" s="10">
        <v>1001</v>
      </c>
      <c r="B1002" s="11" t="s">
        <v>9</v>
      </c>
      <c r="C1002" s="11" t="s">
        <v>253</v>
      </c>
      <c r="D1002" s="11" t="s">
        <v>254</v>
      </c>
      <c r="E1002" s="9" t="str">
        <f>+HYPERLINK("http://trademark.i-assist.jp/data/china/image_1903th/79223872.pdf", "79223872")</f>
        <v>79223872</v>
      </c>
      <c r="F1002" s="11" t="s">
        <v>3013</v>
      </c>
      <c r="G1002" s="11" t="s">
        <v>3014</v>
      </c>
      <c r="H1002" s="11" t="s">
        <v>3015</v>
      </c>
      <c r="I1002" s="11" t="s">
        <v>243</v>
      </c>
    </row>
    <row r="1003" spans="1:9" x14ac:dyDescent="0.15">
      <c r="A1003" s="10">
        <v>1002</v>
      </c>
      <c r="B1003" s="11" t="s">
        <v>9</v>
      </c>
      <c r="C1003" s="11" t="s">
        <v>253</v>
      </c>
      <c r="D1003" s="11" t="s">
        <v>254</v>
      </c>
      <c r="E1003" s="9" t="str">
        <f>+HYPERLINK("http://trademark.i-assist.jp/data/china/image_1903th/79224086.pdf", "79224086")</f>
        <v>79224086</v>
      </c>
      <c r="F1003" s="11" t="s">
        <v>3016</v>
      </c>
      <c r="G1003" s="11" t="s">
        <v>3017</v>
      </c>
      <c r="H1003" s="11" t="s">
        <v>3018</v>
      </c>
      <c r="I1003" s="11" t="s">
        <v>243</v>
      </c>
    </row>
    <row r="1004" spans="1:9" x14ac:dyDescent="0.15">
      <c r="A1004" s="10">
        <v>1003</v>
      </c>
      <c r="B1004" s="11" t="s">
        <v>9</v>
      </c>
      <c r="C1004" s="11" t="s">
        <v>253</v>
      </c>
      <c r="D1004" s="11" t="s">
        <v>254</v>
      </c>
      <c r="E1004" s="9" t="str">
        <f>+HYPERLINK("http://trademark.i-assist.jp/data/china/image_1903th/79224369.pdf", "79224369")</f>
        <v>79224369</v>
      </c>
      <c r="F1004" s="11" t="s">
        <v>3019</v>
      </c>
      <c r="G1004" s="11" t="s">
        <v>2951</v>
      </c>
      <c r="H1004" s="11" t="s">
        <v>3020</v>
      </c>
      <c r="I1004" s="11" t="s">
        <v>243</v>
      </c>
    </row>
    <row r="1005" spans="1:9" x14ac:dyDescent="0.15">
      <c r="A1005" s="10">
        <v>1004</v>
      </c>
      <c r="B1005" s="11" t="s">
        <v>9</v>
      </c>
      <c r="C1005" s="11" t="s">
        <v>253</v>
      </c>
      <c r="D1005" s="11" t="s">
        <v>254</v>
      </c>
      <c r="E1005" s="9" t="str">
        <f>+HYPERLINK("http://trademark.i-assist.jp/data/china/image_1903th/79224915.pdf", "79224915")</f>
        <v>79224915</v>
      </c>
      <c r="F1005" s="11" t="s">
        <v>3021</v>
      </c>
      <c r="G1005" s="11" t="s">
        <v>3022</v>
      </c>
      <c r="H1005" s="11" t="s">
        <v>3023</v>
      </c>
      <c r="I1005" s="11" t="s">
        <v>243</v>
      </c>
    </row>
    <row r="1006" spans="1:9" x14ac:dyDescent="0.15">
      <c r="A1006" s="10">
        <v>1005</v>
      </c>
      <c r="B1006" s="11" t="s">
        <v>9</v>
      </c>
      <c r="C1006" s="11" t="s">
        <v>253</v>
      </c>
      <c r="D1006" s="11" t="s">
        <v>254</v>
      </c>
      <c r="E1006" s="9" t="str">
        <f>+HYPERLINK("http://trademark.i-assist.jp/data/china/image_1903th/79224967.pdf", "79224967")</f>
        <v>79224967</v>
      </c>
      <c r="F1006" s="11" t="s">
        <v>3024</v>
      </c>
      <c r="G1006" s="11" t="s">
        <v>3025</v>
      </c>
      <c r="H1006" s="11" t="s">
        <v>3026</v>
      </c>
      <c r="I1006" s="11" t="s">
        <v>243</v>
      </c>
    </row>
    <row r="1007" spans="1:9" x14ac:dyDescent="0.15">
      <c r="A1007" s="10">
        <v>1006</v>
      </c>
      <c r="B1007" s="11" t="s">
        <v>9</v>
      </c>
      <c r="C1007" s="11" t="s">
        <v>253</v>
      </c>
      <c r="D1007" s="11" t="s">
        <v>254</v>
      </c>
      <c r="E1007" s="9" t="str">
        <f>+HYPERLINK("http://trademark.i-assist.jp/data/china/image_1903th/79225229.pdf", "79225229")</f>
        <v>79225229</v>
      </c>
      <c r="F1007" s="11" t="s">
        <v>3027</v>
      </c>
      <c r="G1007" s="11" t="s">
        <v>3028</v>
      </c>
      <c r="H1007" s="11" t="s">
        <v>3029</v>
      </c>
      <c r="I1007" s="11" t="s">
        <v>243</v>
      </c>
    </row>
    <row r="1008" spans="1:9" x14ac:dyDescent="0.15">
      <c r="A1008" s="10">
        <v>1007</v>
      </c>
      <c r="B1008" s="11" t="s">
        <v>9</v>
      </c>
      <c r="C1008" s="11" t="s">
        <v>253</v>
      </c>
      <c r="D1008" s="11" t="s">
        <v>254</v>
      </c>
      <c r="E1008" s="9" t="str">
        <f>+HYPERLINK("http://trademark.i-assist.jp/data/china/image_1903th/79225732.pdf", "79225732")</f>
        <v>79225732</v>
      </c>
      <c r="F1008" s="11" t="s">
        <v>3030</v>
      </c>
      <c r="G1008" s="11" t="s">
        <v>2865</v>
      </c>
      <c r="H1008" s="11" t="s">
        <v>3031</v>
      </c>
      <c r="I1008" s="11" t="s">
        <v>243</v>
      </c>
    </row>
    <row r="1009" spans="1:9" x14ac:dyDescent="0.15">
      <c r="A1009" s="10">
        <v>1008</v>
      </c>
      <c r="B1009" s="11" t="s">
        <v>9</v>
      </c>
      <c r="C1009" s="11" t="s">
        <v>253</v>
      </c>
      <c r="D1009" s="11" t="s">
        <v>254</v>
      </c>
      <c r="E1009" s="9" t="str">
        <f>+HYPERLINK("http://trademark.i-assist.jp/data/china/image_1903th/79225746.pdf", "79225746")</f>
        <v>79225746</v>
      </c>
      <c r="F1009" s="11" t="s">
        <v>3032</v>
      </c>
      <c r="G1009" s="11" t="s">
        <v>3033</v>
      </c>
      <c r="H1009" s="11" t="s">
        <v>3034</v>
      </c>
      <c r="I1009" s="11" t="s">
        <v>243</v>
      </c>
    </row>
    <row r="1010" spans="1:9" x14ac:dyDescent="0.15">
      <c r="A1010" s="10">
        <v>1009</v>
      </c>
      <c r="B1010" s="11" t="s">
        <v>9</v>
      </c>
      <c r="C1010" s="11" t="s">
        <v>253</v>
      </c>
      <c r="D1010" s="11" t="s">
        <v>254</v>
      </c>
      <c r="E1010" s="9" t="str">
        <f>+HYPERLINK("http://trademark.i-assist.jp/data/china/image_1903th/79225790.pdf", "79225790")</f>
        <v>79225790</v>
      </c>
      <c r="F1010" s="11" t="s">
        <v>3035</v>
      </c>
      <c r="G1010" s="11" t="s">
        <v>3036</v>
      </c>
      <c r="H1010" s="11" t="s">
        <v>3037</v>
      </c>
      <c r="I1010" s="11" t="s">
        <v>243</v>
      </c>
    </row>
    <row r="1011" spans="1:9" x14ac:dyDescent="0.15">
      <c r="A1011" s="10">
        <v>1010</v>
      </c>
      <c r="B1011" s="11" t="s">
        <v>9</v>
      </c>
      <c r="C1011" s="11" t="s">
        <v>253</v>
      </c>
      <c r="D1011" s="11" t="s">
        <v>254</v>
      </c>
      <c r="E1011" s="9" t="str">
        <f>+HYPERLINK("http://trademark.i-assist.jp/data/china/image_1903th/79226125.pdf", "79226125")</f>
        <v>79226125</v>
      </c>
      <c r="F1011" s="11" t="s">
        <v>3038</v>
      </c>
      <c r="G1011" s="11" t="s">
        <v>3039</v>
      </c>
      <c r="H1011" s="11" t="s">
        <v>3040</v>
      </c>
      <c r="I1011" s="11" t="s">
        <v>243</v>
      </c>
    </row>
    <row r="1012" spans="1:9" x14ac:dyDescent="0.15">
      <c r="A1012" s="10">
        <v>1011</v>
      </c>
      <c r="B1012" s="11" t="s">
        <v>9</v>
      </c>
      <c r="C1012" s="11" t="s">
        <v>253</v>
      </c>
      <c r="D1012" s="11" t="s">
        <v>254</v>
      </c>
      <c r="E1012" s="9" t="str">
        <f>+HYPERLINK("http://trademark.i-assist.jp/data/china/image_1903th/79226304.pdf", "79226304")</f>
        <v>79226304</v>
      </c>
      <c r="F1012" s="11" t="s">
        <v>3041</v>
      </c>
      <c r="G1012" s="11" t="s">
        <v>3042</v>
      </c>
      <c r="H1012" s="11" t="s">
        <v>3043</v>
      </c>
      <c r="I1012" s="11" t="s">
        <v>243</v>
      </c>
    </row>
    <row r="1013" spans="1:9" x14ac:dyDescent="0.15">
      <c r="A1013" s="10">
        <v>1012</v>
      </c>
      <c r="B1013" s="11" t="s">
        <v>9</v>
      </c>
      <c r="C1013" s="11" t="s">
        <v>253</v>
      </c>
      <c r="D1013" s="11" t="s">
        <v>254</v>
      </c>
      <c r="E1013" s="9" t="str">
        <f>+HYPERLINK("http://trademark.i-assist.jp/data/china/image_1903th/79226728.pdf", "79226728")</f>
        <v>79226728</v>
      </c>
      <c r="F1013" s="11" t="s">
        <v>3044</v>
      </c>
      <c r="G1013" s="11" t="s">
        <v>3045</v>
      </c>
      <c r="H1013" s="11" t="s">
        <v>3046</v>
      </c>
      <c r="I1013" s="11" t="s">
        <v>243</v>
      </c>
    </row>
    <row r="1014" spans="1:9" x14ac:dyDescent="0.15">
      <c r="A1014" s="10">
        <v>1013</v>
      </c>
      <c r="B1014" s="11" t="s">
        <v>9</v>
      </c>
      <c r="C1014" s="11" t="s">
        <v>253</v>
      </c>
      <c r="D1014" s="11" t="s">
        <v>254</v>
      </c>
      <c r="E1014" s="9" t="str">
        <f>+HYPERLINK("http://trademark.i-assist.jp/data/china/image_1903th/79226922.pdf", "79226922")</f>
        <v>79226922</v>
      </c>
      <c r="F1014" s="11" t="s">
        <v>3047</v>
      </c>
      <c r="G1014" s="11" t="s">
        <v>2817</v>
      </c>
      <c r="H1014" s="11" t="s">
        <v>3048</v>
      </c>
      <c r="I1014" s="11" t="s">
        <v>243</v>
      </c>
    </row>
    <row r="1015" spans="1:9" x14ac:dyDescent="0.15">
      <c r="A1015" s="10">
        <v>1014</v>
      </c>
      <c r="B1015" s="11" t="s">
        <v>9</v>
      </c>
      <c r="C1015" s="11" t="s">
        <v>253</v>
      </c>
      <c r="D1015" s="11" t="s">
        <v>254</v>
      </c>
      <c r="E1015" s="9" t="str">
        <f>+HYPERLINK("http://trademark.i-assist.jp/data/china/image_1903th/79227595.pdf", "79227595")</f>
        <v>79227595</v>
      </c>
      <c r="F1015" s="11" t="s">
        <v>3049</v>
      </c>
      <c r="G1015" s="11" t="s">
        <v>3050</v>
      </c>
      <c r="H1015" s="11" t="s">
        <v>3051</v>
      </c>
      <c r="I1015" s="11" t="s">
        <v>243</v>
      </c>
    </row>
    <row r="1016" spans="1:9" x14ac:dyDescent="0.15">
      <c r="A1016" s="10">
        <v>1015</v>
      </c>
      <c r="B1016" s="11" t="s">
        <v>9</v>
      </c>
      <c r="C1016" s="11" t="s">
        <v>253</v>
      </c>
      <c r="D1016" s="11" t="s">
        <v>254</v>
      </c>
      <c r="E1016" s="9" t="str">
        <f>+HYPERLINK("http://trademark.i-assist.jp/data/china/image_1903th/79227756.pdf", "79227756")</f>
        <v>79227756</v>
      </c>
      <c r="F1016" s="11" t="s">
        <v>3052</v>
      </c>
      <c r="G1016" s="11" t="s">
        <v>3053</v>
      </c>
      <c r="H1016" s="11" t="s">
        <v>3054</v>
      </c>
      <c r="I1016" s="11" t="s">
        <v>243</v>
      </c>
    </row>
    <row r="1017" spans="1:9" x14ac:dyDescent="0.15">
      <c r="A1017" s="10">
        <v>1016</v>
      </c>
      <c r="B1017" s="11" t="s">
        <v>9</v>
      </c>
      <c r="C1017" s="11" t="s">
        <v>253</v>
      </c>
      <c r="D1017" s="11" t="s">
        <v>254</v>
      </c>
      <c r="E1017" s="9" t="str">
        <f>+HYPERLINK("http://trademark.i-assist.jp/data/china/image_1903th/79228200.pdf", "79228200")</f>
        <v>79228200</v>
      </c>
      <c r="F1017" s="11" t="s">
        <v>3055</v>
      </c>
      <c r="G1017" s="11" t="s">
        <v>3056</v>
      </c>
      <c r="H1017" s="11" t="s">
        <v>3057</v>
      </c>
      <c r="I1017" s="11" t="s">
        <v>243</v>
      </c>
    </row>
    <row r="1018" spans="1:9" x14ac:dyDescent="0.15">
      <c r="A1018" s="10">
        <v>1017</v>
      </c>
      <c r="B1018" s="11" t="s">
        <v>9</v>
      </c>
      <c r="C1018" s="11" t="s">
        <v>253</v>
      </c>
      <c r="D1018" s="11" t="s">
        <v>254</v>
      </c>
      <c r="E1018" s="9" t="str">
        <f>+HYPERLINK("http://trademark.i-assist.jp/data/china/image_1903th/79228252.pdf", "79228252")</f>
        <v>79228252</v>
      </c>
      <c r="F1018" s="11" t="s">
        <v>3058</v>
      </c>
      <c r="G1018" s="11" t="s">
        <v>3059</v>
      </c>
      <c r="H1018" s="11" t="s">
        <v>3060</v>
      </c>
      <c r="I1018" s="11" t="s">
        <v>243</v>
      </c>
    </row>
    <row r="1019" spans="1:9" x14ac:dyDescent="0.15">
      <c r="A1019" s="10">
        <v>1018</v>
      </c>
      <c r="B1019" s="11" t="s">
        <v>9</v>
      </c>
      <c r="C1019" s="11" t="s">
        <v>253</v>
      </c>
      <c r="D1019" s="11" t="s">
        <v>254</v>
      </c>
      <c r="E1019" s="9" t="str">
        <f>+HYPERLINK("http://trademark.i-assist.jp/data/china/image_1903th/79228827.pdf", "79228827")</f>
        <v>79228827</v>
      </c>
      <c r="F1019" s="11" t="s">
        <v>3061</v>
      </c>
      <c r="G1019" s="11" t="s">
        <v>3062</v>
      </c>
      <c r="H1019" s="11" t="s">
        <v>3063</v>
      </c>
      <c r="I1019" s="11" t="s">
        <v>243</v>
      </c>
    </row>
    <row r="1020" spans="1:9" x14ac:dyDescent="0.15">
      <c r="A1020" s="10">
        <v>1019</v>
      </c>
      <c r="B1020" s="11" t="s">
        <v>9</v>
      </c>
      <c r="C1020" s="11" t="s">
        <v>253</v>
      </c>
      <c r="D1020" s="11" t="s">
        <v>254</v>
      </c>
      <c r="E1020" s="9" t="str">
        <f>+HYPERLINK("http://trademark.i-assist.jp/data/china/image_1903th/79229444.pdf", "79229444")</f>
        <v>79229444</v>
      </c>
      <c r="F1020" s="11" t="s">
        <v>3064</v>
      </c>
      <c r="G1020" s="11" t="s">
        <v>3065</v>
      </c>
      <c r="H1020" s="11" t="s">
        <v>3066</v>
      </c>
      <c r="I1020" s="11" t="s">
        <v>243</v>
      </c>
    </row>
    <row r="1021" spans="1:9" x14ac:dyDescent="0.15">
      <c r="A1021" s="10">
        <v>1020</v>
      </c>
      <c r="B1021" s="11" t="s">
        <v>9</v>
      </c>
      <c r="C1021" s="11" t="s">
        <v>253</v>
      </c>
      <c r="D1021" s="11" t="s">
        <v>254</v>
      </c>
      <c r="E1021" s="9" t="str">
        <f>+HYPERLINK("http://trademark.i-assist.jp/data/china/image_1903th/79229699.pdf", "79229699")</f>
        <v>79229699</v>
      </c>
      <c r="F1021" s="11" t="s">
        <v>3067</v>
      </c>
      <c r="G1021" s="11" t="s">
        <v>2862</v>
      </c>
      <c r="H1021" s="11" t="s">
        <v>3068</v>
      </c>
      <c r="I1021" s="11" t="s">
        <v>243</v>
      </c>
    </row>
    <row r="1022" spans="1:9" x14ac:dyDescent="0.15">
      <c r="A1022" s="10">
        <v>1021</v>
      </c>
      <c r="B1022" s="11" t="s">
        <v>9</v>
      </c>
      <c r="C1022" s="11" t="s">
        <v>253</v>
      </c>
      <c r="D1022" s="11" t="s">
        <v>254</v>
      </c>
      <c r="E1022" s="9" t="str">
        <f>+HYPERLINK("http://trademark.i-assist.jp/data/china/image_1903th/79229739.pdf", "79229739")</f>
        <v>79229739</v>
      </c>
      <c r="F1022" s="11" t="s">
        <v>3069</v>
      </c>
      <c r="G1022" s="11" t="s">
        <v>3070</v>
      </c>
      <c r="H1022" s="11" t="s">
        <v>3071</v>
      </c>
      <c r="I1022" s="11" t="s">
        <v>243</v>
      </c>
    </row>
    <row r="1023" spans="1:9" x14ac:dyDescent="0.15">
      <c r="A1023" s="10">
        <v>1022</v>
      </c>
      <c r="B1023" s="11" t="s">
        <v>9</v>
      </c>
      <c r="C1023" s="11" t="s">
        <v>253</v>
      </c>
      <c r="D1023" s="11" t="s">
        <v>254</v>
      </c>
      <c r="E1023" s="9" t="str">
        <f>+HYPERLINK("http://trademark.i-assist.jp/data/china/image_1903th/79229929.pdf", "79229929")</f>
        <v>79229929</v>
      </c>
      <c r="F1023" s="11" t="s">
        <v>3072</v>
      </c>
      <c r="G1023" s="11" t="s">
        <v>190</v>
      </c>
      <c r="H1023" s="11" t="s">
        <v>3073</v>
      </c>
      <c r="I1023" s="11" t="s">
        <v>243</v>
      </c>
    </row>
    <row r="1024" spans="1:9" x14ac:dyDescent="0.15">
      <c r="A1024" s="10">
        <v>1023</v>
      </c>
      <c r="B1024" s="11" t="s">
        <v>9</v>
      </c>
      <c r="C1024" s="11" t="s">
        <v>253</v>
      </c>
      <c r="D1024" s="11" t="s">
        <v>254</v>
      </c>
      <c r="E1024" s="9" t="str">
        <f>+HYPERLINK("http://trademark.i-assist.jp/data/china/image_1903th/79230465.pdf", "79230465")</f>
        <v>79230465</v>
      </c>
      <c r="F1024" s="11" t="s">
        <v>3074</v>
      </c>
      <c r="G1024" s="11" t="s">
        <v>3075</v>
      </c>
      <c r="H1024" s="11" t="s">
        <v>3076</v>
      </c>
      <c r="I1024" s="11" t="s">
        <v>243</v>
      </c>
    </row>
    <row r="1025" spans="1:9" x14ac:dyDescent="0.15">
      <c r="A1025" s="10">
        <v>1024</v>
      </c>
      <c r="B1025" s="11" t="s">
        <v>9</v>
      </c>
      <c r="C1025" s="11" t="s">
        <v>253</v>
      </c>
      <c r="D1025" s="11" t="s">
        <v>254</v>
      </c>
      <c r="E1025" s="9" t="str">
        <f>+HYPERLINK("http://trademark.i-assist.jp/data/china/image_1903th/79230634.pdf", "79230634")</f>
        <v>79230634</v>
      </c>
      <c r="F1025" s="11" t="s">
        <v>3077</v>
      </c>
      <c r="G1025" s="11" t="s">
        <v>3078</v>
      </c>
      <c r="H1025" s="11" t="s">
        <v>3079</v>
      </c>
      <c r="I1025" s="11" t="s">
        <v>243</v>
      </c>
    </row>
    <row r="1026" spans="1:9" x14ac:dyDescent="0.15">
      <c r="A1026" s="10">
        <v>1025</v>
      </c>
      <c r="B1026" s="11" t="s">
        <v>9</v>
      </c>
      <c r="C1026" s="11" t="s">
        <v>253</v>
      </c>
      <c r="D1026" s="11" t="s">
        <v>254</v>
      </c>
      <c r="E1026" s="9" t="str">
        <f>+HYPERLINK("http://trademark.i-assist.jp/data/china/image_1903th/79230768.pdf", "79230768")</f>
        <v>79230768</v>
      </c>
      <c r="F1026" s="11" t="s">
        <v>3080</v>
      </c>
      <c r="G1026" s="11" t="s">
        <v>3081</v>
      </c>
      <c r="H1026" s="11" t="s">
        <v>3082</v>
      </c>
      <c r="I1026" s="11" t="s">
        <v>243</v>
      </c>
    </row>
    <row r="1027" spans="1:9" x14ac:dyDescent="0.15">
      <c r="A1027" s="10">
        <v>1026</v>
      </c>
      <c r="B1027" s="11" t="s">
        <v>9</v>
      </c>
      <c r="C1027" s="11" t="s">
        <v>253</v>
      </c>
      <c r="D1027" s="11" t="s">
        <v>254</v>
      </c>
      <c r="E1027" s="9" t="str">
        <f>+HYPERLINK("http://trademark.i-assist.jp/data/china/image_1903th/79230837.pdf", "79230837")</f>
        <v>79230837</v>
      </c>
      <c r="F1027" s="11" t="s">
        <v>3083</v>
      </c>
      <c r="G1027" s="11" t="s">
        <v>3084</v>
      </c>
      <c r="H1027" s="11" t="s">
        <v>3085</v>
      </c>
      <c r="I1027" s="11" t="s">
        <v>243</v>
      </c>
    </row>
    <row r="1028" spans="1:9" x14ac:dyDescent="0.15">
      <c r="A1028" s="10">
        <v>1027</v>
      </c>
      <c r="B1028" s="11" t="s">
        <v>9</v>
      </c>
      <c r="C1028" s="11" t="s">
        <v>253</v>
      </c>
      <c r="D1028" s="11" t="s">
        <v>254</v>
      </c>
      <c r="E1028" s="9" t="str">
        <f>+HYPERLINK("http://trademark.i-assist.jp/data/china/image_1903th/79231565.pdf", "79231565")</f>
        <v>79231565</v>
      </c>
      <c r="F1028" s="11" t="s">
        <v>3086</v>
      </c>
      <c r="G1028" s="11" t="s">
        <v>3087</v>
      </c>
      <c r="H1028" s="11" t="s">
        <v>3088</v>
      </c>
      <c r="I1028" s="11" t="s">
        <v>243</v>
      </c>
    </row>
    <row r="1029" spans="1:9" x14ac:dyDescent="0.15">
      <c r="A1029" s="10">
        <v>1028</v>
      </c>
      <c r="B1029" s="11" t="s">
        <v>9</v>
      </c>
      <c r="C1029" s="11" t="s">
        <v>253</v>
      </c>
      <c r="D1029" s="11" t="s">
        <v>254</v>
      </c>
      <c r="E1029" s="9" t="str">
        <f>+HYPERLINK("http://trademark.i-assist.jp/data/china/image_1903th/79231870.pdf", "79231870")</f>
        <v>79231870</v>
      </c>
      <c r="F1029" s="11" t="s">
        <v>3089</v>
      </c>
      <c r="G1029" s="11" t="s">
        <v>3090</v>
      </c>
      <c r="H1029" s="11" t="s">
        <v>3091</v>
      </c>
      <c r="I1029" s="11" t="s">
        <v>243</v>
      </c>
    </row>
    <row r="1030" spans="1:9" x14ac:dyDescent="0.15">
      <c r="A1030" s="10">
        <v>1029</v>
      </c>
      <c r="B1030" s="11" t="s">
        <v>9</v>
      </c>
      <c r="C1030" s="11" t="s">
        <v>253</v>
      </c>
      <c r="D1030" s="11" t="s">
        <v>254</v>
      </c>
      <c r="E1030" s="9" t="str">
        <f>+HYPERLINK("http://trademark.i-assist.jp/data/china/image_1903th/79232057.pdf", "79232057")</f>
        <v>79232057</v>
      </c>
      <c r="F1030" s="11" t="s">
        <v>3092</v>
      </c>
      <c r="G1030" s="11" t="s">
        <v>3093</v>
      </c>
      <c r="H1030" s="11" t="s">
        <v>3094</v>
      </c>
      <c r="I1030" s="11" t="s">
        <v>243</v>
      </c>
    </row>
    <row r="1031" spans="1:9" x14ac:dyDescent="0.15">
      <c r="A1031" s="10">
        <v>1030</v>
      </c>
      <c r="B1031" s="11" t="s">
        <v>9</v>
      </c>
      <c r="C1031" s="11" t="s">
        <v>253</v>
      </c>
      <c r="D1031" s="11" t="s">
        <v>254</v>
      </c>
      <c r="E1031" s="9" t="str">
        <f>+HYPERLINK("http://trademark.i-assist.jp/data/china/image_1903th/79232127.pdf", "79232127")</f>
        <v>79232127</v>
      </c>
      <c r="F1031" s="11" t="s">
        <v>3095</v>
      </c>
      <c r="G1031" s="11" t="s">
        <v>3096</v>
      </c>
      <c r="H1031" s="11" t="s">
        <v>3097</v>
      </c>
      <c r="I1031" s="11" t="s">
        <v>243</v>
      </c>
    </row>
    <row r="1032" spans="1:9" x14ac:dyDescent="0.15">
      <c r="A1032" s="10">
        <v>1031</v>
      </c>
      <c r="B1032" s="11" t="s">
        <v>9</v>
      </c>
      <c r="C1032" s="11" t="s">
        <v>253</v>
      </c>
      <c r="D1032" s="11" t="s">
        <v>254</v>
      </c>
      <c r="E1032" s="9" t="str">
        <f>+HYPERLINK("http://trademark.i-assist.jp/data/china/image_1903th/79232151.pdf", "79232151")</f>
        <v>79232151</v>
      </c>
      <c r="F1032" s="11" t="s">
        <v>3098</v>
      </c>
      <c r="G1032" s="11" t="s">
        <v>3099</v>
      </c>
      <c r="H1032" s="11" t="s">
        <v>3100</v>
      </c>
      <c r="I1032" s="11" t="s">
        <v>243</v>
      </c>
    </row>
    <row r="1033" spans="1:9" x14ac:dyDescent="0.15">
      <c r="A1033" s="10">
        <v>1032</v>
      </c>
      <c r="B1033" s="11" t="s">
        <v>9</v>
      </c>
      <c r="C1033" s="11" t="s">
        <v>253</v>
      </c>
      <c r="D1033" s="11" t="s">
        <v>254</v>
      </c>
      <c r="E1033" s="9" t="str">
        <f>+HYPERLINK("http://trademark.i-assist.jp/data/china/image_1903th/79232239.pdf", "79232239")</f>
        <v>79232239</v>
      </c>
      <c r="F1033" s="11" t="s">
        <v>3101</v>
      </c>
      <c r="G1033" s="11" t="s">
        <v>2951</v>
      </c>
      <c r="H1033" s="11" t="s">
        <v>3102</v>
      </c>
      <c r="I1033" s="11" t="s">
        <v>243</v>
      </c>
    </row>
    <row r="1034" spans="1:9" x14ac:dyDescent="0.15">
      <c r="A1034" s="10">
        <v>1033</v>
      </c>
      <c r="B1034" s="11" t="s">
        <v>9</v>
      </c>
      <c r="C1034" s="11" t="s">
        <v>253</v>
      </c>
      <c r="D1034" s="11" t="s">
        <v>254</v>
      </c>
      <c r="E1034" s="9" t="str">
        <f>+HYPERLINK("http://trademark.i-assist.jp/data/china/image_1903th/79232747.pdf", "79232747")</f>
        <v>79232747</v>
      </c>
      <c r="F1034" s="11" t="s">
        <v>3103</v>
      </c>
      <c r="G1034" s="11" t="s">
        <v>3104</v>
      </c>
      <c r="H1034" s="11" t="s">
        <v>3105</v>
      </c>
      <c r="I1034" s="11" t="s">
        <v>244</v>
      </c>
    </row>
    <row r="1035" spans="1:9" x14ac:dyDescent="0.15">
      <c r="A1035" s="10">
        <v>1034</v>
      </c>
      <c r="B1035" s="11" t="s">
        <v>9</v>
      </c>
      <c r="C1035" s="11" t="s">
        <v>253</v>
      </c>
      <c r="D1035" s="11" t="s">
        <v>254</v>
      </c>
      <c r="E1035" s="9" t="str">
        <f>+HYPERLINK("http://trademark.i-assist.jp/data/china/image_1903th/79232982.pdf", "79232982")</f>
        <v>79232982</v>
      </c>
      <c r="F1035" s="11" t="s">
        <v>3106</v>
      </c>
      <c r="G1035" s="11" t="s">
        <v>3107</v>
      </c>
      <c r="H1035" s="11" t="s">
        <v>3108</v>
      </c>
      <c r="I1035" s="11" t="s">
        <v>244</v>
      </c>
    </row>
    <row r="1036" spans="1:9" x14ac:dyDescent="0.15">
      <c r="A1036" s="10">
        <v>1035</v>
      </c>
      <c r="B1036" s="11" t="s">
        <v>9</v>
      </c>
      <c r="C1036" s="11" t="s">
        <v>253</v>
      </c>
      <c r="D1036" s="11" t="s">
        <v>254</v>
      </c>
      <c r="E1036" s="9" t="str">
        <f>+HYPERLINK("http://trademark.i-assist.jp/data/china/image_1903th/79233410.pdf", "79233410")</f>
        <v>79233410</v>
      </c>
      <c r="F1036" s="11" t="s">
        <v>3109</v>
      </c>
      <c r="G1036" s="11" t="s">
        <v>3110</v>
      </c>
      <c r="H1036" s="11" t="s">
        <v>3111</v>
      </c>
      <c r="I1036" s="11" t="s">
        <v>244</v>
      </c>
    </row>
    <row r="1037" spans="1:9" x14ac:dyDescent="0.15">
      <c r="A1037" s="10">
        <v>1036</v>
      </c>
      <c r="B1037" s="11" t="s">
        <v>9</v>
      </c>
      <c r="C1037" s="11" t="s">
        <v>253</v>
      </c>
      <c r="D1037" s="11" t="s">
        <v>254</v>
      </c>
      <c r="E1037" s="9" t="str">
        <f>+HYPERLINK("http://trademark.i-assist.jp/data/china/image_1903th/79233818.pdf", "79233818")</f>
        <v>79233818</v>
      </c>
      <c r="F1037" s="11" t="s">
        <v>3112</v>
      </c>
      <c r="G1037" s="11" t="s">
        <v>3113</v>
      </c>
      <c r="H1037" s="11" t="s">
        <v>3114</v>
      </c>
      <c r="I1037" s="11" t="s">
        <v>244</v>
      </c>
    </row>
    <row r="1038" spans="1:9" x14ac:dyDescent="0.15">
      <c r="A1038" s="10">
        <v>1037</v>
      </c>
      <c r="B1038" s="11" t="s">
        <v>9</v>
      </c>
      <c r="C1038" s="11" t="s">
        <v>253</v>
      </c>
      <c r="D1038" s="11" t="s">
        <v>254</v>
      </c>
      <c r="E1038" s="9" t="str">
        <f>+HYPERLINK("http://trademark.i-assist.jp/data/china/image_1903th/79234023.pdf", "79234023")</f>
        <v>79234023</v>
      </c>
      <c r="F1038" s="11" t="s">
        <v>3115</v>
      </c>
      <c r="G1038" s="11" t="s">
        <v>3116</v>
      </c>
      <c r="H1038" s="11" t="s">
        <v>3117</v>
      </c>
      <c r="I1038" s="11" t="s">
        <v>244</v>
      </c>
    </row>
    <row r="1039" spans="1:9" x14ac:dyDescent="0.15">
      <c r="A1039" s="10">
        <v>1038</v>
      </c>
      <c r="B1039" s="11" t="s">
        <v>9</v>
      </c>
      <c r="C1039" s="11" t="s">
        <v>253</v>
      </c>
      <c r="D1039" s="11" t="s">
        <v>254</v>
      </c>
      <c r="E1039" s="9" t="str">
        <f>+HYPERLINK("http://trademark.i-assist.jp/data/china/image_1903th/79234127.pdf", "79234127")</f>
        <v>79234127</v>
      </c>
      <c r="F1039" s="11" t="s">
        <v>12</v>
      </c>
      <c r="G1039" s="11" t="s">
        <v>3118</v>
      </c>
      <c r="H1039" s="11" t="s">
        <v>16</v>
      </c>
      <c r="I1039" s="11" t="s">
        <v>244</v>
      </c>
    </row>
    <row r="1040" spans="1:9" x14ac:dyDescent="0.15">
      <c r="A1040" s="10">
        <v>1039</v>
      </c>
      <c r="B1040" s="11" t="s">
        <v>9</v>
      </c>
      <c r="C1040" s="11" t="s">
        <v>253</v>
      </c>
      <c r="D1040" s="11" t="s">
        <v>254</v>
      </c>
      <c r="E1040" s="9" t="str">
        <f>+HYPERLINK("http://trademark.i-assist.jp/data/china/image_1903th/79234288.pdf", "79234288")</f>
        <v>79234288</v>
      </c>
      <c r="F1040" s="11" t="s">
        <v>3119</v>
      </c>
      <c r="G1040" s="11" t="s">
        <v>3120</v>
      </c>
      <c r="H1040" s="11" t="s">
        <v>3121</v>
      </c>
      <c r="I1040" s="11" t="s">
        <v>244</v>
      </c>
    </row>
    <row r="1041" spans="1:9" x14ac:dyDescent="0.15">
      <c r="A1041" s="10">
        <v>1040</v>
      </c>
      <c r="B1041" s="11" t="s">
        <v>9</v>
      </c>
      <c r="C1041" s="11" t="s">
        <v>253</v>
      </c>
      <c r="D1041" s="11" t="s">
        <v>254</v>
      </c>
      <c r="E1041" s="9" t="str">
        <f>+HYPERLINK("http://trademark.i-assist.jp/data/china/image_1903th/79234345.pdf", "79234345")</f>
        <v>79234345</v>
      </c>
      <c r="F1041" s="11" t="s">
        <v>12</v>
      </c>
      <c r="G1041" s="11" t="s">
        <v>3122</v>
      </c>
      <c r="H1041" s="11" t="s">
        <v>3123</v>
      </c>
      <c r="I1041" s="11" t="s">
        <v>244</v>
      </c>
    </row>
    <row r="1042" spans="1:9" x14ac:dyDescent="0.15">
      <c r="A1042" s="10">
        <v>1041</v>
      </c>
      <c r="B1042" s="11" t="s">
        <v>9</v>
      </c>
      <c r="C1042" s="11" t="s">
        <v>253</v>
      </c>
      <c r="D1042" s="11" t="s">
        <v>254</v>
      </c>
      <c r="E1042" s="9" t="str">
        <f>+HYPERLINK("http://trademark.i-assist.jp/data/china/image_1903th/79234404.pdf", "79234404")</f>
        <v>79234404</v>
      </c>
      <c r="F1042" s="11" t="s">
        <v>3124</v>
      </c>
      <c r="G1042" s="11" t="s">
        <v>192</v>
      </c>
      <c r="H1042" s="11" t="s">
        <v>3125</v>
      </c>
      <c r="I1042" s="11" t="s">
        <v>244</v>
      </c>
    </row>
    <row r="1043" spans="1:9" x14ac:dyDescent="0.15">
      <c r="A1043" s="10">
        <v>1042</v>
      </c>
      <c r="B1043" s="11" t="s">
        <v>9</v>
      </c>
      <c r="C1043" s="11" t="s">
        <v>253</v>
      </c>
      <c r="D1043" s="11" t="s">
        <v>254</v>
      </c>
      <c r="E1043" s="9" t="str">
        <f>+HYPERLINK("http://trademark.i-assist.jp/data/china/image_1903th/79234424.pdf", "79234424")</f>
        <v>79234424</v>
      </c>
      <c r="F1043" s="11" t="s">
        <v>3126</v>
      </c>
      <c r="G1043" s="11" t="s">
        <v>3127</v>
      </c>
      <c r="H1043" s="11" t="s">
        <v>3128</v>
      </c>
      <c r="I1043" s="11" t="s">
        <v>244</v>
      </c>
    </row>
    <row r="1044" spans="1:9" x14ac:dyDescent="0.15">
      <c r="A1044" s="10">
        <v>1043</v>
      </c>
      <c r="B1044" s="11" t="s">
        <v>9</v>
      </c>
      <c r="C1044" s="11" t="s">
        <v>253</v>
      </c>
      <c r="D1044" s="11" t="s">
        <v>254</v>
      </c>
      <c r="E1044" s="9" t="str">
        <f>+HYPERLINK("http://trademark.i-assist.jp/data/china/image_1903th/79234659.pdf", "79234659")</f>
        <v>79234659</v>
      </c>
      <c r="F1044" s="11" t="s">
        <v>3129</v>
      </c>
      <c r="G1044" s="11" t="s">
        <v>3120</v>
      </c>
      <c r="H1044" s="11" t="s">
        <v>3130</v>
      </c>
      <c r="I1044" s="11" t="s">
        <v>244</v>
      </c>
    </row>
    <row r="1045" spans="1:9" x14ac:dyDescent="0.15">
      <c r="A1045" s="10">
        <v>1044</v>
      </c>
      <c r="B1045" s="11" t="s">
        <v>9</v>
      </c>
      <c r="C1045" s="11" t="s">
        <v>253</v>
      </c>
      <c r="D1045" s="11" t="s">
        <v>254</v>
      </c>
      <c r="E1045" s="9" t="str">
        <f>+HYPERLINK("http://trademark.i-assist.jp/data/china/image_1903th/79234766.pdf", "79234766")</f>
        <v>79234766</v>
      </c>
      <c r="F1045" s="11" t="s">
        <v>3131</v>
      </c>
      <c r="G1045" s="11" t="s">
        <v>3132</v>
      </c>
      <c r="H1045" s="11" t="s">
        <v>3133</v>
      </c>
      <c r="I1045" s="11" t="s">
        <v>244</v>
      </c>
    </row>
    <row r="1046" spans="1:9" x14ac:dyDescent="0.15">
      <c r="A1046" s="10">
        <v>1045</v>
      </c>
      <c r="B1046" s="11" t="s">
        <v>9</v>
      </c>
      <c r="C1046" s="11" t="s">
        <v>253</v>
      </c>
      <c r="D1046" s="11" t="s">
        <v>254</v>
      </c>
      <c r="E1046" s="9" t="str">
        <f>+HYPERLINK("http://trademark.i-assist.jp/data/china/image_1903th/79235619.pdf", "79235619")</f>
        <v>79235619</v>
      </c>
      <c r="F1046" s="11" t="s">
        <v>12</v>
      </c>
      <c r="G1046" s="11" t="s">
        <v>3134</v>
      </c>
      <c r="H1046" s="11" t="s">
        <v>3135</v>
      </c>
      <c r="I1046" s="11" t="s">
        <v>244</v>
      </c>
    </row>
    <row r="1047" spans="1:9" x14ac:dyDescent="0.15">
      <c r="A1047" s="10">
        <v>1046</v>
      </c>
      <c r="B1047" s="11" t="s">
        <v>9</v>
      </c>
      <c r="C1047" s="11" t="s">
        <v>253</v>
      </c>
      <c r="D1047" s="11" t="s">
        <v>254</v>
      </c>
      <c r="E1047" s="9" t="str">
        <f>+HYPERLINK("http://trademark.i-assist.jp/data/china/image_1903th/79235944.pdf", "79235944")</f>
        <v>79235944</v>
      </c>
      <c r="F1047" s="11" t="s">
        <v>3136</v>
      </c>
      <c r="G1047" s="11" t="s">
        <v>3137</v>
      </c>
      <c r="H1047" s="11" t="s">
        <v>3138</v>
      </c>
      <c r="I1047" s="11" t="s">
        <v>244</v>
      </c>
    </row>
    <row r="1048" spans="1:9" x14ac:dyDescent="0.15">
      <c r="A1048" s="10">
        <v>1047</v>
      </c>
      <c r="B1048" s="11" t="s">
        <v>9</v>
      </c>
      <c r="C1048" s="11" t="s">
        <v>253</v>
      </c>
      <c r="D1048" s="11" t="s">
        <v>254</v>
      </c>
      <c r="E1048" s="9" t="str">
        <f>+HYPERLINK("http://trademark.i-assist.jp/data/china/image_1903th/79236049.pdf", "79236049")</f>
        <v>79236049</v>
      </c>
      <c r="F1048" s="11" t="s">
        <v>3139</v>
      </c>
      <c r="G1048" s="11" t="s">
        <v>3120</v>
      </c>
      <c r="H1048" s="11" t="s">
        <v>3140</v>
      </c>
      <c r="I1048" s="11" t="s">
        <v>244</v>
      </c>
    </row>
    <row r="1049" spans="1:9" x14ac:dyDescent="0.15">
      <c r="A1049" s="10">
        <v>1048</v>
      </c>
      <c r="B1049" s="11" t="s">
        <v>9</v>
      </c>
      <c r="C1049" s="11" t="s">
        <v>253</v>
      </c>
      <c r="D1049" s="11" t="s">
        <v>254</v>
      </c>
      <c r="E1049" s="9" t="str">
        <f>+HYPERLINK("http://trademark.i-assist.jp/data/china/image_1903th/79236133.pdf", "79236133")</f>
        <v>79236133</v>
      </c>
      <c r="F1049" s="11" t="s">
        <v>3141</v>
      </c>
      <c r="G1049" s="11" t="s">
        <v>3142</v>
      </c>
      <c r="H1049" s="11" t="s">
        <v>3143</v>
      </c>
      <c r="I1049" s="11" t="s">
        <v>244</v>
      </c>
    </row>
    <row r="1050" spans="1:9" x14ac:dyDescent="0.15">
      <c r="A1050" s="10">
        <v>1049</v>
      </c>
      <c r="B1050" s="11" t="s">
        <v>9</v>
      </c>
      <c r="C1050" s="11" t="s">
        <v>253</v>
      </c>
      <c r="D1050" s="11" t="s">
        <v>254</v>
      </c>
      <c r="E1050" s="9" t="str">
        <f>+HYPERLINK("http://trademark.i-assist.jp/data/china/image_1903th/79236291.pdf", "79236291")</f>
        <v>79236291</v>
      </c>
      <c r="F1050" s="11" t="s">
        <v>3144</v>
      </c>
      <c r="G1050" s="11" t="s">
        <v>3120</v>
      </c>
      <c r="H1050" s="11" t="s">
        <v>3145</v>
      </c>
      <c r="I1050" s="11" t="s">
        <v>244</v>
      </c>
    </row>
    <row r="1051" spans="1:9" x14ac:dyDescent="0.15">
      <c r="A1051" s="10">
        <v>1050</v>
      </c>
      <c r="B1051" s="11" t="s">
        <v>9</v>
      </c>
      <c r="C1051" s="11" t="s">
        <v>253</v>
      </c>
      <c r="D1051" s="11" t="s">
        <v>254</v>
      </c>
      <c r="E1051" s="9" t="str">
        <f>+HYPERLINK("http://trademark.i-assist.jp/data/china/image_1903th/79236570.pdf", "79236570")</f>
        <v>79236570</v>
      </c>
      <c r="F1051" s="11" t="s">
        <v>3146</v>
      </c>
      <c r="G1051" s="11" t="s">
        <v>3116</v>
      </c>
      <c r="H1051" s="11" t="s">
        <v>3147</v>
      </c>
      <c r="I1051" s="11" t="s">
        <v>244</v>
      </c>
    </row>
    <row r="1052" spans="1:9" x14ac:dyDescent="0.15">
      <c r="A1052" s="10">
        <v>1051</v>
      </c>
      <c r="B1052" s="11" t="s">
        <v>9</v>
      </c>
      <c r="C1052" s="11" t="s">
        <v>253</v>
      </c>
      <c r="D1052" s="11" t="s">
        <v>254</v>
      </c>
      <c r="E1052" s="9" t="str">
        <f>+HYPERLINK("http://trademark.i-assist.jp/data/china/image_1903th/79236923.pdf", "79236923")</f>
        <v>79236923</v>
      </c>
      <c r="F1052" s="11" t="s">
        <v>3148</v>
      </c>
      <c r="G1052" s="11" t="s">
        <v>3149</v>
      </c>
      <c r="H1052" s="11" t="s">
        <v>3150</v>
      </c>
      <c r="I1052" s="11" t="s">
        <v>244</v>
      </c>
    </row>
    <row r="1053" spans="1:9" x14ac:dyDescent="0.15">
      <c r="A1053" s="10">
        <v>1052</v>
      </c>
      <c r="B1053" s="11" t="s">
        <v>9</v>
      </c>
      <c r="C1053" s="11" t="s">
        <v>253</v>
      </c>
      <c r="D1053" s="11" t="s">
        <v>254</v>
      </c>
      <c r="E1053" s="9" t="str">
        <f>+HYPERLINK("http://trademark.i-assist.jp/data/china/image_1903th/79237005.pdf", "79237005")</f>
        <v>79237005</v>
      </c>
      <c r="F1053" s="11" t="s">
        <v>3151</v>
      </c>
      <c r="G1053" s="11" t="s">
        <v>3152</v>
      </c>
      <c r="H1053" s="11" t="s">
        <v>3153</v>
      </c>
      <c r="I1053" s="11" t="s">
        <v>244</v>
      </c>
    </row>
    <row r="1054" spans="1:9" x14ac:dyDescent="0.15">
      <c r="A1054" s="10">
        <v>1053</v>
      </c>
      <c r="B1054" s="11" t="s">
        <v>9</v>
      </c>
      <c r="C1054" s="11" t="s">
        <v>253</v>
      </c>
      <c r="D1054" s="11" t="s">
        <v>254</v>
      </c>
      <c r="E1054" s="9" t="str">
        <f>+HYPERLINK("http://trademark.i-assist.jp/data/china/image_1903th/79237054.pdf", "79237054")</f>
        <v>79237054</v>
      </c>
      <c r="F1054" s="11" t="s">
        <v>3154</v>
      </c>
      <c r="G1054" s="11" t="s">
        <v>3155</v>
      </c>
      <c r="H1054" s="11" t="s">
        <v>3156</v>
      </c>
      <c r="I1054" s="11" t="s">
        <v>244</v>
      </c>
    </row>
    <row r="1055" spans="1:9" x14ac:dyDescent="0.15">
      <c r="A1055" s="10">
        <v>1054</v>
      </c>
      <c r="B1055" s="11" t="s">
        <v>9</v>
      </c>
      <c r="C1055" s="11" t="s">
        <v>253</v>
      </c>
      <c r="D1055" s="11" t="s">
        <v>254</v>
      </c>
      <c r="E1055" s="9" t="str">
        <f>+HYPERLINK("http://trademark.i-assist.jp/data/china/image_1903th/79237056.pdf", "79237056")</f>
        <v>79237056</v>
      </c>
      <c r="F1055" s="11" t="s">
        <v>3157</v>
      </c>
      <c r="G1055" s="11" t="s">
        <v>3158</v>
      </c>
      <c r="H1055" s="11" t="s">
        <v>3159</v>
      </c>
      <c r="I1055" s="11" t="s">
        <v>244</v>
      </c>
    </row>
    <row r="1056" spans="1:9" x14ac:dyDescent="0.15">
      <c r="A1056" s="10">
        <v>1055</v>
      </c>
      <c r="B1056" s="11" t="s">
        <v>9</v>
      </c>
      <c r="C1056" s="11" t="s">
        <v>253</v>
      </c>
      <c r="D1056" s="11" t="s">
        <v>254</v>
      </c>
      <c r="E1056" s="9" t="str">
        <f>+HYPERLINK("http://trademark.i-assist.jp/data/china/image_1903th/79237146.pdf", "79237146")</f>
        <v>79237146</v>
      </c>
      <c r="F1056" s="11" t="s">
        <v>3160</v>
      </c>
      <c r="G1056" s="11" t="s">
        <v>3120</v>
      </c>
      <c r="H1056" s="11" t="s">
        <v>3161</v>
      </c>
      <c r="I1056" s="11" t="s">
        <v>244</v>
      </c>
    </row>
    <row r="1057" spans="1:9" x14ac:dyDescent="0.15">
      <c r="A1057" s="10">
        <v>1056</v>
      </c>
      <c r="B1057" s="11" t="s">
        <v>9</v>
      </c>
      <c r="C1057" s="11" t="s">
        <v>253</v>
      </c>
      <c r="D1057" s="11" t="s">
        <v>254</v>
      </c>
      <c r="E1057" s="9" t="str">
        <f>+HYPERLINK("http://trademark.i-assist.jp/data/china/image_1903th/79237150.pdf", "79237150")</f>
        <v>79237150</v>
      </c>
      <c r="F1057" s="11" t="s">
        <v>3162</v>
      </c>
      <c r="G1057" s="11" t="s">
        <v>3120</v>
      </c>
      <c r="H1057" s="11" t="s">
        <v>3163</v>
      </c>
      <c r="I1057" s="11" t="s">
        <v>244</v>
      </c>
    </row>
    <row r="1058" spans="1:9" x14ac:dyDescent="0.15">
      <c r="A1058" s="10">
        <v>1057</v>
      </c>
      <c r="B1058" s="11" t="s">
        <v>9</v>
      </c>
      <c r="C1058" s="11" t="s">
        <v>253</v>
      </c>
      <c r="D1058" s="11" t="s">
        <v>254</v>
      </c>
      <c r="E1058" s="9" t="str">
        <f>+HYPERLINK("http://trademark.i-assist.jp/data/china/image_1903th/79237367.pdf", "79237367")</f>
        <v>79237367</v>
      </c>
      <c r="F1058" s="11" t="s">
        <v>3164</v>
      </c>
      <c r="G1058" s="11" t="s">
        <v>3165</v>
      </c>
      <c r="H1058" s="11" t="s">
        <v>3166</v>
      </c>
      <c r="I1058" s="11" t="s">
        <v>244</v>
      </c>
    </row>
    <row r="1059" spans="1:9" x14ac:dyDescent="0.15">
      <c r="A1059" s="10">
        <v>1058</v>
      </c>
      <c r="B1059" s="11" t="s">
        <v>9</v>
      </c>
      <c r="C1059" s="11" t="s">
        <v>253</v>
      </c>
      <c r="D1059" s="11" t="s">
        <v>254</v>
      </c>
      <c r="E1059" s="9" t="str">
        <f>+HYPERLINK("http://trademark.i-assist.jp/data/china/image_1903th/79237523.pdf", "79237523")</f>
        <v>79237523</v>
      </c>
      <c r="F1059" s="11" t="s">
        <v>3167</v>
      </c>
      <c r="G1059" s="11" t="s">
        <v>3120</v>
      </c>
      <c r="H1059" s="11" t="s">
        <v>3168</v>
      </c>
      <c r="I1059" s="11" t="s">
        <v>244</v>
      </c>
    </row>
    <row r="1060" spans="1:9" x14ac:dyDescent="0.15">
      <c r="A1060" s="10">
        <v>1059</v>
      </c>
      <c r="B1060" s="11" t="s">
        <v>9</v>
      </c>
      <c r="C1060" s="11" t="s">
        <v>253</v>
      </c>
      <c r="D1060" s="11" t="s">
        <v>254</v>
      </c>
      <c r="E1060" s="9" t="str">
        <f>+HYPERLINK("http://trademark.i-assist.jp/data/china/image_1903th/79237587.pdf", "79237587")</f>
        <v>79237587</v>
      </c>
      <c r="F1060" s="11" t="s">
        <v>3169</v>
      </c>
      <c r="G1060" s="11" t="s">
        <v>902</v>
      </c>
      <c r="H1060" s="11" t="s">
        <v>3170</v>
      </c>
      <c r="I1060" s="11" t="s">
        <v>244</v>
      </c>
    </row>
    <row r="1061" spans="1:9" x14ac:dyDescent="0.15">
      <c r="A1061" s="10">
        <v>1060</v>
      </c>
      <c r="B1061" s="11" t="s">
        <v>9</v>
      </c>
      <c r="C1061" s="11" t="s">
        <v>253</v>
      </c>
      <c r="D1061" s="11" t="s">
        <v>254</v>
      </c>
      <c r="E1061" s="9" t="str">
        <f>+HYPERLINK("http://trademark.i-assist.jp/data/china/image_1903th/79237744.pdf", "79237744")</f>
        <v>79237744</v>
      </c>
      <c r="F1061" s="11" t="s">
        <v>3171</v>
      </c>
      <c r="G1061" s="11" t="s">
        <v>3172</v>
      </c>
      <c r="H1061" s="11" t="s">
        <v>3173</v>
      </c>
      <c r="I1061" s="11" t="s">
        <v>244</v>
      </c>
    </row>
    <row r="1062" spans="1:9" x14ac:dyDescent="0.15">
      <c r="A1062" s="10">
        <v>1061</v>
      </c>
      <c r="B1062" s="11" t="s">
        <v>9</v>
      </c>
      <c r="C1062" s="11" t="s">
        <v>253</v>
      </c>
      <c r="D1062" s="11" t="s">
        <v>254</v>
      </c>
      <c r="E1062" s="9" t="str">
        <f>+HYPERLINK("http://trademark.i-assist.jp/data/china/image_1903th/79237901.pdf", "79237901")</f>
        <v>79237901</v>
      </c>
      <c r="F1062" s="11" t="s">
        <v>3174</v>
      </c>
      <c r="G1062" s="11" t="s">
        <v>3175</v>
      </c>
      <c r="H1062" s="11" t="s">
        <v>3176</v>
      </c>
      <c r="I1062" s="11" t="s">
        <v>244</v>
      </c>
    </row>
    <row r="1063" spans="1:9" x14ac:dyDescent="0.15">
      <c r="A1063" s="10">
        <v>1062</v>
      </c>
      <c r="B1063" s="11" t="s">
        <v>9</v>
      </c>
      <c r="C1063" s="11" t="s">
        <v>253</v>
      </c>
      <c r="D1063" s="11" t="s">
        <v>254</v>
      </c>
      <c r="E1063" s="9" t="str">
        <f>+HYPERLINK("http://trademark.i-assist.jp/data/china/image_1903th/79237933.pdf", "79237933")</f>
        <v>79237933</v>
      </c>
      <c r="F1063" s="11" t="s">
        <v>3177</v>
      </c>
      <c r="G1063" s="11" t="s">
        <v>3178</v>
      </c>
      <c r="H1063" s="11" t="s">
        <v>3179</v>
      </c>
      <c r="I1063" s="11" t="s">
        <v>244</v>
      </c>
    </row>
    <row r="1064" spans="1:9" x14ac:dyDescent="0.15">
      <c r="A1064" s="10">
        <v>1063</v>
      </c>
      <c r="B1064" s="11" t="s">
        <v>9</v>
      </c>
      <c r="C1064" s="11" t="s">
        <v>253</v>
      </c>
      <c r="D1064" s="11" t="s">
        <v>254</v>
      </c>
      <c r="E1064" s="9" t="str">
        <f>+HYPERLINK("http://trademark.i-assist.jp/data/china/image_1903th/79238125.pdf", "79238125")</f>
        <v>79238125</v>
      </c>
      <c r="F1064" s="11" t="s">
        <v>3180</v>
      </c>
      <c r="G1064" s="11" t="s">
        <v>3181</v>
      </c>
      <c r="H1064" s="11" t="s">
        <v>3182</v>
      </c>
      <c r="I1064" s="11" t="s">
        <v>244</v>
      </c>
    </row>
    <row r="1065" spans="1:9" x14ac:dyDescent="0.15">
      <c r="A1065" s="10">
        <v>1064</v>
      </c>
      <c r="B1065" s="11" t="s">
        <v>9</v>
      </c>
      <c r="C1065" s="11" t="s">
        <v>253</v>
      </c>
      <c r="D1065" s="11" t="s">
        <v>254</v>
      </c>
      <c r="E1065" s="9" t="str">
        <f>+HYPERLINK("http://trademark.i-assist.jp/data/china/image_1903th/79238226.pdf", "79238226")</f>
        <v>79238226</v>
      </c>
      <c r="F1065" s="11" t="s">
        <v>3183</v>
      </c>
      <c r="G1065" s="11" t="s">
        <v>1918</v>
      </c>
      <c r="H1065" s="11" t="s">
        <v>3184</v>
      </c>
      <c r="I1065" s="11" t="s">
        <v>244</v>
      </c>
    </row>
    <row r="1066" spans="1:9" x14ac:dyDescent="0.15">
      <c r="A1066" s="10">
        <v>1065</v>
      </c>
      <c r="B1066" s="11" t="s">
        <v>9</v>
      </c>
      <c r="C1066" s="11" t="s">
        <v>253</v>
      </c>
      <c r="D1066" s="11" t="s">
        <v>254</v>
      </c>
      <c r="E1066" s="9" t="str">
        <f>+HYPERLINK("http://trademark.i-assist.jp/data/china/image_1903th/79238825.pdf", "79238825")</f>
        <v>79238825</v>
      </c>
      <c r="F1066" s="11" t="s">
        <v>3185</v>
      </c>
      <c r="G1066" s="11" t="s">
        <v>3186</v>
      </c>
      <c r="H1066" s="11" t="s">
        <v>3187</v>
      </c>
      <c r="I1066" s="11" t="s">
        <v>244</v>
      </c>
    </row>
    <row r="1067" spans="1:9" x14ac:dyDescent="0.15">
      <c r="A1067" s="10">
        <v>1066</v>
      </c>
      <c r="B1067" s="11" t="s">
        <v>9</v>
      </c>
      <c r="C1067" s="11" t="s">
        <v>253</v>
      </c>
      <c r="D1067" s="11" t="s">
        <v>254</v>
      </c>
      <c r="E1067" s="9" t="str">
        <f>+HYPERLINK("http://trademark.i-assist.jp/data/china/image_1903th/79239096.pdf", "79239096")</f>
        <v>79239096</v>
      </c>
      <c r="F1067" s="11" t="s">
        <v>3188</v>
      </c>
      <c r="G1067" s="11" t="s">
        <v>3189</v>
      </c>
      <c r="H1067" s="11" t="s">
        <v>3190</v>
      </c>
      <c r="I1067" s="11" t="s">
        <v>244</v>
      </c>
    </row>
    <row r="1068" spans="1:9" x14ac:dyDescent="0.15">
      <c r="A1068" s="10">
        <v>1067</v>
      </c>
      <c r="B1068" s="11" t="s">
        <v>9</v>
      </c>
      <c r="C1068" s="11" t="s">
        <v>253</v>
      </c>
      <c r="D1068" s="11" t="s">
        <v>254</v>
      </c>
      <c r="E1068" s="9" t="str">
        <f>+HYPERLINK("http://trademark.i-assist.jp/data/china/image_1903th/79239429.pdf", "79239429")</f>
        <v>79239429</v>
      </c>
      <c r="F1068" s="11" t="s">
        <v>3191</v>
      </c>
      <c r="G1068" s="11" t="s">
        <v>3192</v>
      </c>
      <c r="H1068" s="11" t="s">
        <v>3193</v>
      </c>
      <c r="I1068" s="11" t="s">
        <v>244</v>
      </c>
    </row>
    <row r="1069" spans="1:9" x14ac:dyDescent="0.15">
      <c r="A1069" s="10">
        <v>1068</v>
      </c>
      <c r="B1069" s="11" t="s">
        <v>9</v>
      </c>
      <c r="C1069" s="11" t="s">
        <v>253</v>
      </c>
      <c r="D1069" s="11" t="s">
        <v>254</v>
      </c>
      <c r="E1069" s="9" t="str">
        <f>+HYPERLINK("http://trademark.i-assist.jp/data/china/image_1903th/79240051.pdf", "79240051")</f>
        <v>79240051</v>
      </c>
      <c r="F1069" s="11" t="s">
        <v>3194</v>
      </c>
      <c r="G1069" s="11" t="s">
        <v>3195</v>
      </c>
      <c r="H1069" s="11" t="s">
        <v>3196</v>
      </c>
      <c r="I1069" s="11" t="s">
        <v>246</v>
      </c>
    </row>
    <row r="1070" spans="1:9" x14ac:dyDescent="0.15">
      <c r="A1070" s="10">
        <v>1069</v>
      </c>
      <c r="B1070" s="11" t="s">
        <v>9</v>
      </c>
      <c r="C1070" s="11" t="s">
        <v>253</v>
      </c>
      <c r="D1070" s="11" t="s">
        <v>254</v>
      </c>
      <c r="E1070" s="9" t="str">
        <f>+HYPERLINK("http://trademark.i-assist.jp/data/china/image_1903th/79240567.pdf", "79240567")</f>
        <v>79240567</v>
      </c>
      <c r="F1070" s="11" t="s">
        <v>3197</v>
      </c>
      <c r="G1070" s="11" t="s">
        <v>3195</v>
      </c>
      <c r="H1070" s="11" t="s">
        <v>3198</v>
      </c>
      <c r="I1070" s="11" t="s">
        <v>246</v>
      </c>
    </row>
    <row r="1071" spans="1:9" x14ac:dyDescent="0.15">
      <c r="A1071" s="10">
        <v>1070</v>
      </c>
      <c r="B1071" s="11" t="s">
        <v>9</v>
      </c>
      <c r="C1071" s="11" t="s">
        <v>253</v>
      </c>
      <c r="D1071" s="11" t="s">
        <v>254</v>
      </c>
      <c r="E1071" s="9" t="str">
        <f>+HYPERLINK("http://trademark.i-assist.jp/data/china/image_1903th/79241450.pdf", "79241450")</f>
        <v>79241450</v>
      </c>
      <c r="F1071" s="11" t="s">
        <v>3199</v>
      </c>
      <c r="G1071" s="11" t="s">
        <v>3200</v>
      </c>
      <c r="H1071" s="11" t="s">
        <v>3201</v>
      </c>
      <c r="I1071" s="11" t="s">
        <v>246</v>
      </c>
    </row>
    <row r="1072" spans="1:9" x14ac:dyDescent="0.15">
      <c r="A1072" s="10">
        <v>1071</v>
      </c>
      <c r="B1072" s="11" t="s">
        <v>9</v>
      </c>
      <c r="C1072" s="11" t="s">
        <v>253</v>
      </c>
      <c r="D1072" s="11" t="s">
        <v>254</v>
      </c>
      <c r="E1072" s="9" t="str">
        <f>+HYPERLINK("http://trademark.i-assist.jp/data/china/image_1903th/79242213.pdf", "79242213")</f>
        <v>79242213</v>
      </c>
      <c r="F1072" s="11" t="s">
        <v>12</v>
      </c>
      <c r="G1072" s="11" t="s">
        <v>3202</v>
      </c>
      <c r="H1072" s="11" t="s">
        <v>3203</v>
      </c>
      <c r="I1072" s="11" t="s">
        <v>246</v>
      </c>
    </row>
    <row r="1073" spans="1:9" x14ac:dyDescent="0.15">
      <c r="A1073" s="10">
        <v>1072</v>
      </c>
      <c r="B1073" s="11" t="s">
        <v>9</v>
      </c>
      <c r="C1073" s="11" t="s">
        <v>253</v>
      </c>
      <c r="D1073" s="11" t="s">
        <v>254</v>
      </c>
      <c r="E1073" s="9" t="str">
        <f>+HYPERLINK("http://trademark.i-assist.jp/data/china/image_1903th/79242258.pdf", "79242258")</f>
        <v>79242258</v>
      </c>
      <c r="F1073" s="11" t="s">
        <v>3204</v>
      </c>
      <c r="G1073" s="11" t="s">
        <v>119</v>
      </c>
      <c r="H1073" s="11" t="s">
        <v>3205</v>
      </c>
      <c r="I1073" s="11" t="s">
        <v>246</v>
      </c>
    </row>
    <row r="1074" spans="1:9" x14ac:dyDescent="0.15">
      <c r="A1074" s="10">
        <v>1073</v>
      </c>
      <c r="B1074" s="11" t="s">
        <v>9</v>
      </c>
      <c r="C1074" s="11" t="s">
        <v>253</v>
      </c>
      <c r="D1074" s="11" t="s">
        <v>254</v>
      </c>
      <c r="E1074" s="9" t="str">
        <f>+HYPERLINK("http://trademark.i-assist.jp/data/china/image_1903th/79242259.pdf", "79242259")</f>
        <v>79242259</v>
      </c>
      <c r="F1074" s="11" t="s">
        <v>3206</v>
      </c>
      <c r="G1074" s="11" t="s">
        <v>119</v>
      </c>
      <c r="H1074" s="11" t="s">
        <v>3207</v>
      </c>
      <c r="I1074" s="11" t="s">
        <v>246</v>
      </c>
    </row>
    <row r="1075" spans="1:9" x14ac:dyDescent="0.15">
      <c r="A1075" s="10">
        <v>1074</v>
      </c>
      <c r="B1075" s="11" t="s">
        <v>9</v>
      </c>
      <c r="C1075" s="11" t="s">
        <v>253</v>
      </c>
      <c r="D1075" s="11" t="s">
        <v>254</v>
      </c>
      <c r="E1075" s="9" t="str">
        <f>+HYPERLINK("http://trademark.i-assist.jp/data/china/image_1903th/79242279.pdf", "79242279")</f>
        <v>79242279</v>
      </c>
      <c r="F1075" s="11" t="s">
        <v>3208</v>
      </c>
      <c r="G1075" s="11" t="s">
        <v>3209</v>
      </c>
      <c r="H1075" s="11" t="s">
        <v>3210</v>
      </c>
      <c r="I1075" s="11" t="s">
        <v>246</v>
      </c>
    </row>
    <row r="1076" spans="1:9" x14ac:dyDescent="0.15">
      <c r="A1076" s="10">
        <v>1075</v>
      </c>
      <c r="B1076" s="11" t="s">
        <v>9</v>
      </c>
      <c r="C1076" s="11" t="s">
        <v>253</v>
      </c>
      <c r="D1076" s="11" t="s">
        <v>254</v>
      </c>
      <c r="E1076" s="9" t="str">
        <f>+HYPERLINK("http://trademark.i-assist.jp/data/china/image_1903th/79242617.pdf", "79242617")</f>
        <v>79242617</v>
      </c>
      <c r="F1076" s="11" t="s">
        <v>3211</v>
      </c>
      <c r="G1076" s="11" t="s">
        <v>3212</v>
      </c>
      <c r="H1076" s="11" t="s">
        <v>3213</v>
      </c>
      <c r="I1076" s="11" t="s">
        <v>246</v>
      </c>
    </row>
    <row r="1077" spans="1:9" x14ac:dyDescent="0.15">
      <c r="A1077" s="10">
        <v>1076</v>
      </c>
      <c r="B1077" s="11" t="s">
        <v>9</v>
      </c>
      <c r="C1077" s="11" t="s">
        <v>253</v>
      </c>
      <c r="D1077" s="11" t="s">
        <v>254</v>
      </c>
      <c r="E1077" s="9" t="str">
        <f>+HYPERLINK("http://trademark.i-assist.jp/data/china/image_1903th/79242719.pdf", "79242719")</f>
        <v>79242719</v>
      </c>
      <c r="F1077" s="11" t="s">
        <v>3214</v>
      </c>
      <c r="G1077" s="11" t="s">
        <v>3215</v>
      </c>
      <c r="H1077" s="11" t="s">
        <v>3216</v>
      </c>
      <c r="I1077" s="11" t="s">
        <v>246</v>
      </c>
    </row>
    <row r="1078" spans="1:9" x14ac:dyDescent="0.15">
      <c r="A1078" s="10">
        <v>1077</v>
      </c>
      <c r="B1078" s="11" t="s">
        <v>9</v>
      </c>
      <c r="C1078" s="11" t="s">
        <v>253</v>
      </c>
      <c r="D1078" s="11" t="s">
        <v>254</v>
      </c>
      <c r="E1078" s="9" t="str">
        <f>+HYPERLINK("http://trademark.i-assist.jp/data/china/image_1903th/79242931.pdf", "79242931")</f>
        <v>79242931</v>
      </c>
      <c r="F1078" s="11" t="s">
        <v>3217</v>
      </c>
      <c r="G1078" s="11" t="s">
        <v>3218</v>
      </c>
      <c r="H1078" s="11" t="s">
        <v>20</v>
      </c>
      <c r="I1078" s="11" t="s">
        <v>247</v>
      </c>
    </row>
    <row r="1079" spans="1:9" x14ac:dyDescent="0.15">
      <c r="A1079" s="10">
        <v>1078</v>
      </c>
      <c r="B1079" s="11" t="s">
        <v>9</v>
      </c>
      <c r="C1079" s="11" t="s">
        <v>253</v>
      </c>
      <c r="D1079" s="11" t="s">
        <v>254</v>
      </c>
      <c r="E1079" s="9" t="str">
        <f>+HYPERLINK("http://trademark.i-assist.jp/data/china/image_1903th/79243272.pdf", "79243272")</f>
        <v>79243272</v>
      </c>
      <c r="F1079" s="11" t="s">
        <v>3219</v>
      </c>
      <c r="G1079" s="11" t="s">
        <v>3220</v>
      </c>
      <c r="H1079" s="11" t="s">
        <v>3221</v>
      </c>
      <c r="I1079" s="11" t="s">
        <v>247</v>
      </c>
    </row>
    <row r="1080" spans="1:9" x14ac:dyDescent="0.15">
      <c r="A1080" s="10">
        <v>1079</v>
      </c>
      <c r="B1080" s="11" t="s">
        <v>9</v>
      </c>
      <c r="C1080" s="11" t="s">
        <v>253</v>
      </c>
      <c r="D1080" s="11" t="s">
        <v>254</v>
      </c>
      <c r="E1080" s="9" t="str">
        <f>+HYPERLINK("http://trademark.i-assist.jp/data/china/image_1903th/79244552.pdf", "79244552")</f>
        <v>79244552</v>
      </c>
      <c r="F1080" s="11" t="s">
        <v>3222</v>
      </c>
      <c r="G1080" s="11" t="s">
        <v>3223</v>
      </c>
      <c r="H1080" s="11" t="s">
        <v>3224</v>
      </c>
      <c r="I1080" s="11" t="s">
        <v>247</v>
      </c>
    </row>
    <row r="1081" spans="1:9" x14ac:dyDescent="0.15">
      <c r="A1081" s="10">
        <v>1080</v>
      </c>
      <c r="B1081" s="11" t="s">
        <v>9</v>
      </c>
      <c r="C1081" s="11" t="s">
        <v>253</v>
      </c>
      <c r="D1081" s="11" t="s">
        <v>254</v>
      </c>
      <c r="E1081" s="9" t="str">
        <f>+HYPERLINK("http://trademark.i-assist.jp/data/china/image_1903th/79244591.pdf", "79244591")</f>
        <v>79244591</v>
      </c>
      <c r="F1081" s="11" t="s">
        <v>3225</v>
      </c>
      <c r="G1081" s="11" t="s">
        <v>3226</v>
      </c>
      <c r="H1081" s="11" t="s">
        <v>3227</v>
      </c>
      <c r="I1081" s="11" t="s">
        <v>247</v>
      </c>
    </row>
    <row r="1082" spans="1:9" x14ac:dyDescent="0.15">
      <c r="A1082" s="10">
        <v>1081</v>
      </c>
      <c r="B1082" s="11" t="s">
        <v>9</v>
      </c>
      <c r="C1082" s="11" t="s">
        <v>253</v>
      </c>
      <c r="D1082" s="11" t="s">
        <v>254</v>
      </c>
      <c r="E1082" s="9" t="str">
        <f>+HYPERLINK("http://trademark.i-assist.jp/data/china/image_1903th/79244762.pdf", "79244762")</f>
        <v>79244762</v>
      </c>
      <c r="F1082" s="11" t="s">
        <v>3228</v>
      </c>
      <c r="G1082" s="11" t="s">
        <v>3229</v>
      </c>
      <c r="H1082" s="11" t="s">
        <v>3230</v>
      </c>
      <c r="I1082" s="11" t="s">
        <v>247</v>
      </c>
    </row>
    <row r="1083" spans="1:9" x14ac:dyDescent="0.15">
      <c r="A1083" s="10">
        <v>1082</v>
      </c>
      <c r="B1083" s="11" t="s">
        <v>9</v>
      </c>
      <c r="C1083" s="11" t="s">
        <v>253</v>
      </c>
      <c r="D1083" s="11" t="s">
        <v>254</v>
      </c>
      <c r="E1083" s="9" t="str">
        <f>+HYPERLINK("http://trademark.i-assist.jp/data/china/image_1903th/79244912.pdf", "79244912")</f>
        <v>79244912</v>
      </c>
      <c r="F1083" s="11" t="s">
        <v>3231</v>
      </c>
      <c r="G1083" s="11" t="s">
        <v>3232</v>
      </c>
      <c r="H1083" s="11" t="s">
        <v>3233</v>
      </c>
      <c r="I1083" s="11" t="s">
        <v>247</v>
      </c>
    </row>
    <row r="1084" spans="1:9" x14ac:dyDescent="0.15">
      <c r="A1084" s="10">
        <v>1083</v>
      </c>
      <c r="B1084" s="11" t="s">
        <v>9</v>
      </c>
      <c r="C1084" s="11" t="s">
        <v>253</v>
      </c>
      <c r="D1084" s="11" t="s">
        <v>254</v>
      </c>
      <c r="E1084" s="9" t="str">
        <f>+HYPERLINK("http://trademark.i-assist.jp/data/china/image_1903th/79245591.pdf", "79245591")</f>
        <v>79245591</v>
      </c>
      <c r="F1084" s="11" t="s">
        <v>3234</v>
      </c>
      <c r="G1084" s="11" t="s">
        <v>3235</v>
      </c>
      <c r="H1084" s="11" t="s">
        <v>3236</v>
      </c>
      <c r="I1084" s="11" t="s">
        <v>247</v>
      </c>
    </row>
    <row r="1085" spans="1:9" x14ac:dyDescent="0.15">
      <c r="A1085" s="10">
        <v>1084</v>
      </c>
      <c r="B1085" s="11" t="s">
        <v>9</v>
      </c>
      <c r="C1085" s="11" t="s">
        <v>253</v>
      </c>
      <c r="D1085" s="11" t="s">
        <v>254</v>
      </c>
      <c r="E1085" s="9" t="str">
        <f>+HYPERLINK("http://trademark.i-assist.jp/data/china/image_1903th/79245670.pdf", "79245670")</f>
        <v>79245670</v>
      </c>
      <c r="F1085" s="11" t="s">
        <v>3237</v>
      </c>
      <c r="G1085" s="11" t="s">
        <v>3238</v>
      </c>
      <c r="H1085" s="11" t="s">
        <v>3239</v>
      </c>
      <c r="I1085" s="11" t="s">
        <v>247</v>
      </c>
    </row>
    <row r="1086" spans="1:9" x14ac:dyDescent="0.15">
      <c r="A1086" s="10">
        <v>1085</v>
      </c>
      <c r="B1086" s="11" t="s">
        <v>9</v>
      </c>
      <c r="C1086" s="11" t="s">
        <v>253</v>
      </c>
      <c r="D1086" s="11" t="s">
        <v>254</v>
      </c>
      <c r="E1086" s="9" t="str">
        <f>+HYPERLINK("http://trademark.i-assist.jp/data/china/image_1903th/79246517.pdf", "79246517")</f>
        <v>79246517</v>
      </c>
      <c r="F1086" s="11" t="s">
        <v>3240</v>
      </c>
      <c r="G1086" s="11" t="s">
        <v>3241</v>
      </c>
      <c r="H1086" s="11" t="s">
        <v>3242</v>
      </c>
      <c r="I1086" s="11" t="s">
        <v>247</v>
      </c>
    </row>
    <row r="1087" spans="1:9" x14ac:dyDescent="0.15">
      <c r="A1087" s="10">
        <v>1086</v>
      </c>
      <c r="B1087" s="11" t="s">
        <v>9</v>
      </c>
      <c r="C1087" s="11" t="s">
        <v>253</v>
      </c>
      <c r="D1087" s="11" t="s">
        <v>254</v>
      </c>
      <c r="E1087" s="9" t="str">
        <f>+HYPERLINK("http://trademark.i-assist.jp/data/china/image_1903th/79246789.pdf", "79246789")</f>
        <v>79246789</v>
      </c>
      <c r="F1087" s="11" t="s">
        <v>3243</v>
      </c>
      <c r="G1087" s="11" t="s">
        <v>3244</v>
      </c>
      <c r="H1087" s="11" t="s">
        <v>3245</v>
      </c>
      <c r="I1087" s="11" t="s">
        <v>247</v>
      </c>
    </row>
    <row r="1088" spans="1:9" x14ac:dyDescent="0.15">
      <c r="A1088" s="10">
        <v>1087</v>
      </c>
      <c r="B1088" s="11" t="s">
        <v>9</v>
      </c>
      <c r="C1088" s="11" t="s">
        <v>253</v>
      </c>
      <c r="D1088" s="11" t="s">
        <v>254</v>
      </c>
      <c r="E1088" s="9" t="str">
        <f>+HYPERLINK("http://trademark.i-assist.jp/data/china/image_1903th/79247241.pdf", "79247241")</f>
        <v>79247241</v>
      </c>
      <c r="F1088" s="11" t="s">
        <v>3246</v>
      </c>
      <c r="G1088" s="11" t="s">
        <v>3247</v>
      </c>
      <c r="H1088" s="11" t="s">
        <v>3248</v>
      </c>
      <c r="I1088" s="11" t="s">
        <v>247</v>
      </c>
    </row>
    <row r="1089" spans="1:9" x14ac:dyDescent="0.15">
      <c r="A1089" s="10">
        <v>1088</v>
      </c>
      <c r="B1089" s="11" t="s">
        <v>9</v>
      </c>
      <c r="C1089" s="11" t="s">
        <v>253</v>
      </c>
      <c r="D1089" s="11" t="s">
        <v>254</v>
      </c>
      <c r="E1089" s="9" t="str">
        <f>+HYPERLINK("http://trademark.i-assist.jp/data/china/image_1903th/79247771.pdf", "79247771")</f>
        <v>79247771</v>
      </c>
      <c r="F1089" s="11" t="s">
        <v>3249</v>
      </c>
      <c r="G1089" s="11" t="s">
        <v>3250</v>
      </c>
      <c r="H1089" s="11" t="s">
        <v>3251</v>
      </c>
      <c r="I1089" s="11" t="s">
        <v>247</v>
      </c>
    </row>
    <row r="1090" spans="1:9" x14ac:dyDescent="0.15">
      <c r="A1090" s="10">
        <v>1089</v>
      </c>
      <c r="B1090" s="11" t="s">
        <v>9</v>
      </c>
      <c r="C1090" s="11" t="s">
        <v>253</v>
      </c>
      <c r="D1090" s="11" t="s">
        <v>254</v>
      </c>
      <c r="E1090" s="9" t="str">
        <f>+HYPERLINK("http://trademark.i-assist.jp/data/china/image_1903th/79247818.pdf", "79247818")</f>
        <v>79247818</v>
      </c>
      <c r="F1090" s="11" t="s">
        <v>3252</v>
      </c>
      <c r="G1090" s="11" t="s">
        <v>3253</v>
      </c>
      <c r="H1090" s="11" t="s">
        <v>3254</v>
      </c>
      <c r="I1090" s="11" t="s">
        <v>247</v>
      </c>
    </row>
    <row r="1091" spans="1:9" x14ac:dyDescent="0.15">
      <c r="A1091" s="10">
        <v>1090</v>
      </c>
      <c r="B1091" s="11" t="s">
        <v>9</v>
      </c>
      <c r="C1091" s="11" t="s">
        <v>253</v>
      </c>
      <c r="D1091" s="11" t="s">
        <v>254</v>
      </c>
      <c r="E1091" s="9" t="str">
        <f>+HYPERLINK("http://trademark.i-assist.jp/data/china/image_1903th/79248772.pdf", "79248772")</f>
        <v>79248772</v>
      </c>
      <c r="F1091" s="11" t="s">
        <v>3255</v>
      </c>
      <c r="G1091" s="11" t="s">
        <v>3256</v>
      </c>
      <c r="H1091" s="11" t="s">
        <v>3257</v>
      </c>
      <c r="I1091" s="11" t="s">
        <v>247</v>
      </c>
    </row>
    <row r="1092" spans="1:9" x14ac:dyDescent="0.15">
      <c r="A1092" s="10">
        <v>1091</v>
      </c>
      <c r="B1092" s="11" t="s">
        <v>9</v>
      </c>
      <c r="C1092" s="11" t="s">
        <v>253</v>
      </c>
      <c r="D1092" s="11" t="s">
        <v>254</v>
      </c>
      <c r="E1092" s="9" t="str">
        <f>+HYPERLINK("http://trademark.i-assist.jp/data/china/image_1903th/79248854.pdf", "79248854")</f>
        <v>79248854</v>
      </c>
      <c r="F1092" s="11" t="s">
        <v>3258</v>
      </c>
      <c r="G1092" s="11" t="s">
        <v>3259</v>
      </c>
      <c r="H1092" s="11" t="s">
        <v>3260</v>
      </c>
      <c r="I1092" s="11" t="s">
        <v>247</v>
      </c>
    </row>
    <row r="1093" spans="1:9" x14ac:dyDescent="0.15">
      <c r="A1093" s="10">
        <v>1092</v>
      </c>
      <c r="B1093" s="11" t="s">
        <v>9</v>
      </c>
      <c r="C1093" s="11" t="s">
        <v>253</v>
      </c>
      <c r="D1093" s="11" t="s">
        <v>254</v>
      </c>
      <c r="E1093" s="9" t="str">
        <f>+HYPERLINK("http://trademark.i-assist.jp/data/china/image_1903th/79248868.pdf", "79248868")</f>
        <v>79248868</v>
      </c>
      <c r="F1093" s="11" t="s">
        <v>3261</v>
      </c>
      <c r="G1093" s="11" t="s">
        <v>3262</v>
      </c>
      <c r="H1093" s="11" t="s">
        <v>3263</v>
      </c>
      <c r="I1093" s="11" t="s">
        <v>247</v>
      </c>
    </row>
    <row r="1094" spans="1:9" x14ac:dyDescent="0.15">
      <c r="A1094" s="10">
        <v>1093</v>
      </c>
      <c r="B1094" s="11" t="s">
        <v>9</v>
      </c>
      <c r="C1094" s="11" t="s">
        <v>253</v>
      </c>
      <c r="D1094" s="11" t="s">
        <v>254</v>
      </c>
      <c r="E1094" s="9" t="str">
        <f>+HYPERLINK("http://trademark.i-assist.jp/data/china/image_1903th/79249119.pdf", "79249119")</f>
        <v>79249119</v>
      </c>
      <c r="F1094" s="11" t="s">
        <v>3264</v>
      </c>
      <c r="G1094" s="11" t="s">
        <v>3265</v>
      </c>
      <c r="H1094" s="11" t="s">
        <v>3266</v>
      </c>
      <c r="I1094" s="11" t="s">
        <v>247</v>
      </c>
    </row>
    <row r="1095" spans="1:9" x14ac:dyDescent="0.15">
      <c r="A1095" s="10">
        <v>1094</v>
      </c>
      <c r="B1095" s="11" t="s">
        <v>9</v>
      </c>
      <c r="C1095" s="11" t="s">
        <v>253</v>
      </c>
      <c r="D1095" s="11" t="s">
        <v>254</v>
      </c>
      <c r="E1095" s="9" t="str">
        <f>+HYPERLINK("http://trademark.i-assist.jp/data/china/image_1903th/79249315.pdf", "79249315")</f>
        <v>79249315</v>
      </c>
      <c r="F1095" s="11" t="s">
        <v>3267</v>
      </c>
      <c r="G1095" s="11" t="s">
        <v>3268</v>
      </c>
      <c r="H1095" s="11" t="s">
        <v>3269</v>
      </c>
      <c r="I1095" s="11" t="s">
        <v>247</v>
      </c>
    </row>
    <row r="1096" spans="1:9" x14ac:dyDescent="0.15">
      <c r="A1096" s="10">
        <v>1095</v>
      </c>
      <c r="B1096" s="11" t="s">
        <v>9</v>
      </c>
      <c r="C1096" s="11" t="s">
        <v>253</v>
      </c>
      <c r="D1096" s="11" t="s">
        <v>254</v>
      </c>
      <c r="E1096" s="9" t="str">
        <f>+HYPERLINK("http://trademark.i-assist.jp/data/china/image_1903th/79249501.pdf", "79249501")</f>
        <v>79249501</v>
      </c>
      <c r="F1096" s="11" t="s">
        <v>3270</v>
      </c>
      <c r="G1096" s="11" t="s">
        <v>3271</v>
      </c>
      <c r="H1096" s="11" t="s">
        <v>3272</v>
      </c>
      <c r="I1096" s="11" t="s">
        <v>247</v>
      </c>
    </row>
    <row r="1097" spans="1:9" x14ac:dyDescent="0.15">
      <c r="A1097" s="10">
        <v>1096</v>
      </c>
      <c r="B1097" s="11" t="s">
        <v>9</v>
      </c>
      <c r="C1097" s="11" t="s">
        <v>253</v>
      </c>
      <c r="D1097" s="11" t="s">
        <v>254</v>
      </c>
      <c r="E1097" s="9" t="str">
        <f>+HYPERLINK("http://trademark.i-assist.jp/data/china/image_1903th/79250349.pdf", "79250349")</f>
        <v>79250349</v>
      </c>
      <c r="F1097" s="11" t="s">
        <v>12</v>
      </c>
      <c r="G1097" s="11" t="s">
        <v>3273</v>
      </c>
      <c r="H1097" s="11" t="s">
        <v>3274</v>
      </c>
      <c r="I1097" s="11" t="s">
        <v>247</v>
      </c>
    </row>
    <row r="1098" spans="1:9" x14ac:dyDescent="0.15">
      <c r="A1098" s="10">
        <v>1097</v>
      </c>
      <c r="B1098" s="11" t="s">
        <v>9</v>
      </c>
      <c r="C1098" s="11" t="s">
        <v>253</v>
      </c>
      <c r="D1098" s="11" t="s">
        <v>254</v>
      </c>
      <c r="E1098" s="9" t="str">
        <f>+HYPERLINK("http://trademark.i-assist.jp/data/china/image_1903th/79251153.pdf", "79251153")</f>
        <v>79251153</v>
      </c>
      <c r="F1098" s="11" t="s">
        <v>3275</v>
      </c>
      <c r="G1098" s="11" t="s">
        <v>1380</v>
      </c>
      <c r="H1098" s="11" t="s">
        <v>3276</v>
      </c>
      <c r="I1098" s="11" t="s">
        <v>247</v>
      </c>
    </row>
    <row r="1099" spans="1:9" x14ac:dyDescent="0.15">
      <c r="A1099" s="10">
        <v>1098</v>
      </c>
      <c r="B1099" s="11" t="s">
        <v>9</v>
      </c>
      <c r="C1099" s="11" t="s">
        <v>253</v>
      </c>
      <c r="D1099" s="11" t="s">
        <v>254</v>
      </c>
      <c r="E1099" s="9" t="str">
        <f>+HYPERLINK("http://trademark.i-assist.jp/data/china/image_1903th/79251780.pdf", "79251780")</f>
        <v>79251780</v>
      </c>
      <c r="F1099" s="11" t="s">
        <v>3277</v>
      </c>
      <c r="G1099" s="11" t="s">
        <v>3278</v>
      </c>
      <c r="H1099" s="11" t="s">
        <v>3279</v>
      </c>
      <c r="I1099" s="11" t="s">
        <v>247</v>
      </c>
    </row>
    <row r="1100" spans="1:9" x14ac:dyDescent="0.15">
      <c r="A1100" s="10">
        <v>1099</v>
      </c>
      <c r="B1100" s="11" t="s">
        <v>9</v>
      </c>
      <c r="C1100" s="11" t="s">
        <v>253</v>
      </c>
      <c r="D1100" s="11" t="s">
        <v>254</v>
      </c>
      <c r="E1100" s="9" t="str">
        <f>+HYPERLINK("http://trademark.i-assist.jp/data/china/image_1903th/79251822.pdf", "79251822")</f>
        <v>79251822</v>
      </c>
      <c r="F1100" s="11" t="s">
        <v>3280</v>
      </c>
      <c r="G1100" s="11" t="s">
        <v>3281</v>
      </c>
      <c r="H1100" s="11" t="s">
        <v>3282</v>
      </c>
      <c r="I1100" s="11" t="s">
        <v>247</v>
      </c>
    </row>
    <row r="1101" spans="1:9" x14ac:dyDescent="0.15">
      <c r="A1101" s="10">
        <v>1100</v>
      </c>
      <c r="B1101" s="11" t="s">
        <v>9</v>
      </c>
      <c r="C1101" s="11" t="s">
        <v>253</v>
      </c>
      <c r="D1101" s="11" t="s">
        <v>254</v>
      </c>
      <c r="E1101" s="9" t="str">
        <f>+HYPERLINK("http://trademark.i-assist.jp/data/china/image_1903th/79251926.pdf", "79251926")</f>
        <v>79251926</v>
      </c>
      <c r="F1101" s="11" t="s">
        <v>3283</v>
      </c>
      <c r="G1101" s="11" t="s">
        <v>3284</v>
      </c>
      <c r="H1101" s="11" t="s">
        <v>3285</v>
      </c>
      <c r="I1101" s="11" t="s">
        <v>247</v>
      </c>
    </row>
    <row r="1102" spans="1:9" x14ac:dyDescent="0.15">
      <c r="A1102" s="10">
        <v>1101</v>
      </c>
      <c r="B1102" s="11" t="s">
        <v>9</v>
      </c>
      <c r="C1102" s="11" t="s">
        <v>253</v>
      </c>
      <c r="D1102" s="11" t="s">
        <v>254</v>
      </c>
      <c r="E1102" s="9" t="str">
        <f>+HYPERLINK("http://trademark.i-assist.jp/data/china/image_1903th/79251930.pdf", "79251930")</f>
        <v>79251930</v>
      </c>
      <c r="F1102" s="11" t="s">
        <v>3286</v>
      </c>
      <c r="G1102" s="11" t="s">
        <v>3287</v>
      </c>
      <c r="H1102" s="11" t="s">
        <v>3288</v>
      </c>
      <c r="I1102" s="11" t="s">
        <v>247</v>
      </c>
    </row>
    <row r="1103" spans="1:9" x14ac:dyDescent="0.15">
      <c r="A1103" s="10">
        <v>1102</v>
      </c>
      <c r="B1103" s="11" t="s">
        <v>9</v>
      </c>
      <c r="C1103" s="11" t="s">
        <v>253</v>
      </c>
      <c r="D1103" s="11" t="s">
        <v>254</v>
      </c>
      <c r="E1103" s="9" t="str">
        <f>+HYPERLINK("http://trademark.i-assist.jp/data/china/image_1903th/79252416.pdf", "79252416")</f>
        <v>79252416</v>
      </c>
      <c r="F1103" s="11" t="s">
        <v>3289</v>
      </c>
      <c r="G1103" s="11" t="s">
        <v>3290</v>
      </c>
      <c r="H1103" s="11" t="s">
        <v>3291</v>
      </c>
      <c r="I1103" s="11" t="s">
        <v>247</v>
      </c>
    </row>
    <row r="1104" spans="1:9" x14ac:dyDescent="0.15">
      <c r="A1104" s="10">
        <v>1103</v>
      </c>
      <c r="B1104" s="11" t="s">
        <v>9</v>
      </c>
      <c r="C1104" s="11" t="s">
        <v>253</v>
      </c>
      <c r="D1104" s="11" t="s">
        <v>254</v>
      </c>
      <c r="E1104" s="9" t="str">
        <f>+HYPERLINK("http://trademark.i-assist.jp/data/china/image_1903th/79252546.pdf", "79252546")</f>
        <v>79252546</v>
      </c>
      <c r="F1104" s="11" t="s">
        <v>12</v>
      </c>
      <c r="G1104" s="11" t="s">
        <v>3292</v>
      </c>
      <c r="H1104" s="11" t="s">
        <v>3293</v>
      </c>
      <c r="I1104" s="11" t="s">
        <v>247</v>
      </c>
    </row>
    <row r="1105" spans="1:9" x14ac:dyDescent="0.15">
      <c r="A1105" s="10">
        <v>1104</v>
      </c>
      <c r="B1105" s="11" t="s">
        <v>9</v>
      </c>
      <c r="C1105" s="11" t="s">
        <v>253</v>
      </c>
      <c r="D1105" s="11" t="s">
        <v>254</v>
      </c>
      <c r="E1105" s="9" t="str">
        <f>+HYPERLINK("http://trademark.i-assist.jp/data/china/image_1903th/79252582.pdf", "79252582")</f>
        <v>79252582</v>
      </c>
      <c r="F1105" s="11" t="s">
        <v>3294</v>
      </c>
      <c r="G1105" s="11" t="s">
        <v>3295</v>
      </c>
      <c r="H1105" s="11" t="s">
        <v>3296</v>
      </c>
      <c r="I1105" s="11" t="s">
        <v>247</v>
      </c>
    </row>
    <row r="1106" spans="1:9" x14ac:dyDescent="0.15">
      <c r="A1106" s="10">
        <v>1105</v>
      </c>
      <c r="B1106" s="11" t="s">
        <v>9</v>
      </c>
      <c r="C1106" s="11" t="s">
        <v>253</v>
      </c>
      <c r="D1106" s="11" t="s">
        <v>254</v>
      </c>
      <c r="E1106" s="9" t="str">
        <f>+HYPERLINK("http://trademark.i-assist.jp/data/china/image_1903th/79253164.pdf", "79253164")</f>
        <v>79253164</v>
      </c>
      <c r="F1106" s="11" t="s">
        <v>3297</v>
      </c>
      <c r="G1106" s="11" t="s">
        <v>3298</v>
      </c>
      <c r="H1106" s="11" t="s">
        <v>3299</v>
      </c>
      <c r="I1106" s="11" t="s">
        <v>247</v>
      </c>
    </row>
    <row r="1107" spans="1:9" x14ac:dyDescent="0.15">
      <c r="A1107" s="10">
        <v>1106</v>
      </c>
      <c r="B1107" s="11" t="s">
        <v>9</v>
      </c>
      <c r="C1107" s="11" t="s">
        <v>253</v>
      </c>
      <c r="D1107" s="11" t="s">
        <v>254</v>
      </c>
      <c r="E1107" s="9" t="str">
        <f>+HYPERLINK("http://trademark.i-assist.jp/data/china/image_1903th/79253464.pdf", "79253464")</f>
        <v>79253464</v>
      </c>
      <c r="F1107" s="11" t="s">
        <v>3300</v>
      </c>
      <c r="G1107" s="11" t="s">
        <v>3301</v>
      </c>
      <c r="H1107" s="11" t="s">
        <v>3302</v>
      </c>
      <c r="I1107" s="11" t="s">
        <v>247</v>
      </c>
    </row>
    <row r="1108" spans="1:9" x14ac:dyDescent="0.15">
      <c r="A1108" s="10">
        <v>1107</v>
      </c>
      <c r="B1108" s="11" t="s">
        <v>9</v>
      </c>
      <c r="C1108" s="11" t="s">
        <v>253</v>
      </c>
      <c r="D1108" s="11" t="s">
        <v>254</v>
      </c>
      <c r="E1108" s="9" t="str">
        <f>+HYPERLINK("http://trademark.i-assist.jp/data/china/image_1903th/79253508.pdf", "79253508")</f>
        <v>79253508</v>
      </c>
      <c r="F1108" s="11" t="s">
        <v>3303</v>
      </c>
      <c r="G1108" s="11" t="s">
        <v>56</v>
      </c>
      <c r="H1108" s="11" t="s">
        <v>3304</v>
      </c>
      <c r="I1108" s="11" t="s">
        <v>247</v>
      </c>
    </row>
    <row r="1109" spans="1:9" x14ac:dyDescent="0.15">
      <c r="A1109" s="10">
        <v>1108</v>
      </c>
      <c r="B1109" s="11" t="s">
        <v>9</v>
      </c>
      <c r="C1109" s="11" t="s">
        <v>253</v>
      </c>
      <c r="D1109" s="11" t="s">
        <v>254</v>
      </c>
      <c r="E1109" s="9" t="str">
        <f>+HYPERLINK("http://trademark.i-assist.jp/data/china/image_1903th/79253530.pdf", "79253530")</f>
        <v>79253530</v>
      </c>
      <c r="F1109" s="11" t="s">
        <v>3305</v>
      </c>
      <c r="G1109" s="11" t="s">
        <v>3306</v>
      </c>
      <c r="H1109" s="11" t="s">
        <v>3307</v>
      </c>
      <c r="I1109" s="11" t="s">
        <v>247</v>
      </c>
    </row>
    <row r="1110" spans="1:9" x14ac:dyDescent="0.15">
      <c r="A1110" s="10">
        <v>1109</v>
      </c>
      <c r="B1110" s="11" t="s">
        <v>9</v>
      </c>
      <c r="C1110" s="11" t="s">
        <v>253</v>
      </c>
      <c r="D1110" s="11" t="s">
        <v>254</v>
      </c>
      <c r="E1110" s="9" t="str">
        <f>+HYPERLINK("http://trademark.i-assist.jp/data/china/image_1903th/79253663.pdf", "79253663")</f>
        <v>79253663</v>
      </c>
      <c r="F1110" s="11" t="s">
        <v>3308</v>
      </c>
      <c r="G1110" s="11" t="s">
        <v>3309</v>
      </c>
      <c r="H1110" s="11" t="s">
        <v>3310</v>
      </c>
      <c r="I1110" s="11" t="s">
        <v>247</v>
      </c>
    </row>
    <row r="1111" spans="1:9" x14ac:dyDescent="0.15">
      <c r="A1111" s="10">
        <v>1110</v>
      </c>
      <c r="B1111" s="11" t="s">
        <v>9</v>
      </c>
      <c r="C1111" s="11" t="s">
        <v>253</v>
      </c>
      <c r="D1111" s="11" t="s">
        <v>254</v>
      </c>
      <c r="E1111" s="9" t="str">
        <f>+HYPERLINK("http://trademark.i-assist.jp/data/china/image_1903th/79253685.pdf", "79253685")</f>
        <v>79253685</v>
      </c>
      <c r="F1111" s="11" t="s">
        <v>3311</v>
      </c>
      <c r="G1111" s="11" t="s">
        <v>3312</v>
      </c>
      <c r="H1111" s="11" t="s">
        <v>3313</v>
      </c>
      <c r="I1111" s="11" t="s">
        <v>247</v>
      </c>
    </row>
    <row r="1112" spans="1:9" x14ac:dyDescent="0.15">
      <c r="A1112" s="10">
        <v>1111</v>
      </c>
      <c r="B1112" s="11" t="s">
        <v>9</v>
      </c>
      <c r="C1112" s="11" t="s">
        <v>253</v>
      </c>
      <c r="D1112" s="11" t="s">
        <v>254</v>
      </c>
      <c r="E1112" s="9" t="str">
        <f>+HYPERLINK("http://trademark.i-assist.jp/data/china/image_1903th/79253844.pdf", "79253844")</f>
        <v>79253844</v>
      </c>
      <c r="F1112" s="11" t="s">
        <v>3314</v>
      </c>
      <c r="G1112" s="11" t="s">
        <v>3315</v>
      </c>
      <c r="H1112" s="11" t="s">
        <v>3316</v>
      </c>
      <c r="I1112" s="11" t="s">
        <v>247</v>
      </c>
    </row>
    <row r="1113" spans="1:9" x14ac:dyDescent="0.15">
      <c r="A1113" s="10">
        <v>1112</v>
      </c>
      <c r="B1113" s="11" t="s">
        <v>9</v>
      </c>
      <c r="C1113" s="11" t="s">
        <v>253</v>
      </c>
      <c r="D1113" s="11" t="s">
        <v>254</v>
      </c>
      <c r="E1113" s="9" t="str">
        <f>+HYPERLINK("http://trademark.i-assist.jp/data/china/image_1903th/79253993.pdf", "79253993")</f>
        <v>79253993</v>
      </c>
      <c r="F1113" s="11" t="s">
        <v>3317</v>
      </c>
      <c r="G1113" s="11" t="s">
        <v>3318</v>
      </c>
      <c r="H1113" s="11" t="s">
        <v>3319</v>
      </c>
      <c r="I1113" s="11" t="s">
        <v>247</v>
      </c>
    </row>
    <row r="1114" spans="1:9" x14ac:dyDescent="0.15">
      <c r="A1114" s="10">
        <v>1113</v>
      </c>
      <c r="B1114" s="11" t="s">
        <v>9</v>
      </c>
      <c r="C1114" s="11" t="s">
        <v>253</v>
      </c>
      <c r="D1114" s="11" t="s">
        <v>254</v>
      </c>
      <c r="E1114" s="9" t="str">
        <f>+HYPERLINK("http://trademark.i-assist.jp/data/china/image_1903th/79253997.pdf", "79253997")</f>
        <v>79253997</v>
      </c>
      <c r="F1114" s="11" t="s">
        <v>3320</v>
      </c>
      <c r="G1114" s="11" t="s">
        <v>3321</v>
      </c>
      <c r="H1114" s="11" t="s">
        <v>3322</v>
      </c>
      <c r="I1114" s="11" t="s">
        <v>247</v>
      </c>
    </row>
    <row r="1115" spans="1:9" x14ac:dyDescent="0.15">
      <c r="A1115" s="10">
        <v>1114</v>
      </c>
      <c r="B1115" s="11" t="s">
        <v>9</v>
      </c>
      <c r="C1115" s="11" t="s">
        <v>253</v>
      </c>
      <c r="D1115" s="11" t="s">
        <v>254</v>
      </c>
      <c r="E1115" s="9" t="str">
        <f>+HYPERLINK("http://trademark.i-assist.jp/data/china/image_1903th/79254037.pdf", "79254037")</f>
        <v>79254037</v>
      </c>
      <c r="F1115" s="11" t="s">
        <v>3323</v>
      </c>
      <c r="G1115" s="11" t="s">
        <v>3324</v>
      </c>
      <c r="H1115" s="11" t="s">
        <v>3325</v>
      </c>
      <c r="I1115" s="11" t="s">
        <v>247</v>
      </c>
    </row>
    <row r="1116" spans="1:9" x14ac:dyDescent="0.15">
      <c r="A1116" s="10">
        <v>1115</v>
      </c>
      <c r="B1116" s="11" t="s">
        <v>9</v>
      </c>
      <c r="C1116" s="11" t="s">
        <v>253</v>
      </c>
      <c r="D1116" s="11" t="s">
        <v>254</v>
      </c>
      <c r="E1116" s="9" t="str">
        <f>+HYPERLINK("http://trademark.i-assist.jp/data/china/image_1903th/79254396.pdf", "79254396")</f>
        <v>79254396</v>
      </c>
      <c r="F1116" s="11" t="s">
        <v>3326</v>
      </c>
      <c r="G1116" s="11" t="s">
        <v>3327</v>
      </c>
      <c r="H1116" s="11" t="s">
        <v>3328</v>
      </c>
      <c r="I1116" s="11" t="s">
        <v>247</v>
      </c>
    </row>
    <row r="1117" spans="1:9" x14ac:dyDescent="0.15">
      <c r="A1117" s="10">
        <v>1116</v>
      </c>
      <c r="B1117" s="11" t="s">
        <v>9</v>
      </c>
      <c r="C1117" s="11" t="s">
        <v>253</v>
      </c>
      <c r="D1117" s="11" t="s">
        <v>254</v>
      </c>
      <c r="E1117" s="9" t="str">
        <f>+HYPERLINK("http://trademark.i-assist.jp/data/china/image_1903th/79255073.pdf", "79255073")</f>
        <v>79255073</v>
      </c>
      <c r="F1117" s="11" t="s">
        <v>3329</v>
      </c>
      <c r="G1117" s="11" t="s">
        <v>3330</v>
      </c>
      <c r="H1117" s="11" t="s">
        <v>3331</v>
      </c>
      <c r="I1117" s="11" t="s">
        <v>247</v>
      </c>
    </row>
    <row r="1118" spans="1:9" x14ac:dyDescent="0.15">
      <c r="A1118" s="10">
        <v>1117</v>
      </c>
      <c r="B1118" s="11" t="s">
        <v>9</v>
      </c>
      <c r="C1118" s="11" t="s">
        <v>253</v>
      </c>
      <c r="D1118" s="11" t="s">
        <v>254</v>
      </c>
      <c r="E1118" s="9" t="str">
        <f>+HYPERLINK("http://trademark.i-assist.jp/data/china/image_1903th/79255977.pdf", "79255977")</f>
        <v>79255977</v>
      </c>
      <c r="F1118" s="11" t="s">
        <v>3332</v>
      </c>
      <c r="G1118" s="11" t="s">
        <v>3333</v>
      </c>
      <c r="H1118" s="11" t="s">
        <v>3334</v>
      </c>
      <c r="I1118" s="11" t="s">
        <v>247</v>
      </c>
    </row>
    <row r="1119" spans="1:9" x14ac:dyDescent="0.15">
      <c r="A1119" s="10">
        <v>1118</v>
      </c>
      <c r="B1119" s="11" t="s">
        <v>9</v>
      </c>
      <c r="C1119" s="11" t="s">
        <v>253</v>
      </c>
      <c r="D1119" s="11" t="s">
        <v>254</v>
      </c>
      <c r="E1119" s="9" t="str">
        <f>+HYPERLINK("http://trademark.i-assist.jp/data/china/image_1903th/79256068.pdf", "79256068")</f>
        <v>79256068</v>
      </c>
      <c r="F1119" s="11" t="s">
        <v>12</v>
      </c>
      <c r="G1119" s="11" t="s">
        <v>3335</v>
      </c>
      <c r="H1119" s="11" t="s">
        <v>3336</v>
      </c>
      <c r="I1119" s="11" t="s">
        <v>247</v>
      </c>
    </row>
    <row r="1120" spans="1:9" x14ac:dyDescent="0.15">
      <c r="A1120" s="10">
        <v>1119</v>
      </c>
      <c r="B1120" s="11" t="s">
        <v>9</v>
      </c>
      <c r="C1120" s="11" t="s">
        <v>253</v>
      </c>
      <c r="D1120" s="11" t="s">
        <v>254</v>
      </c>
      <c r="E1120" s="9" t="str">
        <f>+HYPERLINK("http://trademark.i-assist.jp/data/china/image_1903th/79256102.pdf", "79256102")</f>
        <v>79256102</v>
      </c>
      <c r="F1120" s="11" t="s">
        <v>3337</v>
      </c>
      <c r="G1120" s="11" t="s">
        <v>3338</v>
      </c>
      <c r="H1120" s="11" t="s">
        <v>3339</v>
      </c>
      <c r="I1120" s="11" t="s">
        <v>247</v>
      </c>
    </row>
    <row r="1121" spans="1:9" x14ac:dyDescent="0.15">
      <c r="A1121" s="10">
        <v>1120</v>
      </c>
      <c r="B1121" s="11" t="s">
        <v>9</v>
      </c>
      <c r="C1121" s="11" t="s">
        <v>253</v>
      </c>
      <c r="D1121" s="11" t="s">
        <v>254</v>
      </c>
      <c r="E1121" s="9" t="str">
        <f>+HYPERLINK("http://trademark.i-assist.jp/data/china/image_1903th/79256418.pdf", "79256418")</f>
        <v>79256418</v>
      </c>
      <c r="F1121" s="11" t="s">
        <v>3340</v>
      </c>
      <c r="G1121" s="11" t="s">
        <v>3341</v>
      </c>
      <c r="H1121" s="11" t="s">
        <v>3342</v>
      </c>
      <c r="I1121" s="11" t="s">
        <v>247</v>
      </c>
    </row>
    <row r="1122" spans="1:9" x14ac:dyDescent="0.15">
      <c r="A1122" s="10">
        <v>1121</v>
      </c>
      <c r="B1122" s="11" t="s">
        <v>9</v>
      </c>
      <c r="C1122" s="11" t="s">
        <v>253</v>
      </c>
      <c r="D1122" s="11" t="s">
        <v>254</v>
      </c>
      <c r="E1122" s="9" t="str">
        <f>+HYPERLINK("http://trademark.i-assist.jp/data/china/image_1903th/79256553.pdf", "79256553")</f>
        <v>79256553</v>
      </c>
      <c r="F1122" s="11" t="s">
        <v>3343</v>
      </c>
      <c r="G1122" s="11" t="s">
        <v>3344</v>
      </c>
      <c r="H1122" s="11" t="s">
        <v>3345</v>
      </c>
      <c r="I1122" s="11" t="s">
        <v>247</v>
      </c>
    </row>
    <row r="1123" spans="1:9" x14ac:dyDescent="0.15">
      <c r="A1123" s="10">
        <v>1122</v>
      </c>
      <c r="B1123" s="11" t="s">
        <v>9</v>
      </c>
      <c r="C1123" s="11" t="s">
        <v>253</v>
      </c>
      <c r="D1123" s="11" t="s">
        <v>254</v>
      </c>
      <c r="E1123" s="9" t="str">
        <f>+HYPERLINK("http://trademark.i-assist.jp/data/china/image_1903th/79256835.pdf", "79256835")</f>
        <v>79256835</v>
      </c>
      <c r="F1123" s="11" t="s">
        <v>3346</v>
      </c>
      <c r="G1123" s="11" t="s">
        <v>3347</v>
      </c>
      <c r="H1123" s="11" t="s">
        <v>3348</v>
      </c>
      <c r="I1123" s="11" t="s">
        <v>247</v>
      </c>
    </row>
    <row r="1124" spans="1:9" x14ac:dyDescent="0.15">
      <c r="A1124" s="10">
        <v>1123</v>
      </c>
      <c r="B1124" s="11" t="s">
        <v>9</v>
      </c>
      <c r="C1124" s="11" t="s">
        <v>253</v>
      </c>
      <c r="D1124" s="11" t="s">
        <v>254</v>
      </c>
      <c r="E1124" s="9" t="str">
        <f>+HYPERLINK("http://trademark.i-assist.jp/data/china/image_1903th/79257142.pdf", "79257142")</f>
        <v>79257142</v>
      </c>
      <c r="F1124" s="11" t="s">
        <v>3349</v>
      </c>
      <c r="G1124" s="11" t="s">
        <v>3350</v>
      </c>
      <c r="H1124" s="11" t="s">
        <v>3351</v>
      </c>
      <c r="I1124" s="11" t="s">
        <v>247</v>
      </c>
    </row>
    <row r="1125" spans="1:9" x14ac:dyDescent="0.15">
      <c r="A1125" s="10">
        <v>1124</v>
      </c>
      <c r="B1125" s="11" t="s">
        <v>9</v>
      </c>
      <c r="C1125" s="11" t="s">
        <v>253</v>
      </c>
      <c r="D1125" s="11" t="s">
        <v>254</v>
      </c>
      <c r="E1125" s="9" t="str">
        <f>+HYPERLINK("http://trademark.i-assist.jp/data/china/image_1903th/79257335.pdf", "79257335")</f>
        <v>79257335</v>
      </c>
      <c r="F1125" s="11" t="s">
        <v>3352</v>
      </c>
      <c r="G1125" s="11" t="s">
        <v>3353</v>
      </c>
      <c r="H1125" s="11" t="s">
        <v>3354</v>
      </c>
      <c r="I1125" s="11" t="s">
        <v>247</v>
      </c>
    </row>
    <row r="1126" spans="1:9" x14ac:dyDescent="0.15">
      <c r="A1126" s="10">
        <v>1125</v>
      </c>
      <c r="B1126" s="11" t="s">
        <v>9</v>
      </c>
      <c r="C1126" s="11" t="s">
        <v>253</v>
      </c>
      <c r="D1126" s="11" t="s">
        <v>254</v>
      </c>
      <c r="E1126" s="9" t="str">
        <f>+HYPERLINK("http://trademark.i-assist.jp/data/china/image_1903th/79257903.pdf", "79257903")</f>
        <v>79257903</v>
      </c>
      <c r="F1126" s="11" t="s">
        <v>3355</v>
      </c>
      <c r="G1126" s="11" t="s">
        <v>2742</v>
      </c>
      <c r="H1126" s="11" t="s">
        <v>3356</v>
      </c>
      <c r="I1126" s="11" t="s">
        <v>247</v>
      </c>
    </row>
    <row r="1127" spans="1:9" x14ac:dyDescent="0.15">
      <c r="A1127" s="10">
        <v>1126</v>
      </c>
      <c r="B1127" s="11" t="s">
        <v>9</v>
      </c>
      <c r="C1127" s="11" t="s">
        <v>253</v>
      </c>
      <c r="D1127" s="11" t="s">
        <v>254</v>
      </c>
      <c r="E1127" s="9" t="str">
        <f>+HYPERLINK("http://trademark.i-assist.jp/data/china/image_1903th/79258035.pdf", "79258035")</f>
        <v>79258035</v>
      </c>
      <c r="F1127" s="11" t="s">
        <v>3357</v>
      </c>
      <c r="G1127" s="11" t="s">
        <v>3358</v>
      </c>
      <c r="H1127" s="11" t="s">
        <v>3359</v>
      </c>
      <c r="I1127" s="11" t="s">
        <v>247</v>
      </c>
    </row>
    <row r="1128" spans="1:9" x14ac:dyDescent="0.15">
      <c r="A1128" s="10">
        <v>1127</v>
      </c>
      <c r="B1128" s="11" t="s">
        <v>9</v>
      </c>
      <c r="C1128" s="11" t="s">
        <v>253</v>
      </c>
      <c r="D1128" s="11" t="s">
        <v>254</v>
      </c>
      <c r="E1128" s="9" t="str">
        <f>+HYPERLINK("http://trademark.i-assist.jp/data/china/image_1903th/79258249.pdf", "79258249")</f>
        <v>79258249</v>
      </c>
      <c r="F1128" s="11" t="s">
        <v>3360</v>
      </c>
      <c r="G1128" s="11" t="s">
        <v>3361</v>
      </c>
      <c r="H1128" s="11" t="s">
        <v>3362</v>
      </c>
      <c r="I1128" s="11" t="s">
        <v>247</v>
      </c>
    </row>
    <row r="1129" spans="1:9" x14ac:dyDescent="0.15">
      <c r="A1129" s="10">
        <v>1128</v>
      </c>
      <c r="B1129" s="11" t="s">
        <v>9</v>
      </c>
      <c r="C1129" s="11" t="s">
        <v>253</v>
      </c>
      <c r="D1129" s="11" t="s">
        <v>254</v>
      </c>
      <c r="E1129" s="9" t="str">
        <f>+HYPERLINK("http://trademark.i-assist.jp/data/china/image_1903th/79258544.pdf", "79258544")</f>
        <v>79258544</v>
      </c>
      <c r="F1129" s="11" t="s">
        <v>3363</v>
      </c>
      <c r="G1129" s="11" t="s">
        <v>3364</v>
      </c>
      <c r="H1129" s="11" t="s">
        <v>3365</v>
      </c>
      <c r="I1129" s="11" t="s">
        <v>247</v>
      </c>
    </row>
    <row r="1130" spans="1:9" x14ac:dyDescent="0.15">
      <c r="A1130" s="10">
        <v>1129</v>
      </c>
      <c r="B1130" s="11" t="s">
        <v>9</v>
      </c>
      <c r="C1130" s="11" t="s">
        <v>253</v>
      </c>
      <c r="D1130" s="11" t="s">
        <v>254</v>
      </c>
      <c r="E1130" s="9" t="str">
        <f>+HYPERLINK("http://trademark.i-assist.jp/data/china/image_1903th/79259074.pdf", "79259074")</f>
        <v>79259074</v>
      </c>
      <c r="F1130" s="11" t="s">
        <v>3366</v>
      </c>
      <c r="G1130" s="11" t="s">
        <v>3367</v>
      </c>
      <c r="H1130" s="11" t="s">
        <v>3368</v>
      </c>
      <c r="I1130" s="11" t="s">
        <v>247</v>
      </c>
    </row>
    <row r="1131" spans="1:9" x14ac:dyDescent="0.15">
      <c r="A1131" s="10">
        <v>1130</v>
      </c>
      <c r="B1131" s="11" t="s">
        <v>9</v>
      </c>
      <c r="C1131" s="11" t="s">
        <v>253</v>
      </c>
      <c r="D1131" s="11" t="s">
        <v>254</v>
      </c>
      <c r="E1131" s="9" t="str">
        <f>+HYPERLINK("http://trademark.i-assist.jp/data/china/image_1903th/79259121.pdf", "79259121")</f>
        <v>79259121</v>
      </c>
      <c r="F1131" s="11" t="s">
        <v>3369</v>
      </c>
      <c r="G1131" s="11" t="s">
        <v>3370</v>
      </c>
      <c r="H1131" s="11" t="s">
        <v>3371</v>
      </c>
      <c r="I1131" s="11" t="s">
        <v>247</v>
      </c>
    </row>
    <row r="1132" spans="1:9" x14ac:dyDescent="0.15">
      <c r="A1132" s="10">
        <v>1131</v>
      </c>
      <c r="B1132" s="11" t="s">
        <v>9</v>
      </c>
      <c r="C1132" s="11" t="s">
        <v>253</v>
      </c>
      <c r="D1132" s="11" t="s">
        <v>254</v>
      </c>
      <c r="E1132" s="9" t="str">
        <f>+HYPERLINK("http://trademark.i-assist.jp/data/china/image_1903th/79259413.pdf", "79259413")</f>
        <v>79259413</v>
      </c>
      <c r="F1132" s="11" t="s">
        <v>3372</v>
      </c>
      <c r="G1132" s="11" t="s">
        <v>3373</v>
      </c>
      <c r="H1132" s="11" t="s">
        <v>3374</v>
      </c>
      <c r="I1132" s="11" t="s">
        <v>247</v>
      </c>
    </row>
    <row r="1133" spans="1:9" x14ac:dyDescent="0.15">
      <c r="A1133" s="10">
        <v>1132</v>
      </c>
      <c r="B1133" s="11" t="s">
        <v>9</v>
      </c>
      <c r="C1133" s="11" t="s">
        <v>253</v>
      </c>
      <c r="D1133" s="11" t="s">
        <v>254</v>
      </c>
      <c r="E1133" s="9" t="str">
        <f>+HYPERLINK("http://trademark.i-assist.jp/data/china/image_1903th/79259551.pdf", "79259551")</f>
        <v>79259551</v>
      </c>
      <c r="F1133" s="11" t="s">
        <v>12</v>
      </c>
      <c r="G1133" s="11" t="s">
        <v>3375</v>
      </c>
      <c r="H1133" s="11" t="s">
        <v>3376</v>
      </c>
      <c r="I1133" s="11" t="s">
        <v>247</v>
      </c>
    </row>
    <row r="1134" spans="1:9" x14ac:dyDescent="0.15">
      <c r="A1134" s="10">
        <v>1133</v>
      </c>
      <c r="B1134" s="11" t="s">
        <v>9</v>
      </c>
      <c r="C1134" s="11" t="s">
        <v>253</v>
      </c>
      <c r="D1134" s="11" t="s">
        <v>254</v>
      </c>
      <c r="E1134" s="9" t="str">
        <f>+HYPERLINK("http://trademark.i-assist.jp/data/china/image_1903th/79259627.pdf", "79259627")</f>
        <v>79259627</v>
      </c>
      <c r="F1134" s="11" t="s">
        <v>3377</v>
      </c>
      <c r="G1134" s="11" t="s">
        <v>3378</v>
      </c>
      <c r="H1134" s="11" t="s">
        <v>3379</v>
      </c>
      <c r="I1134" s="11" t="s">
        <v>247</v>
      </c>
    </row>
    <row r="1135" spans="1:9" x14ac:dyDescent="0.15">
      <c r="A1135" s="10">
        <v>1134</v>
      </c>
      <c r="B1135" s="11" t="s">
        <v>9</v>
      </c>
      <c r="C1135" s="11" t="s">
        <v>253</v>
      </c>
      <c r="D1135" s="11" t="s">
        <v>254</v>
      </c>
      <c r="E1135" s="9" t="str">
        <f>+HYPERLINK("http://trademark.i-assist.jp/data/china/image_1903th/79259720.pdf", "79259720")</f>
        <v>79259720</v>
      </c>
      <c r="F1135" s="11" t="s">
        <v>3380</v>
      </c>
      <c r="G1135" s="11" t="s">
        <v>141</v>
      </c>
      <c r="H1135" s="11" t="s">
        <v>3381</v>
      </c>
      <c r="I1135" s="11" t="s">
        <v>247</v>
      </c>
    </row>
    <row r="1136" spans="1:9" x14ac:dyDescent="0.15">
      <c r="A1136" s="10">
        <v>1135</v>
      </c>
      <c r="B1136" s="11" t="s">
        <v>9</v>
      </c>
      <c r="C1136" s="11" t="s">
        <v>253</v>
      </c>
      <c r="D1136" s="11" t="s">
        <v>254</v>
      </c>
      <c r="E1136" s="9" t="str">
        <f>+HYPERLINK("http://trademark.i-assist.jp/data/china/image_1903th/79260023.pdf", "79260023")</f>
        <v>79260023</v>
      </c>
      <c r="F1136" s="11" t="s">
        <v>3382</v>
      </c>
      <c r="G1136" s="11" t="s">
        <v>3383</v>
      </c>
      <c r="H1136" s="11" t="s">
        <v>3384</v>
      </c>
      <c r="I1136" s="11" t="s">
        <v>247</v>
      </c>
    </row>
    <row r="1137" spans="1:9" x14ac:dyDescent="0.15">
      <c r="A1137" s="10">
        <v>1136</v>
      </c>
      <c r="B1137" s="11" t="s">
        <v>9</v>
      </c>
      <c r="C1137" s="11" t="s">
        <v>253</v>
      </c>
      <c r="D1137" s="11" t="s">
        <v>254</v>
      </c>
      <c r="E1137" s="9" t="str">
        <f>+HYPERLINK("http://trademark.i-assist.jp/data/china/image_1903th/79260620.pdf", "79260620")</f>
        <v>79260620</v>
      </c>
      <c r="F1137" s="11" t="s">
        <v>3385</v>
      </c>
      <c r="G1137" s="11" t="s">
        <v>3386</v>
      </c>
      <c r="H1137" s="11" t="s">
        <v>3387</v>
      </c>
      <c r="I1137" s="11" t="s">
        <v>247</v>
      </c>
    </row>
    <row r="1138" spans="1:9" x14ac:dyDescent="0.15">
      <c r="A1138" s="10">
        <v>1137</v>
      </c>
      <c r="B1138" s="11" t="s">
        <v>9</v>
      </c>
      <c r="C1138" s="11" t="s">
        <v>253</v>
      </c>
      <c r="D1138" s="11" t="s">
        <v>254</v>
      </c>
      <c r="E1138" s="9" t="str">
        <f>+HYPERLINK("http://trademark.i-assist.jp/data/china/image_1903th/79261140.pdf", "79261140")</f>
        <v>79261140</v>
      </c>
      <c r="F1138" s="11" t="s">
        <v>3388</v>
      </c>
      <c r="G1138" s="11" t="s">
        <v>3389</v>
      </c>
      <c r="H1138" s="11" t="s">
        <v>3390</v>
      </c>
      <c r="I1138" s="11" t="s">
        <v>247</v>
      </c>
    </row>
    <row r="1139" spans="1:9" x14ac:dyDescent="0.15">
      <c r="A1139" s="10">
        <v>1138</v>
      </c>
      <c r="B1139" s="11" t="s">
        <v>9</v>
      </c>
      <c r="C1139" s="11" t="s">
        <v>253</v>
      </c>
      <c r="D1139" s="11" t="s">
        <v>254</v>
      </c>
      <c r="E1139" s="9" t="str">
        <f>+HYPERLINK("http://trademark.i-assist.jp/data/china/image_1903th/79261294.pdf", "79261294")</f>
        <v>79261294</v>
      </c>
      <c r="F1139" s="11" t="s">
        <v>3391</v>
      </c>
      <c r="G1139" s="11" t="s">
        <v>3392</v>
      </c>
      <c r="H1139" s="11" t="s">
        <v>3393</v>
      </c>
      <c r="I1139" s="11" t="s">
        <v>247</v>
      </c>
    </row>
    <row r="1140" spans="1:9" x14ac:dyDescent="0.15">
      <c r="A1140" s="10">
        <v>1139</v>
      </c>
      <c r="B1140" s="11" t="s">
        <v>9</v>
      </c>
      <c r="C1140" s="11" t="s">
        <v>253</v>
      </c>
      <c r="D1140" s="11" t="s">
        <v>254</v>
      </c>
      <c r="E1140" s="9" t="str">
        <f>+HYPERLINK("http://trademark.i-assist.jp/data/china/image_1903th/79261524.pdf", "79261524")</f>
        <v>79261524</v>
      </c>
      <c r="F1140" s="11" t="s">
        <v>3394</v>
      </c>
      <c r="G1140" s="11" t="s">
        <v>3395</v>
      </c>
      <c r="H1140" s="11" t="s">
        <v>3396</v>
      </c>
      <c r="I1140" s="11" t="s">
        <v>247</v>
      </c>
    </row>
    <row r="1141" spans="1:9" x14ac:dyDescent="0.15">
      <c r="A1141" s="10">
        <v>1140</v>
      </c>
      <c r="B1141" s="11" t="s">
        <v>9</v>
      </c>
      <c r="C1141" s="11" t="s">
        <v>253</v>
      </c>
      <c r="D1141" s="11" t="s">
        <v>254</v>
      </c>
      <c r="E1141" s="9" t="str">
        <f>+HYPERLINK("http://trademark.i-assist.jp/data/china/image_1903th/79262122.pdf", "79262122")</f>
        <v>79262122</v>
      </c>
      <c r="F1141" s="11" t="s">
        <v>3397</v>
      </c>
      <c r="G1141" s="11" t="s">
        <v>3398</v>
      </c>
      <c r="H1141" s="11" t="s">
        <v>3399</v>
      </c>
      <c r="I1141" s="11" t="s">
        <v>247</v>
      </c>
    </row>
    <row r="1142" spans="1:9" x14ac:dyDescent="0.15">
      <c r="A1142" s="10">
        <v>1141</v>
      </c>
      <c r="B1142" s="11" t="s">
        <v>9</v>
      </c>
      <c r="C1142" s="11" t="s">
        <v>253</v>
      </c>
      <c r="D1142" s="11" t="s">
        <v>254</v>
      </c>
      <c r="E1142" s="9" t="str">
        <f>+HYPERLINK("http://trademark.i-assist.jp/data/china/image_1903th/79262788.pdf", "79262788")</f>
        <v>79262788</v>
      </c>
      <c r="F1142" s="11" t="s">
        <v>3400</v>
      </c>
      <c r="G1142" s="11" t="s">
        <v>3401</v>
      </c>
      <c r="H1142" s="11" t="s">
        <v>3402</v>
      </c>
      <c r="I1142" s="11" t="s">
        <v>247</v>
      </c>
    </row>
    <row r="1143" spans="1:9" x14ac:dyDescent="0.15">
      <c r="A1143" s="10">
        <v>1142</v>
      </c>
      <c r="B1143" s="11" t="s">
        <v>9</v>
      </c>
      <c r="C1143" s="11" t="s">
        <v>253</v>
      </c>
      <c r="D1143" s="11" t="s">
        <v>254</v>
      </c>
      <c r="E1143" s="9" t="str">
        <f>+HYPERLINK("http://trademark.i-assist.jp/data/china/image_1903th/79263214.pdf", "79263214")</f>
        <v>79263214</v>
      </c>
      <c r="F1143" s="11" t="s">
        <v>3403</v>
      </c>
      <c r="G1143" s="11" t="s">
        <v>3404</v>
      </c>
      <c r="H1143" s="11" t="s">
        <v>16</v>
      </c>
      <c r="I1143" s="11" t="s">
        <v>247</v>
      </c>
    </row>
    <row r="1144" spans="1:9" x14ac:dyDescent="0.15">
      <c r="A1144" s="10">
        <v>1143</v>
      </c>
      <c r="B1144" s="11" t="s">
        <v>9</v>
      </c>
      <c r="C1144" s="11" t="s">
        <v>253</v>
      </c>
      <c r="D1144" s="11" t="s">
        <v>254</v>
      </c>
      <c r="E1144" s="9" t="str">
        <f>+HYPERLINK("http://trademark.i-assist.jp/data/china/image_1903th/79263691.pdf", "79263691")</f>
        <v>79263691</v>
      </c>
      <c r="F1144" s="11" t="s">
        <v>3405</v>
      </c>
      <c r="G1144" s="11" t="s">
        <v>3406</v>
      </c>
      <c r="H1144" s="11" t="s">
        <v>3407</v>
      </c>
      <c r="I1144" s="11" t="s">
        <v>247</v>
      </c>
    </row>
    <row r="1145" spans="1:9" x14ac:dyDescent="0.15">
      <c r="A1145" s="10">
        <v>1144</v>
      </c>
      <c r="B1145" s="11" t="s">
        <v>9</v>
      </c>
      <c r="C1145" s="11" t="s">
        <v>253</v>
      </c>
      <c r="D1145" s="11" t="s">
        <v>254</v>
      </c>
      <c r="E1145" s="9" t="str">
        <f>+HYPERLINK("http://trademark.i-assist.jp/data/china/image_1903th/79263721.pdf", "79263721")</f>
        <v>79263721</v>
      </c>
      <c r="F1145" s="11" t="s">
        <v>3408</v>
      </c>
      <c r="G1145" s="11" t="s">
        <v>245</v>
      </c>
      <c r="H1145" s="11" t="s">
        <v>3409</v>
      </c>
      <c r="I1145" s="11" t="s">
        <v>247</v>
      </c>
    </row>
    <row r="1146" spans="1:9" x14ac:dyDescent="0.15">
      <c r="A1146" s="10">
        <v>1145</v>
      </c>
      <c r="B1146" s="11" t="s">
        <v>9</v>
      </c>
      <c r="C1146" s="11" t="s">
        <v>253</v>
      </c>
      <c r="D1146" s="11" t="s">
        <v>254</v>
      </c>
      <c r="E1146" s="9" t="str">
        <f>+HYPERLINK("http://trademark.i-assist.jp/data/china/image_1903th/79263753.pdf", "79263753")</f>
        <v>79263753</v>
      </c>
      <c r="F1146" s="11" t="s">
        <v>3410</v>
      </c>
      <c r="G1146" s="11" t="s">
        <v>3411</v>
      </c>
      <c r="H1146" s="11" t="s">
        <v>3412</v>
      </c>
      <c r="I1146" s="11" t="s">
        <v>247</v>
      </c>
    </row>
    <row r="1147" spans="1:9" x14ac:dyDescent="0.15">
      <c r="A1147" s="10">
        <v>1146</v>
      </c>
      <c r="B1147" s="11" t="s">
        <v>9</v>
      </c>
      <c r="C1147" s="11" t="s">
        <v>253</v>
      </c>
      <c r="D1147" s="11" t="s">
        <v>254</v>
      </c>
      <c r="E1147" s="9" t="str">
        <f>+HYPERLINK("http://trademark.i-assist.jp/data/china/image_1903th/79264026.pdf", "79264026")</f>
        <v>79264026</v>
      </c>
      <c r="F1147" s="11" t="s">
        <v>3413</v>
      </c>
      <c r="G1147" s="11" t="s">
        <v>3414</v>
      </c>
      <c r="H1147" s="11" t="s">
        <v>3415</v>
      </c>
      <c r="I1147" s="11" t="s">
        <v>247</v>
      </c>
    </row>
    <row r="1148" spans="1:9" x14ac:dyDescent="0.15">
      <c r="A1148" s="10">
        <v>1147</v>
      </c>
      <c r="B1148" s="11" t="s">
        <v>9</v>
      </c>
      <c r="C1148" s="11" t="s">
        <v>253</v>
      </c>
      <c r="D1148" s="11" t="s">
        <v>254</v>
      </c>
      <c r="E1148" s="9" t="str">
        <f>+HYPERLINK("http://trademark.i-assist.jp/data/china/image_1903th/79264211.pdf", "79264211")</f>
        <v>79264211</v>
      </c>
      <c r="F1148" s="11" t="s">
        <v>3416</v>
      </c>
      <c r="G1148" s="11" t="s">
        <v>3417</v>
      </c>
      <c r="H1148" s="11" t="s">
        <v>3418</v>
      </c>
      <c r="I1148" s="11" t="s">
        <v>247</v>
      </c>
    </row>
    <row r="1149" spans="1:9" x14ac:dyDescent="0.15">
      <c r="A1149" s="10">
        <v>1148</v>
      </c>
      <c r="B1149" s="11" t="s">
        <v>9</v>
      </c>
      <c r="C1149" s="11" t="s">
        <v>253</v>
      </c>
      <c r="D1149" s="11" t="s">
        <v>254</v>
      </c>
      <c r="E1149" s="9" t="str">
        <f>+HYPERLINK("http://trademark.i-assist.jp/data/china/image_1903th/79264260.pdf", "79264260")</f>
        <v>79264260</v>
      </c>
      <c r="F1149" s="11" t="s">
        <v>3419</v>
      </c>
      <c r="G1149" s="11" t="s">
        <v>3420</v>
      </c>
      <c r="H1149" s="11" t="s">
        <v>3421</v>
      </c>
      <c r="I1149" s="11" t="s">
        <v>247</v>
      </c>
    </row>
    <row r="1150" spans="1:9" x14ac:dyDescent="0.15">
      <c r="A1150" s="10">
        <v>1149</v>
      </c>
      <c r="B1150" s="11" t="s">
        <v>9</v>
      </c>
      <c r="C1150" s="11" t="s">
        <v>253</v>
      </c>
      <c r="D1150" s="11" t="s">
        <v>254</v>
      </c>
      <c r="E1150" s="9" t="str">
        <f>+HYPERLINK("http://trademark.i-assist.jp/data/china/image_1903th/79264571.pdf", "79264571")</f>
        <v>79264571</v>
      </c>
      <c r="F1150" s="11" t="s">
        <v>3422</v>
      </c>
      <c r="G1150" s="11" t="s">
        <v>3423</v>
      </c>
      <c r="H1150" s="11" t="s">
        <v>3424</v>
      </c>
      <c r="I1150" s="11" t="s">
        <v>247</v>
      </c>
    </row>
    <row r="1151" spans="1:9" x14ac:dyDescent="0.15">
      <c r="A1151" s="10">
        <v>1150</v>
      </c>
      <c r="B1151" s="11" t="s">
        <v>9</v>
      </c>
      <c r="C1151" s="11" t="s">
        <v>253</v>
      </c>
      <c r="D1151" s="11" t="s">
        <v>254</v>
      </c>
      <c r="E1151" s="9" t="str">
        <f>+HYPERLINK("http://trademark.i-assist.jp/data/china/image_1903th/79264595.pdf", "79264595")</f>
        <v>79264595</v>
      </c>
      <c r="F1151" s="11" t="s">
        <v>3425</v>
      </c>
      <c r="G1151" s="11" t="s">
        <v>3426</v>
      </c>
      <c r="H1151" s="11" t="s">
        <v>3427</v>
      </c>
      <c r="I1151" s="11" t="s">
        <v>247</v>
      </c>
    </row>
    <row r="1152" spans="1:9" x14ac:dyDescent="0.15">
      <c r="A1152" s="10">
        <v>1151</v>
      </c>
      <c r="B1152" s="11" t="s">
        <v>9</v>
      </c>
      <c r="C1152" s="11" t="s">
        <v>253</v>
      </c>
      <c r="D1152" s="11" t="s">
        <v>254</v>
      </c>
      <c r="E1152" s="9" t="str">
        <f>+HYPERLINK("http://trademark.i-assist.jp/data/china/image_1903th/79265424.pdf", "79265424")</f>
        <v>79265424</v>
      </c>
      <c r="F1152" s="11" t="s">
        <v>3428</v>
      </c>
      <c r="G1152" s="11" t="s">
        <v>3429</v>
      </c>
      <c r="H1152" s="11" t="s">
        <v>3430</v>
      </c>
      <c r="I1152" s="11" t="s">
        <v>247</v>
      </c>
    </row>
    <row r="1153" spans="1:9" x14ac:dyDescent="0.15">
      <c r="A1153" s="10">
        <v>1152</v>
      </c>
      <c r="B1153" s="11" t="s">
        <v>9</v>
      </c>
      <c r="C1153" s="11" t="s">
        <v>253</v>
      </c>
      <c r="D1153" s="11" t="s">
        <v>254</v>
      </c>
      <c r="E1153" s="9" t="str">
        <f>+HYPERLINK("http://trademark.i-assist.jp/data/china/image_1903th/79266135.pdf", "79266135")</f>
        <v>79266135</v>
      </c>
      <c r="F1153" s="11" t="s">
        <v>3431</v>
      </c>
      <c r="G1153" s="11" t="s">
        <v>3432</v>
      </c>
      <c r="H1153" s="11" t="s">
        <v>3433</v>
      </c>
      <c r="I1153" s="11" t="s">
        <v>247</v>
      </c>
    </row>
    <row r="1154" spans="1:9" x14ac:dyDescent="0.15">
      <c r="A1154" s="10">
        <v>1153</v>
      </c>
      <c r="B1154" s="11" t="s">
        <v>9</v>
      </c>
      <c r="C1154" s="11" t="s">
        <v>253</v>
      </c>
      <c r="D1154" s="11" t="s">
        <v>254</v>
      </c>
      <c r="E1154" s="9" t="str">
        <f>+HYPERLINK("http://trademark.i-assist.jp/data/china/image_1903th/79266209.pdf", "79266209")</f>
        <v>79266209</v>
      </c>
      <c r="F1154" s="11" t="s">
        <v>3434</v>
      </c>
      <c r="G1154" s="11" t="s">
        <v>3435</v>
      </c>
      <c r="H1154" s="11" t="s">
        <v>3436</v>
      </c>
      <c r="I1154" s="11" t="s">
        <v>247</v>
      </c>
    </row>
    <row r="1155" spans="1:9" x14ac:dyDescent="0.15">
      <c r="A1155" s="10">
        <v>1154</v>
      </c>
      <c r="B1155" s="11" t="s">
        <v>9</v>
      </c>
      <c r="C1155" s="11" t="s">
        <v>253</v>
      </c>
      <c r="D1155" s="11" t="s">
        <v>254</v>
      </c>
      <c r="E1155" s="9" t="str">
        <f>+HYPERLINK("http://trademark.i-assist.jp/data/china/image_1903th/79266213.pdf", "79266213")</f>
        <v>79266213</v>
      </c>
      <c r="F1155" s="11" t="s">
        <v>3437</v>
      </c>
      <c r="G1155" s="11" t="s">
        <v>3435</v>
      </c>
      <c r="H1155" s="11" t="s">
        <v>3438</v>
      </c>
      <c r="I1155" s="11" t="s">
        <v>247</v>
      </c>
    </row>
    <row r="1156" spans="1:9" x14ac:dyDescent="0.15">
      <c r="A1156" s="10">
        <v>1155</v>
      </c>
      <c r="B1156" s="11" t="s">
        <v>9</v>
      </c>
      <c r="C1156" s="11" t="s">
        <v>253</v>
      </c>
      <c r="D1156" s="11" t="s">
        <v>254</v>
      </c>
      <c r="E1156" s="9" t="str">
        <f>+HYPERLINK("http://trademark.i-assist.jp/data/china/image_1903th/79266508.pdf", "79266508")</f>
        <v>79266508</v>
      </c>
      <c r="F1156" s="11" t="s">
        <v>3439</v>
      </c>
      <c r="G1156" s="11" t="s">
        <v>2742</v>
      </c>
      <c r="H1156" s="11" t="s">
        <v>3440</v>
      </c>
      <c r="I1156" s="11" t="s">
        <v>247</v>
      </c>
    </row>
    <row r="1157" spans="1:9" x14ac:dyDescent="0.15">
      <c r="A1157" s="10">
        <v>1156</v>
      </c>
      <c r="B1157" s="11" t="s">
        <v>9</v>
      </c>
      <c r="C1157" s="11" t="s">
        <v>253</v>
      </c>
      <c r="D1157" s="11" t="s">
        <v>254</v>
      </c>
      <c r="E1157" s="9" t="str">
        <f>+HYPERLINK("http://trademark.i-assist.jp/data/china/image_1903th/79266652.pdf", "79266652")</f>
        <v>79266652</v>
      </c>
      <c r="F1157" s="11" t="s">
        <v>3441</v>
      </c>
      <c r="G1157" s="11" t="s">
        <v>3442</v>
      </c>
      <c r="H1157" s="11" t="s">
        <v>3443</v>
      </c>
      <c r="I1157" s="11" t="s">
        <v>247</v>
      </c>
    </row>
    <row r="1158" spans="1:9" x14ac:dyDescent="0.15">
      <c r="A1158" s="10">
        <v>1157</v>
      </c>
      <c r="B1158" s="11" t="s">
        <v>9</v>
      </c>
      <c r="C1158" s="11" t="s">
        <v>253</v>
      </c>
      <c r="D1158" s="11" t="s">
        <v>254</v>
      </c>
      <c r="E1158" s="9" t="str">
        <f>+HYPERLINK("http://trademark.i-assist.jp/data/china/image_1903th/79266702.pdf", "79266702")</f>
        <v>79266702</v>
      </c>
      <c r="F1158" s="11" t="s">
        <v>3444</v>
      </c>
      <c r="G1158" s="11" t="s">
        <v>3445</v>
      </c>
      <c r="H1158" s="11" t="s">
        <v>3446</v>
      </c>
      <c r="I1158" s="11" t="s">
        <v>247</v>
      </c>
    </row>
    <row r="1159" spans="1:9" x14ac:dyDescent="0.15">
      <c r="A1159" s="10">
        <v>1158</v>
      </c>
      <c r="B1159" s="11" t="s">
        <v>9</v>
      </c>
      <c r="C1159" s="11" t="s">
        <v>253</v>
      </c>
      <c r="D1159" s="11" t="s">
        <v>254</v>
      </c>
      <c r="E1159" s="9" t="str">
        <f>+HYPERLINK("http://trademark.i-assist.jp/data/china/image_1903th/79268250.pdf", "79268250")</f>
        <v>79268250</v>
      </c>
      <c r="F1159" s="11" t="s">
        <v>3447</v>
      </c>
      <c r="G1159" s="11" t="s">
        <v>3448</v>
      </c>
      <c r="H1159" s="11" t="s">
        <v>3449</v>
      </c>
      <c r="I1159" s="11" t="s">
        <v>247</v>
      </c>
    </row>
    <row r="1160" spans="1:9" x14ac:dyDescent="0.15">
      <c r="A1160" s="10">
        <v>1159</v>
      </c>
      <c r="B1160" s="11" t="s">
        <v>9</v>
      </c>
      <c r="C1160" s="11" t="s">
        <v>253</v>
      </c>
      <c r="D1160" s="11" t="s">
        <v>254</v>
      </c>
      <c r="E1160" s="9" t="str">
        <f>+HYPERLINK("http://trademark.i-assist.jp/data/china/image_1903th/79268411.pdf", "79268411")</f>
        <v>79268411</v>
      </c>
      <c r="F1160" s="11" t="s">
        <v>3450</v>
      </c>
      <c r="G1160" s="11" t="s">
        <v>3451</v>
      </c>
      <c r="H1160" s="11" t="s">
        <v>3452</v>
      </c>
      <c r="I1160" s="11" t="s">
        <v>247</v>
      </c>
    </row>
    <row r="1161" spans="1:9" x14ac:dyDescent="0.15">
      <c r="A1161" s="10">
        <v>1160</v>
      </c>
      <c r="B1161" s="11" t="s">
        <v>9</v>
      </c>
      <c r="C1161" s="11" t="s">
        <v>253</v>
      </c>
      <c r="D1161" s="11" t="s">
        <v>254</v>
      </c>
      <c r="E1161" s="9" t="str">
        <f>+HYPERLINK("http://trademark.i-assist.jp/data/china/image_1903th/79268457.pdf", "79268457")</f>
        <v>79268457</v>
      </c>
      <c r="F1161" s="11" t="s">
        <v>3453</v>
      </c>
      <c r="G1161" s="11" t="s">
        <v>3454</v>
      </c>
      <c r="H1161" s="11" t="s">
        <v>3455</v>
      </c>
      <c r="I1161" s="11" t="s">
        <v>247</v>
      </c>
    </row>
    <row r="1162" spans="1:9" x14ac:dyDescent="0.15">
      <c r="A1162" s="10">
        <v>1161</v>
      </c>
      <c r="B1162" s="11" t="s">
        <v>9</v>
      </c>
      <c r="C1162" s="11" t="s">
        <v>253</v>
      </c>
      <c r="D1162" s="11" t="s">
        <v>254</v>
      </c>
      <c r="E1162" s="9" t="str">
        <f>+HYPERLINK("http://trademark.i-assist.jp/data/china/image_1903th/79268474.pdf", "79268474")</f>
        <v>79268474</v>
      </c>
      <c r="F1162" s="11" t="s">
        <v>3456</v>
      </c>
      <c r="G1162" s="11" t="s">
        <v>3454</v>
      </c>
      <c r="H1162" s="11" t="s">
        <v>3457</v>
      </c>
      <c r="I1162" s="11" t="s">
        <v>247</v>
      </c>
    </row>
    <row r="1163" spans="1:9" x14ac:dyDescent="0.15">
      <c r="A1163" s="10">
        <v>1162</v>
      </c>
      <c r="B1163" s="11" t="s">
        <v>9</v>
      </c>
      <c r="C1163" s="11" t="s">
        <v>253</v>
      </c>
      <c r="D1163" s="11" t="s">
        <v>254</v>
      </c>
      <c r="E1163" s="9" t="str">
        <f>+HYPERLINK("http://trademark.i-assist.jp/data/china/image_1903th/79268728.pdf", "79268728")</f>
        <v>79268728</v>
      </c>
      <c r="F1163" s="11" t="s">
        <v>3458</v>
      </c>
      <c r="G1163" s="11" t="s">
        <v>3459</v>
      </c>
      <c r="H1163" s="11" t="s">
        <v>3460</v>
      </c>
      <c r="I1163" s="11" t="s">
        <v>247</v>
      </c>
    </row>
    <row r="1164" spans="1:9" x14ac:dyDescent="0.15">
      <c r="A1164" s="10">
        <v>1163</v>
      </c>
      <c r="B1164" s="11" t="s">
        <v>9</v>
      </c>
      <c r="C1164" s="11" t="s">
        <v>253</v>
      </c>
      <c r="D1164" s="11" t="s">
        <v>254</v>
      </c>
      <c r="E1164" s="9" t="str">
        <f>+HYPERLINK("http://trademark.i-assist.jp/data/china/image_1903th/79268789.pdf", "79268789")</f>
        <v>79268789</v>
      </c>
      <c r="F1164" s="11" t="s">
        <v>3461</v>
      </c>
      <c r="G1164" s="11" t="s">
        <v>3462</v>
      </c>
      <c r="H1164" s="11" t="s">
        <v>3463</v>
      </c>
      <c r="I1164" s="11" t="s">
        <v>247</v>
      </c>
    </row>
    <row r="1165" spans="1:9" x14ac:dyDescent="0.15">
      <c r="A1165" s="10">
        <v>1164</v>
      </c>
      <c r="B1165" s="11" t="s">
        <v>9</v>
      </c>
      <c r="C1165" s="11" t="s">
        <v>253</v>
      </c>
      <c r="D1165" s="11" t="s">
        <v>254</v>
      </c>
      <c r="E1165" s="9" t="str">
        <f>+HYPERLINK("http://trademark.i-assist.jp/data/china/image_1903th/79269030.pdf", "79269030")</f>
        <v>79269030</v>
      </c>
      <c r="F1165" s="11" t="s">
        <v>3464</v>
      </c>
      <c r="G1165" s="11" t="s">
        <v>3465</v>
      </c>
      <c r="H1165" s="11" t="s">
        <v>3466</v>
      </c>
      <c r="I1165" s="11" t="s">
        <v>247</v>
      </c>
    </row>
    <row r="1166" spans="1:9" x14ac:dyDescent="0.15">
      <c r="A1166" s="10">
        <v>1165</v>
      </c>
      <c r="B1166" s="11" t="s">
        <v>9</v>
      </c>
      <c r="C1166" s="11" t="s">
        <v>253</v>
      </c>
      <c r="D1166" s="11" t="s">
        <v>254</v>
      </c>
      <c r="E1166" s="9" t="str">
        <f>+HYPERLINK("http://trademark.i-assist.jp/data/china/image_1903th/79269361.pdf", "79269361")</f>
        <v>79269361</v>
      </c>
      <c r="F1166" s="11" t="s">
        <v>3467</v>
      </c>
      <c r="G1166" s="11" t="s">
        <v>3468</v>
      </c>
      <c r="H1166" s="11" t="s">
        <v>3469</v>
      </c>
      <c r="I1166" s="11" t="s">
        <v>247</v>
      </c>
    </row>
    <row r="1167" spans="1:9" x14ac:dyDescent="0.15">
      <c r="A1167" s="10">
        <v>1166</v>
      </c>
      <c r="B1167" s="11" t="s">
        <v>9</v>
      </c>
      <c r="C1167" s="11" t="s">
        <v>253</v>
      </c>
      <c r="D1167" s="11" t="s">
        <v>254</v>
      </c>
      <c r="E1167" s="9" t="str">
        <f>+HYPERLINK("http://trademark.i-assist.jp/data/china/image_1903th/79269623.pdf", "79269623")</f>
        <v>79269623</v>
      </c>
      <c r="F1167" s="11" t="s">
        <v>3470</v>
      </c>
      <c r="G1167" s="11" t="s">
        <v>3471</v>
      </c>
      <c r="H1167" s="11" t="s">
        <v>3472</v>
      </c>
      <c r="I1167" s="11" t="s">
        <v>247</v>
      </c>
    </row>
    <row r="1168" spans="1:9" x14ac:dyDescent="0.15">
      <c r="A1168" s="10">
        <v>1167</v>
      </c>
      <c r="B1168" s="11" t="s">
        <v>9</v>
      </c>
      <c r="C1168" s="11" t="s">
        <v>253</v>
      </c>
      <c r="D1168" s="11" t="s">
        <v>254</v>
      </c>
      <c r="E1168" s="9" t="str">
        <f>+HYPERLINK("http://trademark.i-assist.jp/data/china/image_1903th/79269707.pdf", "79269707")</f>
        <v>79269707</v>
      </c>
      <c r="F1168" s="11" t="s">
        <v>3473</v>
      </c>
      <c r="G1168" s="11" t="s">
        <v>3474</v>
      </c>
      <c r="H1168" s="11" t="s">
        <v>3475</v>
      </c>
      <c r="I1168" s="11" t="s">
        <v>247</v>
      </c>
    </row>
    <row r="1169" spans="1:9" x14ac:dyDescent="0.15">
      <c r="A1169" s="10">
        <v>1168</v>
      </c>
      <c r="B1169" s="11" t="s">
        <v>9</v>
      </c>
      <c r="C1169" s="11" t="s">
        <v>253</v>
      </c>
      <c r="D1169" s="11" t="s">
        <v>254</v>
      </c>
      <c r="E1169" s="9" t="str">
        <f>+HYPERLINK("http://trademark.i-assist.jp/data/china/image_1903th/79269987.pdf", "79269987")</f>
        <v>79269987</v>
      </c>
      <c r="F1169" s="11" t="s">
        <v>3476</v>
      </c>
      <c r="G1169" s="11" t="s">
        <v>3477</v>
      </c>
      <c r="H1169" s="11" t="s">
        <v>3478</v>
      </c>
      <c r="I1169" s="11" t="s">
        <v>247</v>
      </c>
    </row>
    <row r="1170" spans="1:9" x14ac:dyDescent="0.15">
      <c r="A1170" s="10">
        <v>1169</v>
      </c>
      <c r="B1170" s="11" t="s">
        <v>9</v>
      </c>
      <c r="C1170" s="11" t="s">
        <v>253</v>
      </c>
      <c r="D1170" s="11" t="s">
        <v>254</v>
      </c>
      <c r="E1170" s="9" t="str">
        <f>+HYPERLINK("http://trademark.i-assist.jp/data/china/image_1903th/79270139.pdf", "79270139")</f>
        <v>79270139</v>
      </c>
      <c r="F1170" s="11" t="s">
        <v>3479</v>
      </c>
      <c r="G1170" s="11" t="s">
        <v>3287</v>
      </c>
      <c r="H1170" s="11" t="s">
        <v>3480</v>
      </c>
      <c r="I1170" s="11" t="s">
        <v>247</v>
      </c>
    </row>
    <row r="1171" spans="1:9" x14ac:dyDescent="0.15">
      <c r="A1171" s="10">
        <v>1170</v>
      </c>
      <c r="B1171" s="11" t="s">
        <v>9</v>
      </c>
      <c r="C1171" s="11" t="s">
        <v>253</v>
      </c>
      <c r="D1171" s="11" t="s">
        <v>254</v>
      </c>
      <c r="E1171" s="9" t="str">
        <f>+HYPERLINK("http://trademark.i-assist.jp/data/china/image_1903th/79270424.pdf", "79270424")</f>
        <v>79270424</v>
      </c>
      <c r="F1171" s="11" t="s">
        <v>3481</v>
      </c>
      <c r="G1171" s="11" t="s">
        <v>3482</v>
      </c>
      <c r="H1171" s="11" t="s">
        <v>3483</v>
      </c>
      <c r="I1171" s="11" t="s">
        <v>247</v>
      </c>
    </row>
    <row r="1172" spans="1:9" x14ac:dyDescent="0.15">
      <c r="A1172" s="10">
        <v>1171</v>
      </c>
      <c r="B1172" s="11" t="s">
        <v>9</v>
      </c>
      <c r="C1172" s="11" t="s">
        <v>253</v>
      </c>
      <c r="D1172" s="11" t="s">
        <v>254</v>
      </c>
      <c r="E1172" s="9" t="str">
        <f>+HYPERLINK("http://trademark.i-assist.jp/data/china/image_1903th/79271558.pdf", "79271558")</f>
        <v>79271558</v>
      </c>
      <c r="F1172" s="11" t="s">
        <v>3484</v>
      </c>
      <c r="G1172" s="11" t="s">
        <v>3485</v>
      </c>
      <c r="H1172" s="11" t="s">
        <v>3486</v>
      </c>
      <c r="I1172" s="11" t="s">
        <v>249</v>
      </c>
    </row>
    <row r="1173" spans="1:9" x14ac:dyDescent="0.15">
      <c r="A1173" s="10">
        <v>1172</v>
      </c>
      <c r="B1173" s="11" t="s">
        <v>9</v>
      </c>
      <c r="C1173" s="11" t="s">
        <v>253</v>
      </c>
      <c r="D1173" s="11" t="s">
        <v>254</v>
      </c>
      <c r="E1173" s="9" t="str">
        <f>+HYPERLINK("http://trademark.i-assist.jp/data/china/image_1903th/79271572.pdf", "79271572")</f>
        <v>79271572</v>
      </c>
      <c r="F1173" s="11" t="s">
        <v>3487</v>
      </c>
      <c r="G1173" s="11" t="s">
        <v>3488</v>
      </c>
      <c r="H1173" s="11" t="s">
        <v>3489</v>
      </c>
      <c r="I1173" s="11" t="s">
        <v>249</v>
      </c>
    </row>
    <row r="1174" spans="1:9" x14ac:dyDescent="0.15">
      <c r="A1174" s="10">
        <v>1173</v>
      </c>
      <c r="B1174" s="11" t="s">
        <v>9</v>
      </c>
      <c r="C1174" s="11" t="s">
        <v>253</v>
      </c>
      <c r="D1174" s="11" t="s">
        <v>254</v>
      </c>
      <c r="E1174" s="9" t="str">
        <f>+HYPERLINK("http://trademark.i-assist.jp/data/china/image_1903th/79271601.pdf", "79271601")</f>
        <v>79271601</v>
      </c>
      <c r="F1174" s="11" t="s">
        <v>3490</v>
      </c>
      <c r="G1174" s="11" t="s">
        <v>3491</v>
      </c>
      <c r="H1174" s="11" t="s">
        <v>20</v>
      </c>
      <c r="I1174" s="11" t="s">
        <v>249</v>
      </c>
    </row>
    <row r="1175" spans="1:9" x14ac:dyDescent="0.15">
      <c r="A1175" s="10">
        <v>1174</v>
      </c>
      <c r="B1175" s="11" t="s">
        <v>9</v>
      </c>
      <c r="C1175" s="11" t="s">
        <v>253</v>
      </c>
      <c r="D1175" s="11" t="s">
        <v>254</v>
      </c>
      <c r="E1175" s="9" t="str">
        <f>+HYPERLINK("http://trademark.i-assist.jp/data/china/image_1903th/79271786.pdf", "79271786")</f>
        <v>79271786</v>
      </c>
      <c r="F1175" s="11" t="s">
        <v>3492</v>
      </c>
      <c r="G1175" s="11" t="s">
        <v>3493</v>
      </c>
      <c r="H1175" s="11" t="s">
        <v>3494</v>
      </c>
      <c r="I1175" s="11" t="s">
        <v>249</v>
      </c>
    </row>
    <row r="1176" spans="1:9" x14ac:dyDescent="0.15">
      <c r="A1176" s="10">
        <v>1175</v>
      </c>
      <c r="B1176" s="11" t="s">
        <v>9</v>
      </c>
      <c r="C1176" s="11" t="s">
        <v>253</v>
      </c>
      <c r="D1176" s="11" t="s">
        <v>254</v>
      </c>
      <c r="E1176" s="9" t="str">
        <f>+HYPERLINK("http://trademark.i-assist.jp/data/china/image_1903th/79272708.pdf", "79272708")</f>
        <v>79272708</v>
      </c>
      <c r="F1176" s="11" t="s">
        <v>3495</v>
      </c>
      <c r="G1176" s="11" t="s">
        <v>3496</v>
      </c>
      <c r="H1176" s="11" t="s">
        <v>3497</v>
      </c>
      <c r="I1176" s="11" t="s">
        <v>249</v>
      </c>
    </row>
    <row r="1177" spans="1:9" x14ac:dyDescent="0.15">
      <c r="A1177" s="10">
        <v>1176</v>
      </c>
      <c r="B1177" s="11" t="s">
        <v>9</v>
      </c>
      <c r="C1177" s="11" t="s">
        <v>253</v>
      </c>
      <c r="D1177" s="11" t="s">
        <v>254</v>
      </c>
      <c r="E1177" s="9" t="str">
        <f>+HYPERLINK("http://trademark.i-assist.jp/data/china/image_1903th/79273099.pdf", "79273099")</f>
        <v>79273099</v>
      </c>
      <c r="F1177" s="11" t="s">
        <v>3498</v>
      </c>
      <c r="G1177" s="11" t="s">
        <v>3212</v>
      </c>
      <c r="H1177" s="11" t="s">
        <v>3499</v>
      </c>
      <c r="I1177" s="11" t="s">
        <v>249</v>
      </c>
    </row>
    <row r="1178" spans="1:9" x14ac:dyDescent="0.15">
      <c r="A1178" s="10">
        <v>1177</v>
      </c>
      <c r="B1178" s="11" t="s">
        <v>9</v>
      </c>
      <c r="C1178" s="11" t="s">
        <v>253</v>
      </c>
      <c r="D1178" s="11" t="s">
        <v>254</v>
      </c>
      <c r="E1178" s="9" t="str">
        <f>+HYPERLINK("http://trademark.i-assist.jp/data/china/image_1903th/79273248.pdf", "79273248")</f>
        <v>79273248</v>
      </c>
      <c r="F1178" s="11" t="s">
        <v>3500</v>
      </c>
      <c r="G1178" s="11" t="s">
        <v>25</v>
      </c>
      <c r="H1178" s="11" t="s">
        <v>3501</v>
      </c>
      <c r="I1178" s="11" t="s">
        <v>249</v>
      </c>
    </row>
    <row r="1179" spans="1:9" x14ac:dyDescent="0.15">
      <c r="A1179" s="10">
        <v>1178</v>
      </c>
      <c r="B1179" s="11" t="s">
        <v>9</v>
      </c>
      <c r="C1179" s="11" t="s">
        <v>253</v>
      </c>
      <c r="D1179" s="11" t="s">
        <v>254</v>
      </c>
      <c r="E1179" s="9" t="str">
        <f>+HYPERLINK("http://trademark.i-assist.jp/data/china/image_1903th/79273389.pdf", "79273389")</f>
        <v>79273389</v>
      </c>
      <c r="F1179" s="11" t="s">
        <v>3502</v>
      </c>
      <c r="G1179" s="11" t="s">
        <v>133</v>
      </c>
      <c r="H1179" s="11" t="s">
        <v>3503</v>
      </c>
      <c r="I1179" s="11" t="s">
        <v>249</v>
      </c>
    </row>
    <row r="1180" spans="1:9" x14ac:dyDescent="0.15">
      <c r="A1180" s="10">
        <v>1179</v>
      </c>
      <c r="B1180" s="11" t="s">
        <v>9</v>
      </c>
      <c r="C1180" s="11" t="s">
        <v>253</v>
      </c>
      <c r="D1180" s="11" t="s">
        <v>254</v>
      </c>
      <c r="E1180" s="9" t="str">
        <f>+HYPERLINK("http://trademark.i-assist.jp/data/china/image_1903th/79273818.pdf", "79273818")</f>
        <v>79273818</v>
      </c>
      <c r="F1180" s="11" t="s">
        <v>3504</v>
      </c>
      <c r="G1180" s="11" t="s">
        <v>3505</v>
      </c>
      <c r="H1180" s="11" t="s">
        <v>3506</v>
      </c>
      <c r="I1180" s="11" t="s">
        <v>249</v>
      </c>
    </row>
    <row r="1181" spans="1:9" x14ac:dyDescent="0.15">
      <c r="A1181" s="10">
        <v>1180</v>
      </c>
      <c r="B1181" s="11" t="s">
        <v>9</v>
      </c>
      <c r="C1181" s="11" t="s">
        <v>253</v>
      </c>
      <c r="D1181" s="11" t="s">
        <v>254</v>
      </c>
      <c r="E1181" s="9" t="str">
        <f>+HYPERLINK("http://trademark.i-assist.jp/data/china/image_1903th/79273884.pdf", "79273884")</f>
        <v>79273884</v>
      </c>
      <c r="F1181" s="11" t="s">
        <v>3507</v>
      </c>
      <c r="G1181" s="11" t="s">
        <v>3508</v>
      </c>
      <c r="H1181" s="11" t="s">
        <v>3509</v>
      </c>
      <c r="I1181" s="11" t="s">
        <v>249</v>
      </c>
    </row>
    <row r="1182" spans="1:9" x14ac:dyDescent="0.15">
      <c r="A1182" s="10">
        <v>1181</v>
      </c>
      <c r="B1182" s="11" t="s">
        <v>9</v>
      </c>
      <c r="C1182" s="11" t="s">
        <v>253</v>
      </c>
      <c r="D1182" s="11" t="s">
        <v>254</v>
      </c>
      <c r="E1182" s="9" t="str">
        <f>+HYPERLINK("http://trademark.i-assist.jp/data/china/image_1903th/79274141.pdf", "79274141")</f>
        <v>79274141</v>
      </c>
      <c r="F1182" s="11" t="s">
        <v>3510</v>
      </c>
      <c r="G1182" s="11" t="s">
        <v>3511</v>
      </c>
      <c r="H1182" s="11" t="s">
        <v>3512</v>
      </c>
      <c r="I1182" s="11" t="s">
        <v>249</v>
      </c>
    </row>
    <row r="1183" spans="1:9" x14ac:dyDescent="0.15">
      <c r="A1183" s="10">
        <v>1182</v>
      </c>
      <c r="B1183" s="11" t="s">
        <v>9</v>
      </c>
      <c r="C1183" s="11" t="s">
        <v>253</v>
      </c>
      <c r="D1183" s="11" t="s">
        <v>254</v>
      </c>
      <c r="E1183" s="9" t="str">
        <f>+HYPERLINK("http://trademark.i-assist.jp/data/china/image_1903th/79274663.pdf", "79274663")</f>
        <v>79274663</v>
      </c>
      <c r="F1183" s="11" t="s">
        <v>3513</v>
      </c>
      <c r="G1183" s="11" t="s">
        <v>3514</v>
      </c>
      <c r="H1183" s="11" t="s">
        <v>3515</v>
      </c>
      <c r="I1183" s="11" t="s">
        <v>249</v>
      </c>
    </row>
    <row r="1184" spans="1:9" x14ac:dyDescent="0.15">
      <c r="A1184" s="10">
        <v>1183</v>
      </c>
      <c r="B1184" s="11" t="s">
        <v>9</v>
      </c>
      <c r="C1184" s="11" t="s">
        <v>253</v>
      </c>
      <c r="D1184" s="11" t="s">
        <v>254</v>
      </c>
      <c r="E1184" s="9" t="str">
        <f>+HYPERLINK("http://trademark.i-assist.jp/data/china/image_1903th/79275220.pdf", "79275220")</f>
        <v>79275220</v>
      </c>
      <c r="F1184" s="11" t="s">
        <v>3516</v>
      </c>
      <c r="G1184" s="11" t="s">
        <v>3517</v>
      </c>
      <c r="H1184" s="11" t="s">
        <v>3518</v>
      </c>
      <c r="I1184" s="11" t="s">
        <v>249</v>
      </c>
    </row>
    <row r="1185" spans="1:9" x14ac:dyDescent="0.15">
      <c r="A1185" s="10">
        <v>1184</v>
      </c>
      <c r="B1185" s="11" t="s">
        <v>9</v>
      </c>
      <c r="C1185" s="11" t="s">
        <v>253</v>
      </c>
      <c r="D1185" s="11" t="s">
        <v>254</v>
      </c>
      <c r="E1185" s="9" t="str">
        <f>+HYPERLINK("http://trademark.i-assist.jp/data/china/image_1903th/79275258.pdf", "79275258")</f>
        <v>79275258</v>
      </c>
      <c r="F1185" s="11" t="s">
        <v>3519</v>
      </c>
      <c r="G1185" s="11" t="s">
        <v>3520</v>
      </c>
      <c r="H1185" s="11" t="s">
        <v>3521</v>
      </c>
      <c r="I1185" s="11" t="s">
        <v>249</v>
      </c>
    </row>
    <row r="1186" spans="1:9" x14ac:dyDescent="0.15">
      <c r="A1186" s="10">
        <v>1185</v>
      </c>
      <c r="B1186" s="11" t="s">
        <v>9</v>
      </c>
      <c r="C1186" s="11" t="s">
        <v>253</v>
      </c>
      <c r="D1186" s="11" t="s">
        <v>254</v>
      </c>
      <c r="E1186" s="9" t="str">
        <f>+HYPERLINK("http://trademark.i-assist.jp/data/china/image_1903th/79275648.pdf", "79275648")</f>
        <v>79275648</v>
      </c>
      <c r="F1186" s="11" t="s">
        <v>3522</v>
      </c>
      <c r="G1186" s="11" t="s">
        <v>3523</v>
      </c>
      <c r="H1186" s="11" t="s">
        <v>3524</v>
      </c>
      <c r="I1186" s="11" t="s">
        <v>249</v>
      </c>
    </row>
    <row r="1187" spans="1:9" x14ac:dyDescent="0.15">
      <c r="A1187" s="10">
        <v>1186</v>
      </c>
      <c r="B1187" s="11" t="s">
        <v>9</v>
      </c>
      <c r="C1187" s="11" t="s">
        <v>253</v>
      </c>
      <c r="D1187" s="11" t="s">
        <v>254</v>
      </c>
      <c r="E1187" s="9" t="str">
        <f>+HYPERLINK("http://trademark.i-assist.jp/data/china/image_1903th/79275780.pdf", "79275780")</f>
        <v>79275780</v>
      </c>
      <c r="F1187" s="11" t="s">
        <v>3525</v>
      </c>
      <c r="G1187" s="11" t="s">
        <v>115</v>
      </c>
      <c r="H1187" s="11" t="s">
        <v>3526</v>
      </c>
      <c r="I1187" s="11" t="s">
        <v>249</v>
      </c>
    </row>
    <row r="1188" spans="1:9" x14ac:dyDescent="0.15">
      <c r="A1188" s="10">
        <v>1187</v>
      </c>
      <c r="B1188" s="11" t="s">
        <v>9</v>
      </c>
      <c r="C1188" s="11" t="s">
        <v>253</v>
      </c>
      <c r="D1188" s="11" t="s">
        <v>254</v>
      </c>
      <c r="E1188" s="9" t="str">
        <f>+HYPERLINK("http://trademark.i-assist.jp/data/china/image_1903th/79276043.pdf", "79276043")</f>
        <v>79276043</v>
      </c>
      <c r="F1188" s="11" t="s">
        <v>3527</v>
      </c>
      <c r="G1188" s="11" t="s">
        <v>3528</v>
      </c>
      <c r="H1188" s="11" t="s">
        <v>3529</v>
      </c>
      <c r="I1188" s="11" t="s">
        <v>249</v>
      </c>
    </row>
    <row r="1189" spans="1:9" x14ac:dyDescent="0.15">
      <c r="A1189" s="10">
        <v>1188</v>
      </c>
      <c r="B1189" s="11" t="s">
        <v>9</v>
      </c>
      <c r="C1189" s="11" t="s">
        <v>253</v>
      </c>
      <c r="D1189" s="11" t="s">
        <v>254</v>
      </c>
      <c r="E1189" s="9" t="str">
        <f>+HYPERLINK("http://trademark.i-assist.jp/data/china/image_1903th/79276113.pdf", "79276113")</f>
        <v>79276113</v>
      </c>
      <c r="F1189" s="11" t="s">
        <v>3530</v>
      </c>
      <c r="G1189" s="11" t="s">
        <v>3531</v>
      </c>
      <c r="H1189" s="11" t="s">
        <v>3532</v>
      </c>
      <c r="I1189" s="11" t="s">
        <v>249</v>
      </c>
    </row>
    <row r="1190" spans="1:9" x14ac:dyDescent="0.15">
      <c r="A1190" s="10">
        <v>1189</v>
      </c>
      <c r="B1190" s="11" t="s">
        <v>9</v>
      </c>
      <c r="C1190" s="11" t="s">
        <v>253</v>
      </c>
      <c r="D1190" s="11" t="s">
        <v>254</v>
      </c>
      <c r="E1190" s="9" t="str">
        <f>+HYPERLINK("http://trademark.i-assist.jp/data/china/image_1903th/79276223.pdf", "79276223")</f>
        <v>79276223</v>
      </c>
      <c r="F1190" s="11" t="s">
        <v>3533</v>
      </c>
      <c r="G1190" s="11" t="s">
        <v>3493</v>
      </c>
      <c r="H1190" s="11" t="s">
        <v>3534</v>
      </c>
      <c r="I1190" s="11" t="s">
        <v>249</v>
      </c>
    </row>
    <row r="1191" spans="1:9" x14ac:dyDescent="0.15">
      <c r="A1191" s="10">
        <v>1190</v>
      </c>
      <c r="B1191" s="11" t="s">
        <v>9</v>
      </c>
      <c r="C1191" s="11" t="s">
        <v>253</v>
      </c>
      <c r="D1191" s="11" t="s">
        <v>254</v>
      </c>
      <c r="E1191" s="9" t="str">
        <f>+HYPERLINK("http://trademark.i-assist.jp/data/china/image_1903th/79276395.pdf", "79276395")</f>
        <v>79276395</v>
      </c>
      <c r="F1191" s="11" t="s">
        <v>3535</v>
      </c>
      <c r="G1191" s="11" t="s">
        <v>3536</v>
      </c>
      <c r="H1191" s="11" t="s">
        <v>3537</v>
      </c>
      <c r="I1191" s="11" t="s">
        <v>249</v>
      </c>
    </row>
    <row r="1192" spans="1:9" x14ac:dyDescent="0.15">
      <c r="A1192" s="10">
        <v>1191</v>
      </c>
      <c r="B1192" s="11" t="s">
        <v>9</v>
      </c>
      <c r="C1192" s="11" t="s">
        <v>253</v>
      </c>
      <c r="D1192" s="11" t="s">
        <v>254</v>
      </c>
      <c r="E1192" s="9" t="str">
        <f>+HYPERLINK("http://trademark.i-assist.jp/data/china/image_1903th/79276517.pdf", "79276517")</f>
        <v>79276517</v>
      </c>
      <c r="F1192" s="11" t="s">
        <v>3538</v>
      </c>
      <c r="G1192" s="11" t="s">
        <v>3539</v>
      </c>
      <c r="H1192" s="11" t="s">
        <v>16</v>
      </c>
      <c r="I1192" s="11" t="s">
        <v>249</v>
      </c>
    </row>
    <row r="1193" spans="1:9" x14ac:dyDescent="0.15">
      <c r="A1193" s="10">
        <v>1192</v>
      </c>
      <c r="B1193" s="11" t="s">
        <v>9</v>
      </c>
      <c r="C1193" s="11" t="s">
        <v>253</v>
      </c>
      <c r="D1193" s="11" t="s">
        <v>254</v>
      </c>
      <c r="E1193" s="9" t="str">
        <f>+HYPERLINK("http://trademark.i-assist.jp/data/china/image_1903th/79276564.pdf", "79276564")</f>
        <v>79276564</v>
      </c>
      <c r="F1193" s="11" t="s">
        <v>3540</v>
      </c>
      <c r="G1193" s="11" t="s">
        <v>3541</v>
      </c>
      <c r="H1193" s="11" t="s">
        <v>3542</v>
      </c>
      <c r="I1193" s="11" t="s">
        <v>249</v>
      </c>
    </row>
    <row r="1194" spans="1:9" x14ac:dyDescent="0.15">
      <c r="A1194" s="10">
        <v>1193</v>
      </c>
      <c r="B1194" s="11" t="s">
        <v>9</v>
      </c>
      <c r="C1194" s="11" t="s">
        <v>253</v>
      </c>
      <c r="D1194" s="11" t="s">
        <v>254</v>
      </c>
      <c r="E1194" s="9" t="str">
        <f>+HYPERLINK("http://trademark.i-assist.jp/data/china/image_1903th/79276773.pdf", "79276773")</f>
        <v>79276773</v>
      </c>
      <c r="F1194" s="11" t="s">
        <v>3543</v>
      </c>
      <c r="G1194" s="11" t="s">
        <v>3544</v>
      </c>
      <c r="H1194" s="11" t="s">
        <v>3545</v>
      </c>
      <c r="I1194" s="11" t="s">
        <v>249</v>
      </c>
    </row>
    <row r="1195" spans="1:9" x14ac:dyDescent="0.15">
      <c r="A1195" s="10">
        <v>1194</v>
      </c>
      <c r="B1195" s="11" t="s">
        <v>9</v>
      </c>
      <c r="C1195" s="11" t="s">
        <v>253</v>
      </c>
      <c r="D1195" s="11" t="s">
        <v>254</v>
      </c>
      <c r="E1195" s="9" t="str">
        <f>+HYPERLINK("http://trademark.i-assist.jp/data/china/image_1903th/79276882.pdf", "79276882")</f>
        <v>79276882</v>
      </c>
      <c r="F1195" s="11" t="s">
        <v>3546</v>
      </c>
      <c r="G1195" s="11" t="s">
        <v>3547</v>
      </c>
      <c r="H1195" s="11" t="s">
        <v>3548</v>
      </c>
      <c r="I1195" s="11" t="s">
        <v>249</v>
      </c>
    </row>
    <row r="1196" spans="1:9" x14ac:dyDescent="0.15">
      <c r="A1196" s="10">
        <v>1195</v>
      </c>
      <c r="B1196" s="11" t="s">
        <v>9</v>
      </c>
      <c r="C1196" s="11" t="s">
        <v>253</v>
      </c>
      <c r="D1196" s="11" t="s">
        <v>254</v>
      </c>
      <c r="E1196" s="9" t="str">
        <f>+HYPERLINK("http://trademark.i-assist.jp/data/china/image_1903th/79276937.pdf", "79276937")</f>
        <v>79276937</v>
      </c>
      <c r="F1196" s="11" t="s">
        <v>3549</v>
      </c>
      <c r="G1196" s="11" t="s">
        <v>3550</v>
      </c>
      <c r="H1196" s="11" t="s">
        <v>3551</v>
      </c>
      <c r="I1196" s="11" t="s">
        <v>249</v>
      </c>
    </row>
    <row r="1197" spans="1:9" x14ac:dyDescent="0.15">
      <c r="A1197" s="10">
        <v>1196</v>
      </c>
      <c r="B1197" s="11" t="s">
        <v>9</v>
      </c>
      <c r="C1197" s="11" t="s">
        <v>253</v>
      </c>
      <c r="D1197" s="11" t="s">
        <v>254</v>
      </c>
      <c r="E1197" s="9" t="str">
        <f>+HYPERLINK("http://trademark.i-assist.jp/data/china/image_1903th/79277052.pdf", "79277052")</f>
        <v>79277052</v>
      </c>
      <c r="F1197" s="11" t="s">
        <v>3552</v>
      </c>
      <c r="G1197" s="11" t="s">
        <v>3539</v>
      </c>
      <c r="H1197" s="11" t="s">
        <v>3553</v>
      </c>
      <c r="I1197" s="11" t="s">
        <v>249</v>
      </c>
    </row>
    <row r="1198" spans="1:9" x14ac:dyDescent="0.15">
      <c r="A1198" s="10">
        <v>1197</v>
      </c>
      <c r="B1198" s="11" t="s">
        <v>9</v>
      </c>
      <c r="C1198" s="11" t="s">
        <v>253</v>
      </c>
      <c r="D1198" s="11" t="s">
        <v>254</v>
      </c>
      <c r="E1198" s="9" t="str">
        <f>+HYPERLINK("http://trademark.i-assist.jp/data/china/image_1903th/79277371.pdf", "79277371")</f>
        <v>79277371</v>
      </c>
      <c r="F1198" s="11" t="s">
        <v>3554</v>
      </c>
      <c r="G1198" s="11" t="s">
        <v>2720</v>
      </c>
      <c r="H1198" s="11" t="s">
        <v>3555</v>
      </c>
      <c r="I1198" s="11" t="s">
        <v>249</v>
      </c>
    </row>
    <row r="1199" spans="1:9" x14ac:dyDescent="0.15">
      <c r="A1199" s="10">
        <v>1198</v>
      </c>
      <c r="B1199" s="11" t="s">
        <v>9</v>
      </c>
      <c r="C1199" s="11" t="s">
        <v>253</v>
      </c>
      <c r="D1199" s="11" t="s">
        <v>254</v>
      </c>
      <c r="E1199" s="9" t="str">
        <f>+HYPERLINK("http://trademark.i-assist.jp/data/china/image_1903th/79277955.pdf", "79277955")</f>
        <v>79277955</v>
      </c>
      <c r="F1199" s="11" t="s">
        <v>3556</v>
      </c>
      <c r="G1199" s="11" t="s">
        <v>112</v>
      </c>
      <c r="H1199" s="11" t="s">
        <v>3557</v>
      </c>
      <c r="I1199" s="11" t="s">
        <v>249</v>
      </c>
    </row>
    <row r="1200" spans="1:9" x14ac:dyDescent="0.15">
      <c r="A1200" s="10">
        <v>1199</v>
      </c>
      <c r="B1200" s="11" t="s">
        <v>9</v>
      </c>
      <c r="C1200" s="11" t="s">
        <v>253</v>
      </c>
      <c r="D1200" s="11" t="s">
        <v>254</v>
      </c>
      <c r="E1200" s="9" t="str">
        <f>+HYPERLINK("http://trademark.i-assist.jp/data/china/image_1903th/79278071.pdf", "79278071")</f>
        <v>79278071</v>
      </c>
      <c r="F1200" s="11" t="s">
        <v>3558</v>
      </c>
      <c r="G1200" s="11" t="s">
        <v>3559</v>
      </c>
      <c r="H1200" s="11" t="s">
        <v>3560</v>
      </c>
      <c r="I1200" s="11" t="s">
        <v>249</v>
      </c>
    </row>
    <row r="1201" spans="1:9" x14ac:dyDescent="0.15">
      <c r="A1201" s="10">
        <v>1200</v>
      </c>
      <c r="B1201" s="11" t="s">
        <v>9</v>
      </c>
      <c r="C1201" s="11" t="s">
        <v>253</v>
      </c>
      <c r="D1201" s="11" t="s">
        <v>254</v>
      </c>
      <c r="E1201" s="9" t="str">
        <f>+HYPERLINK("http://trademark.i-assist.jp/data/china/image_1903th/79278382.pdf", "79278382")</f>
        <v>79278382</v>
      </c>
      <c r="F1201" s="11" t="s">
        <v>3561</v>
      </c>
      <c r="G1201" s="11" t="s">
        <v>3562</v>
      </c>
      <c r="H1201" s="11" t="s">
        <v>3563</v>
      </c>
      <c r="I1201" s="11" t="s">
        <v>249</v>
      </c>
    </row>
    <row r="1202" spans="1:9" x14ac:dyDescent="0.15">
      <c r="A1202" s="10">
        <v>1201</v>
      </c>
      <c r="B1202" s="11" t="s">
        <v>9</v>
      </c>
      <c r="C1202" s="11" t="s">
        <v>253</v>
      </c>
      <c r="D1202" s="11" t="s">
        <v>254</v>
      </c>
      <c r="E1202" s="9" t="str">
        <f>+HYPERLINK("http://trademark.i-assist.jp/data/china/image_1903th/79278463.pdf", "79278463")</f>
        <v>79278463</v>
      </c>
      <c r="F1202" s="11" t="s">
        <v>3564</v>
      </c>
      <c r="G1202" s="11" t="s">
        <v>1414</v>
      </c>
      <c r="H1202" s="11" t="s">
        <v>3565</v>
      </c>
      <c r="I1202" s="11" t="s">
        <v>249</v>
      </c>
    </row>
    <row r="1203" spans="1:9" x14ac:dyDescent="0.15">
      <c r="A1203" s="10">
        <v>1202</v>
      </c>
      <c r="B1203" s="11" t="s">
        <v>9</v>
      </c>
      <c r="C1203" s="11" t="s">
        <v>253</v>
      </c>
      <c r="D1203" s="11" t="s">
        <v>254</v>
      </c>
      <c r="E1203" s="9" t="str">
        <f>+HYPERLINK("http://trademark.i-assist.jp/data/china/image_1903th/79278542.pdf", "79278542")</f>
        <v>79278542</v>
      </c>
      <c r="F1203" s="11" t="s">
        <v>12</v>
      </c>
      <c r="G1203" s="11" t="s">
        <v>3566</v>
      </c>
      <c r="H1203" s="11" t="s">
        <v>3567</v>
      </c>
      <c r="I1203" s="11" t="s">
        <v>249</v>
      </c>
    </row>
    <row r="1204" spans="1:9" x14ac:dyDescent="0.15">
      <c r="A1204" s="10">
        <v>1203</v>
      </c>
      <c r="B1204" s="11" t="s">
        <v>9</v>
      </c>
      <c r="C1204" s="11" t="s">
        <v>253</v>
      </c>
      <c r="D1204" s="11" t="s">
        <v>254</v>
      </c>
      <c r="E1204" s="9" t="str">
        <f>+HYPERLINK("http://trademark.i-assist.jp/data/china/image_1903th/79278639.pdf", "79278639")</f>
        <v>79278639</v>
      </c>
      <c r="F1204" s="11" t="s">
        <v>3568</v>
      </c>
      <c r="G1204" s="11" t="s">
        <v>3569</v>
      </c>
      <c r="H1204" s="11" t="s">
        <v>3570</v>
      </c>
      <c r="I1204" s="11" t="s">
        <v>249</v>
      </c>
    </row>
    <row r="1205" spans="1:9" x14ac:dyDescent="0.15">
      <c r="A1205" s="10">
        <v>1204</v>
      </c>
      <c r="B1205" s="11" t="s">
        <v>9</v>
      </c>
      <c r="C1205" s="11" t="s">
        <v>253</v>
      </c>
      <c r="D1205" s="11" t="s">
        <v>254</v>
      </c>
      <c r="E1205" s="9" t="str">
        <f>+HYPERLINK("http://trademark.i-assist.jp/data/china/image_1903th/79278642.pdf", "79278642")</f>
        <v>79278642</v>
      </c>
      <c r="F1205" s="11" t="s">
        <v>3571</v>
      </c>
      <c r="G1205" s="11" t="s">
        <v>3511</v>
      </c>
      <c r="H1205" s="11" t="s">
        <v>3572</v>
      </c>
      <c r="I1205" s="11" t="s">
        <v>249</v>
      </c>
    </row>
    <row r="1206" spans="1:9" x14ac:dyDescent="0.15">
      <c r="A1206" s="10">
        <v>1205</v>
      </c>
      <c r="B1206" s="11" t="s">
        <v>9</v>
      </c>
      <c r="C1206" s="11" t="s">
        <v>253</v>
      </c>
      <c r="D1206" s="11" t="s">
        <v>254</v>
      </c>
      <c r="E1206" s="9" t="str">
        <f>+HYPERLINK("http://trademark.i-assist.jp/data/china/image_1903th/79278707.pdf", "79278707")</f>
        <v>79278707</v>
      </c>
      <c r="F1206" s="11" t="s">
        <v>3573</v>
      </c>
      <c r="G1206" s="11" t="s">
        <v>3574</v>
      </c>
      <c r="H1206" s="11" t="s">
        <v>3575</v>
      </c>
      <c r="I1206" s="11" t="s">
        <v>249</v>
      </c>
    </row>
    <row r="1207" spans="1:9" x14ac:dyDescent="0.15">
      <c r="A1207" s="10">
        <v>1206</v>
      </c>
      <c r="B1207" s="11" t="s">
        <v>9</v>
      </c>
      <c r="C1207" s="11" t="s">
        <v>253</v>
      </c>
      <c r="D1207" s="11" t="s">
        <v>254</v>
      </c>
      <c r="E1207" s="9" t="str">
        <f>+HYPERLINK("http://trademark.i-assist.jp/data/china/image_1903th/79278861.pdf", "79278861")</f>
        <v>79278861</v>
      </c>
      <c r="F1207" s="11" t="s">
        <v>3576</v>
      </c>
      <c r="G1207" s="11" t="s">
        <v>3577</v>
      </c>
      <c r="H1207" s="11" t="s">
        <v>3578</v>
      </c>
      <c r="I1207" s="11" t="s">
        <v>249</v>
      </c>
    </row>
    <row r="1208" spans="1:9" x14ac:dyDescent="0.15">
      <c r="A1208" s="10">
        <v>1207</v>
      </c>
      <c r="B1208" s="11" t="s">
        <v>9</v>
      </c>
      <c r="C1208" s="11" t="s">
        <v>253</v>
      </c>
      <c r="D1208" s="11" t="s">
        <v>254</v>
      </c>
      <c r="E1208" s="9" t="str">
        <f>+HYPERLINK("http://trademark.i-assist.jp/data/china/image_1903th/79280393.pdf", "79280393")</f>
        <v>79280393</v>
      </c>
      <c r="F1208" s="11" t="s">
        <v>3579</v>
      </c>
      <c r="G1208" s="11" t="s">
        <v>3580</v>
      </c>
      <c r="H1208" s="11" t="s">
        <v>3581</v>
      </c>
      <c r="I1208" s="11" t="s">
        <v>249</v>
      </c>
    </row>
    <row r="1209" spans="1:9" x14ac:dyDescent="0.15">
      <c r="A1209" s="10">
        <v>1208</v>
      </c>
      <c r="B1209" s="11" t="s">
        <v>9</v>
      </c>
      <c r="C1209" s="11" t="s">
        <v>253</v>
      </c>
      <c r="D1209" s="11" t="s">
        <v>254</v>
      </c>
      <c r="E1209" s="9" t="str">
        <f>+HYPERLINK("http://trademark.i-assist.jp/data/china/image_1903th/79280570.pdf", "79280570")</f>
        <v>79280570</v>
      </c>
      <c r="F1209" s="11" t="s">
        <v>3582</v>
      </c>
      <c r="G1209" s="11" t="s">
        <v>3583</v>
      </c>
      <c r="H1209" s="11" t="s">
        <v>3584</v>
      </c>
      <c r="I1209" s="11" t="s">
        <v>249</v>
      </c>
    </row>
    <row r="1210" spans="1:9" x14ac:dyDescent="0.15">
      <c r="A1210" s="10">
        <v>1209</v>
      </c>
      <c r="B1210" s="11" t="s">
        <v>9</v>
      </c>
      <c r="C1210" s="11" t="s">
        <v>253</v>
      </c>
      <c r="D1210" s="11" t="s">
        <v>254</v>
      </c>
      <c r="E1210" s="9" t="str">
        <f>+HYPERLINK("http://trademark.i-assist.jp/data/china/image_1903th/79280701.pdf", "79280701")</f>
        <v>79280701</v>
      </c>
      <c r="F1210" s="11" t="s">
        <v>3585</v>
      </c>
      <c r="G1210" s="11" t="s">
        <v>3586</v>
      </c>
      <c r="H1210" s="11" t="s">
        <v>3587</v>
      </c>
      <c r="I1210" s="11" t="s">
        <v>249</v>
      </c>
    </row>
    <row r="1211" spans="1:9" x14ac:dyDescent="0.15">
      <c r="A1211" s="10">
        <v>1210</v>
      </c>
      <c r="B1211" s="11" t="s">
        <v>9</v>
      </c>
      <c r="C1211" s="11" t="s">
        <v>253</v>
      </c>
      <c r="D1211" s="11" t="s">
        <v>254</v>
      </c>
      <c r="E1211" s="9" t="str">
        <f>+HYPERLINK("http://trademark.i-assist.jp/data/china/image_1903th/79280705.pdf", "79280705")</f>
        <v>79280705</v>
      </c>
      <c r="F1211" s="11" t="s">
        <v>3588</v>
      </c>
      <c r="G1211" s="11" t="s">
        <v>3586</v>
      </c>
      <c r="H1211" s="11" t="s">
        <v>3589</v>
      </c>
      <c r="I1211" s="11" t="s">
        <v>249</v>
      </c>
    </row>
    <row r="1212" spans="1:9" x14ac:dyDescent="0.15">
      <c r="A1212" s="10">
        <v>1211</v>
      </c>
      <c r="B1212" s="11" t="s">
        <v>9</v>
      </c>
      <c r="C1212" s="11" t="s">
        <v>253</v>
      </c>
      <c r="D1212" s="11" t="s">
        <v>254</v>
      </c>
      <c r="E1212" s="9" t="str">
        <f>+HYPERLINK("http://trademark.i-assist.jp/data/china/image_1903th/79280722.pdf", "79280722")</f>
        <v>79280722</v>
      </c>
      <c r="F1212" s="11" t="s">
        <v>3590</v>
      </c>
      <c r="G1212" s="11" t="s">
        <v>3591</v>
      </c>
      <c r="H1212" s="11" t="s">
        <v>3592</v>
      </c>
      <c r="I1212" s="11" t="s">
        <v>249</v>
      </c>
    </row>
    <row r="1213" spans="1:9" x14ac:dyDescent="0.15">
      <c r="A1213" s="10">
        <v>1212</v>
      </c>
      <c r="B1213" s="11" t="s">
        <v>9</v>
      </c>
      <c r="C1213" s="11" t="s">
        <v>253</v>
      </c>
      <c r="D1213" s="11" t="s">
        <v>254</v>
      </c>
      <c r="E1213" s="9" t="str">
        <f>+HYPERLINK("http://trademark.i-assist.jp/data/china/image_1903th/79280757.pdf", "79280757")</f>
        <v>79280757</v>
      </c>
      <c r="F1213" s="11" t="s">
        <v>3593</v>
      </c>
      <c r="G1213" s="11" t="s">
        <v>3594</v>
      </c>
      <c r="H1213" s="11" t="s">
        <v>3595</v>
      </c>
      <c r="I1213" s="11" t="s">
        <v>249</v>
      </c>
    </row>
    <row r="1214" spans="1:9" x14ac:dyDescent="0.15">
      <c r="A1214" s="10">
        <v>1213</v>
      </c>
      <c r="B1214" s="11" t="s">
        <v>9</v>
      </c>
      <c r="C1214" s="11" t="s">
        <v>253</v>
      </c>
      <c r="D1214" s="11" t="s">
        <v>254</v>
      </c>
      <c r="E1214" s="9" t="str">
        <f>+HYPERLINK("http://trademark.i-assist.jp/data/china/image_1903th/79280885.pdf", "79280885")</f>
        <v>79280885</v>
      </c>
      <c r="F1214" s="11" t="s">
        <v>3596</v>
      </c>
      <c r="G1214" s="11" t="s">
        <v>3597</v>
      </c>
      <c r="H1214" s="11" t="s">
        <v>3598</v>
      </c>
      <c r="I1214" s="11" t="s">
        <v>249</v>
      </c>
    </row>
    <row r="1215" spans="1:9" x14ac:dyDescent="0.15">
      <c r="A1215" s="10">
        <v>1214</v>
      </c>
      <c r="B1215" s="11" t="s">
        <v>9</v>
      </c>
      <c r="C1215" s="11" t="s">
        <v>253</v>
      </c>
      <c r="D1215" s="11" t="s">
        <v>254</v>
      </c>
      <c r="E1215" s="9" t="str">
        <f>+HYPERLINK("http://trademark.i-assist.jp/data/china/image_1903th/79281001.pdf", "79281001")</f>
        <v>79281001</v>
      </c>
      <c r="F1215" s="11" t="s">
        <v>3599</v>
      </c>
      <c r="G1215" s="11" t="s">
        <v>3600</v>
      </c>
      <c r="H1215" s="11" t="s">
        <v>3601</v>
      </c>
      <c r="I1215" s="11" t="s">
        <v>249</v>
      </c>
    </row>
    <row r="1216" spans="1:9" x14ac:dyDescent="0.15">
      <c r="A1216" s="10">
        <v>1215</v>
      </c>
      <c r="B1216" s="11" t="s">
        <v>9</v>
      </c>
      <c r="C1216" s="11" t="s">
        <v>253</v>
      </c>
      <c r="D1216" s="11" t="s">
        <v>254</v>
      </c>
      <c r="E1216" s="9" t="str">
        <f>+HYPERLINK("http://trademark.i-assist.jp/data/china/image_1903th/79281040.pdf", "79281040")</f>
        <v>79281040</v>
      </c>
      <c r="F1216" s="11" t="s">
        <v>3602</v>
      </c>
      <c r="G1216" s="11" t="s">
        <v>3603</v>
      </c>
      <c r="H1216" s="11" t="s">
        <v>3604</v>
      </c>
      <c r="I1216" s="11" t="s">
        <v>249</v>
      </c>
    </row>
    <row r="1217" spans="1:9" x14ac:dyDescent="0.15">
      <c r="A1217" s="10">
        <v>1216</v>
      </c>
      <c r="B1217" s="11" t="s">
        <v>9</v>
      </c>
      <c r="C1217" s="11" t="s">
        <v>253</v>
      </c>
      <c r="D1217" s="11" t="s">
        <v>254</v>
      </c>
      <c r="E1217" s="9" t="str">
        <f>+HYPERLINK("http://trademark.i-assist.jp/data/china/image_1903th/79281115.pdf", "79281115")</f>
        <v>79281115</v>
      </c>
      <c r="F1217" s="11" t="s">
        <v>3605</v>
      </c>
      <c r="G1217" s="11" t="s">
        <v>3606</v>
      </c>
      <c r="H1217" s="11" t="s">
        <v>3607</v>
      </c>
      <c r="I1217" s="11" t="s">
        <v>249</v>
      </c>
    </row>
    <row r="1218" spans="1:9" x14ac:dyDescent="0.15">
      <c r="A1218" s="10">
        <v>1217</v>
      </c>
      <c r="B1218" s="11" t="s">
        <v>9</v>
      </c>
      <c r="C1218" s="11" t="s">
        <v>253</v>
      </c>
      <c r="D1218" s="11" t="s">
        <v>254</v>
      </c>
      <c r="E1218" s="9" t="str">
        <f>+HYPERLINK("http://trademark.i-assist.jp/data/china/image_1903th/79281158.pdf", "79281158")</f>
        <v>79281158</v>
      </c>
      <c r="F1218" s="11" t="s">
        <v>12</v>
      </c>
      <c r="G1218" s="11" t="s">
        <v>3608</v>
      </c>
      <c r="H1218" s="11" t="s">
        <v>3609</v>
      </c>
      <c r="I1218" s="11" t="s">
        <v>249</v>
      </c>
    </row>
    <row r="1219" spans="1:9" x14ac:dyDescent="0.15">
      <c r="A1219" s="10">
        <v>1218</v>
      </c>
      <c r="B1219" s="11" t="s">
        <v>9</v>
      </c>
      <c r="C1219" s="11" t="s">
        <v>253</v>
      </c>
      <c r="D1219" s="11" t="s">
        <v>254</v>
      </c>
      <c r="E1219" s="9" t="str">
        <f>+HYPERLINK("http://trademark.i-assist.jp/data/china/image_1903th/79281515.pdf", "79281515")</f>
        <v>79281515</v>
      </c>
      <c r="F1219" s="11" t="s">
        <v>3610</v>
      </c>
      <c r="G1219" s="11" t="s">
        <v>3611</v>
      </c>
      <c r="H1219" s="11" t="s">
        <v>3612</v>
      </c>
      <c r="I1219" s="11" t="s">
        <v>249</v>
      </c>
    </row>
    <row r="1220" spans="1:9" x14ac:dyDescent="0.15">
      <c r="A1220" s="10">
        <v>1219</v>
      </c>
      <c r="B1220" s="11" t="s">
        <v>9</v>
      </c>
      <c r="C1220" s="11" t="s">
        <v>253</v>
      </c>
      <c r="D1220" s="11" t="s">
        <v>254</v>
      </c>
      <c r="E1220" s="9" t="str">
        <f>+HYPERLINK("http://trademark.i-assist.jp/data/china/image_1903th/79282040.pdf", "79282040")</f>
        <v>79282040</v>
      </c>
      <c r="F1220" s="11" t="s">
        <v>12</v>
      </c>
      <c r="G1220" s="11" t="s">
        <v>3613</v>
      </c>
      <c r="H1220" s="11" t="s">
        <v>3614</v>
      </c>
      <c r="I1220" s="11" t="s">
        <v>249</v>
      </c>
    </row>
    <row r="1221" spans="1:9" x14ac:dyDescent="0.15">
      <c r="A1221" s="10">
        <v>1220</v>
      </c>
      <c r="B1221" s="11" t="s">
        <v>9</v>
      </c>
      <c r="C1221" s="11" t="s">
        <v>253</v>
      </c>
      <c r="D1221" s="11" t="s">
        <v>254</v>
      </c>
      <c r="E1221" s="9" t="str">
        <f>+HYPERLINK("http://trademark.i-assist.jp/data/china/image_1903th/79282084.pdf", "79282084")</f>
        <v>79282084</v>
      </c>
      <c r="F1221" s="11" t="s">
        <v>3615</v>
      </c>
      <c r="G1221" s="11" t="s">
        <v>3511</v>
      </c>
      <c r="H1221" s="11" t="s">
        <v>3616</v>
      </c>
      <c r="I1221" s="11" t="s">
        <v>249</v>
      </c>
    </row>
    <row r="1222" spans="1:9" x14ac:dyDescent="0.15">
      <c r="A1222" s="10">
        <v>1221</v>
      </c>
      <c r="B1222" s="11" t="s">
        <v>9</v>
      </c>
      <c r="C1222" s="11" t="s">
        <v>253</v>
      </c>
      <c r="D1222" s="11" t="s">
        <v>254</v>
      </c>
      <c r="E1222" s="9" t="str">
        <f>+HYPERLINK("http://trademark.i-assist.jp/data/china/image_1903th/79282685.pdf", "79282685")</f>
        <v>79282685</v>
      </c>
      <c r="F1222" s="11" t="s">
        <v>3617</v>
      </c>
      <c r="G1222" s="11" t="s">
        <v>25</v>
      </c>
      <c r="H1222" s="11" t="s">
        <v>3618</v>
      </c>
      <c r="I1222" s="11" t="s">
        <v>249</v>
      </c>
    </row>
    <row r="1223" spans="1:9" x14ac:dyDescent="0.15">
      <c r="A1223" s="10">
        <v>1222</v>
      </c>
      <c r="B1223" s="11" t="s">
        <v>9</v>
      </c>
      <c r="C1223" s="11" t="s">
        <v>253</v>
      </c>
      <c r="D1223" s="11" t="s">
        <v>254</v>
      </c>
      <c r="E1223" s="9" t="str">
        <f>+HYPERLINK("http://trademark.i-assist.jp/data/china/image_1903th/79282983.pdf", "79282983")</f>
        <v>79282983</v>
      </c>
      <c r="F1223" s="11" t="s">
        <v>3619</v>
      </c>
      <c r="G1223" s="11" t="s">
        <v>3620</v>
      </c>
      <c r="H1223" s="11" t="s">
        <v>3621</v>
      </c>
      <c r="I1223" s="11" t="s">
        <v>249</v>
      </c>
    </row>
    <row r="1224" spans="1:9" x14ac:dyDescent="0.15">
      <c r="A1224" s="10">
        <v>1223</v>
      </c>
      <c r="B1224" s="11" t="s">
        <v>9</v>
      </c>
      <c r="C1224" s="11" t="s">
        <v>253</v>
      </c>
      <c r="D1224" s="11" t="s">
        <v>254</v>
      </c>
      <c r="E1224" s="9" t="str">
        <f>+HYPERLINK("http://trademark.i-assist.jp/data/china/image_1903th/79283082.pdf", "79283082")</f>
        <v>79283082</v>
      </c>
      <c r="F1224" s="11" t="s">
        <v>3622</v>
      </c>
      <c r="G1224" s="11" t="s">
        <v>3623</v>
      </c>
      <c r="H1224" s="11" t="s">
        <v>3624</v>
      </c>
      <c r="I1224" s="11" t="s">
        <v>249</v>
      </c>
    </row>
    <row r="1225" spans="1:9" x14ac:dyDescent="0.15">
      <c r="A1225" s="10">
        <v>1224</v>
      </c>
      <c r="B1225" s="11" t="s">
        <v>9</v>
      </c>
      <c r="C1225" s="11" t="s">
        <v>253</v>
      </c>
      <c r="D1225" s="11" t="s">
        <v>254</v>
      </c>
      <c r="E1225" s="9" t="str">
        <f>+HYPERLINK("http://trademark.i-assist.jp/data/china/image_1903th/79283392.pdf", "79283392")</f>
        <v>79283392</v>
      </c>
      <c r="F1225" s="11" t="s">
        <v>3625</v>
      </c>
      <c r="G1225" s="11" t="s">
        <v>3626</v>
      </c>
      <c r="H1225" s="11" t="s">
        <v>3627</v>
      </c>
      <c r="I1225" s="11" t="s">
        <v>249</v>
      </c>
    </row>
    <row r="1226" spans="1:9" x14ac:dyDescent="0.15">
      <c r="A1226" s="10">
        <v>1225</v>
      </c>
      <c r="B1226" s="11" t="s">
        <v>9</v>
      </c>
      <c r="C1226" s="11" t="s">
        <v>253</v>
      </c>
      <c r="D1226" s="11" t="s">
        <v>254</v>
      </c>
      <c r="E1226" s="9" t="str">
        <f>+HYPERLINK("http://trademark.i-assist.jp/data/china/image_1903th/79283409.pdf", "79283409")</f>
        <v>79283409</v>
      </c>
      <c r="F1226" s="11" t="s">
        <v>3628</v>
      </c>
      <c r="G1226" s="11" t="s">
        <v>3626</v>
      </c>
      <c r="H1226" s="11" t="s">
        <v>3629</v>
      </c>
      <c r="I1226" s="11" t="s">
        <v>249</v>
      </c>
    </row>
    <row r="1227" spans="1:9" x14ac:dyDescent="0.15">
      <c r="A1227" s="10">
        <v>1226</v>
      </c>
      <c r="B1227" s="11" t="s">
        <v>9</v>
      </c>
      <c r="C1227" s="11" t="s">
        <v>253</v>
      </c>
      <c r="D1227" s="11" t="s">
        <v>254</v>
      </c>
      <c r="E1227" s="9" t="str">
        <f>+HYPERLINK("http://trademark.i-assist.jp/data/china/image_1903th/79283451.pdf", "79283451")</f>
        <v>79283451</v>
      </c>
      <c r="F1227" s="11" t="s">
        <v>3630</v>
      </c>
      <c r="G1227" s="11" t="s">
        <v>3631</v>
      </c>
      <c r="H1227" s="11" t="s">
        <v>3632</v>
      </c>
      <c r="I1227" s="11" t="s">
        <v>249</v>
      </c>
    </row>
    <row r="1228" spans="1:9" x14ac:dyDescent="0.15">
      <c r="A1228" s="10">
        <v>1227</v>
      </c>
      <c r="B1228" s="11" t="s">
        <v>9</v>
      </c>
      <c r="C1228" s="11" t="s">
        <v>253</v>
      </c>
      <c r="D1228" s="11" t="s">
        <v>254</v>
      </c>
      <c r="E1228" s="9" t="str">
        <f>+HYPERLINK("http://trademark.i-assist.jp/data/china/image_1903th/79283478.pdf", "79283478")</f>
        <v>79283478</v>
      </c>
      <c r="F1228" s="11" t="s">
        <v>3633</v>
      </c>
      <c r="G1228" s="11" t="s">
        <v>3634</v>
      </c>
      <c r="H1228" s="11" t="s">
        <v>3635</v>
      </c>
      <c r="I1228" s="11" t="s">
        <v>249</v>
      </c>
    </row>
    <row r="1229" spans="1:9" x14ac:dyDescent="0.15">
      <c r="A1229" s="10">
        <v>1228</v>
      </c>
      <c r="B1229" s="11" t="s">
        <v>9</v>
      </c>
      <c r="C1229" s="11" t="s">
        <v>253</v>
      </c>
      <c r="D1229" s="11" t="s">
        <v>254</v>
      </c>
      <c r="E1229" s="9" t="str">
        <f>+HYPERLINK("http://trademark.i-assist.jp/data/china/image_1903th/79284119.pdf", "79284119")</f>
        <v>79284119</v>
      </c>
      <c r="F1229" s="11" t="s">
        <v>3636</v>
      </c>
      <c r="G1229" s="11" t="s">
        <v>3637</v>
      </c>
      <c r="H1229" s="11" t="s">
        <v>3638</v>
      </c>
      <c r="I1229" s="11" t="s">
        <v>249</v>
      </c>
    </row>
    <row r="1230" spans="1:9" x14ac:dyDescent="0.15">
      <c r="A1230" s="10">
        <v>1229</v>
      </c>
      <c r="B1230" s="11" t="s">
        <v>9</v>
      </c>
      <c r="C1230" s="11" t="s">
        <v>253</v>
      </c>
      <c r="D1230" s="11" t="s">
        <v>254</v>
      </c>
      <c r="E1230" s="9" t="str">
        <f>+HYPERLINK("http://trademark.i-assist.jp/data/china/image_1903th/79284155.pdf", "79284155")</f>
        <v>79284155</v>
      </c>
      <c r="F1230" s="11" t="s">
        <v>3639</v>
      </c>
      <c r="G1230" s="11" t="s">
        <v>3640</v>
      </c>
      <c r="H1230" s="11" t="s">
        <v>3641</v>
      </c>
      <c r="I1230" s="11" t="s">
        <v>249</v>
      </c>
    </row>
    <row r="1231" spans="1:9" x14ac:dyDescent="0.15">
      <c r="A1231" s="10">
        <v>1230</v>
      </c>
      <c r="B1231" s="11" t="s">
        <v>9</v>
      </c>
      <c r="C1231" s="11" t="s">
        <v>253</v>
      </c>
      <c r="D1231" s="11" t="s">
        <v>254</v>
      </c>
      <c r="E1231" s="9" t="str">
        <f>+HYPERLINK("http://trademark.i-assist.jp/data/china/image_1903th/79284239.pdf", "79284239")</f>
        <v>79284239</v>
      </c>
      <c r="F1231" s="11" t="s">
        <v>3642</v>
      </c>
      <c r="G1231" s="11" t="s">
        <v>3643</v>
      </c>
      <c r="H1231" s="11" t="s">
        <v>3644</v>
      </c>
      <c r="I1231" s="11" t="s">
        <v>249</v>
      </c>
    </row>
    <row r="1232" spans="1:9" x14ac:dyDescent="0.15">
      <c r="A1232" s="10">
        <v>1231</v>
      </c>
      <c r="B1232" s="11" t="s">
        <v>9</v>
      </c>
      <c r="C1232" s="11" t="s">
        <v>253</v>
      </c>
      <c r="D1232" s="11" t="s">
        <v>254</v>
      </c>
      <c r="E1232" s="9" t="str">
        <f>+HYPERLINK("http://trademark.i-assist.jp/data/china/image_1903th/79284424.pdf", "79284424")</f>
        <v>79284424</v>
      </c>
      <c r="F1232" s="11" t="s">
        <v>3645</v>
      </c>
      <c r="G1232" s="11" t="s">
        <v>3646</v>
      </c>
      <c r="H1232" s="11" t="s">
        <v>3647</v>
      </c>
      <c r="I1232" s="11" t="s">
        <v>249</v>
      </c>
    </row>
    <row r="1233" spans="1:9" x14ac:dyDescent="0.15">
      <c r="A1233" s="10">
        <v>1232</v>
      </c>
      <c r="B1233" s="11" t="s">
        <v>9</v>
      </c>
      <c r="C1233" s="11" t="s">
        <v>253</v>
      </c>
      <c r="D1233" s="11" t="s">
        <v>254</v>
      </c>
      <c r="E1233" s="9" t="str">
        <f>+HYPERLINK("http://trademark.i-assist.jp/data/china/image_1903th/79284486.pdf", "79284486")</f>
        <v>79284486</v>
      </c>
      <c r="F1233" s="11" t="s">
        <v>3648</v>
      </c>
      <c r="G1233" s="11" t="s">
        <v>3649</v>
      </c>
      <c r="H1233" s="11" t="s">
        <v>3650</v>
      </c>
      <c r="I1233" s="11" t="s">
        <v>249</v>
      </c>
    </row>
    <row r="1234" spans="1:9" x14ac:dyDescent="0.15">
      <c r="A1234" s="10">
        <v>1233</v>
      </c>
      <c r="B1234" s="11" t="s">
        <v>9</v>
      </c>
      <c r="C1234" s="11" t="s">
        <v>253</v>
      </c>
      <c r="D1234" s="11" t="s">
        <v>254</v>
      </c>
      <c r="E1234" s="9" t="str">
        <f>+HYPERLINK("http://trademark.i-assist.jp/data/china/image_1903th/79284549.pdf", "79284549")</f>
        <v>79284549</v>
      </c>
      <c r="F1234" s="11" t="s">
        <v>3651</v>
      </c>
      <c r="G1234" s="11" t="s">
        <v>3652</v>
      </c>
      <c r="H1234" s="11" t="s">
        <v>3653</v>
      </c>
      <c r="I1234" s="11" t="s">
        <v>249</v>
      </c>
    </row>
    <row r="1235" spans="1:9" x14ac:dyDescent="0.15">
      <c r="A1235" s="10">
        <v>1234</v>
      </c>
      <c r="B1235" s="11" t="s">
        <v>9</v>
      </c>
      <c r="C1235" s="11" t="s">
        <v>253</v>
      </c>
      <c r="D1235" s="11" t="s">
        <v>254</v>
      </c>
      <c r="E1235" s="9" t="str">
        <f>+HYPERLINK("http://trademark.i-assist.jp/data/china/image_1903th/79284915.pdf", "79284915")</f>
        <v>79284915</v>
      </c>
      <c r="F1235" s="11" t="s">
        <v>3654</v>
      </c>
      <c r="G1235" s="11" t="s">
        <v>3655</v>
      </c>
      <c r="H1235" s="11" t="s">
        <v>3656</v>
      </c>
      <c r="I1235" s="11" t="s">
        <v>249</v>
      </c>
    </row>
    <row r="1236" spans="1:9" x14ac:dyDescent="0.15">
      <c r="A1236" s="10">
        <v>1235</v>
      </c>
      <c r="B1236" s="11" t="s">
        <v>9</v>
      </c>
      <c r="C1236" s="11" t="s">
        <v>253</v>
      </c>
      <c r="D1236" s="11" t="s">
        <v>254</v>
      </c>
      <c r="E1236" s="9" t="str">
        <f>+HYPERLINK("http://trademark.i-assist.jp/data/china/image_1903th/79284976.pdf", "79284976")</f>
        <v>79284976</v>
      </c>
      <c r="F1236" s="11" t="s">
        <v>3657</v>
      </c>
      <c r="G1236" s="11" t="s">
        <v>3658</v>
      </c>
      <c r="H1236" s="11" t="s">
        <v>3659</v>
      </c>
      <c r="I1236" s="11" t="s">
        <v>249</v>
      </c>
    </row>
    <row r="1237" spans="1:9" x14ac:dyDescent="0.15">
      <c r="A1237" s="10">
        <v>1236</v>
      </c>
      <c r="B1237" s="11" t="s">
        <v>9</v>
      </c>
      <c r="C1237" s="11" t="s">
        <v>253</v>
      </c>
      <c r="D1237" s="11" t="s">
        <v>254</v>
      </c>
      <c r="E1237" s="9" t="str">
        <f>+HYPERLINK("http://trademark.i-assist.jp/data/china/image_1903th/79285122.pdf", "79285122")</f>
        <v>79285122</v>
      </c>
      <c r="F1237" s="11" t="s">
        <v>3660</v>
      </c>
      <c r="G1237" s="11" t="s">
        <v>3661</v>
      </c>
      <c r="H1237" s="11" t="s">
        <v>3662</v>
      </c>
      <c r="I1237" s="11" t="s">
        <v>249</v>
      </c>
    </row>
    <row r="1238" spans="1:9" x14ac:dyDescent="0.15">
      <c r="A1238" s="10">
        <v>1237</v>
      </c>
      <c r="B1238" s="11" t="s">
        <v>9</v>
      </c>
      <c r="C1238" s="11" t="s">
        <v>253</v>
      </c>
      <c r="D1238" s="11" t="s">
        <v>254</v>
      </c>
      <c r="E1238" s="9" t="str">
        <f>+HYPERLINK("http://trademark.i-assist.jp/data/china/image_1903th/79285212.pdf", "79285212")</f>
        <v>79285212</v>
      </c>
      <c r="F1238" s="11" t="s">
        <v>3663</v>
      </c>
      <c r="G1238" s="11" t="s">
        <v>3664</v>
      </c>
      <c r="H1238" s="11" t="s">
        <v>3665</v>
      </c>
      <c r="I1238" s="11" t="s">
        <v>249</v>
      </c>
    </row>
    <row r="1239" spans="1:9" x14ac:dyDescent="0.15">
      <c r="A1239" s="10">
        <v>1238</v>
      </c>
      <c r="B1239" s="11" t="s">
        <v>9</v>
      </c>
      <c r="C1239" s="11" t="s">
        <v>253</v>
      </c>
      <c r="D1239" s="11" t="s">
        <v>254</v>
      </c>
      <c r="E1239" s="9" t="str">
        <f>+HYPERLINK("http://trademark.i-assist.jp/data/china/image_1903th/79285506.pdf", "79285506")</f>
        <v>79285506</v>
      </c>
      <c r="F1239" s="11" t="s">
        <v>3666</v>
      </c>
      <c r="G1239" s="11" t="s">
        <v>3667</v>
      </c>
      <c r="H1239" s="11" t="s">
        <v>3668</v>
      </c>
      <c r="I1239" s="11" t="s">
        <v>249</v>
      </c>
    </row>
    <row r="1240" spans="1:9" x14ac:dyDescent="0.15">
      <c r="A1240" s="10">
        <v>1239</v>
      </c>
      <c r="B1240" s="11" t="s">
        <v>9</v>
      </c>
      <c r="C1240" s="11" t="s">
        <v>253</v>
      </c>
      <c r="D1240" s="11" t="s">
        <v>254</v>
      </c>
      <c r="E1240" s="9" t="str">
        <f>+HYPERLINK("http://trademark.i-assist.jp/data/china/image_1903th/79285698.pdf", "79285698")</f>
        <v>79285698</v>
      </c>
      <c r="F1240" s="11" t="s">
        <v>3669</v>
      </c>
      <c r="G1240" s="11" t="s">
        <v>3670</v>
      </c>
      <c r="H1240" s="11" t="s">
        <v>3671</v>
      </c>
      <c r="I1240" s="11" t="s">
        <v>249</v>
      </c>
    </row>
    <row r="1241" spans="1:9" x14ac:dyDescent="0.15">
      <c r="A1241" s="10">
        <v>1240</v>
      </c>
      <c r="B1241" s="11" t="s">
        <v>9</v>
      </c>
      <c r="C1241" s="11" t="s">
        <v>253</v>
      </c>
      <c r="D1241" s="11" t="s">
        <v>254</v>
      </c>
      <c r="E1241" s="9" t="str">
        <f>+HYPERLINK("http://trademark.i-assist.jp/data/china/image_1903th/79285744.pdf", "79285744")</f>
        <v>79285744</v>
      </c>
      <c r="F1241" s="11" t="s">
        <v>12</v>
      </c>
      <c r="G1241" s="11" t="s">
        <v>3672</v>
      </c>
      <c r="H1241" s="11" t="s">
        <v>3673</v>
      </c>
      <c r="I1241" s="11" t="s">
        <v>249</v>
      </c>
    </row>
    <row r="1242" spans="1:9" x14ac:dyDescent="0.15">
      <c r="A1242" s="10">
        <v>1241</v>
      </c>
      <c r="B1242" s="11" t="s">
        <v>9</v>
      </c>
      <c r="C1242" s="11" t="s">
        <v>253</v>
      </c>
      <c r="D1242" s="11" t="s">
        <v>254</v>
      </c>
      <c r="E1242" s="9" t="str">
        <f>+HYPERLINK("http://trademark.i-assist.jp/data/china/image_1903th/79285802.pdf", "79285802")</f>
        <v>79285802</v>
      </c>
      <c r="F1242" s="11" t="s">
        <v>3674</v>
      </c>
      <c r="G1242" s="11" t="s">
        <v>3675</v>
      </c>
      <c r="H1242" s="11" t="s">
        <v>3676</v>
      </c>
      <c r="I1242" s="11" t="s">
        <v>249</v>
      </c>
    </row>
    <row r="1243" spans="1:9" x14ac:dyDescent="0.15">
      <c r="A1243" s="10">
        <v>1242</v>
      </c>
      <c r="B1243" s="11" t="s">
        <v>9</v>
      </c>
      <c r="C1243" s="11" t="s">
        <v>253</v>
      </c>
      <c r="D1243" s="11" t="s">
        <v>254</v>
      </c>
      <c r="E1243" s="9" t="str">
        <f>+HYPERLINK("http://trademark.i-assist.jp/data/china/image_1903th/79285960.pdf", "79285960")</f>
        <v>79285960</v>
      </c>
      <c r="F1243" s="11" t="s">
        <v>3677</v>
      </c>
      <c r="G1243" s="11" t="s">
        <v>3678</v>
      </c>
      <c r="H1243" s="11" t="s">
        <v>3679</v>
      </c>
      <c r="I1243" s="11" t="s">
        <v>249</v>
      </c>
    </row>
    <row r="1244" spans="1:9" x14ac:dyDescent="0.15">
      <c r="A1244" s="10">
        <v>1243</v>
      </c>
      <c r="B1244" s="11" t="s">
        <v>9</v>
      </c>
      <c r="C1244" s="11" t="s">
        <v>253</v>
      </c>
      <c r="D1244" s="11" t="s">
        <v>254</v>
      </c>
      <c r="E1244" s="9" t="str">
        <f>+HYPERLINK("http://trademark.i-assist.jp/data/china/image_1903th/79285966.pdf", "79285966")</f>
        <v>79285966</v>
      </c>
      <c r="F1244" s="11" t="s">
        <v>3680</v>
      </c>
      <c r="G1244" s="11" t="s">
        <v>3681</v>
      </c>
      <c r="H1244" s="11" t="s">
        <v>3682</v>
      </c>
      <c r="I1244" s="11" t="s">
        <v>249</v>
      </c>
    </row>
    <row r="1245" spans="1:9" x14ac:dyDescent="0.15">
      <c r="A1245" s="10">
        <v>1244</v>
      </c>
      <c r="B1245" s="11" t="s">
        <v>9</v>
      </c>
      <c r="C1245" s="11" t="s">
        <v>253</v>
      </c>
      <c r="D1245" s="11" t="s">
        <v>254</v>
      </c>
      <c r="E1245" s="9" t="str">
        <f>+HYPERLINK("http://trademark.i-assist.jp/data/china/image_1903th/79285968.pdf", "79285968")</f>
        <v>79285968</v>
      </c>
      <c r="F1245" s="11" t="s">
        <v>3683</v>
      </c>
      <c r="G1245" s="11" t="s">
        <v>3603</v>
      </c>
      <c r="H1245" s="11" t="s">
        <v>3684</v>
      </c>
      <c r="I1245" s="11" t="s">
        <v>249</v>
      </c>
    </row>
    <row r="1246" spans="1:9" x14ac:dyDescent="0.15">
      <c r="A1246" s="10">
        <v>1245</v>
      </c>
      <c r="B1246" s="11" t="s">
        <v>9</v>
      </c>
      <c r="C1246" s="11" t="s">
        <v>253</v>
      </c>
      <c r="D1246" s="11" t="s">
        <v>254</v>
      </c>
      <c r="E1246" s="9" t="str">
        <f>+HYPERLINK("http://trademark.i-assist.jp/data/china/image_1903th/79286114.pdf", "79286114")</f>
        <v>79286114</v>
      </c>
      <c r="F1246" s="11" t="s">
        <v>3685</v>
      </c>
      <c r="G1246" s="11" t="s">
        <v>3686</v>
      </c>
      <c r="H1246" s="11" t="s">
        <v>3687</v>
      </c>
      <c r="I1246" s="11" t="s">
        <v>249</v>
      </c>
    </row>
    <row r="1247" spans="1:9" x14ac:dyDescent="0.15">
      <c r="A1247" s="10">
        <v>1246</v>
      </c>
      <c r="B1247" s="11" t="s">
        <v>9</v>
      </c>
      <c r="C1247" s="11" t="s">
        <v>253</v>
      </c>
      <c r="D1247" s="11" t="s">
        <v>254</v>
      </c>
      <c r="E1247" s="9" t="str">
        <f>+HYPERLINK("http://trademark.i-assist.jp/data/china/image_1903th/79286178.pdf", "79286178")</f>
        <v>79286178</v>
      </c>
      <c r="F1247" s="11" t="s">
        <v>3688</v>
      </c>
      <c r="G1247" s="11" t="s">
        <v>3689</v>
      </c>
      <c r="H1247" s="11" t="s">
        <v>3690</v>
      </c>
      <c r="I1247" s="11" t="s">
        <v>249</v>
      </c>
    </row>
    <row r="1248" spans="1:9" x14ac:dyDescent="0.15">
      <c r="A1248" s="10">
        <v>1247</v>
      </c>
      <c r="B1248" s="11" t="s">
        <v>9</v>
      </c>
      <c r="C1248" s="11" t="s">
        <v>253</v>
      </c>
      <c r="D1248" s="11" t="s">
        <v>254</v>
      </c>
      <c r="E1248" s="9" t="str">
        <f>+HYPERLINK("http://trademark.i-assist.jp/data/china/image_1903th/79286241.pdf", "79286241")</f>
        <v>79286241</v>
      </c>
      <c r="F1248" s="11" t="s">
        <v>3691</v>
      </c>
      <c r="G1248" s="11" t="s">
        <v>3692</v>
      </c>
      <c r="H1248" s="11" t="s">
        <v>3693</v>
      </c>
      <c r="I1248" s="11" t="s">
        <v>249</v>
      </c>
    </row>
    <row r="1249" spans="1:9" x14ac:dyDescent="0.15">
      <c r="A1249" s="10">
        <v>1248</v>
      </c>
      <c r="B1249" s="11" t="s">
        <v>9</v>
      </c>
      <c r="C1249" s="11" t="s">
        <v>253</v>
      </c>
      <c r="D1249" s="11" t="s">
        <v>254</v>
      </c>
      <c r="E1249" s="9" t="str">
        <f>+HYPERLINK("http://trademark.i-assist.jp/data/china/image_1903th/79286625.pdf", "79286625")</f>
        <v>79286625</v>
      </c>
      <c r="F1249" s="11" t="s">
        <v>3694</v>
      </c>
      <c r="G1249" s="11" t="s">
        <v>3695</v>
      </c>
      <c r="H1249" s="11" t="s">
        <v>3696</v>
      </c>
      <c r="I1249" s="11" t="s">
        <v>249</v>
      </c>
    </row>
    <row r="1250" spans="1:9" x14ac:dyDescent="0.15">
      <c r="A1250" s="10">
        <v>1249</v>
      </c>
      <c r="B1250" s="11" t="s">
        <v>9</v>
      </c>
      <c r="C1250" s="11" t="s">
        <v>253</v>
      </c>
      <c r="D1250" s="11" t="s">
        <v>254</v>
      </c>
      <c r="E1250" s="9" t="str">
        <f>+HYPERLINK("http://trademark.i-assist.jp/data/china/image_1903th/79286662.pdf", "79286662")</f>
        <v>79286662</v>
      </c>
      <c r="F1250" s="11" t="s">
        <v>12</v>
      </c>
      <c r="G1250" s="11" t="s">
        <v>3697</v>
      </c>
      <c r="H1250" s="11" t="s">
        <v>3698</v>
      </c>
      <c r="I1250" s="11" t="s">
        <v>249</v>
      </c>
    </row>
    <row r="1251" spans="1:9" x14ac:dyDescent="0.15">
      <c r="A1251" s="10">
        <v>1250</v>
      </c>
      <c r="B1251" s="11" t="s">
        <v>9</v>
      </c>
      <c r="C1251" s="11" t="s">
        <v>253</v>
      </c>
      <c r="D1251" s="11" t="s">
        <v>254</v>
      </c>
      <c r="E1251" s="9" t="str">
        <f>+HYPERLINK("http://trademark.i-assist.jp/data/china/image_1903th/79287262.pdf", "79287262")</f>
        <v>79287262</v>
      </c>
      <c r="F1251" s="11" t="s">
        <v>3699</v>
      </c>
      <c r="G1251" s="11" t="s">
        <v>3700</v>
      </c>
      <c r="H1251" s="11" t="s">
        <v>3701</v>
      </c>
      <c r="I1251" s="11" t="s">
        <v>249</v>
      </c>
    </row>
    <row r="1252" spans="1:9" x14ac:dyDescent="0.15">
      <c r="A1252" s="10">
        <v>1251</v>
      </c>
      <c r="B1252" s="11" t="s">
        <v>9</v>
      </c>
      <c r="C1252" s="11" t="s">
        <v>253</v>
      </c>
      <c r="D1252" s="11" t="s">
        <v>254</v>
      </c>
      <c r="E1252" s="9" t="str">
        <f>+HYPERLINK("http://trademark.i-assist.jp/data/china/image_1903th/79288004.pdf", "79288004")</f>
        <v>79288004</v>
      </c>
      <c r="F1252" s="11" t="s">
        <v>3702</v>
      </c>
      <c r="G1252" s="11" t="s">
        <v>3670</v>
      </c>
      <c r="H1252" s="11" t="s">
        <v>3703</v>
      </c>
      <c r="I1252" s="11" t="s">
        <v>249</v>
      </c>
    </row>
    <row r="1253" spans="1:9" x14ac:dyDescent="0.15">
      <c r="A1253" s="10">
        <v>1252</v>
      </c>
      <c r="B1253" s="11" t="s">
        <v>9</v>
      </c>
      <c r="C1253" s="11" t="s">
        <v>253</v>
      </c>
      <c r="D1253" s="11" t="s">
        <v>254</v>
      </c>
      <c r="E1253" s="9" t="str">
        <f>+HYPERLINK("http://trademark.i-assist.jp/data/china/image_1903th/79288220.pdf", "79288220")</f>
        <v>79288220</v>
      </c>
      <c r="F1253" s="11" t="s">
        <v>3704</v>
      </c>
      <c r="G1253" s="11" t="s">
        <v>3705</v>
      </c>
      <c r="H1253" s="11" t="s">
        <v>3706</v>
      </c>
      <c r="I1253" s="11" t="s">
        <v>249</v>
      </c>
    </row>
    <row r="1254" spans="1:9" x14ac:dyDescent="0.15">
      <c r="A1254" s="10">
        <v>1253</v>
      </c>
      <c r="B1254" s="11" t="s">
        <v>9</v>
      </c>
      <c r="C1254" s="11" t="s">
        <v>253</v>
      </c>
      <c r="D1254" s="11" t="s">
        <v>254</v>
      </c>
      <c r="E1254" s="9" t="str">
        <f>+HYPERLINK("http://trademark.i-assist.jp/data/china/image_1903th/79288387.pdf", "79288387")</f>
        <v>79288387</v>
      </c>
      <c r="F1254" s="11" t="s">
        <v>12</v>
      </c>
      <c r="G1254" s="11" t="s">
        <v>3707</v>
      </c>
      <c r="H1254" s="11" t="s">
        <v>3708</v>
      </c>
      <c r="I1254" s="11" t="s">
        <v>249</v>
      </c>
    </row>
    <row r="1255" spans="1:9" x14ac:dyDescent="0.15">
      <c r="A1255" s="10">
        <v>1254</v>
      </c>
      <c r="B1255" s="11" t="s">
        <v>9</v>
      </c>
      <c r="C1255" s="11" t="s">
        <v>253</v>
      </c>
      <c r="D1255" s="11" t="s">
        <v>254</v>
      </c>
      <c r="E1255" s="9" t="str">
        <f>+HYPERLINK("http://trademark.i-assist.jp/data/china/image_1903th/79288499.pdf", "79288499")</f>
        <v>79288499</v>
      </c>
      <c r="F1255" s="11" t="s">
        <v>3709</v>
      </c>
      <c r="G1255" s="11" t="s">
        <v>3710</v>
      </c>
      <c r="H1255" s="11" t="s">
        <v>3711</v>
      </c>
      <c r="I1255" s="11" t="s">
        <v>249</v>
      </c>
    </row>
    <row r="1256" spans="1:9" x14ac:dyDescent="0.15">
      <c r="A1256" s="10">
        <v>1255</v>
      </c>
      <c r="B1256" s="11" t="s">
        <v>9</v>
      </c>
      <c r="C1256" s="11" t="s">
        <v>253</v>
      </c>
      <c r="D1256" s="11" t="s">
        <v>254</v>
      </c>
      <c r="E1256" s="9" t="str">
        <f>+HYPERLINK("http://trademark.i-assist.jp/data/china/image_1903th/79288593.pdf", "79288593")</f>
        <v>79288593</v>
      </c>
      <c r="F1256" s="11" t="s">
        <v>3712</v>
      </c>
      <c r="G1256" s="11" t="s">
        <v>3713</v>
      </c>
      <c r="H1256" s="11" t="s">
        <v>3714</v>
      </c>
      <c r="I1256" s="11" t="s">
        <v>249</v>
      </c>
    </row>
    <row r="1257" spans="1:9" x14ac:dyDescent="0.15">
      <c r="A1257" s="10">
        <v>1256</v>
      </c>
      <c r="B1257" s="11" t="s">
        <v>9</v>
      </c>
      <c r="C1257" s="11" t="s">
        <v>253</v>
      </c>
      <c r="D1257" s="11" t="s">
        <v>254</v>
      </c>
      <c r="E1257" s="9" t="str">
        <f>+HYPERLINK("http://trademark.i-assist.jp/data/china/image_1903th/79288906.pdf", "79288906")</f>
        <v>79288906</v>
      </c>
      <c r="F1257" s="11" t="s">
        <v>3715</v>
      </c>
      <c r="G1257" s="11" t="s">
        <v>3716</v>
      </c>
      <c r="H1257" s="11" t="s">
        <v>3717</v>
      </c>
      <c r="I1257" s="11" t="s">
        <v>249</v>
      </c>
    </row>
    <row r="1258" spans="1:9" x14ac:dyDescent="0.15">
      <c r="A1258" s="10">
        <v>1257</v>
      </c>
      <c r="B1258" s="11" t="s">
        <v>9</v>
      </c>
      <c r="C1258" s="11" t="s">
        <v>253</v>
      </c>
      <c r="D1258" s="11" t="s">
        <v>254</v>
      </c>
      <c r="E1258" s="9" t="str">
        <f>+HYPERLINK("http://trademark.i-assist.jp/data/china/image_1903th/79289006.pdf", "79289006")</f>
        <v>79289006</v>
      </c>
      <c r="F1258" s="11" t="s">
        <v>3718</v>
      </c>
      <c r="G1258" s="11" t="s">
        <v>3719</v>
      </c>
      <c r="H1258" s="11" t="s">
        <v>3720</v>
      </c>
      <c r="I1258" s="11" t="s">
        <v>249</v>
      </c>
    </row>
    <row r="1259" spans="1:9" x14ac:dyDescent="0.15">
      <c r="A1259" s="10">
        <v>1258</v>
      </c>
      <c r="B1259" s="11" t="s">
        <v>9</v>
      </c>
      <c r="C1259" s="11" t="s">
        <v>253</v>
      </c>
      <c r="D1259" s="11" t="s">
        <v>254</v>
      </c>
      <c r="E1259" s="9" t="str">
        <f>+HYPERLINK("http://trademark.i-assist.jp/data/china/image_1903th/79289103.pdf", "79289103")</f>
        <v>79289103</v>
      </c>
      <c r="F1259" s="11" t="s">
        <v>3721</v>
      </c>
      <c r="G1259" s="11" t="s">
        <v>3670</v>
      </c>
      <c r="H1259" s="11" t="s">
        <v>3722</v>
      </c>
      <c r="I1259" s="11" t="s">
        <v>249</v>
      </c>
    </row>
    <row r="1260" spans="1:9" x14ac:dyDescent="0.15">
      <c r="A1260" s="10">
        <v>1259</v>
      </c>
      <c r="B1260" s="11" t="s">
        <v>9</v>
      </c>
      <c r="C1260" s="11" t="s">
        <v>253</v>
      </c>
      <c r="D1260" s="11" t="s">
        <v>254</v>
      </c>
      <c r="E1260" s="9" t="str">
        <f>+HYPERLINK("http://trademark.i-assist.jp/data/china/image_1903th/79289252.pdf", "79289252")</f>
        <v>79289252</v>
      </c>
      <c r="F1260" s="11" t="s">
        <v>12</v>
      </c>
      <c r="G1260" s="11" t="s">
        <v>3723</v>
      </c>
      <c r="H1260" s="11" t="s">
        <v>3724</v>
      </c>
      <c r="I1260" s="11" t="s">
        <v>249</v>
      </c>
    </row>
    <row r="1261" spans="1:9" x14ac:dyDescent="0.15">
      <c r="A1261" s="10">
        <v>1260</v>
      </c>
      <c r="B1261" s="11" t="s">
        <v>9</v>
      </c>
      <c r="C1261" s="11" t="s">
        <v>253</v>
      </c>
      <c r="D1261" s="11" t="s">
        <v>254</v>
      </c>
      <c r="E1261" s="9" t="str">
        <f>+HYPERLINK("http://trademark.i-assist.jp/data/china/image_1903th/79289545.pdf", "79289545")</f>
        <v>79289545</v>
      </c>
      <c r="F1261" s="11" t="s">
        <v>3725</v>
      </c>
      <c r="G1261" s="11" t="s">
        <v>3726</v>
      </c>
      <c r="H1261" s="11" t="s">
        <v>3727</v>
      </c>
      <c r="I1261" s="11" t="s">
        <v>249</v>
      </c>
    </row>
    <row r="1262" spans="1:9" x14ac:dyDescent="0.15">
      <c r="A1262" s="10">
        <v>1261</v>
      </c>
      <c r="B1262" s="11" t="s">
        <v>9</v>
      </c>
      <c r="C1262" s="11" t="s">
        <v>253</v>
      </c>
      <c r="D1262" s="11" t="s">
        <v>254</v>
      </c>
      <c r="E1262" s="9" t="str">
        <f>+HYPERLINK("http://trademark.i-assist.jp/data/china/image_1903th/79289667.pdf", "79289667")</f>
        <v>79289667</v>
      </c>
      <c r="F1262" s="11" t="s">
        <v>3728</v>
      </c>
      <c r="G1262" s="11" t="s">
        <v>3591</v>
      </c>
      <c r="H1262" s="11" t="s">
        <v>3729</v>
      </c>
      <c r="I1262" s="11" t="s">
        <v>249</v>
      </c>
    </row>
    <row r="1263" spans="1:9" x14ac:dyDescent="0.15">
      <c r="A1263" s="10">
        <v>1262</v>
      </c>
      <c r="B1263" s="11" t="s">
        <v>9</v>
      </c>
      <c r="C1263" s="11" t="s">
        <v>253</v>
      </c>
      <c r="D1263" s="11" t="s">
        <v>254</v>
      </c>
      <c r="E1263" s="9" t="str">
        <f>+HYPERLINK("http://trademark.i-assist.jp/data/china/image_1903th/79289743.pdf", "79289743")</f>
        <v>79289743</v>
      </c>
      <c r="F1263" s="11" t="s">
        <v>3730</v>
      </c>
      <c r="G1263" s="11" t="s">
        <v>3731</v>
      </c>
      <c r="H1263" s="11" t="s">
        <v>3732</v>
      </c>
      <c r="I1263" s="11" t="s">
        <v>249</v>
      </c>
    </row>
    <row r="1264" spans="1:9" x14ac:dyDescent="0.15">
      <c r="A1264" s="10">
        <v>1263</v>
      </c>
      <c r="B1264" s="11" t="s">
        <v>9</v>
      </c>
      <c r="C1264" s="11" t="s">
        <v>253</v>
      </c>
      <c r="D1264" s="11" t="s">
        <v>254</v>
      </c>
      <c r="E1264" s="9" t="str">
        <f>+HYPERLINK("http://trademark.i-assist.jp/data/china/image_1903th/79290295.pdf", "79290295")</f>
        <v>79290295</v>
      </c>
      <c r="F1264" s="11" t="s">
        <v>3733</v>
      </c>
      <c r="G1264" s="11" t="s">
        <v>3734</v>
      </c>
      <c r="H1264" s="11" t="s">
        <v>3735</v>
      </c>
      <c r="I1264" s="11" t="s">
        <v>249</v>
      </c>
    </row>
    <row r="1265" spans="1:9" x14ac:dyDescent="0.15">
      <c r="A1265" s="10">
        <v>1264</v>
      </c>
      <c r="B1265" s="11" t="s">
        <v>9</v>
      </c>
      <c r="C1265" s="11" t="s">
        <v>253</v>
      </c>
      <c r="D1265" s="11" t="s">
        <v>254</v>
      </c>
      <c r="E1265" s="9" t="str">
        <f>+HYPERLINK("http://trademark.i-assist.jp/data/china/image_1903th/79290429.pdf", "79290429")</f>
        <v>79290429</v>
      </c>
      <c r="F1265" s="11" t="s">
        <v>3736</v>
      </c>
      <c r="G1265" s="11" t="s">
        <v>3737</v>
      </c>
      <c r="H1265" s="11" t="s">
        <v>3738</v>
      </c>
      <c r="I1265" s="11" t="s">
        <v>249</v>
      </c>
    </row>
    <row r="1266" spans="1:9" x14ac:dyDescent="0.15">
      <c r="A1266" s="10">
        <v>1265</v>
      </c>
      <c r="B1266" s="11" t="s">
        <v>9</v>
      </c>
      <c r="C1266" s="11" t="s">
        <v>253</v>
      </c>
      <c r="D1266" s="11" t="s">
        <v>254</v>
      </c>
      <c r="E1266" s="9" t="str">
        <f>+HYPERLINK("http://trademark.i-assist.jp/data/china/image_1903th/79290608.pdf", "79290608")</f>
        <v>79290608</v>
      </c>
      <c r="F1266" s="11" t="s">
        <v>3739</v>
      </c>
      <c r="G1266" s="11" t="s">
        <v>3740</v>
      </c>
      <c r="H1266" s="11" t="s">
        <v>3741</v>
      </c>
      <c r="I1266" s="11" t="s">
        <v>249</v>
      </c>
    </row>
    <row r="1267" spans="1:9" x14ac:dyDescent="0.15">
      <c r="A1267" s="10">
        <v>1266</v>
      </c>
      <c r="B1267" s="11" t="s">
        <v>9</v>
      </c>
      <c r="C1267" s="11" t="s">
        <v>253</v>
      </c>
      <c r="D1267" s="11" t="s">
        <v>254</v>
      </c>
      <c r="E1267" s="9" t="str">
        <f>+HYPERLINK("http://trademark.i-assist.jp/data/china/image_1903th/79290774.pdf", "79290774")</f>
        <v>79290774</v>
      </c>
      <c r="F1267" s="11" t="s">
        <v>3742</v>
      </c>
      <c r="G1267" s="11" t="s">
        <v>3603</v>
      </c>
      <c r="H1267" s="11" t="s">
        <v>3743</v>
      </c>
      <c r="I1267" s="11" t="s">
        <v>249</v>
      </c>
    </row>
    <row r="1268" spans="1:9" x14ac:dyDescent="0.15">
      <c r="A1268" s="10">
        <v>1267</v>
      </c>
      <c r="B1268" s="11" t="s">
        <v>9</v>
      </c>
      <c r="C1268" s="11" t="s">
        <v>253</v>
      </c>
      <c r="D1268" s="11" t="s">
        <v>254</v>
      </c>
      <c r="E1268" s="9" t="str">
        <f>+HYPERLINK("http://trademark.i-assist.jp/data/china/image_1903th/79290963.pdf", "79290963")</f>
        <v>79290963</v>
      </c>
      <c r="F1268" s="11" t="s">
        <v>3744</v>
      </c>
      <c r="G1268" s="11" t="s">
        <v>3745</v>
      </c>
      <c r="H1268" s="11" t="s">
        <v>3746</v>
      </c>
      <c r="I1268" s="11" t="s">
        <v>249</v>
      </c>
    </row>
    <row r="1269" spans="1:9" x14ac:dyDescent="0.15">
      <c r="A1269" s="10">
        <v>1268</v>
      </c>
      <c r="B1269" s="11" t="s">
        <v>9</v>
      </c>
      <c r="C1269" s="11" t="s">
        <v>253</v>
      </c>
      <c r="D1269" s="11" t="s">
        <v>254</v>
      </c>
      <c r="E1269" s="9" t="str">
        <f>+HYPERLINK("http://trademark.i-assist.jp/data/china/image_1903th/79291138.pdf", "79291138")</f>
        <v>79291138</v>
      </c>
      <c r="F1269" s="11" t="s">
        <v>3747</v>
      </c>
      <c r="G1269" s="11" t="s">
        <v>3748</v>
      </c>
      <c r="H1269" s="11" t="s">
        <v>3749</v>
      </c>
      <c r="I1269" s="11" t="s">
        <v>249</v>
      </c>
    </row>
    <row r="1270" spans="1:9" x14ac:dyDescent="0.15">
      <c r="A1270" s="10">
        <v>1269</v>
      </c>
      <c r="B1270" s="11" t="s">
        <v>9</v>
      </c>
      <c r="C1270" s="11" t="s">
        <v>253</v>
      </c>
      <c r="D1270" s="11" t="s">
        <v>254</v>
      </c>
      <c r="E1270" s="9" t="str">
        <f>+HYPERLINK("http://trademark.i-assist.jp/data/china/image_1903th/79291194.pdf", "79291194")</f>
        <v>79291194</v>
      </c>
      <c r="F1270" s="11" t="s">
        <v>3750</v>
      </c>
      <c r="G1270" s="11" t="s">
        <v>3751</v>
      </c>
      <c r="H1270" s="11" t="s">
        <v>3752</v>
      </c>
      <c r="I1270" s="11" t="s">
        <v>249</v>
      </c>
    </row>
    <row r="1271" spans="1:9" x14ac:dyDescent="0.15">
      <c r="A1271" s="10">
        <v>1270</v>
      </c>
      <c r="B1271" s="11" t="s">
        <v>9</v>
      </c>
      <c r="C1271" s="11" t="s">
        <v>253</v>
      </c>
      <c r="D1271" s="11" t="s">
        <v>254</v>
      </c>
      <c r="E1271" s="9" t="str">
        <f>+HYPERLINK("http://trademark.i-assist.jp/data/china/image_1903th/79291288.pdf", "79291288")</f>
        <v>79291288</v>
      </c>
      <c r="F1271" s="11" t="s">
        <v>3753</v>
      </c>
      <c r="G1271" s="11" t="s">
        <v>3670</v>
      </c>
      <c r="H1271" s="11" t="s">
        <v>3754</v>
      </c>
      <c r="I1271" s="11" t="s">
        <v>249</v>
      </c>
    </row>
    <row r="1272" spans="1:9" x14ac:dyDescent="0.15">
      <c r="A1272" s="10">
        <v>1271</v>
      </c>
      <c r="B1272" s="11" t="s">
        <v>9</v>
      </c>
      <c r="C1272" s="11" t="s">
        <v>253</v>
      </c>
      <c r="D1272" s="11" t="s">
        <v>254</v>
      </c>
      <c r="E1272" s="9" t="str">
        <f>+HYPERLINK("http://trademark.i-assist.jp/data/china/image_1903th/79291945.pdf", "79291945")</f>
        <v>79291945</v>
      </c>
      <c r="F1272" s="11" t="s">
        <v>3755</v>
      </c>
      <c r="G1272" s="11" t="s">
        <v>3756</v>
      </c>
      <c r="H1272" s="11" t="s">
        <v>3757</v>
      </c>
      <c r="I1272" s="11" t="s">
        <v>249</v>
      </c>
    </row>
    <row r="1273" spans="1:9" x14ac:dyDescent="0.15">
      <c r="A1273" s="10">
        <v>1272</v>
      </c>
      <c r="B1273" s="11" t="s">
        <v>9</v>
      </c>
      <c r="C1273" s="11" t="s">
        <v>253</v>
      </c>
      <c r="D1273" s="11" t="s">
        <v>254</v>
      </c>
      <c r="E1273" s="9" t="str">
        <f>+HYPERLINK("http://trademark.i-assist.jp/data/china/image_1903th/79291965.pdf", "79291965")</f>
        <v>79291965</v>
      </c>
      <c r="F1273" s="11" t="s">
        <v>3758</v>
      </c>
      <c r="G1273" s="11" t="s">
        <v>3759</v>
      </c>
      <c r="H1273" s="11" t="s">
        <v>3760</v>
      </c>
      <c r="I1273" s="11" t="s">
        <v>249</v>
      </c>
    </row>
    <row r="1274" spans="1:9" x14ac:dyDescent="0.15">
      <c r="A1274" s="10">
        <v>1273</v>
      </c>
      <c r="B1274" s="11" t="s">
        <v>9</v>
      </c>
      <c r="C1274" s="11" t="s">
        <v>253</v>
      </c>
      <c r="D1274" s="11" t="s">
        <v>254</v>
      </c>
      <c r="E1274" s="9" t="str">
        <f>+HYPERLINK("http://trademark.i-assist.jp/data/china/image_1903th/79292919.pdf", "79292919")</f>
        <v>79292919</v>
      </c>
      <c r="F1274" s="11" t="s">
        <v>3761</v>
      </c>
      <c r="G1274" s="11" t="s">
        <v>3762</v>
      </c>
      <c r="H1274" s="11" t="s">
        <v>3763</v>
      </c>
      <c r="I1274" s="11" t="s">
        <v>249</v>
      </c>
    </row>
    <row r="1275" spans="1:9" x14ac:dyDescent="0.15">
      <c r="A1275" s="10">
        <v>1274</v>
      </c>
      <c r="B1275" s="11" t="s">
        <v>9</v>
      </c>
      <c r="C1275" s="11" t="s">
        <v>253</v>
      </c>
      <c r="D1275" s="11" t="s">
        <v>254</v>
      </c>
      <c r="E1275" s="9" t="str">
        <f>+HYPERLINK("http://trademark.i-assist.jp/data/china/image_1903th/79293038.pdf", "79293038")</f>
        <v>79293038</v>
      </c>
      <c r="F1275" s="11" t="s">
        <v>3764</v>
      </c>
      <c r="G1275" s="11" t="s">
        <v>193</v>
      </c>
      <c r="H1275" s="11" t="s">
        <v>3765</v>
      </c>
      <c r="I1275" s="11" t="s">
        <v>249</v>
      </c>
    </row>
    <row r="1276" spans="1:9" x14ac:dyDescent="0.15">
      <c r="A1276" s="10">
        <v>1275</v>
      </c>
      <c r="B1276" s="11" t="s">
        <v>9</v>
      </c>
      <c r="C1276" s="11" t="s">
        <v>253</v>
      </c>
      <c r="D1276" s="11" t="s">
        <v>254</v>
      </c>
      <c r="E1276" s="9" t="str">
        <f>+HYPERLINK("http://trademark.i-assist.jp/data/china/image_1903th/79293382.pdf", "79293382")</f>
        <v>79293382</v>
      </c>
      <c r="F1276" s="11" t="s">
        <v>3766</v>
      </c>
      <c r="G1276" s="11" t="s">
        <v>3767</v>
      </c>
      <c r="H1276" s="11" t="s">
        <v>3768</v>
      </c>
      <c r="I1276" s="11" t="s">
        <v>249</v>
      </c>
    </row>
    <row r="1277" spans="1:9" x14ac:dyDescent="0.15">
      <c r="A1277" s="10">
        <v>1276</v>
      </c>
      <c r="B1277" s="11" t="s">
        <v>9</v>
      </c>
      <c r="C1277" s="11" t="s">
        <v>253</v>
      </c>
      <c r="D1277" s="11" t="s">
        <v>254</v>
      </c>
      <c r="E1277" s="9" t="str">
        <f>+HYPERLINK("http://trademark.i-assist.jp/data/china/image_1903th/79293421.pdf", "79293421")</f>
        <v>79293421</v>
      </c>
      <c r="F1277" s="11" t="s">
        <v>3769</v>
      </c>
      <c r="G1277" s="11" t="s">
        <v>3770</v>
      </c>
      <c r="H1277" s="11" t="s">
        <v>3771</v>
      </c>
      <c r="I1277" s="11" t="s">
        <v>249</v>
      </c>
    </row>
    <row r="1278" spans="1:9" x14ac:dyDescent="0.15">
      <c r="A1278" s="10">
        <v>1277</v>
      </c>
      <c r="B1278" s="11" t="s">
        <v>9</v>
      </c>
      <c r="C1278" s="11" t="s">
        <v>253</v>
      </c>
      <c r="D1278" s="11" t="s">
        <v>254</v>
      </c>
      <c r="E1278" s="9" t="str">
        <f>+HYPERLINK("http://trademark.i-assist.jp/data/china/image_1903th/79293488.pdf", "79293488")</f>
        <v>79293488</v>
      </c>
      <c r="F1278" s="11" t="s">
        <v>3772</v>
      </c>
      <c r="G1278" s="11" t="s">
        <v>3611</v>
      </c>
      <c r="H1278" s="11" t="s">
        <v>3773</v>
      </c>
      <c r="I1278" s="11" t="s">
        <v>249</v>
      </c>
    </row>
    <row r="1279" spans="1:9" x14ac:dyDescent="0.15">
      <c r="A1279" s="10">
        <v>1278</v>
      </c>
      <c r="B1279" s="11" t="s">
        <v>9</v>
      </c>
      <c r="C1279" s="11" t="s">
        <v>253</v>
      </c>
      <c r="D1279" s="11" t="s">
        <v>254</v>
      </c>
      <c r="E1279" s="9" t="str">
        <f>+HYPERLINK("http://trademark.i-assist.jp/data/china/image_1903th/79293790.pdf", "79293790")</f>
        <v>79293790</v>
      </c>
      <c r="F1279" s="11" t="s">
        <v>3774</v>
      </c>
      <c r="G1279" s="11" t="s">
        <v>3775</v>
      </c>
      <c r="H1279" s="11" t="s">
        <v>3776</v>
      </c>
      <c r="I1279" s="11" t="s">
        <v>249</v>
      </c>
    </row>
    <row r="1280" spans="1:9" x14ac:dyDescent="0.15">
      <c r="A1280" s="10">
        <v>1279</v>
      </c>
      <c r="B1280" s="11" t="s">
        <v>9</v>
      </c>
      <c r="C1280" s="11" t="s">
        <v>253</v>
      </c>
      <c r="D1280" s="11" t="s">
        <v>254</v>
      </c>
      <c r="E1280" s="9" t="str">
        <f>+HYPERLINK("http://trademark.i-assist.jp/data/china/image_1903th/79293896.pdf", "79293896")</f>
        <v>79293896</v>
      </c>
      <c r="F1280" s="11" t="s">
        <v>3777</v>
      </c>
      <c r="G1280" s="11" t="s">
        <v>3778</v>
      </c>
      <c r="H1280" s="11" t="s">
        <v>3779</v>
      </c>
      <c r="I1280" s="11" t="s">
        <v>249</v>
      </c>
    </row>
    <row r="1281" spans="1:9" x14ac:dyDescent="0.15">
      <c r="A1281" s="10">
        <v>1280</v>
      </c>
      <c r="B1281" s="11" t="s">
        <v>9</v>
      </c>
      <c r="C1281" s="11" t="s">
        <v>253</v>
      </c>
      <c r="D1281" s="11" t="s">
        <v>254</v>
      </c>
      <c r="E1281" s="9" t="str">
        <f>+HYPERLINK("http://trademark.i-assist.jp/data/china/image_1903th/79294231.pdf", "79294231")</f>
        <v>79294231</v>
      </c>
      <c r="F1281" s="11" t="s">
        <v>3780</v>
      </c>
      <c r="G1281" s="11" t="s">
        <v>3781</v>
      </c>
      <c r="H1281" s="11" t="s">
        <v>3782</v>
      </c>
      <c r="I1281" s="11" t="s">
        <v>249</v>
      </c>
    </row>
    <row r="1282" spans="1:9" x14ac:dyDescent="0.15">
      <c r="A1282" s="10">
        <v>1281</v>
      </c>
      <c r="B1282" s="11" t="s">
        <v>9</v>
      </c>
      <c r="C1282" s="11" t="s">
        <v>253</v>
      </c>
      <c r="D1282" s="11" t="s">
        <v>254</v>
      </c>
      <c r="E1282" s="9" t="str">
        <f>+HYPERLINK("http://trademark.i-assist.jp/data/china/image_1903th/79294346.pdf", "79294346")</f>
        <v>79294346</v>
      </c>
      <c r="F1282" s="11" t="s">
        <v>3783</v>
      </c>
      <c r="G1282" s="11" t="s">
        <v>3784</v>
      </c>
      <c r="H1282" s="11" t="s">
        <v>3785</v>
      </c>
      <c r="I1282" s="11" t="s">
        <v>249</v>
      </c>
    </row>
    <row r="1283" spans="1:9" x14ac:dyDescent="0.15">
      <c r="A1283" s="10">
        <v>1282</v>
      </c>
      <c r="B1283" s="11" t="s">
        <v>9</v>
      </c>
      <c r="C1283" s="11" t="s">
        <v>253</v>
      </c>
      <c r="D1283" s="11" t="s">
        <v>254</v>
      </c>
      <c r="E1283" s="9" t="str">
        <f>+HYPERLINK("http://trademark.i-assist.jp/data/china/image_1903th/79294591.pdf", "79294591")</f>
        <v>79294591</v>
      </c>
      <c r="F1283" s="11" t="s">
        <v>3786</v>
      </c>
      <c r="G1283" s="11" t="s">
        <v>3550</v>
      </c>
      <c r="H1283" s="11" t="s">
        <v>3787</v>
      </c>
      <c r="I1283" s="11" t="s">
        <v>249</v>
      </c>
    </row>
    <row r="1284" spans="1:9" x14ac:dyDescent="0.15">
      <c r="A1284" s="10">
        <v>1283</v>
      </c>
      <c r="B1284" s="11" t="s">
        <v>9</v>
      </c>
      <c r="C1284" s="11" t="s">
        <v>253</v>
      </c>
      <c r="D1284" s="11" t="s">
        <v>254</v>
      </c>
      <c r="E1284" s="9" t="str">
        <f>+HYPERLINK("http://trademark.i-assist.jp/data/china/image_1903th/79294909.pdf", "79294909")</f>
        <v>79294909</v>
      </c>
      <c r="F1284" s="11" t="s">
        <v>3788</v>
      </c>
      <c r="G1284" s="11" t="s">
        <v>3789</v>
      </c>
      <c r="H1284" s="11" t="s">
        <v>3790</v>
      </c>
      <c r="I1284" s="11" t="s">
        <v>249</v>
      </c>
    </row>
    <row r="1285" spans="1:9" x14ac:dyDescent="0.15">
      <c r="A1285" s="10">
        <v>1284</v>
      </c>
      <c r="B1285" s="11" t="s">
        <v>9</v>
      </c>
      <c r="C1285" s="11" t="s">
        <v>253</v>
      </c>
      <c r="D1285" s="11" t="s">
        <v>254</v>
      </c>
      <c r="E1285" s="9" t="str">
        <f>+HYPERLINK("http://trademark.i-assist.jp/data/china/image_1903th/79295007.pdf", "79295007")</f>
        <v>79295007</v>
      </c>
      <c r="F1285" s="11" t="s">
        <v>3791</v>
      </c>
      <c r="G1285" s="11" t="s">
        <v>3792</v>
      </c>
      <c r="H1285" s="11" t="s">
        <v>3793</v>
      </c>
      <c r="I1285" s="11" t="s">
        <v>249</v>
      </c>
    </row>
    <row r="1286" spans="1:9" x14ac:dyDescent="0.15">
      <c r="A1286" s="10">
        <v>1285</v>
      </c>
      <c r="B1286" s="11" t="s">
        <v>9</v>
      </c>
      <c r="C1286" s="11" t="s">
        <v>253</v>
      </c>
      <c r="D1286" s="11" t="s">
        <v>254</v>
      </c>
      <c r="E1286" s="9" t="str">
        <f>+HYPERLINK("http://trademark.i-assist.jp/data/china/image_1903th/79295476.pdf", "79295476")</f>
        <v>79295476</v>
      </c>
      <c r="F1286" s="11" t="s">
        <v>3794</v>
      </c>
      <c r="G1286" s="11" t="s">
        <v>3678</v>
      </c>
      <c r="H1286" s="11" t="s">
        <v>3795</v>
      </c>
      <c r="I1286" s="11" t="s">
        <v>249</v>
      </c>
    </row>
    <row r="1287" spans="1:9" x14ac:dyDescent="0.15">
      <c r="A1287" s="10">
        <v>1286</v>
      </c>
      <c r="B1287" s="11" t="s">
        <v>9</v>
      </c>
      <c r="C1287" s="11" t="s">
        <v>253</v>
      </c>
      <c r="D1287" s="11" t="s">
        <v>254</v>
      </c>
      <c r="E1287" s="9" t="str">
        <f>+HYPERLINK("http://trademark.i-assist.jp/data/china/image_1903th/79295665.pdf", "79295665")</f>
        <v>79295665</v>
      </c>
      <c r="F1287" s="11" t="s">
        <v>3796</v>
      </c>
      <c r="G1287" s="11" t="s">
        <v>3797</v>
      </c>
      <c r="H1287" s="11" t="s">
        <v>3798</v>
      </c>
      <c r="I1287" s="11" t="s">
        <v>249</v>
      </c>
    </row>
    <row r="1288" spans="1:9" x14ac:dyDescent="0.15">
      <c r="A1288" s="10">
        <v>1287</v>
      </c>
      <c r="B1288" s="11" t="s">
        <v>9</v>
      </c>
      <c r="C1288" s="11" t="s">
        <v>253</v>
      </c>
      <c r="D1288" s="11" t="s">
        <v>254</v>
      </c>
      <c r="E1288" s="9" t="str">
        <f>+HYPERLINK("http://trademark.i-assist.jp/data/china/image_1903th/79296237.pdf", "79296237")</f>
        <v>79296237</v>
      </c>
      <c r="F1288" s="11" t="s">
        <v>3799</v>
      </c>
      <c r="G1288" s="11" t="s">
        <v>3800</v>
      </c>
      <c r="H1288" s="11" t="s">
        <v>3801</v>
      </c>
      <c r="I1288" s="11" t="s">
        <v>249</v>
      </c>
    </row>
    <row r="1289" spans="1:9" x14ac:dyDescent="0.15">
      <c r="A1289" s="10">
        <v>1288</v>
      </c>
      <c r="B1289" s="11" t="s">
        <v>9</v>
      </c>
      <c r="C1289" s="11" t="s">
        <v>253</v>
      </c>
      <c r="D1289" s="11" t="s">
        <v>254</v>
      </c>
      <c r="E1289" s="9" t="str">
        <f>+HYPERLINK("http://trademark.i-assist.jp/data/china/image_1903th/79296673.pdf", "79296673")</f>
        <v>79296673</v>
      </c>
      <c r="F1289" s="11" t="s">
        <v>3802</v>
      </c>
      <c r="G1289" s="11" t="s">
        <v>3803</v>
      </c>
      <c r="H1289" s="11" t="s">
        <v>3804</v>
      </c>
      <c r="I1289" s="11" t="s">
        <v>249</v>
      </c>
    </row>
    <row r="1290" spans="1:9" x14ac:dyDescent="0.15">
      <c r="A1290" s="10">
        <v>1289</v>
      </c>
      <c r="B1290" s="11" t="s">
        <v>9</v>
      </c>
      <c r="C1290" s="11" t="s">
        <v>253</v>
      </c>
      <c r="D1290" s="11" t="s">
        <v>254</v>
      </c>
      <c r="E1290" s="9" t="str">
        <f>+HYPERLINK("http://trademark.i-assist.jp/data/china/image_1903th/79296741.pdf", "79296741")</f>
        <v>79296741</v>
      </c>
      <c r="F1290" s="11" t="s">
        <v>3805</v>
      </c>
      <c r="G1290" s="11" t="s">
        <v>3806</v>
      </c>
      <c r="H1290" s="11" t="s">
        <v>3807</v>
      </c>
      <c r="I1290" s="11" t="s">
        <v>249</v>
      </c>
    </row>
    <row r="1291" spans="1:9" x14ac:dyDescent="0.15">
      <c r="A1291" s="10">
        <v>1290</v>
      </c>
      <c r="B1291" s="11" t="s">
        <v>9</v>
      </c>
      <c r="C1291" s="11" t="s">
        <v>253</v>
      </c>
      <c r="D1291" s="11" t="s">
        <v>254</v>
      </c>
      <c r="E1291" s="9" t="str">
        <f>+HYPERLINK("http://trademark.i-assist.jp/data/china/image_1903th/79296778.pdf", "79296778")</f>
        <v>79296778</v>
      </c>
      <c r="F1291" s="11" t="s">
        <v>3808</v>
      </c>
      <c r="G1291" s="11" t="s">
        <v>3809</v>
      </c>
      <c r="H1291" s="11" t="s">
        <v>3810</v>
      </c>
      <c r="I1291" s="11" t="s">
        <v>249</v>
      </c>
    </row>
    <row r="1292" spans="1:9" x14ac:dyDescent="0.15">
      <c r="A1292" s="10">
        <v>1291</v>
      </c>
      <c r="B1292" s="11" t="s">
        <v>9</v>
      </c>
      <c r="C1292" s="11" t="s">
        <v>253</v>
      </c>
      <c r="D1292" s="11" t="s">
        <v>254</v>
      </c>
      <c r="E1292" s="9" t="str">
        <f>+HYPERLINK("http://trademark.i-assist.jp/data/china/image_1903th/79296895.pdf", "79296895")</f>
        <v>79296895</v>
      </c>
      <c r="F1292" s="11" t="s">
        <v>3811</v>
      </c>
      <c r="G1292" s="11" t="s">
        <v>3812</v>
      </c>
      <c r="H1292" s="11" t="s">
        <v>3813</v>
      </c>
      <c r="I1292" s="11" t="s">
        <v>249</v>
      </c>
    </row>
    <row r="1293" spans="1:9" x14ac:dyDescent="0.15">
      <c r="A1293" s="10">
        <v>1292</v>
      </c>
      <c r="B1293" s="11" t="s">
        <v>9</v>
      </c>
      <c r="C1293" s="11" t="s">
        <v>253</v>
      </c>
      <c r="D1293" s="11" t="s">
        <v>254</v>
      </c>
      <c r="E1293" s="9" t="str">
        <f>+HYPERLINK("http://trademark.i-assist.jp/data/china/image_1903th/79297570.pdf", "79297570")</f>
        <v>79297570</v>
      </c>
      <c r="F1293" s="11" t="s">
        <v>3588</v>
      </c>
      <c r="G1293" s="11" t="s">
        <v>3586</v>
      </c>
      <c r="H1293" s="11" t="s">
        <v>3814</v>
      </c>
      <c r="I1293" s="11" t="s">
        <v>250</v>
      </c>
    </row>
    <row r="1294" spans="1:9" x14ac:dyDescent="0.15">
      <c r="A1294" s="10">
        <v>1293</v>
      </c>
      <c r="B1294" s="11" t="s">
        <v>9</v>
      </c>
      <c r="C1294" s="11" t="s">
        <v>253</v>
      </c>
      <c r="D1294" s="11" t="s">
        <v>254</v>
      </c>
      <c r="E1294" s="9" t="str">
        <f>+HYPERLINK("http://trademark.i-assist.jp/data/china/image_1903th/79298341.pdf", "79298341")</f>
        <v>79298341</v>
      </c>
      <c r="F1294" s="11" t="s">
        <v>3815</v>
      </c>
      <c r="G1294" s="11" t="s">
        <v>3816</v>
      </c>
      <c r="H1294" s="11" t="s">
        <v>3817</v>
      </c>
      <c r="I1294" s="11" t="s">
        <v>250</v>
      </c>
    </row>
    <row r="1295" spans="1:9" x14ac:dyDescent="0.15">
      <c r="A1295" s="10">
        <v>1294</v>
      </c>
      <c r="B1295" s="11" t="s">
        <v>9</v>
      </c>
      <c r="C1295" s="11" t="s">
        <v>253</v>
      </c>
      <c r="D1295" s="11" t="s">
        <v>254</v>
      </c>
      <c r="E1295" s="9" t="str">
        <f>+HYPERLINK("http://trademark.i-assist.jp/data/china/image_1903th/79298431.pdf", "79298431")</f>
        <v>79298431</v>
      </c>
      <c r="F1295" s="11" t="s">
        <v>3818</v>
      </c>
      <c r="G1295" s="11" t="s">
        <v>3819</v>
      </c>
      <c r="H1295" s="11" t="s">
        <v>3820</v>
      </c>
      <c r="I1295" s="11" t="s">
        <v>250</v>
      </c>
    </row>
    <row r="1296" spans="1:9" x14ac:dyDescent="0.15">
      <c r="A1296" s="10">
        <v>1295</v>
      </c>
      <c r="B1296" s="11" t="s">
        <v>9</v>
      </c>
      <c r="C1296" s="11" t="s">
        <v>253</v>
      </c>
      <c r="D1296" s="11" t="s">
        <v>254</v>
      </c>
      <c r="E1296" s="9" t="str">
        <f>+HYPERLINK("http://trademark.i-assist.jp/data/china/image_1903th/79298596.pdf", "79298596")</f>
        <v>79298596</v>
      </c>
      <c r="F1296" s="11" t="s">
        <v>3821</v>
      </c>
      <c r="G1296" s="11" t="s">
        <v>3822</v>
      </c>
      <c r="H1296" s="11" t="s">
        <v>3823</v>
      </c>
      <c r="I1296" s="11" t="s">
        <v>250</v>
      </c>
    </row>
    <row r="1297" spans="1:9" x14ac:dyDescent="0.15">
      <c r="A1297" s="10">
        <v>1296</v>
      </c>
      <c r="B1297" s="11" t="s">
        <v>9</v>
      </c>
      <c r="C1297" s="11" t="s">
        <v>253</v>
      </c>
      <c r="D1297" s="11" t="s">
        <v>254</v>
      </c>
      <c r="E1297" s="9" t="str">
        <f>+HYPERLINK("http://trademark.i-assist.jp/data/china/image_1903th/79298983.pdf", "79298983")</f>
        <v>79298983</v>
      </c>
      <c r="F1297" s="11" t="s">
        <v>3824</v>
      </c>
      <c r="G1297" s="11" t="s">
        <v>3825</v>
      </c>
      <c r="H1297" s="11" t="s">
        <v>3826</v>
      </c>
      <c r="I1297" s="11" t="s">
        <v>250</v>
      </c>
    </row>
    <row r="1298" spans="1:9" x14ac:dyDescent="0.15">
      <c r="A1298" s="10">
        <v>1297</v>
      </c>
      <c r="B1298" s="11" t="s">
        <v>9</v>
      </c>
      <c r="C1298" s="11" t="s">
        <v>253</v>
      </c>
      <c r="D1298" s="11" t="s">
        <v>254</v>
      </c>
      <c r="E1298" s="9" t="str">
        <f>+HYPERLINK("http://trademark.i-assist.jp/data/china/image_1903th/79299529.pdf", "79299529")</f>
        <v>79299529</v>
      </c>
      <c r="F1298" s="11" t="s">
        <v>3827</v>
      </c>
      <c r="G1298" s="11" t="s">
        <v>3828</v>
      </c>
      <c r="H1298" s="11" t="s">
        <v>3829</v>
      </c>
      <c r="I1298" s="11" t="s">
        <v>250</v>
      </c>
    </row>
    <row r="1299" spans="1:9" x14ac:dyDescent="0.15">
      <c r="A1299" s="10">
        <v>1298</v>
      </c>
      <c r="B1299" s="11" t="s">
        <v>9</v>
      </c>
      <c r="C1299" s="11" t="s">
        <v>253</v>
      </c>
      <c r="D1299" s="11" t="s">
        <v>254</v>
      </c>
      <c r="E1299" s="9" t="str">
        <f>+HYPERLINK("http://trademark.i-assist.jp/data/china/image_1903th/79300117.pdf", "79300117")</f>
        <v>79300117</v>
      </c>
      <c r="F1299" s="11" t="s">
        <v>3830</v>
      </c>
      <c r="G1299" s="11" t="s">
        <v>3831</v>
      </c>
      <c r="H1299" s="11" t="s">
        <v>3832</v>
      </c>
      <c r="I1299" s="11" t="s">
        <v>250</v>
      </c>
    </row>
    <row r="1300" spans="1:9" x14ac:dyDescent="0.15">
      <c r="A1300" s="10">
        <v>1299</v>
      </c>
      <c r="B1300" s="11" t="s">
        <v>9</v>
      </c>
      <c r="C1300" s="11" t="s">
        <v>253</v>
      </c>
      <c r="D1300" s="11" t="s">
        <v>254</v>
      </c>
      <c r="E1300" s="9" t="str">
        <f>+HYPERLINK("http://trademark.i-assist.jp/data/china/image_1903th/79300459.pdf", "79300459")</f>
        <v>79300459</v>
      </c>
      <c r="F1300" s="11" t="s">
        <v>3833</v>
      </c>
      <c r="G1300" s="11" t="s">
        <v>3834</v>
      </c>
      <c r="H1300" s="11" t="s">
        <v>3835</v>
      </c>
      <c r="I1300" s="11" t="s">
        <v>250</v>
      </c>
    </row>
    <row r="1301" spans="1:9" x14ac:dyDescent="0.15">
      <c r="A1301" s="10">
        <v>1300</v>
      </c>
      <c r="B1301" s="11" t="s">
        <v>9</v>
      </c>
      <c r="C1301" s="11" t="s">
        <v>253</v>
      </c>
      <c r="D1301" s="11" t="s">
        <v>254</v>
      </c>
      <c r="E1301" s="9" t="str">
        <f>+HYPERLINK("http://trademark.i-assist.jp/data/china/image_1903th/79300604.pdf", "79300604")</f>
        <v>79300604</v>
      </c>
      <c r="F1301" s="11" t="s">
        <v>3836</v>
      </c>
      <c r="G1301" s="11" t="s">
        <v>3816</v>
      </c>
      <c r="H1301" s="11" t="s">
        <v>3837</v>
      </c>
      <c r="I1301" s="11" t="s">
        <v>250</v>
      </c>
    </row>
    <row r="1302" spans="1:9" x14ac:dyDescent="0.15">
      <c r="A1302" s="10">
        <v>1301</v>
      </c>
      <c r="B1302" s="11" t="s">
        <v>9</v>
      </c>
      <c r="C1302" s="11" t="s">
        <v>253</v>
      </c>
      <c r="D1302" s="11" t="s">
        <v>254</v>
      </c>
      <c r="E1302" s="9" t="str">
        <f>+HYPERLINK("http://trademark.i-assist.jp/data/china/image_1903th/79301018.pdf", "79301018")</f>
        <v>79301018</v>
      </c>
      <c r="F1302" s="11" t="s">
        <v>3838</v>
      </c>
      <c r="G1302" s="11" t="s">
        <v>47</v>
      </c>
      <c r="H1302" s="11" t="s">
        <v>3839</v>
      </c>
      <c r="I1302" s="11" t="s">
        <v>250</v>
      </c>
    </row>
    <row r="1303" spans="1:9" x14ac:dyDescent="0.15">
      <c r="A1303" s="10">
        <v>1302</v>
      </c>
      <c r="B1303" s="11" t="s">
        <v>9</v>
      </c>
      <c r="C1303" s="11" t="s">
        <v>253</v>
      </c>
      <c r="D1303" s="11" t="s">
        <v>254</v>
      </c>
      <c r="E1303" s="9" t="str">
        <f>+HYPERLINK("http://trademark.i-assist.jp/data/china/image_1903th/79302372.pdf", "79302372")</f>
        <v>79302372</v>
      </c>
      <c r="F1303" s="11" t="s">
        <v>3840</v>
      </c>
      <c r="G1303" s="11" t="s">
        <v>3841</v>
      </c>
      <c r="H1303" s="11" t="s">
        <v>3842</v>
      </c>
      <c r="I1303" s="11" t="s">
        <v>250</v>
      </c>
    </row>
    <row r="1304" spans="1:9" x14ac:dyDescent="0.15">
      <c r="A1304" s="10">
        <v>1303</v>
      </c>
      <c r="B1304" s="11" t="s">
        <v>9</v>
      </c>
      <c r="C1304" s="11" t="s">
        <v>253</v>
      </c>
      <c r="D1304" s="11" t="s">
        <v>254</v>
      </c>
      <c r="E1304" s="9" t="str">
        <f>+HYPERLINK("http://trademark.i-assist.jp/data/china/image_1903th/79302383.pdf", "79302383")</f>
        <v>79302383</v>
      </c>
      <c r="F1304" s="11" t="s">
        <v>3843</v>
      </c>
      <c r="G1304" s="11" t="s">
        <v>3844</v>
      </c>
      <c r="H1304" s="11" t="s">
        <v>3845</v>
      </c>
      <c r="I1304" s="11" t="s">
        <v>250</v>
      </c>
    </row>
    <row r="1305" spans="1:9" x14ac:dyDescent="0.15">
      <c r="A1305" s="10">
        <v>1304</v>
      </c>
      <c r="B1305" s="11" t="s">
        <v>9</v>
      </c>
      <c r="C1305" s="11" t="s">
        <v>253</v>
      </c>
      <c r="D1305" s="11" t="s">
        <v>254</v>
      </c>
      <c r="E1305" s="9" t="str">
        <f>+HYPERLINK("http://trademark.i-assist.jp/data/china/image_1903th/79302498.pdf", "79302498")</f>
        <v>79302498</v>
      </c>
      <c r="F1305" s="11" t="s">
        <v>3846</v>
      </c>
      <c r="G1305" s="11" t="s">
        <v>3847</v>
      </c>
      <c r="H1305" s="11" t="s">
        <v>3848</v>
      </c>
      <c r="I1305" s="11" t="s">
        <v>250</v>
      </c>
    </row>
    <row r="1306" spans="1:9" x14ac:dyDescent="0.15">
      <c r="A1306" s="10">
        <v>1305</v>
      </c>
      <c r="B1306" s="11" t="s">
        <v>9</v>
      </c>
      <c r="C1306" s="11" t="s">
        <v>253</v>
      </c>
      <c r="D1306" s="11" t="s">
        <v>254</v>
      </c>
      <c r="E1306" s="9" t="str">
        <f>+HYPERLINK("http://trademark.i-assist.jp/data/china/image_1903th/79302956.pdf", "79302956")</f>
        <v>79302956</v>
      </c>
      <c r="F1306" s="11" t="s">
        <v>3849</v>
      </c>
      <c r="G1306" s="11" t="s">
        <v>3847</v>
      </c>
      <c r="H1306" s="11" t="s">
        <v>3850</v>
      </c>
      <c r="I1306" s="11" t="s">
        <v>250</v>
      </c>
    </row>
    <row r="1307" spans="1:9" x14ac:dyDescent="0.15">
      <c r="A1307" s="10">
        <v>1306</v>
      </c>
      <c r="B1307" s="11" t="s">
        <v>9</v>
      </c>
      <c r="C1307" s="11" t="s">
        <v>253</v>
      </c>
      <c r="D1307" s="11" t="s">
        <v>254</v>
      </c>
      <c r="E1307" s="9" t="str">
        <f>+HYPERLINK("http://trademark.i-assist.jp/data/china/image_1903th/79302980.pdf", "79302980")</f>
        <v>79302980</v>
      </c>
      <c r="F1307" s="11" t="s">
        <v>3851</v>
      </c>
      <c r="G1307" s="11" t="s">
        <v>3852</v>
      </c>
      <c r="H1307" s="11" t="s">
        <v>3853</v>
      </c>
      <c r="I1307" s="11" t="s">
        <v>250</v>
      </c>
    </row>
    <row r="1308" spans="1:9" x14ac:dyDescent="0.15">
      <c r="A1308" s="10">
        <v>1307</v>
      </c>
      <c r="B1308" s="11" t="s">
        <v>9</v>
      </c>
      <c r="C1308" s="11" t="s">
        <v>253</v>
      </c>
      <c r="D1308" s="11" t="s">
        <v>254</v>
      </c>
      <c r="E1308" s="9" t="str">
        <f>+HYPERLINK("http://trademark.i-assist.jp/data/china/image_1903th/79303328.pdf", "79303328")</f>
        <v>79303328</v>
      </c>
      <c r="F1308" s="11" t="s">
        <v>3854</v>
      </c>
      <c r="G1308" s="11" t="s">
        <v>2802</v>
      </c>
      <c r="H1308" s="11" t="s">
        <v>3855</v>
      </c>
      <c r="I1308" s="11" t="s">
        <v>250</v>
      </c>
    </row>
    <row r="1309" spans="1:9" x14ac:dyDescent="0.15">
      <c r="A1309" s="10">
        <v>1308</v>
      </c>
      <c r="B1309" s="11" t="s">
        <v>9</v>
      </c>
      <c r="C1309" s="11" t="s">
        <v>253</v>
      </c>
      <c r="D1309" s="11" t="s">
        <v>254</v>
      </c>
      <c r="E1309" s="9" t="str">
        <f>+HYPERLINK("http://trademark.i-assist.jp/data/china/image_1903th/79303348.pdf", "79303348")</f>
        <v>79303348</v>
      </c>
      <c r="F1309" s="11" t="s">
        <v>3856</v>
      </c>
      <c r="G1309" s="11" t="s">
        <v>3857</v>
      </c>
      <c r="H1309" s="11" t="s">
        <v>3858</v>
      </c>
      <c r="I1309" s="11" t="s">
        <v>250</v>
      </c>
    </row>
    <row r="1310" spans="1:9" x14ac:dyDescent="0.15">
      <c r="A1310" s="10">
        <v>1309</v>
      </c>
      <c r="B1310" s="11" t="s">
        <v>9</v>
      </c>
      <c r="C1310" s="11" t="s">
        <v>253</v>
      </c>
      <c r="D1310" s="11" t="s">
        <v>254</v>
      </c>
      <c r="E1310" s="9" t="str">
        <f>+HYPERLINK("http://trademark.i-assist.jp/data/china/image_1903th/79303487.pdf", "79303487")</f>
        <v>79303487</v>
      </c>
      <c r="F1310" s="11" t="s">
        <v>3859</v>
      </c>
      <c r="G1310" s="11" t="s">
        <v>3860</v>
      </c>
      <c r="H1310" s="11" t="s">
        <v>3861</v>
      </c>
      <c r="I1310" s="11" t="s">
        <v>250</v>
      </c>
    </row>
    <row r="1311" spans="1:9" x14ac:dyDescent="0.15">
      <c r="A1311" s="10">
        <v>1310</v>
      </c>
      <c r="B1311" s="11" t="s">
        <v>9</v>
      </c>
      <c r="C1311" s="11" t="s">
        <v>253</v>
      </c>
      <c r="D1311" s="11" t="s">
        <v>254</v>
      </c>
      <c r="E1311" s="9" t="str">
        <f>+HYPERLINK("http://trademark.i-assist.jp/data/china/image_1903th/79303677.pdf", "79303677")</f>
        <v>79303677</v>
      </c>
      <c r="F1311" s="11" t="s">
        <v>3862</v>
      </c>
      <c r="G1311" s="11" t="s">
        <v>3863</v>
      </c>
      <c r="H1311" s="11" t="s">
        <v>3864</v>
      </c>
      <c r="I1311" s="11" t="s">
        <v>250</v>
      </c>
    </row>
    <row r="1312" spans="1:9" x14ac:dyDescent="0.15">
      <c r="A1312" s="10">
        <v>1311</v>
      </c>
      <c r="B1312" s="11" t="s">
        <v>9</v>
      </c>
      <c r="C1312" s="11" t="s">
        <v>253</v>
      </c>
      <c r="D1312" s="11" t="s">
        <v>254</v>
      </c>
      <c r="E1312" s="9" t="str">
        <f>+HYPERLINK("http://trademark.i-assist.jp/data/china/image_1903th/79303869.pdf", "79303869")</f>
        <v>79303869</v>
      </c>
      <c r="F1312" s="11" t="s">
        <v>3865</v>
      </c>
      <c r="G1312" s="11" t="s">
        <v>3866</v>
      </c>
      <c r="H1312" s="11" t="s">
        <v>3867</v>
      </c>
      <c r="I1312" s="11" t="s">
        <v>250</v>
      </c>
    </row>
    <row r="1313" spans="1:9" x14ac:dyDescent="0.15">
      <c r="A1313" s="10">
        <v>1312</v>
      </c>
      <c r="B1313" s="11" t="s">
        <v>9</v>
      </c>
      <c r="C1313" s="11" t="s">
        <v>253</v>
      </c>
      <c r="D1313" s="11" t="s">
        <v>254</v>
      </c>
      <c r="E1313" s="9" t="str">
        <f>+HYPERLINK("http://trademark.i-assist.jp/data/china/image_1903th/79303918.pdf", "79303918")</f>
        <v>79303918</v>
      </c>
      <c r="F1313" s="11" t="s">
        <v>3868</v>
      </c>
      <c r="G1313" s="11" t="s">
        <v>3869</v>
      </c>
      <c r="H1313" s="11" t="s">
        <v>3870</v>
      </c>
      <c r="I1313" s="11" t="s">
        <v>250</v>
      </c>
    </row>
    <row r="1314" spans="1:9" x14ac:dyDescent="0.15">
      <c r="A1314" s="10">
        <v>1313</v>
      </c>
      <c r="B1314" s="11" t="s">
        <v>9</v>
      </c>
      <c r="C1314" s="11" t="s">
        <v>253</v>
      </c>
      <c r="D1314" s="11" t="s">
        <v>254</v>
      </c>
      <c r="E1314" s="9" t="str">
        <f>+HYPERLINK("http://trademark.i-assist.jp/data/china/image_1903th/79304277.pdf", "79304277")</f>
        <v>79304277</v>
      </c>
      <c r="F1314" s="11" t="s">
        <v>3871</v>
      </c>
      <c r="G1314" s="11" t="s">
        <v>3872</v>
      </c>
      <c r="H1314" s="11" t="s">
        <v>3873</v>
      </c>
      <c r="I1314" s="11" t="s">
        <v>250</v>
      </c>
    </row>
    <row r="1315" spans="1:9" x14ac:dyDescent="0.15">
      <c r="A1315" s="10">
        <v>1314</v>
      </c>
      <c r="B1315" s="11" t="s">
        <v>9</v>
      </c>
      <c r="C1315" s="11" t="s">
        <v>253</v>
      </c>
      <c r="D1315" s="11" t="s">
        <v>254</v>
      </c>
      <c r="E1315" s="9" t="str">
        <f>+HYPERLINK("http://trademark.i-assist.jp/data/china/image_1903th/79304332.pdf", "79304332")</f>
        <v>79304332</v>
      </c>
      <c r="F1315" s="11" t="s">
        <v>3874</v>
      </c>
      <c r="G1315" s="11" t="s">
        <v>3875</v>
      </c>
      <c r="H1315" s="11" t="s">
        <v>3876</v>
      </c>
      <c r="I1315" s="11" t="s">
        <v>250</v>
      </c>
    </row>
    <row r="1316" spans="1:9" x14ac:dyDescent="0.15">
      <c r="A1316" s="10">
        <v>1315</v>
      </c>
      <c r="B1316" s="11" t="s">
        <v>9</v>
      </c>
      <c r="C1316" s="11" t="s">
        <v>253</v>
      </c>
      <c r="D1316" s="11" t="s">
        <v>254</v>
      </c>
      <c r="E1316" s="9" t="str">
        <f>+HYPERLINK("http://trademark.i-assist.jp/data/china/image_1903th/79304398.pdf", "79304398")</f>
        <v>79304398</v>
      </c>
      <c r="F1316" s="11" t="s">
        <v>12</v>
      </c>
      <c r="G1316" s="11" t="s">
        <v>123</v>
      </c>
      <c r="H1316" s="11" t="s">
        <v>3877</v>
      </c>
      <c r="I1316" s="11" t="s">
        <v>250</v>
      </c>
    </row>
    <row r="1317" spans="1:9" x14ac:dyDescent="0.15">
      <c r="A1317" s="10">
        <v>1316</v>
      </c>
      <c r="B1317" s="11" t="s">
        <v>9</v>
      </c>
      <c r="C1317" s="11" t="s">
        <v>253</v>
      </c>
      <c r="D1317" s="11" t="s">
        <v>254</v>
      </c>
      <c r="E1317" s="9" t="str">
        <f>+HYPERLINK("http://trademark.i-assist.jp/data/china/image_1903th/79305187.pdf", "79305187")</f>
        <v>79305187</v>
      </c>
      <c r="F1317" s="11" t="s">
        <v>3878</v>
      </c>
      <c r="G1317" s="11" t="s">
        <v>3879</v>
      </c>
      <c r="H1317" s="11" t="s">
        <v>3880</v>
      </c>
      <c r="I1317" s="11" t="s">
        <v>250</v>
      </c>
    </row>
    <row r="1318" spans="1:9" x14ac:dyDescent="0.15">
      <c r="A1318" s="10">
        <v>1317</v>
      </c>
      <c r="B1318" s="11" t="s">
        <v>9</v>
      </c>
      <c r="C1318" s="11" t="s">
        <v>253</v>
      </c>
      <c r="D1318" s="11" t="s">
        <v>254</v>
      </c>
      <c r="E1318" s="9" t="str">
        <f>+HYPERLINK("http://trademark.i-assist.jp/data/china/image_1903th/79305494.pdf", "79305494")</f>
        <v>79305494</v>
      </c>
      <c r="F1318" s="11" t="s">
        <v>3881</v>
      </c>
      <c r="G1318" s="11" t="s">
        <v>3882</v>
      </c>
      <c r="H1318" s="11" t="s">
        <v>3883</v>
      </c>
      <c r="I1318" s="11" t="s">
        <v>250</v>
      </c>
    </row>
    <row r="1319" spans="1:9" x14ac:dyDescent="0.15">
      <c r="A1319" s="10">
        <v>1318</v>
      </c>
      <c r="B1319" s="11" t="s">
        <v>9</v>
      </c>
      <c r="C1319" s="11" t="s">
        <v>253</v>
      </c>
      <c r="D1319" s="11" t="s">
        <v>254</v>
      </c>
      <c r="E1319" s="9" t="str">
        <f>+HYPERLINK("http://trademark.i-assist.jp/data/china/image_1903th/79305667.pdf", "79305667")</f>
        <v>79305667</v>
      </c>
      <c r="F1319" s="11" t="s">
        <v>3884</v>
      </c>
      <c r="G1319" s="11" t="s">
        <v>3885</v>
      </c>
      <c r="H1319" s="11" t="s">
        <v>3886</v>
      </c>
      <c r="I1319" s="11" t="s">
        <v>250</v>
      </c>
    </row>
    <row r="1320" spans="1:9" x14ac:dyDescent="0.15">
      <c r="A1320" s="10">
        <v>1319</v>
      </c>
      <c r="B1320" s="11" t="s">
        <v>9</v>
      </c>
      <c r="C1320" s="11" t="s">
        <v>253</v>
      </c>
      <c r="D1320" s="11" t="s">
        <v>254</v>
      </c>
      <c r="E1320" s="9" t="str">
        <f>+HYPERLINK("http://trademark.i-assist.jp/data/china/image_1903th/79305690.pdf", "79305690")</f>
        <v>79305690</v>
      </c>
      <c r="F1320" s="11" t="s">
        <v>3887</v>
      </c>
      <c r="G1320" s="11" t="s">
        <v>3888</v>
      </c>
      <c r="H1320" s="11" t="s">
        <v>3889</v>
      </c>
      <c r="I1320" s="11" t="s">
        <v>250</v>
      </c>
    </row>
    <row r="1321" spans="1:9" x14ac:dyDescent="0.15">
      <c r="A1321" s="10">
        <v>1320</v>
      </c>
      <c r="B1321" s="11" t="s">
        <v>9</v>
      </c>
      <c r="C1321" s="11" t="s">
        <v>253</v>
      </c>
      <c r="D1321" s="11" t="s">
        <v>254</v>
      </c>
      <c r="E1321" s="9" t="str">
        <f>+HYPERLINK("http://trademark.i-assist.jp/data/china/image_1903th/79305743.pdf", "79305743")</f>
        <v>79305743</v>
      </c>
      <c r="F1321" s="11" t="s">
        <v>3890</v>
      </c>
      <c r="G1321" s="11" t="s">
        <v>3891</v>
      </c>
      <c r="H1321" s="11" t="s">
        <v>3892</v>
      </c>
      <c r="I1321" s="11" t="s">
        <v>250</v>
      </c>
    </row>
    <row r="1322" spans="1:9" x14ac:dyDescent="0.15">
      <c r="A1322" s="10">
        <v>1321</v>
      </c>
      <c r="B1322" s="11" t="s">
        <v>9</v>
      </c>
      <c r="C1322" s="11" t="s">
        <v>253</v>
      </c>
      <c r="D1322" s="11" t="s">
        <v>254</v>
      </c>
      <c r="E1322" s="9" t="str">
        <f>+HYPERLINK("http://trademark.i-assist.jp/data/china/image_1903th/79306469.pdf", "79306469")</f>
        <v>79306469</v>
      </c>
      <c r="F1322" s="11" t="s">
        <v>3893</v>
      </c>
      <c r="G1322" s="11" t="s">
        <v>3894</v>
      </c>
      <c r="H1322" s="11" t="s">
        <v>3895</v>
      </c>
      <c r="I1322" s="11" t="s">
        <v>250</v>
      </c>
    </row>
    <row r="1323" spans="1:9" x14ac:dyDescent="0.15">
      <c r="A1323" s="10">
        <v>1322</v>
      </c>
      <c r="B1323" s="11" t="s">
        <v>9</v>
      </c>
      <c r="C1323" s="11" t="s">
        <v>253</v>
      </c>
      <c r="D1323" s="11" t="s">
        <v>254</v>
      </c>
      <c r="E1323" s="9" t="str">
        <f>+HYPERLINK("http://trademark.i-assist.jp/data/china/image_1903th/79306478.pdf", "79306478")</f>
        <v>79306478</v>
      </c>
      <c r="F1323" s="11" t="s">
        <v>3896</v>
      </c>
      <c r="G1323" s="11" t="s">
        <v>3897</v>
      </c>
      <c r="H1323" s="11" t="s">
        <v>3898</v>
      </c>
      <c r="I1323" s="11" t="s">
        <v>250</v>
      </c>
    </row>
    <row r="1324" spans="1:9" x14ac:dyDescent="0.15">
      <c r="A1324" s="10">
        <v>1323</v>
      </c>
      <c r="B1324" s="11" t="s">
        <v>9</v>
      </c>
      <c r="C1324" s="11" t="s">
        <v>253</v>
      </c>
      <c r="D1324" s="11" t="s">
        <v>254</v>
      </c>
      <c r="E1324" s="9" t="str">
        <f>+HYPERLINK("http://trademark.i-assist.jp/data/china/image_1903th/79306489.pdf", "79306489")</f>
        <v>79306489</v>
      </c>
      <c r="F1324" s="11" t="s">
        <v>3899</v>
      </c>
      <c r="G1324" s="11" t="s">
        <v>3900</v>
      </c>
      <c r="H1324" s="11" t="s">
        <v>3901</v>
      </c>
      <c r="I1324" s="11" t="s">
        <v>250</v>
      </c>
    </row>
    <row r="1325" spans="1:9" x14ac:dyDescent="0.15">
      <c r="A1325" s="10">
        <v>1324</v>
      </c>
      <c r="B1325" s="11" t="s">
        <v>9</v>
      </c>
      <c r="C1325" s="11" t="s">
        <v>253</v>
      </c>
      <c r="D1325" s="11" t="s">
        <v>254</v>
      </c>
      <c r="E1325" s="9" t="str">
        <f>+HYPERLINK("http://trademark.i-assist.jp/data/china/image_1903th/79306546.pdf", "79306546")</f>
        <v>79306546</v>
      </c>
      <c r="F1325" s="11" t="s">
        <v>3902</v>
      </c>
      <c r="G1325" s="11" t="s">
        <v>3903</v>
      </c>
      <c r="H1325" s="11" t="s">
        <v>3904</v>
      </c>
      <c r="I1325" s="11" t="s">
        <v>250</v>
      </c>
    </row>
    <row r="1326" spans="1:9" x14ac:dyDescent="0.15">
      <c r="A1326" s="10">
        <v>1325</v>
      </c>
      <c r="B1326" s="11" t="s">
        <v>9</v>
      </c>
      <c r="C1326" s="11" t="s">
        <v>253</v>
      </c>
      <c r="D1326" s="11" t="s">
        <v>254</v>
      </c>
      <c r="E1326" s="9" t="str">
        <f>+HYPERLINK("http://trademark.i-assist.jp/data/china/image_1903th/79306606.pdf", "79306606")</f>
        <v>79306606</v>
      </c>
      <c r="F1326" s="11" t="s">
        <v>3905</v>
      </c>
      <c r="G1326" s="11" t="s">
        <v>3906</v>
      </c>
      <c r="H1326" s="11" t="s">
        <v>3907</v>
      </c>
      <c r="I1326" s="11" t="s">
        <v>250</v>
      </c>
    </row>
    <row r="1327" spans="1:9" x14ac:dyDescent="0.15">
      <c r="A1327" s="10">
        <v>1326</v>
      </c>
      <c r="B1327" s="11" t="s">
        <v>9</v>
      </c>
      <c r="C1327" s="11" t="s">
        <v>253</v>
      </c>
      <c r="D1327" s="11" t="s">
        <v>254</v>
      </c>
      <c r="E1327" s="9" t="str">
        <f>+HYPERLINK("http://trademark.i-assist.jp/data/china/image_1903th/79307098.pdf", "79307098")</f>
        <v>79307098</v>
      </c>
      <c r="F1327" s="11" t="s">
        <v>3908</v>
      </c>
      <c r="G1327" s="11" t="s">
        <v>3909</v>
      </c>
      <c r="H1327" s="11" t="s">
        <v>3910</v>
      </c>
      <c r="I1327" s="11" t="s">
        <v>250</v>
      </c>
    </row>
    <row r="1328" spans="1:9" x14ac:dyDescent="0.15">
      <c r="A1328" s="10">
        <v>1327</v>
      </c>
      <c r="B1328" s="11" t="s">
        <v>9</v>
      </c>
      <c r="C1328" s="11" t="s">
        <v>253</v>
      </c>
      <c r="D1328" s="11" t="s">
        <v>254</v>
      </c>
      <c r="E1328" s="9" t="str">
        <f>+HYPERLINK("http://trademark.i-assist.jp/data/china/image_1903th/79308011.pdf", "79308011")</f>
        <v>79308011</v>
      </c>
      <c r="F1328" s="11" t="s">
        <v>3911</v>
      </c>
      <c r="G1328" s="11" t="s">
        <v>3912</v>
      </c>
      <c r="H1328" s="11" t="s">
        <v>3913</v>
      </c>
      <c r="I1328" s="11" t="s">
        <v>250</v>
      </c>
    </row>
    <row r="1329" spans="1:9" x14ac:dyDescent="0.15">
      <c r="A1329" s="10">
        <v>1328</v>
      </c>
      <c r="B1329" s="11" t="s">
        <v>9</v>
      </c>
      <c r="C1329" s="11" t="s">
        <v>253</v>
      </c>
      <c r="D1329" s="11" t="s">
        <v>254</v>
      </c>
      <c r="E1329" s="9" t="str">
        <f>+HYPERLINK("http://trademark.i-assist.jp/data/china/image_1903th/79308047.pdf", "79308047")</f>
        <v>79308047</v>
      </c>
      <c r="F1329" s="11" t="s">
        <v>3914</v>
      </c>
      <c r="G1329" s="11" t="s">
        <v>3915</v>
      </c>
      <c r="H1329" s="11" t="s">
        <v>3916</v>
      </c>
      <c r="I1329" s="11" t="s">
        <v>250</v>
      </c>
    </row>
    <row r="1330" spans="1:9" x14ac:dyDescent="0.15">
      <c r="A1330" s="10">
        <v>1329</v>
      </c>
      <c r="B1330" s="11" t="s">
        <v>9</v>
      </c>
      <c r="C1330" s="11" t="s">
        <v>253</v>
      </c>
      <c r="D1330" s="11" t="s">
        <v>254</v>
      </c>
      <c r="E1330" s="9" t="str">
        <f>+HYPERLINK("http://trademark.i-assist.jp/data/china/image_1903th/79308101.pdf", "79308101")</f>
        <v>79308101</v>
      </c>
      <c r="F1330" s="11" t="s">
        <v>3917</v>
      </c>
      <c r="G1330" s="11" t="s">
        <v>3918</v>
      </c>
      <c r="H1330" s="11" t="s">
        <v>3919</v>
      </c>
      <c r="I1330" s="11" t="s">
        <v>250</v>
      </c>
    </row>
    <row r="1331" spans="1:9" x14ac:dyDescent="0.15">
      <c r="A1331" s="10">
        <v>1330</v>
      </c>
      <c r="B1331" s="11" t="s">
        <v>9</v>
      </c>
      <c r="C1331" s="11" t="s">
        <v>253</v>
      </c>
      <c r="D1331" s="11" t="s">
        <v>254</v>
      </c>
      <c r="E1331" s="9" t="str">
        <f>+HYPERLINK("http://trademark.i-assist.jp/data/china/image_1903th/79308264.pdf", "79308264")</f>
        <v>79308264</v>
      </c>
      <c r="F1331" s="11" t="s">
        <v>3920</v>
      </c>
      <c r="G1331" s="11" t="s">
        <v>3921</v>
      </c>
      <c r="H1331" s="11" t="s">
        <v>3922</v>
      </c>
      <c r="I1331" s="11" t="s">
        <v>250</v>
      </c>
    </row>
    <row r="1332" spans="1:9" x14ac:dyDescent="0.15">
      <c r="A1332" s="10">
        <v>1331</v>
      </c>
      <c r="B1332" s="11" t="s">
        <v>9</v>
      </c>
      <c r="C1332" s="11" t="s">
        <v>253</v>
      </c>
      <c r="D1332" s="11" t="s">
        <v>254</v>
      </c>
      <c r="E1332" s="9" t="str">
        <f>+HYPERLINK("http://trademark.i-assist.jp/data/china/image_1903th/79308678.pdf", "79308678")</f>
        <v>79308678</v>
      </c>
      <c r="F1332" s="11" t="s">
        <v>3923</v>
      </c>
      <c r="G1332" s="11" t="s">
        <v>3924</v>
      </c>
      <c r="H1332" s="11" t="s">
        <v>3925</v>
      </c>
      <c r="I1332" s="11" t="s">
        <v>250</v>
      </c>
    </row>
    <row r="1333" spans="1:9" x14ac:dyDescent="0.15">
      <c r="A1333" s="10">
        <v>1332</v>
      </c>
      <c r="B1333" s="11" t="s">
        <v>9</v>
      </c>
      <c r="C1333" s="11" t="s">
        <v>253</v>
      </c>
      <c r="D1333" s="11" t="s">
        <v>254</v>
      </c>
      <c r="E1333" s="9" t="str">
        <f>+HYPERLINK("http://trademark.i-assist.jp/data/china/image_1903th/79308696.pdf", "79308696")</f>
        <v>79308696</v>
      </c>
      <c r="F1333" s="11" t="s">
        <v>3926</v>
      </c>
      <c r="G1333" s="11" t="s">
        <v>3847</v>
      </c>
      <c r="H1333" s="11" t="s">
        <v>3927</v>
      </c>
      <c r="I1333" s="11" t="s">
        <v>250</v>
      </c>
    </row>
    <row r="1334" spans="1:9" x14ac:dyDescent="0.15">
      <c r="A1334" s="10">
        <v>1333</v>
      </c>
      <c r="B1334" s="11" t="s">
        <v>9</v>
      </c>
      <c r="C1334" s="11" t="s">
        <v>253</v>
      </c>
      <c r="D1334" s="11" t="s">
        <v>254</v>
      </c>
      <c r="E1334" s="9" t="str">
        <f>+HYPERLINK("http://trademark.i-assist.jp/data/china/image_1903th/79308784.pdf", "79308784")</f>
        <v>79308784</v>
      </c>
      <c r="F1334" s="11" t="s">
        <v>3928</v>
      </c>
      <c r="G1334" s="11" t="s">
        <v>3929</v>
      </c>
      <c r="H1334" s="11" t="s">
        <v>3930</v>
      </c>
      <c r="I1334" s="11" t="s">
        <v>250</v>
      </c>
    </row>
    <row r="1335" spans="1:9" x14ac:dyDescent="0.15">
      <c r="A1335" s="10">
        <v>1334</v>
      </c>
      <c r="B1335" s="11" t="s">
        <v>9</v>
      </c>
      <c r="C1335" s="11" t="s">
        <v>253</v>
      </c>
      <c r="D1335" s="11" t="s">
        <v>254</v>
      </c>
      <c r="E1335" s="9" t="str">
        <f>+HYPERLINK("http://trademark.i-assist.jp/data/china/image_1903th/79308894.pdf", "79308894")</f>
        <v>79308894</v>
      </c>
      <c r="F1335" s="11" t="s">
        <v>3931</v>
      </c>
      <c r="G1335" s="11" t="s">
        <v>3932</v>
      </c>
      <c r="H1335" s="11" t="s">
        <v>3933</v>
      </c>
      <c r="I1335" s="11" t="s">
        <v>250</v>
      </c>
    </row>
    <row r="1336" spans="1:9" x14ac:dyDescent="0.15">
      <c r="A1336" s="10">
        <v>1335</v>
      </c>
      <c r="B1336" s="11" t="s">
        <v>9</v>
      </c>
      <c r="C1336" s="11" t="s">
        <v>253</v>
      </c>
      <c r="D1336" s="11" t="s">
        <v>254</v>
      </c>
      <c r="E1336" s="9" t="str">
        <f>+HYPERLINK("http://trademark.i-assist.jp/data/china/image_1903th/79309178.pdf", "79309178")</f>
        <v>79309178</v>
      </c>
      <c r="F1336" s="11" t="s">
        <v>3934</v>
      </c>
      <c r="G1336" s="11" t="s">
        <v>3935</v>
      </c>
      <c r="H1336" s="11" t="s">
        <v>3936</v>
      </c>
      <c r="I1336" s="11" t="s">
        <v>250</v>
      </c>
    </row>
    <row r="1337" spans="1:9" x14ac:dyDescent="0.15">
      <c r="A1337" s="10">
        <v>1336</v>
      </c>
      <c r="B1337" s="11" t="s">
        <v>9</v>
      </c>
      <c r="C1337" s="11" t="s">
        <v>253</v>
      </c>
      <c r="D1337" s="11" t="s">
        <v>254</v>
      </c>
      <c r="E1337" s="9" t="str">
        <f>+HYPERLINK("http://trademark.i-assist.jp/data/china/image_1903th/79309245.pdf", "79309245")</f>
        <v>79309245</v>
      </c>
      <c r="F1337" s="11" t="s">
        <v>3937</v>
      </c>
      <c r="G1337" s="11" t="s">
        <v>3816</v>
      </c>
      <c r="H1337" s="11" t="s">
        <v>3938</v>
      </c>
      <c r="I1337" s="11" t="s">
        <v>250</v>
      </c>
    </row>
    <row r="1338" spans="1:9" x14ac:dyDescent="0.15">
      <c r="A1338" s="10">
        <v>1337</v>
      </c>
      <c r="B1338" s="11" t="s">
        <v>9</v>
      </c>
      <c r="C1338" s="11" t="s">
        <v>253</v>
      </c>
      <c r="D1338" s="11" t="s">
        <v>254</v>
      </c>
      <c r="E1338" s="9" t="str">
        <f>+HYPERLINK("http://trademark.i-assist.jp/data/china/image_1903th/79309264.pdf", "79309264")</f>
        <v>79309264</v>
      </c>
      <c r="F1338" s="11" t="s">
        <v>3939</v>
      </c>
      <c r="G1338" s="11" t="s">
        <v>3816</v>
      </c>
      <c r="H1338" s="11" t="s">
        <v>3940</v>
      </c>
      <c r="I1338" s="11" t="s">
        <v>250</v>
      </c>
    </row>
    <row r="1339" spans="1:9" x14ac:dyDescent="0.15">
      <c r="A1339" s="10">
        <v>1338</v>
      </c>
      <c r="B1339" s="11" t="s">
        <v>9</v>
      </c>
      <c r="C1339" s="11" t="s">
        <v>253</v>
      </c>
      <c r="D1339" s="11" t="s">
        <v>254</v>
      </c>
      <c r="E1339" s="9" t="str">
        <f>+HYPERLINK("http://trademark.i-assist.jp/data/china/image_1903th/79309678.pdf", "79309678")</f>
        <v>79309678</v>
      </c>
      <c r="F1339" s="11" t="s">
        <v>3941</v>
      </c>
      <c r="G1339" s="11" t="s">
        <v>3942</v>
      </c>
      <c r="H1339" s="11" t="s">
        <v>3943</v>
      </c>
      <c r="I1339" s="11" t="s">
        <v>250</v>
      </c>
    </row>
    <row r="1340" spans="1:9" x14ac:dyDescent="0.15">
      <c r="A1340" s="10">
        <v>1339</v>
      </c>
      <c r="B1340" s="11" t="s">
        <v>9</v>
      </c>
      <c r="C1340" s="11" t="s">
        <v>253</v>
      </c>
      <c r="D1340" s="11" t="s">
        <v>254</v>
      </c>
      <c r="E1340" s="9" t="str">
        <f>+HYPERLINK("http://trademark.i-assist.jp/data/china/image_1903th/79309968.pdf", "79309968")</f>
        <v>79309968</v>
      </c>
      <c r="F1340" s="11" t="s">
        <v>3944</v>
      </c>
      <c r="G1340" s="11" t="s">
        <v>146</v>
      </c>
      <c r="H1340" s="11" t="s">
        <v>3945</v>
      </c>
      <c r="I1340" s="11" t="s">
        <v>250</v>
      </c>
    </row>
    <row r="1341" spans="1:9" x14ac:dyDescent="0.15">
      <c r="A1341" s="10">
        <v>1340</v>
      </c>
      <c r="B1341" s="11" t="s">
        <v>9</v>
      </c>
      <c r="C1341" s="11" t="s">
        <v>253</v>
      </c>
      <c r="D1341" s="11" t="s">
        <v>254</v>
      </c>
      <c r="E1341" s="9" t="str">
        <f>+HYPERLINK("http://trademark.i-assist.jp/data/china/image_1903th/79309991.pdf", "79309991")</f>
        <v>79309991</v>
      </c>
      <c r="F1341" s="11" t="s">
        <v>3946</v>
      </c>
      <c r="G1341" s="11" t="s">
        <v>3947</v>
      </c>
      <c r="H1341" s="11" t="s">
        <v>3948</v>
      </c>
      <c r="I1341" s="11" t="s">
        <v>250</v>
      </c>
    </row>
    <row r="1342" spans="1:9" x14ac:dyDescent="0.15">
      <c r="A1342" s="10">
        <v>1341</v>
      </c>
      <c r="B1342" s="11" t="s">
        <v>9</v>
      </c>
      <c r="C1342" s="11" t="s">
        <v>253</v>
      </c>
      <c r="D1342" s="11" t="s">
        <v>254</v>
      </c>
      <c r="E1342" s="9" t="str">
        <f>+HYPERLINK("http://trademark.i-assist.jp/data/china/image_1903th/79310039.pdf", "79310039")</f>
        <v>79310039</v>
      </c>
      <c r="F1342" s="11" t="s">
        <v>3949</v>
      </c>
      <c r="G1342" s="11" t="s">
        <v>3950</v>
      </c>
      <c r="H1342" s="11" t="s">
        <v>3951</v>
      </c>
      <c r="I1342" s="11" t="s">
        <v>250</v>
      </c>
    </row>
    <row r="1343" spans="1:9" x14ac:dyDescent="0.15">
      <c r="A1343" s="10">
        <v>1342</v>
      </c>
      <c r="B1343" s="11" t="s">
        <v>9</v>
      </c>
      <c r="C1343" s="11" t="s">
        <v>253</v>
      </c>
      <c r="D1343" s="11" t="s">
        <v>254</v>
      </c>
      <c r="E1343" s="9" t="str">
        <f>+HYPERLINK("http://trademark.i-assist.jp/data/china/image_1903th/79310111.pdf", "79310111")</f>
        <v>79310111</v>
      </c>
      <c r="F1343" s="11" t="s">
        <v>3952</v>
      </c>
      <c r="G1343" s="11" t="s">
        <v>3953</v>
      </c>
      <c r="H1343" s="11" t="s">
        <v>3954</v>
      </c>
      <c r="I1343" s="11" t="s">
        <v>250</v>
      </c>
    </row>
    <row r="1344" spans="1:9" x14ac:dyDescent="0.15">
      <c r="A1344" s="10">
        <v>1343</v>
      </c>
      <c r="B1344" s="11" t="s">
        <v>9</v>
      </c>
      <c r="C1344" s="11" t="s">
        <v>253</v>
      </c>
      <c r="D1344" s="11" t="s">
        <v>254</v>
      </c>
      <c r="E1344" s="9" t="str">
        <f>+HYPERLINK("http://trademark.i-assist.jp/data/china/image_1903th/79310161.pdf", "79310161")</f>
        <v>79310161</v>
      </c>
      <c r="F1344" s="11" t="s">
        <v>3955</v>
      </c>
      <c r="G1344" s="11" t="s">
        <v>3956</v>
      </c>
      <c r="H1344" s="11" t="s">
        <v>3957</v>
      </c>
      <c r="I1344" s="11" t="s">
        <v>250</v>
      </c>
    </row>
    <row r="1345" spans="1:9" x14ac:dyDescent="0.15">
      <c r="A1345" s="10">
        <v>1344</v>
      </c>
      <c r="B1345" s="11" t="s">
        <v>9</v>
      </c>
      <c r="C1345" s="11" t="s">
        <v>253</v>
      </c>
      <c r="D1345" s="11" t="s">
        <v>254</v>
      </c>
      <c r="E1345" s="9" t="str">
        <f>+HYPERLINK("http://trademark.i-assist.jp/data/china/image_1903th/79310197.pdf", "79310197")</f>
        <v>79310197</v>
      </c>
      <c r="F1345" s="11" t="s">
        <v>3958</v>
      </c>
      <c r="G1345" s="11" t="s">
        <v>3885</v>
      </c>
      <c r="H1345" s="11" t="s">
        <v>3959</v>
      </c>
      <c r="I1345" s="11" t="s">
        <v>250</v>
      </c>
    </row>
    <row r="1346" spans="1:9" x14ac:dyDescent="0.15">
      <c r="A1346" s="10">
        <v>1345</v>
      </c>
      <c r="B1346" s="11" t="s">
        <v>9</v>
      </c>
      <c r="C1346" s="11" t="s">
        <v>253</v>
      </c>
      <c r="D1346" s="11" t="s">
        <v>254</v>
      </c>
      <c r="E1346" s="9" t="str">
        <f>+HYPERLINK("http://trademark.i-assist.jp/data/china/image_1903th/79310428.pdf", "79310428")</f>
        <v>79310428</v>
      </c>
      <c r="F1346" s="11" t="s">
        <v>3960</v>
      </c>
      <c r="G1346" s="11" t="s">
        <v>3953</v>
      </c>
      <c r="H1346" s="11" t="s">
        <v>3961</v>
      </c>
      <c r="I1346" s="11" t="s">
        <v>250</v>
      </c>
    </row>
    <row r="1347" spans="1:9" x14ac:dyDescent="0.15">
      <c r="A1347" s="10">
        <v>1346</v>
      </c>
      <c r="B1347" s="11" t="s">
        <v>9</v>
      </c>
      <c r="C1347" s="11" t="s">
        <v>253</v>
      </c>
      <c r="D1347" s="11" t="s">
        <v>254</v>
      </c>
      <c r="E1347" s="9" t="str">
        <f>+HYPERLINK("http://trademark.i-assist.jp/data/china/image_1903th/79310632.pdf", "79310632")</f>
        <v>79310632</v>
      </c>
      <c r="F1347" s="11" t="s">
        <v>3962</v>
      </c>
      <c r="G1347" s="11" t="s">
        <v>3963</v>
      </c>
      <c r="H1347" s="11" t="s">
        <v>3964</v>
      </c>
      <c r="I1347" s="11" t="s">
        <v>250</v>
      </c>
    </row>
    <row r="1348" spans="1:9" x14ac:dyDescent="0.15">
      <c r="A1348" s="10">
        <v>1347</v>
      </c>
      <c r="B1348" s="11" t="s">
        <v>9</v>
      </c>
      <c r="C1348" s="11" t="s">
        <v>253</v>
      </c>
      <c r="D1348" s="11" t="s">
        <v>254</v>
      </c>
      <c r="E1348" s="9" t="str">
        <f>+HYPERLINK("http://trademark.i-assist.jp/data/china/image_1903th/79311119.pdf", "79311119")</f>
        <v>79311119</v>
      </c>
      <c r="F1348" s="11" t="s">
        <v>3965</v>
      </c>
      <c r="G1348" s="11" t="s">
        <v>3966</v>
      </c>
      <c r="H1348" s="11" t="s">
        <v>3967</v>
      </c>
      <c r="I1348" s="11" t="s">
        <v>250</v>
      </c>
    </row>
    <row r="1349" spans="1:9" x14ac:dyDescent="0.15">
      <c r="A1349" s="10">
        <v>1348</v>
      </c>
      <c r="B1349" s="11" t="s">
        <v>9</v>
      </c>
      <c r="C1349" s="11" t="s">
        <v>253</v>
      </c>
      <c r="D1349" s="11" t="s">
        <v>254</v>
      </c>
      <c r="E1349" s="9" t="str">
        <f>+HYPERLINK("http://trademark.i-assist.jp/data/china/image_1903th/79311451.pdf", "79311451")</f>
        <v>79311451</v>
      </c>
      <c r="F1349" s="11" t="s">
        <v>3968</v>
      </c>
      <c r="G1349" s="11" t="s">
        <v>3969</v>
      </c>
      <c r="H1349" s="11" t="s">
        <v>3970</v>
      </c>
      <c r="I1349" s="11" t="s">
        <v>250</v>
      </c>
    </row>
    <row r="1350" spans="1:9" x14ac:dyDescent="0.15">
      <c r="A1350" s="10">
        <v>1349</v>
      </c>
      <c r="B1350" s="11" t="s">
        <v>9</v>
      </c>
      <c r="C1350" s="11" t="s">
        <v>253</v>
      </c>
      <c r="D1350" s="11" t="s">
        <v>254</v>
      </c>
      <c r="E1350" s="9" t="str">
        <f>+HYPERLINK("http://trademark.i-assist.jp/data/china/image_1903th/79312081.pdf", "79312081")</f>
        <v>79312081</v>
      </c>
      <c r="F1350" s="11" t="s">
        <v>3971</v>
      </c>
      <c r="G1350" s="11" t="s">
        <v>3972</v>
      </c>
      <c r="H1350" s="11" t="s">
        <v>3973</v>
      </c>
      <c r="I1350" s="11" t="s">
        <v>250</v>
      </c>
    </row>
    <row r="1351" spans="1:9" x14ac:dyDescent="0.15">
      <c r="A1351" s="10">
        <v>1350</v>
      </c>
      <c r="B1351" s="11" t="s">
        <v>9</v>
      </c>
      <c r="C1351" s="11" t="s">
        <v>253</v>
      </c>
      <c r="D1351" s="11" t="s">
        <v>254</v>
      </c>
      <c r="E1351" s="9" t="str">
        <f>+HYPERLINK("http://trademark.i-assist.jp/data/china/image_1903th/79312527.pdf", "79312527")</f>
        <v>79312527</v>
      </c>
      <c r="F1351" s="11" t="s">
        <v>3974</v>
      </c>
      <c r="G1351" s="11" t="s">
        <v>3975</v>
      </c>
      <c r="H1351" s="11" t="s">
        <v>3976</v>
      </c>
      <c r="I1351" s="11" t="s">
        <v>250</v>
      </c>
    </row>
    <row r="1352" spans="1:9" x14ac:dyDescent="0.15">
      <c r="A1352" s="10">
        <v>1351</v>
      </c>
      <c r="B1352" s="11" t="s">
        <v>9</v>
      </c>
      <c r="C1352" s="11" t="s">
        <v>253</v>
      </c>
      <c r="D1352" s="11" t="s">
        <v>254</v>
      </c>
      <c r="E1352" s="9" t="str">
        <f>+HYPERLINK("http://trademark.i-assist.jp/data/china/image_1903th/79312720.pdf", "79312720")</f>
        <v>79312720</v>
      </c>
      <c r="F1352" s="11" t="s">
        <v>12</v>
      </c>
      <c r="G1352" s="11" t="s">
        <v>3977</v>
      </c>
      <c r="H1352" s="11" t="s">
        <v>3978</v>
      </c>
      <c r="I1352" s="11" t="s">
        <v>250</v>
      </c>
    </row>
    <row r="1353" spans="1:9" x14ac:dyDescent="0.15">
      <c r="A1353" s="10">
        <v>1352</v>
      </c>
      <c r="B1353" s="11" t="s">
        <v>9</v>
      </c>
      <c r="C1353" s="11" t="s">
        <v>253</v>
      </c>
      <c r="D1353" s="11" t="s">
        <v>254</v>
      </c>
      <c r="E1353" s="9" t="str">
        <f>+HYPERLINK("http://trademark.i-assist.jp/data/china/image_1903th/79312828.pdf", "79312828")</f>
        <v>79312828</v>
      </c>
      <c r="F1353" s="11" t="s">
        <v>3979</v>
      </c>
      <c r="G1353" s="11" t="s">
        <v>3912</v>
      </c>
      <c r="H1353" s="11" t="s">
        <v>3980</v>
      </c>
      <c r="I1353" s="11" t="s">
        <v>250</v>
      </c>
    </row>
    <row r="1354" spans="1:9" x14ac:dyDescent="0.15">
      <c r="A1354" s="10">
        <v>1353</v>
      </c>
      <c r="B1354" s="11" t="s">
        <v>9</v>
      </c>
      <c r="C1354" s="11" t="s">
        <v>253</v>
      </c>
      <c r="D1354" s="11" t="s">
        <v>254</v>
      </c>
      <c r="E1354" s="9" t="str">
        <f>+HYPERLINK("http://trademark.i-assist.jp/data/china/image_1903th/79312882.pdf", "79312882")</f>
        <v>79312882</v>
      </c>
      <c r="F1354" s="11" t="s">
        <v>3981</v>
      </c>
      <c r="G1354" s="11" t="s">
        <v>3982</v>
      </c>
      <c r="H1354" s="11" t="s">
        <v>3983</v>
      </c>
      <c r="I1354" s="11" t="s">
        <v>250</v>
      </c>
    </row>
    <row r="1355" spans="1:9" x14ac:dyDescent="0.15">
      <c r="A1355" s="10">
        <v>1354</v>
      </c>
      <c r="B1355" s="11" t="s">
        <v>9</v>
      </c>
      <c r="C1355" s="11" t="s">
        <v>253</v>
      </c>
      <c r="D1355" s="11" t="s">
        <v>254</v>
      </c>
      <c r="E1355" s="9" t="str">
        <f>+HYPERLINK("http://trademark.i-assist.jp/data/china/image_1903th/79313870.pdf", "79313870")</f>
        <v>79313870</v>
      </c>
      <c r="F1355" s="11" t="s">
        <v>3984</v>
      </c>
      <c r="G1355" s="11" t="s">
        <v>3982</v>
      </c>
      <c r="H1355" s="11" t="s">
        <v>3985</v>
      </c>
      <c r="I1355" s="11" t="s">
        <v>250</v>
      </c>
    </row>
    <row r="1356" spans="1:9" x14ac:dyDescent="0.15">
      <c r="A1356" s="10">
        <v>1355</v>
      </c>
      <c r="B1356" s="11" t="s">
        <v>9</v>
      </c>
      <c r="C1356" s="11" t="s">
        <v>253</v>
      </c>
      <c r="D1356" s="11" t="s">
        <v>254</v>
      </c>
      <c r="E1356" s="9" t="str">
        <f>+HYPERLINK("http://trademark.i-assist.jp/data/china/image_1903th/79314195.pdf", "79314195")</f>
        <v>79314195</v>
      </c>
      <c r="F1356" s="11" t="s">
        <v>3986</v>
      </c>
      <c r="G1356" s="11" t="s">
        <v>3987</v>
      </c>
      <c r="H1356" s="11" t="s">
        <v>3988</v>
      </c>
      <c r="I1356" s="11" t="s">
        <v>250</v>
      </c>
    </row>
    <row r="1357" spans="1:9" x14ac:dyDescent="0.15">
      <c r="A1357" s="10">
        <v>1356</v>
      </c>
      <c r="B1357" s="11" t="s">
        <v>9</v>
      </c>
      <c r="C1357" s="11" t="s">
        <v>253</v>
      </c>
      <c r="D1357" s="11" t="s">
        <v>254</v>
      </c>
      <c r="E1357" s="9" t="str">
        <f>+HYPERLINK("http://trademark.i-assist.jp/data/china/image_1903th/79314262.pdf", "79314262")</f>
        <v>79314262</v>
      </c>
      <c r="F1357" s="11" t="s">
        <v>3989</v>
      </c>
      <c r="G1357" s="11" t="s">
        <v>3990</v>
      </c>
      <c r="H1357" s="11" t="s">
        <v>3991</v>
      </c>
      <c r="I1357" s="11" t="s">
        <v>250</v>
      </c>
    </row>
    <row r="1358" spans="1:9" x14ac:dyDescent="0.15">
      <c r="A1358" s="10">
        <v>1357</v>
      </c>
      <c r="B1358" s="11" t="s">
        <v>9</v>
      </c>
      <c r="C1358" s="11" t="s">
        <v>253</v>
      </c>
      <c r="D1358" s="11" t="s">
        <v>254</v>
      </c>
      <c r="E1358" s="9" t="str">
        <f>+HYPERLINK("http://trademark.i-assist.jp/data/china/image_1903th/79314642.pdf", "79314642")</f>
        <v>79314642</v>
      </c>
      <c r="F1358" s="11" t="s">
        <v>3992</v>
      </c>
      <c r="G1358" s="11" t="s">
        <v>3993</v>
      </c>
      <c r="H1358" s="11" t="s">
        <v>3994</v>
      </c>
      <c r="I1358" s="11" t="s">
        <v>250</v>
      </c>
    </row>
    <row r="1359" spans="1:9" x14ac:dyDescent="0.15">
      <c r="A1359" s="10">
        <v>1358</v>
      </c>
      <c r="B1359" s="11" t="s">
        <v>9</v>
      </c>
      <c r="C1359" s="11" t="s">
        <v>253</v>
      </c>
      <c r="D1359" s="11" t="s">
        <v>254</v>
      </c>
      <c r="E1359" s="9" t="str">
        <f>+HYPERLINK("http://trademark.i-assist.jp/data/china/image_1903th/79314732.pdf", "79314732")</f>
        <v>79314732</v>
      </c>
      <c r="F1359" s="11" t="s">
        <v>3995</v>
      </c>
      <c r="G1359" s="11" t="s">
        <v>3996</v>
      </c>
      <c r="H1359" s="11" t="s">
        <v>3997</v>
      </c>
      <c r="I1359" s="11" t="s">
        <v>250</v>
      </c>
    </row>
    <row r="1360" spans="1:9" x14ac:dyDescent="0.15">
      <c r="A1360" s="10">
        <v>1359</v>
      </c>
      <c r="B1360" s="11" t="s">
        <v>9</v>
      </c>
      <c r="C1360" s="11" t="s">
        <v>253</v>
      </c>
      <c r="D1360" s="11" t="s">
        <v>254</v>
      </c>
      <c r="E1360" s="9" t="str">
        <f>+HYPERLINK("http://trademark.i-assist.jp/data/china/image_1903th/79315566.pdf", "79315566")</f>
        <v>79315566</v>
      </c>
      <c r="F1360" s="11" t="s">
        <v>3998</v>
      </c>
      <c r="G1360" s="11" t="s">
        <v>3999</v>
      </c>
      <c r="H1360" s="11" t="s">
        <v>4000</v>
      </c>
      <c r="I1360" s="11" t="s">
        <v>250</v>
      </c>
    </row>
    <row r="1361" spans="1:9" x14ac:dyDescent="0.15">
      <c r="A1361" s="10">
        <v>1360</v>
      </c>
      <c r="B1361" s="11" t="s">
        <v>9</v>
      </c>
      <c r="C1361" s="11" t="s">
        <v>253</v>
      </c>
      <c r="D1361" s="11" t="s">
        <v>254</v>
      </c>
      <c r="E1361" s="9" t="str">
        <f>+HYPERLINK("http://trademark.i-assist.jp/data/china/image_1903th/79316000.pdf", "79316000")</f>
        <v>79316000</v>
      </c>
      <c r="F1361" s="11" t="s">
        <v>4001</v>
      </c>
      <c r="G1361" s="11" t="s">
        <v>166</v>
      </c>
      <c r="H1361" s="11" t="s">
        <v>4002</v>
      </c>
      <c r="I1361" s="11" t="s">
        <v>250</v>
      </c>
    </row>
    <row r="1362" spans="1:9" x14ac:dyDescent="0.15">
      <c r="A1362" s="10">
        <v>1361</v>
      </c>
      <c r="B1362" s="11" t="s">
        <v>9</v>
      </c>
      <c r="C1362" s="11" t="s">
        <v>253</v>
      </c>
      <c r="D1362" s="11" t="s">
        <v>254</v>
      </c>
      <c r="E1362" s="9" t="str">
        <f>+HYPERLINK("http://trademark.i-assist.jp/data/china/image_1903th/79316128.pdf", "79316128")</f>
        <v>79316128</v>
      </c>
      <c r="F1362" s="11" t="s">
        <v>4003</v>
      </c>
      <c r="G1362" s="11" t="s">
        <v>4004</v>
      </c>
      <c r="H1362" s="11" t="s">
        <v>4005</v>
      </c>
      <c r="I1362" s="11" t="s">
        <v>250</v>
      </c>
    </row>
    <row r="1363" spans="1:9" x14ac:dyDescent="0.15">
      <c r="A1363" s="10">
        <v>1362</v>
      </c>
      <c r="B1363" s="11" t="s">
        <v>9</v>
      </c>
      <c r="C1363" s="11" t="s">
        <v>253</v>
      </c>
      <c r="D1363" s="11" t="s">
        <v>254</v>
      </c>
      <c r="E1363" s="9" t="str">
        <f>+HYPERLINK("http://trademark.i-assist.jp/data/china/image_1903th/79316880.pdf", "79316880")</f>
        <v>79316880</v>
      </c>
      <c r="F1363" s="11" t="s">
        <v>4006</v>
      </c>
      <c r="G1363" s="11" t="s">
        <v>3816</v>
      </c>
      <c r="H1363" s="11" t="s">
        <v>16</v>
      </c>
      <c r="I1363" s="11" t="s">
        <v>250</v>
      </c>
    </row>
    <row r="1364" spans="1:9" x14ac:dyDescent="0.15">
      <c r="A1364" s="10">
        <v>1363</v>
      </c>
      <c r="B1364" s="11" t="s">
        <v>9</v>
      </c>
      <c r="C1364" s="11" t="s">
        <v>253</v>
      </c>
      <c r="D1364" s="11" t="s">
        <v>254</v>
      </c>
      <c r="E1364" s="9" t="str">
        <f>+HYPERLINK("http://trademark.i-assist.jp/data/china/image_1903th/79316918.pdf", "79316918")</f>
        <v>79316918</v>
      </c>
      <c r="F1364" s="11" t="s">
        <v>4007</v>
      </c>
      <c r="G1364" s="11" t="s">
        <v>3816</v>
      </c>
      <c r="H1364" s="11" t="s">
        <v>4008</v>
      </c>
      <c r="I1364" s="11" t="s">
        <v>250</v>
      </c>
    </row>
    <row r="1365" spans="1:9" x14ac:dyDescent="0.15">
      <c r="A1365" s="10">
        <v>1364</v>
      </c>
      <c r="B1365" s="11" t="s">
        <v>9</v>
      </c>
      <c r="C1365" s="11" t="s">
        <v>253</v>
      </c>
      <c r="D1365" s="11" t="s">
        <v>254</v>
      </c>
      <c r="E1365" s="9" t="str">
        <f>+HYPERLINK("http://trademark.i-assist.jp/data/china/image_1903th/79317144.pdf", "79317144")</f>
        <v>79317144</v>
      </c>
      <c r="F1365" s="11" t="s">
        <v>4009</v>
      </c>
      <c r="G1365" s="11" t="s">
        <v>4010</v>
      </c>
      <c r="H1365" s="11" t="s">
        <v>4011</v>
      </c>
      <c r="I1365" s="11" t="s">
        <v>250</v>
      </c>
    </row>
    <row r="1366" spans="1:9" x14ac:dyDescent="0.15">
      <c r="A1366" s="10">
        <v>1365</v>
      </c>
      <c r="B1366" s="11" t="s">
        <v>9</v>
      </c>
      <c r="C1366" s="11" t="s">
        <v>253</v>
      </c>
      <c r="D1366" s="11" t="s">
        <v>254</v>
      </c>
      <c r="E1366" s="9" t="str">
        <f>+HYPERLINK("http://trademark.i-assist.jp/data/china/image_1903th/79317575.pdf", "79317575")</f>
        <v>79317575</v>
      </c>
      <c r="F1366" s="11" t="s">
        <v>4012</v>
      </c>
      <c r="G1366" s="11" t="s">
        <v>4013</v>
      </c>
      <c r="H1366" s="11" t="s">
        <v>4014</v>
      </c>
      <c r="I1366" s="11" t="s">
        <v>250</v>
      </c>
    </row>
    <row r="1367" spans="1:9" x14ac:dyDescent="0.15">
      <c r="A1367" s="10">
        <v>1366</v>
      </c>
      <c r="B1367" s="11" t="s">
        <v>9</v>
      </c>
      <c r="C1367" s="11" t="s">
        <v>253</v>
      </c>
      <c r="D1367" s="11" t="s">
        <v>254</v>
      </c>
      <c r="E1367" s="9" t="str">
        <f>+HYPERLINK("http://trademark.i-assist.jp/data/china/image_1903th/79317637.pdf", "79317637")</f>
        <v>79317637</v>
      </c>
      <c r="F1367" s="11" t="s">
        <v>4015</v>
      </c>
      <c r="G1367" s="11" t="s">
        <v>4016</v>
      </c>
      <c r="H1367" s="11" t="s">
        <v>4017</v>
      </c>
      <c r="I1367" s="11" t="s">
        <v>250</v>
      </c>
    </row>
    <row r="1368" spans="1:9" x14ac:dyDescent="0.15">
      <c r="A1368" s="10">
        <v>1367</v>
      </c>
      <c r="B1368" s="11" t="s">
        <v>9</v>
      </c>
      <c r="C1368" s="11" t="s">
        <v>253</v>
      </c>
      <c r="D1368" s="11" t="s">
        <v>254</v>
      </c>
      <c r="E1368" s="9" t="str">
        <f>+HYPERLINK("http://trademark.i-assist.jp/data/china/image_1903th/79317799.pdf", "79317799")</f>
        <v>79317799</v>
      </c>
      <c r="F1368" s="11" t="s">
        <v>4018</v>
      </c>
      <c r="G1368" s="11" t="s">
        <v>3866</v>
      </c>
      <c r="H1368" s="11" t="s">
        <v>4019</v>
      </c>
      <c r="I1368" s="11" t="s">
        <v>250</v>
      </c>
    </row>
    <row r="1369" spans="1:9" x14ac:dyDescent="0.15">
      <c r="A1369" s="10">
        <v>1368</v>
      </c>
      <c r="B1369" s="11" t="s">
        <v>9</v>
      </c>
      <c r="C1369" s="11" t="s">
        <v>253</v>
      </c>
      <c r="D1369" s="11" t="s">
        <v>254</v>
      </c>
      <c r="E1369" s="9" t="str">
        <f>+HYPERLINK("http://trademark.i-assist.jp/data/china/image_1903th/79318268.pdf", "79318268")</f>
        <v>79318268</v>
      </c>
      <c r="F1369" s="11" t="s">
        <v>4020</v>
      </c>
      <c r="G1369" s="11" t="s">
        <v>3953</v>
      </c>
      <c r="H1369" s="11" t="s">
        <v>4021</v>
      </c>
      <c r="I1369" s="11" t="s">
        <v>250</v>
      </c>
    </row>
    <row r="1370" spans="1:9" x14ac:dyDescent="0.15">
      <c r="A1370" s="10">
        <v>1369</v>
      </c>
      <c r="B1370" s="11" t="s">
        <v>9</v>
      </c>
      <c r="C1370" s="11" t="s">
        <v>253</v>
      </c>
      <c r="D1370" s="11" t="s">
        <v>254</v>
      </c>
      <c r="E1370" s="9" t="str">
        <f>+HYPERLINK("http://trademark.i-assist.jp/data/china/image_1903th/79318277.pdf", "79318277")</f>
        <v>79318277</v>
      </c>
      <c r="F1370" s="11" t="s">
        <v>4022</v>
      </c>
      <c r="G1370" s="11" t="s">
        <v>3863</v>
      </c>
      <c r="H1370" s="11" t="s">
        <v>4023</v>
      </c>
      <c r="I1370" s="11" t="s">
        <v>250</v>
      </c>
    </row>
    <row r="1371" spans="1:9" x14ac:dyDescent="0.15">
      <c r="A1371" s="10">
        <v>1370</v>
      </c>
      <c r="B1371" s="11" t="s">
        <v>9</v>
      </c>
      <c r="C1371" s="11" t="s">
        <v>253</v>
      </c>
      <c r="D1371" s="11" t="s">
        <v>254</v>
      </c>
      <c r="E1371" s="9" t="str">
        <f>+HYPERLINK("http://trademark.i-assist.jp/data/china/image_1903th/79318511.pdf", "79318511")</f>
        <v>79318511</v>
      </c>
      <c r="F1371" s="11" t="s">
        <v>4024</v>
      </c>
      <c r="G1371" s="11" t="s">
        <v>240</v>
      </c>
      <c r="H1371" s="11" t="s">
        <v>4025</v>
      </c>
      <c r="I1371" s="11" t="s">
        <v>250</v>
      </c>
    </row>
    <row r="1372" spans="1:9" x14ac:dyDescent="0.15">
      <c r="A1372" s="10">
        <v>1371</v>
      </c>
      <c r="B1372" s="11" t="s">
        <v>9</v>
      </c>
      <c r="C1372" s="11" t="s">
        <v>253</v>
      </c>
      <c r="D1372" s="11" t="s">
        <v>254</v>
      </c>
      <c r="E1372" s="9" t="str">
        <f>+HYPERLINK("http://trademark.i-assist.jp/data/china/image_1903th/79318995.pdf", "79318995")</f>
        <v>79318995</v>
      </c>
      <c r="F1372" s="11" t="s">
        <v>4026</v>
      </c>
      <c r="G1372" s="11" t="s">
        <v>3918</v>
      </c>
      <c r="H1372" s="11" t="s">
        <v>4027</v>
      </c>
      <c r="I1372" s="11" t="s">
        <v>250</v>
      </c>
    </row>
    <row r="1373" spans="1:9" x14ac:dyDescent="0.15">
      <c r="A1373" s="10">
        <v>1372</v>
      </c>
      <c r="B1373" s="11" t="s">
        <v>9</v>
      </c>
      <c r="C1373" s="11" t="s">
        <v>253</v>
      </c>
      <c r="D1373" s="11" t="s">
        <v>254</v>
      </c>
      <c r="E1373" s="9" t="str">
        <f>+HYPERLINK("http://trademark.i-assist.jp/data/china/image_1903th/79319549.pdf", "79319549")</f>
        <v>79319549</v>
      </c>
      <c r="F1373" s="11" t="s">
        <v>4028</v>
      </c>
      <c r="G1373" s="11" t="s">
        <v>3816</v>
      </c>
      <c r="H1373" s="11" t="s">
        <v>4029</v>
      </c>
      <c r="I1373" s="11" t="s">
        <v>250</v>
      </c>
    </row>
    <row r="1374" spans="1:9" x14ac:dyDescent="0.15">
      <c r="A1374" s="10">
        <v>1373</v>
      </c>
      <c r="B1374" s="11" t="s">
        <v>9</v>
      </c>
      <c r="C1374" s="11" t="s">
        <v>253</v>
      </c>
      <c r="D1374" s="11" t="s">
        <v>254</v>
      </c>
      <c r="E1374" s="9" t="str">
        <f>+HYPERLINK("http://trademark.i-assist.jp/data/china/image_1903th/79319742.pdf", "79319742")</f>
        <v>79319742</v>
      </c>
      <c r="F1374" s="11" t="s">
        <v>4030</v>
      </c>
      <c r="G1374" s="11" t="s">
        <v>4031</v>
      </c>
      <c r="H1374" s="11" t="s">
        <v>4032</v>
      </c>
      <c r="I1374" s="11" t="s">
        <v>250</v>
      </c>
    </row>
    <row r="1375" spans="1:9" x14ac:dyDescent="0.15">
      <c r="A1375" s="10">
        <v>1374</v>
      </c>
      <c r="B1375" s="11" t="s">
        <v>9</v>
      </c>
      <c r="C1375" s="11" t="s">
        <v>253</v>
      </c>
      <c r="D1375" s="11" t="s">
        <v>254</v>
      </c>
      <c r="E1375" s="9" t="str">
        <f>+HYPERLINK("http://trademark.i-assist.jp/data/china/image_1903th/79319980.pdf", "79319980")</f>
        <v>79319980</v>
      </c>
      <c r="F1375" s="11" t="s">
        <v>4033</v>
      </c>
      <c r="G1375" s="11" t="s">
        <v>4034</v>
      </c>
      <c r="H1375" s="11" t="s">
        <v>4035</v>
      </c>
      <c r="I1375" s="11" t="s">
        <v>250</v>
      </c>
    </row>
    <row r="1376" spans="1:9" x14ac:dyDescent="0.15">
      <c r="A1376" s="10">
        <v>1375</v>
      </c>
      <c r="B1376" s="11" t="s">
        <v>9</v>
      </c>
      <c r="C1376" s="11" t="s">
        <v>253</v>
      </c>
      <c r="D1376" s="11" t="s">
        <v>254</v>
      </c>
      <c r="E1376" s="9" t="str">
        <f>+HYPERLINK("http://trademark.i-assist.jp/data/china/image_1903th/79320017.pdf", "79320017")</f>
        <v>79320017</v>
      </c>
      <c r="F1376" s="11" t="s">
        <v>4036</v>
      </c>
      <c r="G1376" s="11" t="s">
        <v>4036</v>
      </c>
      <c r="H1376" s="11" t="s">
        <v>4037</v>
      </c>
      <c r="I1376" s="11" t="s">
        <v>250</v>
      </c>
    </row>
    <row r="1377" spans="1:9" x14ac:dyDescent="0.15">
      <c r="A1377" s="10">
        <v>1376</v>
      </c>
      <c r="B1377" s="11" t="s">
        <v>9</v>
      </c>
      <c r="C1377" s="11" t="s">
        <v>253</v>
      </c>
      <c r="D1377" s="11" t="s">
        <v>254</v>
      </c>
      <c r="E1377" s="9" t="str">
        <f>+HYPERLINK("http://trademark.i-assist.jp/data/china/image_1903th/79320090.pdf", "79320090")</f>
        <v>79320090</v>
      </c>
      <c r="F1377" s="11" t="s">
        <v>4038</v>
      </c>
      <c r="G1377" s="11" t="s">
        <v>4039</v>
      </c>
      <c r="H1377" s="11" t="s">
        <v>4040</v>
      </c>
      <c r="I1377" s="11" t="s">
        <v>250</v>
      </c>
    </row>
    <row r="1378" spans="1:9" x14ac:dyDescent="0.15">
      <c r="A1378" s="10">
        <v>1377</v>
      </c>
      <c r="B1378" s="11" t="s">
        <v>9</v>
      </c>
      <c r="C1378" s="11" t="s">
        <v>253</v>
      </c>
      <c r="D1378" s="11" t="s">
        <v>254</v>
      </c>
      <c r="E1378" s="9" t="str">
        <f>+HYPERLINK("http://trademark.i-assist.jp/data/china/image_1903th/79321428.pdf", "79321428")</f>
        <v>79321428</v>
      </c>
      <c r="F1378" s="11" t="s">
        <v>4041</v>
      </c>
      <c r="G1378" s="11" t="s">
        <v>4042</v>
      </c>
      <c r="H1378" s="11" t="s">
        <v>4043</v>
      </c>
      <c r="I1378" s="11" t="s">
        <v>250</v>
      </c>
    </row>
    <row r="1379" spans="1:9" x14ac:dyDescent="0.15">
      <c r="A1379" s="10">
        <v>1378</v>
      </c>
      <c r="B1379" s="11" t="s">
        <v>9</v>
      </c>
      <c r="C1379" s="11" t="s">
        <v>253</v>
      </c>
      <c r="D1379" s="11" t="s">
        <v>254</v>
      </c>
      <c r="E1379" s="9" t="str">
        <f>+HYPERLINK("http://trademark.i-assist.jp/data/china/image_1903th/79321446.pdf", "79321446")</f>
        <v>79321446</v>
      </c>
      <c r="F1379" s="11" t="s">
        <v>4044</v>
      </c>
      <c r="G1379" s="11" t="s">
        <v>4045</v>
      </c>
      <c r="H1379" s="11" t="s">
        <v>4046</v>
      </c>
      <c r="I1379" s="11" t="s">
        <v>250</v>
      </c>
    </row>
    <row r="1380" spans="1:9" x14ac:dyDescent="0.15">
      <c r="A1380" s="10">
        <v>1379</v>
      </c>
      <c r="B1380" s="11" t="s">
        <v>9</v>
      </c>
      <c r="C1380" s="11" t="s">
        <v>253</v>
      </c>
      <c r="D1380" s="11" t="s">
        <v>254</v>
      </c>
      <c r="E1380" s="9" t="str">
        <f>+HYPERLINK("http://trademark.i-assist.jp/data/china/image_1903th/79321837.pdf", "79321837")</f>
        <v>79321837</v>
      </c>
      <c r="F1380" s="11" t="s">
        <v>4047</v>
      </c>
      <c r="G1380" s="11" t="s">
        <v>4048</v>
      </c>
      <c r="H1380" s="11" t="s">
        <v>4049</v>
      </c>
      <c r="I1380" s="11" t="s">
        <v>250</v>
      </c>
    </row>
    <row r="1381" spans="1:9" x14ac:dyDescent="0.15">
      <c r="A1381" s="10">
        <v>1380</v>
      </c>
      <c r="B1381" s="11" t="s">
        <v>9</v>
      </c>
      <c r="C1381" s="11" t="s">
        <v>253</v>
      </c>
      <c r="D1381" s="11" t="s">
        <v>254</v>
      </c>
      <c r="E1381" s="9" t="str">
        <f>+HYPERLINK("http://trademark.i-assist.jp/data/china/image_1903th/79322672.pdf", "79322672")</f>
        <v>79322672</v>
      </c>
      <c r="F1381" s="11" t="s">
        <v>4050</v>
      </c>
      <c r="G1381" s="11" t="s">
        <v>4051</v>
      </c>
      <c r="H1381" s="11" t="s">
        <v>4052</v>
      </c>
      <c r="I1381" s="11" t="s">
        <v>250</v>
      </c>
    </row>
    <row r="1382" spans="1:9" x14ac:dyDescent="0.15">
      <c r="A1382" s="10">
        <v>1381</v>
      </c>
      <c r="B1382" s="11" t="s">
        <v>9</v>
      </c>
      <c r="C1382" s="11" t="s">
        <v>253</v>
      </c>
      <c r="D1382" s="11" t="s">
        <v>254</v>
      </c>
      <c r="E1382" s="9" t="str">
        <f>+HYPERLINK("http://trademark.i-assist.jp/data/china/image_1903th/79323151.pdf", "79323151")</f>
        <v>79323151</v>
      </c>
      <c r="F1382" s="11" t="s">
        <v>4053</v>
      </c>
      <c r="G1382" s="11" t="s">
        <v>4054</v>
      </c>
      <c r="H1382" s="11" t="s">
        <v>4055</v>
      </c>
      <c r="I1382" s="11" t="s">
        <v>250</v>
      </c>
    </row>
    <row r="1383" spans="1:9" x14ac:dyDescent="0.15">
      <c r="A1383" s="10">
        <v>1382</v>
      </c>
      <c r="B1383" s="11" t="s">
        <v>9</v>
      </c>
      <c r="C1383" s="11" t="s">
        <v>253</v>
      </c>
      <c r="D1383" s="11" t="s">
        <v>254</v>
      </c>
      <c r="E1383" s="9" t="str">
        <f>+HYPERLINK("http://trademark.i-assist.jp/data/china/image_1903th/79324053.pdf", "79324053")</f>
        <v>79324053</v>
      </c>
      <c r="F1383" s="11" t="s">
        <v>4056</v>
      </c>
      <c r="G1383" s="11" t="s">
        <v>4057</v>
      </c>
      <c r="H1383" s="11" t="s">
        <v>4058</v>
      </c>
      <c r="I1383" s="11" t="s">
        <v>251</v>
      </c>
    </row>
    <row r="1384" spans="1:9" x14ac:dyDescent="0.15">
      <c r="A1384" s="10">
        <v>1383</v>
      </c>
      <c r="B1384" s="11" t="s">
        <v>9</v>
      </c>
      <c r="C1384" s="11" t="s">
        <v>253</v>
      </c>
      <c r="D1384" s="11" t="s">
        <v>254</v>
      </c>
      <c r="E1384" s="9" t="str">
        <f>+HYPERLINK("http://trademark.i-assist.jp/data/china/image_1903th/79324137.pdf", "79324137")</f>
        <v>79324137</v>
      </c>
      <c r="F1384" s="11" t="s">
        <v>4059</v>
      </c>
      <c r="G1384" s="11" t="s">
        <v>4060</v>
      </c>
      <c r="H1384" s="11" t="s">
        <v>4061</v>
      </c>
      <c r="I1384" s="11" t="s">
        <v>251</v>
      </c>
    </row>
    <row r="1385" spans="1:9" x14ac:dyDescent="0.15">
      <c r="A1385" s="10">
        <v>1384</v>
      </c>
      <c r="B1385" s="11" t="s">
        <v>9</v>
      </c>
      <c r="C1385" s="11" t="s">
        <v>253</v>
      </c>
      <c r="D1385" s="11" t="s">
        <v>254</v>
      </c>
      <c r="E1385" s="9" t="str">
        <f>+HYPERLINK("http://trademark.i-assist.jp/data/china/image_1903th/79324174.pdf", "79324174")</f>
        <v>79324174</v>
      </c>
      <c r="F1385" s="11" t="s">
        <v>4062</v>
      </c>
      <c r="G1385" s="11" t="s">
        <v>4063</v>
      </c>
      <c r="H1385" s="11" t="s">
        <v>4064</v>
      </c>
      <c r="I1385" s="11" t="s">
        <v>251</v>
      </c>
    </row>
    <row r="1386" spans="1:9" x14ac:dyDescent="0.15">
      <c r="A1386" s="10">
        <v>1385</v>
      </c>
      <c r="B1386" s="11" t="s">
        <v>9</v>
      </c>
      <c r="C1386" s="11" t="s">
        <v>253</v>
      </c>
      <c r="D1386" s="11" t="s">
        <v>254</v>
      </c>
      <c r="E1386" s="9" t="str">
        <f>+HYPERLINK("http://trademark.i-assist.jp/data/china/image_1903th/79324504.pdf", "79324504")</f>
        <v>79324504</v>
      </c>
      <c r="F1386" s="11" t="s">
        <v>12</v>
      </c>
      <c r="G1386" s="11" t="s">
        <v>4065</v>
      </c>
      <c r="H1386" s="11" t="s">
        <v>4066</v>
      </c>
      <c r="I1386" s="11" t="s">
        <v>251</v>
      </c>
    </row>
    <row r="1387" spans="1:9" x14ac:dyDescent="0.15">
      <c r="A1387" s="10">
        <v>1386</v>
      </c>
      <c r="B1387" s="11" t="s">
        <v>9</v>
      </c>
      <c r="C1387" s="11" t="s">
        <v>253</v>
      </c>
      <c r="D1387" s="11" t="s">
        <v>254</v>
      </c>
      <c r="E1387" s="9" t="str">
        <f>+HYPERLINK("http://trademark.i-assist.jp/data/china/image_1903th/79324694.pdf", "79324694")</f>
        <v>79324694</v>
      </c>
      <c r="F1387" s="11" t="s">
        <v>4067</v>
      </c>
      <c r="G1387" s="11" t="s">
        <v>4068</v>
      </c>
      <c r="H1387" s="11" t="s">
        <v>4069</v>
      </c>
      <c r="I1387" s="11" t="s">
        <v>251</v>
      </c>
    </row>
    <row r="1388" spans="1:9" x14ac:dyDescent="0.15">
      <c r="A1388" s="10">
        <v>1387</v>
      </c>
      <c r="B1388" s="11" t="s">
        <v>9</v>
      </c>
      <c r="C1388" s="11" t="s">
        <v>253</v>
      </c>
      <c r="D1388" s="11" t="s">
        <v>254</v>
      </c>
      <c r="E1388" s="9" t="str">
        <f>+HYPERLINK("http://trademark.i-assist.jp/data/china/image_1903th/79324732.pdf", "79324732")</f>
        <v>79324732</v>
      </c>
      <c r="F1388" s="11" t="s">
        <v>4070</v>
      </c>
      <c r="G1388" s="11" t="s">
        <v>4071</v>
      </c>
      <c r="H1388" s="11" t="s">
        <v>4072</v>
      </c>
      <c r="I1388" s="11" t="s">
        <v>251</v>
      </c>
    </row>
    <row r="1389" spans="1:9" x14ac:dyDescent="0.15">
      <c r="A1389" s="10">
        <v>1388</v>
      </c>
      <c r="B1389" s="11" t="s">
        <v>9</v>
      </c>
      <c r="C1389" s="11" t="s">
        <v>253</v>
      </c>
      <c r="D1389" s="11" t="s">
        <v>254</v>
      </c>
      <c r="E1389" s="9" t="str">
        <f>+HYPERLINK("http://trademark.i-assist.jp/data/china/image_1903th/79325333.pdf", "79325333")</f>
        <v>79325333</v>
      </c>
      <c r="F1389" s="11" t="s">
        <v>4073</v>
      </c>
      <c r="G1389" s="11" t="s">
        <v>4074</v>
      </c>
      <c r="H1389" s="11" t="s">
        <v>4075</v>
      </c>
      <c r="I1389" s="11" t="s">
        <v>251</v>
      </c>
    </row>
    <row r="1390" spans="1:9" x14ac:dyDescent="0.15">
      <c r="A1390" s="10">
        <v>1389</v>
      </c>
      <c r="B1390" s="11" t="s">
        <v>9</v>
      </c>
      <c r="C1390" s="11" t="s">
        <v>253</v>
      </c>
      <c r="D1390" s="11" t="s">
        <v>254</v>
      </c>
      <c r="E1390" s="9" t="str">
        <f>+HYPERLINK("http://trademark.i-assist.jp/data/china/image_1903th/79326250.pdf", "79326250")</f>
        <v>79326250</v>
      </c>
      <c r="F1390" s="11" t="s">
        <v>4076</v>
      </c>
      <c r="G1390" s="11" t="s">
        <v>4077</v>
      </c>
      <c r="H1390" s="11" t="s">
        <v>4078</v>
      </c>
      <c r="I1390" s="11" t="s">
        <v>251</v>
      </c>
    </row>
    <row r="1391" spans="1:9" x14ac:dyDescent="0.15">
      <c r="A1391" s="10">
        <v>1390</v>
      </c>
      <c r="B1391" s="11" t="s">
        <v>9</v>
      </c>
      <c r="C1391" s="11" t="s">
        <v>253</v>
      </c>
      <c r="D1391" s="11" t="s">
        <v>254</v>
      </c>
      <c r="E1391" s="9" t="str">
        <f>+HYPERLINK("http://trademark.i-assist.jp/data/china/image_1903th/79326840.pdf", "79326840")</f>
        <v>79326840</v>
      </c>
      <c r="F1391" s="11" t="s">
        <v>4079</v>
      </c>
      <c r="G1391" s="11" t="s">
        <v>4080</v>
      </c>
      <c r="H1391" s="11" t="s">
        <v>4081</v>
      </c>
      <c r="I1391" s="11" t="s">
        <v>251</v>
      </c>
    </row>
    <row r="1392" spans="1:9" x14ac:dyDescent="0.15">
      <c r="A1392" s="10">
        <v>1391</v>
      </c>
      <c r="B1392" s="11" t="s">
        <v>9</v>
      </c>
      <c r="C1392" s="11" t="s">
        <v>253</v>
      </c>
      <c r="D1392" s="11" t="s">
        <v>254</v>
      </c>
      <c r="E1392" s="9" t="str">
        <f>+HYPERLINK("http://trademark.i-assist.jp/data/china/image_1903th/79327164.pdf", "79327164")</f>
        <v>79327164</v>
      </c>
      <c r="F1392" s="11" t="s">
        <v>4082</v>
      </c>
      <c r="G1392" s="11" t="s">
        <v>4083</v>
      </c>
      <c r="H1392" s="11" t="s">
        <v>4084</v>
      </c>
      <c r="I1392" s="11" t="s">
        <v>251</v>
      </c>
    </row>
    <row r="1393" spans="1:9" x14ac:dyDescent="0.15">
      <c r="A1393" s="10">
        <v>1392</v>
      </c>
      <c r="B1393" s="11" t="s">
        <v>9</v>
      </c>
      <c r="C1393" s="11" t="s">
        <v>253</v>
      </c>
      <c r="D1393" s="11" t="s">
        <v>254</v>
      </c>
      <c r="E1393" s="9" t="str">
        <f>+HYPERLINK("http://trademark.i-assist.jp/data/china/image_1903th/79327271.pdf", "79327271")</f>
        <v>79327271</v>
      </c>
      <c r="F1393" s="11" t="s">
        <v>4085</v>
      </c>
      <c r="G1393" s="11" t="s">
        <v>4086</v>
      </c>
      <c r="H1393" s="11" t="s">
        <v>4087</v>
      </c>
      <c r="I1393" s="11" t="s">
        <v>251</v>
      </c>
    </row>
    <row r="1394" spans="1:9" x14ac:dyDescent="0.15">
      <c r="A1394" s="10">
        <v>1393</v>
      </c>
      <c r="B1394" s="11" t="s">
        <v>9</v>
      </c>
      <c r="C1394" s="11" t="s">
        <v>253</v>
      </c>
      <c r="D1394" s="11" t="s">
        <v>254</v>
      </c>
      <c r="E1394" s="9" t="str">
        <f>+HYPERLINK("http://trademark.i-assist.jp/data/china/image_1903th/79327381.pdf", "79327381")</f>
        <v>79327381</v>
      </c>
      <c r="F1394" s="11" t="s">
        <v>4088</v>
      </c>
      <c r="G1394" s="11" t="s">
        <v>4089</v>
      </c>
      <c r="H1394" s="11" t="s">
        <v>4090</v>
      </c>
      <c r="I1394" s="11" t="s">
        <v>251</v>
      </c>
    </row>
    <row r="1395" spans="1:9" x14ac:dyDescent="0.15">
      <c r="A1395" s="10">
        <v>1394</v>
      </c>
      <c r="B1395" s="11" t="s">
        <v>9</v>
      </c>
      <c r="C1395" s="11" t="s">
        <v>253</v>
      </c>
      <c r="D1395" s="11" t="s">
        <v>254</v>
      </c>
      <c r="E1395" s="9" t="str">
        <f>+HYPERLINK("http://trademark.i-assist.jp/data/china/image_1903th/79327518.pdf", "79327518")</f>
        <v>79327518</v>
      </c>
      <c r="F1395" s="11" t="s">
        <v>4091</v>
      </c>
      <c r="G1395" s="11" t="s">
        <v>4092</v>
      </c>
      <c r="H1395" s="11" t="s">
        <v>4093</v>
      </c>
      <c r="I1395" s="11" t="s">
        <v>251</v>
      </c>
    </row>
    <row r="1396" spans="1:9" x14ac:dyDescent="0.15">
      <c r="A1396" s="10">
        <v>1395</v>
      </c>
      <c r="B1396" s="11" t="s">
        <v>9</v>
      </c>
      <c r="C1396" s="11" t="s">
        <v>253</v>
      </c>
      <c r="D1396" s="11" t="s">
        <v>254</v>
      </c>
      <c r="E1396" s="9" t="str">
        <f>+HYPERLINK("http://trademark.i-assist.jp/data/china/image_1903th/79327902.pdf", "79327902")</f>
        <v>79327902</v>
      </c>
      <c r="F1396" s="11" t="s">
        <v>4094</v>
      </c>
      <c r="G1396" s="11" t="s">
        <v>4095</v>
      </c>
      <c r="H1396" s="11" t="s">
        <v>4096</v>
      </c>
      <c r="I1396" s="11" t="s">
        <v>251</v>
      </c>
    </row>
    <row r="1397" spans="1:9" x14ac:dyDescent="0.15">
      <c r="A1397" s="10">
        <v>1396</v>
      </c>
      <c r="B1397" s="11" t="s">
        <v>9</v>
      </c>
      <c r="C1397" s="11" t="s">
        <v>253</v>
      </c>
      <c r="D1397" s="11" t="s">
        <v>254</v>
      </c>
      <c r="E1397" s="9" t="str">
        <f>+HYPERLINK("http://trademark.i-assist.jp/data/china/image_1903th/79328208.pdf", "79328208")</f>
        <v>79328208</v>
      </c>
      <c r="F1397" s="11" t="s">
        <v>4097</v>
      </c>
      <c r="G1397" s="11" t="s">
        <v>4098</v>
      </c>
      <c r="H1397" s="11" t="s">
        <v>4099</v>
      </c>
      <c r="I1397" s="11" t="s">
        <v>251</v>
      </c>
    </row>
    <row r="1398" spans="1:9" x14ac:dyDescent="0.15">
      <c r="A1398" s="10">
        <v>1397</v>
      </c>
      <c r="B1398" s="11" t="s">
        <v>9</v>
      </c>
      <c r="C1398" s="11" t="s">
        <v>253</v>
      </c>
      <c r="D1398" s="11" t="s">
        <v>254</v>
      </c>
      <c r="E1398" s="9" t="str">
        <f>+HYPERLINK("http://trademark.i-assist.jp/data/china/image_1903th/79328325.pdf", "79328325")</f>
        <v>79328325</v>
      </c>
      <c r="F1398" s="11" t="s">
        <v>4100</v>
      </c>
      <c r="G1398" s="11" t="s">
        <v>4101</v>
      </c>
      <c r="H1398" s="11" t="s">
        <v>4102</v>
      </c>
      <c r="I1398" s="11" t="s">
        <v>251</v>
      </c>
    </row>
    <row r="1399" spans="1:9" x14ac:dyDescent="0.15">
      <c r="A1399" s="10">
        <v>1398</v>
      </c>
      <c r="B1399" s="11" t="s">
        <v>9</v>
      </c>
      <c r="C1399" s="11" t="s">
        <v>253</v>
      </c>
      <c r="D1399" s="11" t="s">
        <v>254</v>
      </c>
      <c r="E1399" s="9" t="str">
        <f>+HYPERLINK("http://trademark.i-assist.jp/data/china/image_1903th/79328538.pdf", "79328538")</f>
        <v>79328538</v>
      </c>
      <c r="F1399" s="11" t="s">
        <v>4103</v>
      </c>
      <c r="G1399" s="11" t="s">
        <v>4104</v>
      </c>
      <c r="H1399" s="11" t="s">
        <v>4105</v>
      </c>
      <c r="I1399" s="11" t="s">
        <v>251</v>
      </c>
    </row>
    <row r="1400" spans="1:9" x14ac:dyDescent="0.15">
      <c r="A1400" s="10">
        <v>1399</v>
      </c>
      <c r="B1400" s="11" t="s">
        <v>9</v>
      </c>
      <c r="C1400" s="11" t="s">
        <v>253</v>
      </c>
      <c r="D1400" s="11" t="s">
        <v>254</v>
      </c>
      <c r="E1400" s="9" t="str">
        <f>+HYPERLINK("http://trademark.i-assist.jp/data/china/image_1903th/79328620.pdf", "79328620")</f>
        <v>79328620</v>
      </c>
      <c r="F1400" s="11" t="s">
        <v>4106</v>
      </c>
      <c r="G1400" s="11" t="s">
        <v>4107</v>
      </c>
      <c r="H1400" s="11" t="s">
        <v>4108</v>
      </c>
      <c r="I1400" s="11" t="s">
        <v>251</v>
      </c>
    </row>
    <row r="1401" spans="1:9" x14ac:dyDescent="0.15">
      <c r="A1401" s="10">
        <v>1400</v>
      </c>
      <c r="B1401" s="11" t="s">
        <v>9</v>
      </c>
      <c r="C1401" s="11" t="s">
        <v>253</v>
      </c>
      <c r="D1401" s="11" t="s">
        <v>254</v>
      </c>
      <c r="E1401" s="9" t="str">
        <f>+HYPERLINK("http://trademark.i-assist.jp/data/china/image_1903th/79329018.pdf", "79329018")</f>
        <v>79329018</v>
      </c>
      <c r="F1401" s="11" t="s">
        <v>4109</v>
      </c>
      <c r="G1401" s="11" t="s">
        <v>4110</v>
      </c>
      <c r="H1401" s="11" t="s">
        <v>4111</v>
      </c>
      <c r="I1401" s="11" t="s">
        <v>251</v>
      </c>
    </row>
    <row r="1402" spans="1:9" x14ac:dyDescent="0.15">
      <c r="A1402" s="10">
        <v>1401</v>
      </c>
      <c r="B1402" s="11" t="s">
        <v>9</v>
      </c>
      <c r="C1402" s="11" t="s">
        <v>253</v>
      </c>
      <c r="D1402" s="11" t="s">
        <v>254</v>
      </c>
      <c r="E1402" s="9" t="str">
        <f>+HYPERLINK("http://trademark.i-assist.jp/data/china/image_1903th/79329167.pdf", "79329167")</f>
        <v>79329167</v>
      </c>
      <c r="F1402" s="11" t="s">
        <v>4112</v>
      </c>
      <c r="G1402" s="11" t="s">
        <v>4113</v>
      </c>
      <c r="H1402" s="11" t="s">
        <v>4114</v>
      </c>
      <c r="I1402" s="11" t="s">
        <v>251</v>
      </c>
    </row>
    <row r="1403" spans="1:9" x14ac:dyDescent="0.15">
      <c r="A1403" s="10">
        <v>1402</v>
      </c>
      <c r="B1403" s="11" t="s">
        <v>9</v>
      </c>
      <c r="C1403" s="11" t="s">
        <v>253</v>
      </c>
      <c r="D1403" s="11" t="s">
        <v>254</v>
      </c>
      <c r="E1403" s="9" t="str">
        <f>+HYPERLINK("http://trademark.i-assist.jp/data/china/image_1903th/79329552.pdf", "79329552")</f>
        <v>79329552</v>
      </c>
      <c r="F1403" s="11" t="s">
        <v>4115</v>
      </c>
      <c r="G1403" s="11" t="s">
        <v>4116</v>
      </c>
      <c r="H1403" s="11" t="s">
        <v>4117</v>
      </c>
      <c r="I1403" s="11" t="s">
        <v>251</v>
      </c>
    </row>
    <row r="1404" spans="1:9" x14ac:dyDescent="0.15">
      <c r="A1404" s="10">
        <v>1403</v>
      </c>
      <c r="B1404" s="11" t="s">
        <v>9</v>
      </c>
      <c r="C1404" s="11" t="s">
        <v>253</v>
      </c>
      <c r="D1404" s="11" t="s">
        <v>254</v>
      </c>
      <c r="E1404" s="9" t="str">
        <f>+HYPERLINK("http://trademark.i-assist.jp/data/china/image_1903th/79329689.pdf", "79329689")</f>
        <v>79329689</v>
      </c>
      <c r="F1404" s="11" t="s">
        <v>4118</v>
      </c>
      <c r="G1404" s="11" t="s">
        <v>4119</v>
      </c>
      <c r="H1404" s="11" t="s">
        <v>4120</v>
      </c>
      <c r="I1404" s="11" t="s">
        <v>251</v>
      </c>
    </row>
    <row r="1405" spans="1:9" x14ac:dyDescent="0.15">
      <c r="A1405" s="10">
        <v>1404</v>
      </c>
      <c r="B1405" s="11" t="s">
        <v>9</v>
      </c>
      <c r="C1405" s="11" t="s">
        <v>253</v>
      </c>
      <c r="D1405" s="11" t="s">
        <v>254</v>
      </c>
      <c r="E1405" s="9" t="str">
        <f>+HYPERLINK("http://trademark.i-assist.jp/data/china/image_1903th/79329736.pdf", "79329736")</f>
        <v>79329736</v>
      </c>
      <c r="F1405" s="11" t="s">
        <v>4121</v>
      </c>
      <c r="G1405" s="11" t="s">
        <v>4122</v>
      </c>
      <c r="H1405" s="11" t="s">
        <v>14</v>
      </c>
      <c r="I1405" s="11" t="s">
        <v>251</v>
      </c>
    </row>
    <row r="1406" spans="1:9" x14ac:dyDescent="0.15">
      <c r="A1406" s="10">
        <v>1405</v>
      </c>
      <c r="B1406" s="11" t="s">
        <v>9</v>
      </c>
      <c r="C1406" s="11" t="s">
        <v>253</v>
      </c>
      <c r="D1406" s="11" t="s">
        <v>254</v>
      </c>
      <c r="E1406" s="9" t="str">
        <f>+HYPERLINK("http://trademark.i-assist.jp/data/china/image_1903th/79329826.pdf", "79329826")</f>
        <v>79329826</v>
      </c>
      <c r="F1406" s="11" t="s">
        <v>4123</v>
      </c>
      <c r="G1406" s="11" t="s">
        <v>4124</v>
      </c>
      <c r="H1406" s="11" t="s">
        <v>4125</v>
      </c>
      <c r="I1406" s="11" t="s">
        <v>251</v>
      </c>
    </row>
    <row r="1407" spans="1:9" x14ac:dyDescent="0.15">
      <c r="A1407" s="10">
        <v>1406</v>
      </c>
      <c r="B1407" s="11" t="s">
        <v>9</v>
      </c>
      <c r="C1407" s="11" t="s">
        <v>253</v>
      </c>
      <c r="D1407" s="11" t="s">
        <v>254</v>
      </c>
      <c r="E1407" s="9" t="str">
        <f>+HYPERLINK("http://trademark.i-assist.jp/data/china/image_1903th/79330036.pdf", "79330036")</f>
        <v>79330036</v>
      </c>
      <c r="F1407" s="11" t="s">
        <v>4126</v>
      </c>
      <c r="G1407" s="11" t="s">
        <v>4127</v>
      </c>
      <c r="H1407" s="11" t="s">
        <v>4128</v>
      </c>
      <c r="I1407" s="11" t="s">
        <v>251</v>
      </c>
    </row>
    <row r="1408" spans="1:9" x14ac:dyDescent="0.15">
      <c r="A1408" s="10">
        <v>1407</v>
      </c>
      <c r="B1408" s="11" t="s">
        <v>9</v>
      </c>
      <c r="C1408" s="11" t="s">
        <v>253</v>
      </c>
      <c r="D1408" s="11" t="s">
        <v>254</v>
      </c>
      <c r="E1408" s="9" t="str">
        <f>+HYPERLINK("http://trademark.i-assist.jp/data/china/image_1903th/79330117.pdf", "79330117")</f>
        <v>79330117</v>
      </c>
      <c r="F1408" s="11" t="s">
        <v>4129</v>
      </c>
      <c r="G1408" s="11" t="s">
        <v>4130</v>
      </c>
      <c r="H1408" s="11" t="s">
        <v>4131</v>
      </c>
      <c r="I1408" s="11" t="s">
        <v>251</v>
      </c>
    </row>
    <row r="1409" spans="1:9" x14ac:dyDescent="0.15">
      <c r="A1409" s="10">
        <v>1408</v>
      </c>
      <c r="B1409" s="11" t="s">
        <v>9</v>
      </c>
      <c r="C1409" s="11" t="s">
        <v>253</v>
      </c>
      <c r="D1409" s="11" t="s">
        <v>254</v>
      </c>
      <c r="E1409" s="9" t="str">
        <f>+HYPERLINK("http://trademark.i-assist.jp/data/china/image_1903th/79330205.pdf", "79330205")</f>
        <v>79330205</v>
      </c>
      <c r="F1409" s="11" t="s">
        <v>4132</v>
      </c>
      <c r="G1409" s="11" t="s">
        <v>4133</v>
      </c>
      <c r="H1409" s="11" t="s">
        <v>4134</v>
      </c>
      <c r="I1409" s="11" t="s">
        <v>251</v>
      </c>
    </row>
    <row r="1410" spans="1:9" x14ac:dyDescent="0.15">
      <c r="A1410" s="10">
        <v>1409</v>
      </c>
      <c r="B1410" s="11" t="s">
        <v>9</v>
      </c>
      <c r="C1410" s="11" t="s">
        <v>253</v>
      </c>
      <c r="D1410" s="11" t="s">
        <v>254</v>
      </c>
      <c r="E1410" s="9" t="str">
        <f>+HYPERLINK("http://trademark.i-assist.jp/data/china/image_1903th/79330306.pdf", "79330306")</f>
        <v>79330306</v>
      </c>
      <c r="F1410" s="11" t="s">
        <v>1883</v>
      </c>
      <c r="G1410" s="11" t="s">
        <v>4135</v>
      </c>
      <c r="H1410" s="11" t="s">
        <v>78</v>
      </c>
      <c r="I1410" s="11" t="s">
        <v>251</v>
      </c>
    </row>
    <row r="1411" spans="1:9" x14ac:dyDescent="0.15">
      <c r="A1411" s="10">
        <v>1410</v>
      </c>
      <c r="B1411" s="11" t="s">
        <v>9</v>
      </c>
      <c r="C1411" s="11" t="s">
        <v>253</v>
      </c>
      <c r="D1411" s="11" t="s">
        <v>254</v>
      </c>
      <c r="E1411" s="9" t="str">
        <f>+HYPERLINK("http://trademark.i-assist.jp/data/china/image_1903th/79330831.pdf", "79330831")</f>
        <v>79330831</v>
      </c>
      <c r="F1411" s="11" t="s">
        <v>4136</v>
      </c>
      <c r="G1411" s="11" t="s">
        <v>4137</v>
      </c>
      <c r="H1411" s="11" t="s">
        <v>4138</v>
      </c>
      <c r="I1411" s="11" t="s">
        <v>251</v>
      </c>
    </row>
    <row r="1412" spans="1:9" x14ac:dyDescent="0.15">
      <c r="A1412" s="10">
        <v>1411</v>
      </c>
      <c r="B1412" s="11" t="s">
        <v>9</v>
      </c>
      <c r="C1412" s="11" t="s">
        <v>253</v>
      </c>
      <c r="D1412" s="11" t="s">
        <v>254</v>
      </c>
      <c r="E1412" s="9" t="str">
        <f>+HYPERLINK("http://trademark.i-assist.jp/data/china/image_1903th/79330891.pdf", "79330891")</f>
        <v>79330891</v>
      </c>
      <c r="F1412" s="11" t="s">
        <v>4139</v>
      </c>
      <c r="G1412" s="11" t="s">
        <v>4140</v>
      </c>
      <c r="H1412" s="11" t="s">
        <v>4141</v>
      </c>
      <c r="I1412" s="11" t="s">
        <v>251</v>
      </c>
    </row>
    <row r="1413" spans="1:9" x14ac:dyDescent="0.15">
      <c r="A1413" s="10">
        <v>1412</v>
      </c>
      <c r="B1413" s="11" t="s">
        <v>9</v>
      </c>
      <c r="C1413" s="11" t="s">
        <v>253</v>
      </c>
      <c r="D1413" s="11" t="s">
        <v>254</v>
      </c>
      <c r="E1413" s="9" t="str">
        <f>+HYPERLINK("http://trademark.i-assist.jp/data/china/image_1903th/79331128.pdf", "79331128")</f>
        <v>79331128</v>
      </c>
      <c r="F1413" s="11" t="s">
        <v>4142</v>
      </c>
      <c r="G1413" s="11" t="s">
        <v>4116</v>
      </c>
      <c r="H1413" s="11" t="s">
        <v>4143</v>
      </c>
      <c r="I1413" s="11" t="s">
        <v>251</v>
      </c>
    </row>
    <row r="1414" spans="1:9" x14ac:dyDescent="0.15">
      <c r="A1414" s="10">
        <v>1413</v>
      </c>
      <c r="B1414" s="11" t="s">
        <v>9</v>
      </c>
      <c r="C1414" s="11" t="s">
        <v>253</v>
      </c>
      <c r="D1414" s="11" t="s">
        <v>254</v>
      </c>
      <c r="E1414" s="9" t="str">
        <f>+HYPERLINK("http://trademark.i-assist.jp/data/china/image_1903th/79331216.pdf", "79331216")</f>
        <v>79331216</v>
      </c>
      <c r="F1414" s="11" t="s">
        <v>4144</v>
      </c>
      <c r="G1414" s="11" t="s">
        <v>4145</v>
      </c>
      <c r="H1414" s="11" t="s">
        <v>4146</v>
      </c>
      <c r="I1414" s="11" t="s">
        <v>251</v>
      </c>
    </row>
    <row r="1415" spans="1:9" x14ac:dyDescent="0.15">
      <c r="A1415" s="10">
        <v>1414</v>
      </c>
      <c r="B1415" s="11" t="s">
        <v>9</v>
      </c>
      <c r="C1415" s="11" t="s">
        <v>253</v>
      </c>
      <c r="D1415" s="11" t="s">
        <v>254</v>
      </c>
      <c r="E1415" s="9" t="str">
        <f>+HYPERLINK("http://trademark.i-assist.jp/data/china/image_1903th/79331229.pdf", "79331229")</f>
        <v>79331229</v>
      </c>
      <c r="F1415" s="11" t="s">
        <v>4147</v>
      </c>
      <c r="G1415" s="11" t="s">
        <v>4145</v>
      </c>
      <c r="H1415" s="11" t="s">
        <v>4148</v>
      </c>
      <c r="I1415" s="11" t="s">
        <v>251</v>
      </c>
    </row>
    <row r="1416" spans="1:9" x14ac:dyDescent="0.15">
      <c r="A1416" s="10">
        <v>1415</v>
      </c>
      <c r="B1416" s="11" t="s">
        <v>9</v>
      </c>
      <c r="C1416" s="11" t="s">
        <v>253</v>
      </c>
      <c r="D1416" s="11" t="s">
        <v>254</v>
      </c>
      <c r="E1416" s="9" t="str">
        <f>+HYPERLINK("http://trademark.i-assist.jp/data/china/image_1903th/79331297.pdf", "79331297")</f>
        <v>79331297</v>
      </c>
      <c r="F1416" s="11" t="s">
        <v>12</v>
      </c>
      <c r="G1416" s="11" t="s">
        <v>4149</v>
      </c>
      <c r="H1416" s="11" t="s">
        <v>4150</v>
      </c>
      <c r="I1416" s="11" t="s">
        <v>251</v>
      </c>
    </row>
    <row r="1417" spans="1:9" x14ac:dyDescent="0.15">
      <c r="A1417" s="10">
        <v>1416</v>
      </c>
      <c r="B1417" s="11" t="s">
        <v>9</v>
      </c>
      <c r="C1417" s="11" t="s">
        <v>253</v>
      </c>
      <c r="D1417" s="11" t="s">
        <v>254</v>
      </c>
      <c r="E1417" s="9" t="str">
        <f>+HYPERLINK("http://trademark.i-assist.jp/data/china/image_1903th/79331654.pdf", "79331654")</f>
        <v>79331654</v>
      </c>
      <c r="F1417" s="11" t="s">
        <v>4151</v>
      </c>
      <c r="G1417" s="11" t="s">
        <v>4152</v>
      </c>
      <c r="H1417" s="11" t="s">
        <v>4153</v>
      </c>
      <c r="I1417" s="11" t="s">
        <v>251</v>
      </c>
    </row>
    <row r="1418" spans="1:9" x14ac:dyDescent="0.15">
      <c r="A1418" s="10">
        <v>1417</v>
      </c>
      <c r="B1418" s="11" t="s">
        <v>9</v>
      </c>
      <c r="C1418" s="11" t="s">
        <v>253</v>
      </c>
      <c r="D1418" s="11" t="s">
        <v>254</v>
      </c>
      <c r="E1418" s="9" t="str">
        <f>+HYPERLINK("http://trademark.i-assist.jp/data/china/image_1903th/79332354.pdf", "79332354")</f>
        <v>79332354</v>
      </c>
      <c r="F1418" s="11" t="s">
        <v>4154</v>
      </c>
      <c r="G1418" s="11" t="s">
        <v>4155</v>
      </c>
      <c r="H1418" s="11" t="s">
        <v>4156</v>
      </c>
      <c r="I1418" s="11" t="s">
        <v>251</v>
      </c>
    </row>
    <row r="1419" spans="1:9" x14ac:dyDescent="0.15">
      <c r="A1419" s="10">
        <v>1418</v>
      </c>
      <c r="B1419" s="11" t="s">
        <v>9</v>
      </c>
      <c r="C1419" s="11" t="s">
        <v>253</v>
      </c>
      <c r="D1419" s="11" t="s">
        <v>254</v>
      </c>
      <c r="E1419" s="9" t="str">
        <f>+HYPERLINK("http://trademark.i-assist.jp/data/china/image_1903th/79332725.pdf", "79332725")</f>
        <v>79332725</v>
      </c>
      <c r="F1419" s="11" t="s">
        <v>4157</v>
      </c>
      <c r="G1419" s="11" t="s">
        <v>4158</v>
      </c>
      <c r="H1419" s="11" t="s">
        <v>4159</v>
      </c>
      <c r="I1419" s="11" t="s">
        <v>251</v>
      </c>
    </row>
    <row r="1420" spans="1:9" x14ac:dyDescent="0.15">
      <c r="A1420" s="10">
        <v>1419</v>
      </c>
      <c r="B1420" s="11" t="s">
        <v>9</v>
      </c>
      <c r="C1420" s="11" t="s">
        <v>253</v>
      </c>
      <c r="D1420" s="11" t="s">
        <v>254</v>
      </c>
      <c r="E1420" s="9" t="str">
        <f>+HYPERLINK("http://trademark.i-assist.jp/data/china/image_1903th/79333130.pdf", "79333130")</f>
        <v>79333130</v>
      </c>
      <c r="F1420" s="11" t="s">
        <v>4160</v>
      </c>
      <c r="G1420" s="11" t="s">
        <v>4161</v>
      </c>
      <c r="H1420" s="11" t="s">
        <v>4162</v>
      </c>
      <c r="I1420" s="11" t="s">
        <v>251</v>
      </c>
    </row>
    <row r="1421" spans="1:9" x14ac:dyDescent="0.15">
      <c r="A1421" s="10">
        <v>1420</v>
      </c>
      <c r="B1421" s="11" t="s">
        <v>9</v>
      </c>
      <c r="C1421" s="11" t="s">
        <v>253</v>
      </c>
      <c r="D1421" s="11" t="s">
        <v>254</v>
      </c>
      <c r="E1421" s="9" t="str">
        <f>+HYPERLINK("http://trademark.i-assist.jp/data/china/image_1903th/79333526.pdf", "79333526")</f>
        <v>79333526</v>
      </c>
      <c r="F1421" s="11" t="s">
        <v>4163</v>
      </c>
      <c r="G1421" s="11" t="s">
        <v>4164</v>
      </c>
      <c r="H1421" s="11" t="s">
        <v>4165</v>
      </c>
      <c r="I1421" s="11" t="s">
        <v>251</v>
      </c>
    </row>
    <row r="1422" spans="1:9" x14ac:dyDescent="0.15">
      <c r="A1422" s="10">
        <v>1421</v>
      </c>
      <c r="B1422" s="11" t="s">
        <v>9</v>
      </c>
      <c r="C1422" s="11" t="s">
        <v>253</v>
      </c>
      <c r="D1422" s="11" t="s">
        <v>254</v>
      </c>
      <c r="E1422" s="9" t="str">
        <f>+HYPERLINK("http://trademark.i-assist.jp/data/china/image_1903th/79333539.pdf", "79333539")</f>
        <v>79333539</v>
      </c>
      <c r="F1422" s="11" t="s">
        <v>4166</v>
      </c>
      <c r="G1422" s="11" t="s">
        <v>4068</v>
      </c>
      <c r="H1422" s="11" t="s">
        <v>4167</v>
      </c>
      <c r="I1422" s="11" t="s">
        <v>251</v>
      </c>
    </row>
    <row r="1423" spans="1:9" x14ac:dyDescent="0.15">
      <c r="A1423" s="10">
        <v>1422</v>
      </c>
      <c r="B1423" s="11" t="s">
        <v>9</v>
      </c>
      <c r="C1423" s="11" t="s">
        <v>253</v>
      </c>
      <c r="D1423" s="11" t="s">
        <v>254</v>
      </c>
      <c r="E1423" s="9" t="str">
        <f>+HYPERLINK("http://trademark.i-assist.jp/data/china/image_1903th/79333554.pdf", "79333554")</f>
        <v>79333554</v>
      </c>
      <c r="F1423" s="11" t="s">
        <v>4168</v>
      </c>
      <c r="G1423" s="11" t="s">
        <v>4169</v>
      </c>
      <c r="H1423" s="11" t="s">
        <v>4170</v>
      </c>
      <c r="I1423" s="11" t="s">
        <v>251</v>
      </c>
    </row>
    <row r="1424" spans="1:9" x14ac:dyDescent="0.15">
      <c r="A1424" s="10">
        <v>1423</v>
      </c>
      <c r="B1424" s="11" t="s">
        <v>9</v>
      </c>
      <c r="C1424" s="11" t="s">
        <v>253</v>
      </c>
      <c r="D1424" s="11" t="s">
        <v>254</v>
      </c>
      <c r="E1424" s="9" t="str">
        <f>+HYPERLINK("http://trademark.i-assist.jp/data/china/image_1903th/79333571.pdf", "79333571")</f>
        <v>79333571</v>
      </c>
      <c r="F1424" s="11" t="s">
        <v>4171</v>
      </c>
      <c r="G1424" s="11" t="s">
        <v>4172</v>
      </c>
      <c r="H1424" s="11" t="s">
        <v>4173</v>
      </c>
      <c r="I1424" s="11" t="s">
        <v>251</v>
      </c>
    </row>
    <row r="1425" spans="1:9" x14ac:dyDescent="0.15">
      <c r="A1425" s="10">
        <v>1424</v>
      </c>
      <c r="B1425" s="11" t="s">
        <v>9</v>
      </c>
      <c r="C1425" s="11" t="s">
        <v>253</v>
      </c>
      <c r="D1425" s="11" t="s">
        <v>254</v>
      </c>
      <c r="E1425" s="9" t="str">
        <f>+HYPERLINK("http://trademark.i-assist.jp/data/china/image_1903th/79333592.pdf", "79333592")</f>
        <v>79333592</v>
      </c>
      <c r="F1425" s="11" t="s">
        <v>4174</v>
      </c>
      <c r="G1425" s="11" t="s">
        <v>4155</v>
      </c>
      <c r="H1425" s="11" t="s">
        <v>4175</v>
      </c>
      <c r="I1425" s="11" t="s">
        <v>251</v>
      </c>
    </row>
    <row r="1426" spans="1:9" x14ac:dyDescent="0.15">
      <c r="A1426" s="10">
        <v>1425</v>
      </c>
      <c r="B1426" s="11" t="s">
        <v>9</v>
      </c>
      <c r="C1426" s="11" t="s">
        <v>253</v>
      </c>
      <c r="D1426" s="11" t="s">
        <v>254</v>
      </c>
      <c r="E1426" s="9" t="str">
        <f>+HYPERLINK("http://trademark.i-assist.jp/data/china/image_1903th/79333677.pdf", "79333677")</f>
        <v>79333677</v>
      </c>
      <c r="F1426" s="11" t="s">
        <v>4176</v>
      </c>
      <c r="G1426" s="11" t="s">
        <v>4177</v>
      </c>
      <c r="H1426" s="11" t="s">
        <v>4178</v>
      </c>
      <c r="I1426" s="11" t="s">
        <v>251</v>
      </c>
    </row>
    <row r="1427" spans="1:9" x14ac:dyDescent="0.15">
      <c r="A1427" s="10">
        <v>1426</v>
      </c>
      <c r="B1427" s="11" t="s">
        <v>9</v>
      </c>
      <c r="C1427" s="11" t="s">
        <v>253</v>
      </c>
      <c r="D1427" s="11" t="s">
        <v>254</v>
      </c>
      <c r="E1427" s="9" t="str">
        <f>+HYPERLINK("http://trademark.i-assist.jp/data/china/image_1903th/79333931.pdf", "79333931")</f>
        <v>79333931</v>
      </c>
      <c r="F1427" s="11" t="s">
        <v>4179</v>
      </c>
      <c r="G1427" s="11" t="s">
        <v>4180</v>
      </c>
      <c r="H1427" s="11" t="s">
        <v>4181</v>
      </c>
      <c r="I1427" s="11" t="s">
        <v>251</v>
      </c>
    </row>
    <row r="1428" spans="1:9" x14ac:dyDescent="0.15">
      <c r="A1428" s="10">
        <v>1427</v>
      </c>
      <c r="B1428" s="11" t="s">
        <v>9</v>
      </c>
      <c r="C1428" s="11" t="s">
        <v>253</v>
      </c>
      <c r="D1428" s="11" t="s">
        <v>254</v>
      </c>
      <c r="E1428" s="9" t="str">
        <f>+HYPERLINK("http://trademark.i-assist.jp/data/china/image_1903th/79334216.pdf", "79334216")</f>
        <v>79334216</v>
      </c>
      <c r="F1428" s="11" t="s">
        <v>4182</v>
      </c>
      <c r="G1428" s="11" t="s">
        <v>4183</v>
      </c>
      <c r="H1428" s="11" t="s">
        <v>4184</v>
      </c>
      <c r="I1428" s="11" t="s">
        <v>251</v>
      </c>
    </row>
    <row r="1429" spans="1:9" x14ac:dyDescent="0.15">
      <c r="A1429" s="10">
        <v>1428</v>
      </c>
      <c r="B1429" s="11" t="s">
        <v>9</v>
      </c>
      <c r="C1429" s="11" t="s">
        <v>253</v>
      </c>
      <c r="D1429" s="11" t="s">
        <v>254</v>
      </c>
      <c r="E1429" s="9" t="str">
        <f>+HYPERLINK("http://trademark.i-assist.jp/data/china/image_1903th/79334317.pdf", "79334317")</f>
        <v>79334317</v>
      </c>
      <c r="F1429" s="11" t="s">
        <v>4185</v>
      </c>
      <c r="G1429" s="11" t="s">
        <v>4186</v>
      </c>
      <c r="H1429" s="11" t="s">
        <v>4187</v>
      </c>
      <c r="I1429" s="11" t="s">
        <v>251</v>
      </c>
    </row>
    <row r="1430" spans="1:9" x14ac:dyDescent="0.15">
      <c r="A1430" s="10">
        <v>1429</v>
      </c>
      <c r="B1430" s="11" t="s">
        <v>9</v>
      </c>
      <c r="C1430" s="11" t="s">
        <v>253</v>
      </c>
      <c r="D1430" s="11" t="s">
        <v>254</v>
      </c>
      <c r="E1430" s="9" t="str">
        <f>+HYPERLINK("http://trademark.i-assist.jp/data/china/image_1903th/79334354.pdf", "79334354")</f>
        <v>79334354</v>
      </c>
      <c r="F1430" s="11" t="s">
        <v>4188</v>
      </c>
      <c r="G1430" s="11" t="s">
        <v>149</v>
      </c>
      <c r="H1430" s="11" t="s">
        <v>4189</v>
      </c>
      <c r="I1430" s="11" t="s">
        <v>251</v>
      </c>
    </row>
    <row r="1431" spans="1:9" x14ac:dyDescent="0.15">
      <c r="A1431" s="10">
        <v>1430</v>
      </c>
      <c r="B1431" s="11" t="s">
        <v>9</v>
      </c>
      <c r="C1431" s="11" t="s">
        <v>253</v>
      </c>
      <c r="D1431" s="11" t="s">
        <v>254</v>
      </c>
      <c r="E1431" s="9" t="str">
        <f>+HYPERLINK("http://trademark.i-assist.jp/data/china/image_1903th/79334360.pdf", "79334360")</f>
        <v>79334360</v>
      </c>
      <c r="F1431" s="11" t="s">
        <v>4190</v>
      </c>
      <c r="G1431" s="11" t="s">
        <v>4191</v>
      </c>
      <c r="H1431" s="11" t="s">
        <v>4192</v>
      </c>
      <c r="I1431" s="11" t="s">
        <v>251</v>
      </c>
    </row>
    <row r="1432" spans="1:9" x14ac:dyDescent="0.15">
      <c r="A1432" s="10">
        <v>1431</v>
      </c>
      <c r="B1432" s="11" t="s">
        <v>9</v>
      </c>
      <c r="C1432" s="11" t="s">
        <v>253</v>
      </c>
      <c r="D1432" s="11" t="s">
        <v>254</v>
      </c>
      <c r="E1432" s="9" t="str">
        <f>+HYPERLINK("http://trademark.i-assist.jp/data/china/image_1903th/79334829.pdf", "79334829")</f>
        <v>79334829</v>
      </c>
      <c r="F1432" s="11" t="s">
        <v>4193</v>
      </c>
      <c r="G1432" s="11" t="s">
        <v>137</v>
      </c>
      <c r="H1432" s="11" t="s">
        <v>4194</v>
      </c>
      <c r="I1432" s="11" t="s">
        <v>251</v>
      </c>
    </row>
    <row r="1433" spans="1:9" x14ac:dyDescent="0.15">
      <c r="A1433" s="10">
        <v>1432</v>
      </c>
      <c r="B1433" s="11" t="s">
        <v>9</v>
      </c>
      <c r="C1433" s="11" t="s">
        <v>253</v>
      </c>
      <c r="D1433" s="11" t="s">
        <v>254</v>
      </c>
      <c r="E1433" s="9" t="str">
        <f>+HYPERLINK("http://trademark.i-assist.jp/data/china/image_1903th/79334877.pdf", "79334877")</f>
        <v>79334877</v>
      </c>
      <c r="F1433" s="11" t="s">
        <v>4195</v>
      </c>
      <c r="G1433" s="11" t="s">
        <v>4145</v>
      </c>
      <c r="H1433" s="11" t="s">
        <v>4196</v>
      </c>
      <c r="I1433" s="11" t="s">
        <v>251</v>
      </c>
    </row>
    <row r="1434" spans="1:9" x14ac:dyDescent="0.15">
      <c r="A1434" s="10">
        <v>1433</v>
      </c>
      <c r="B1434" s="11" t="s">
        <v>9</v>
      </c>
      <c r="C1434" s="11" t="s">
        <v>253</v>
      </c>
      <c r="D1434" s="11" t="s">
        <v>254</v>
      </c>
      <c r="E1434" s="9" t="str">
        <f>+HYPERLINK("http://trademark.i-assist.jp/data/china/image_1903th/79334930.pdf", "79334930")</f>
        <v>79334930</v>
      </c>
      <c r="F1434" s="11" t="s">
        <v>4197</v>
      </c>
      <c r="G1434" s="11" t="s">
        <v>4198</v>
      </c>
      <c r="H1434" s="11" t="s">
        <v>4199</v>
      </c>
      <c r="I1434" s="11" t="s">
        <v>251</v>
      </c>
    </row>
    <row r="1435" spans="1:9" x14ac:dyDescent="0.15">
      <c r="A1435" s="10">
        <v>1434</v>
      </c>
      <c r="B1435" s="11" t="s">
        <v>9</v>
      </c>
      <c r="C1435" s="11" t="s">
        <v>253</v>
      </c>
      <c r="D1435" s="11" t="s">
        <v>254</v>
      </c>
      <c r="E1435" s="9" t="str">
        <f>+HYPERLINK("http://trademark.i-assist.jp/data/china/image_1903th/79335731.pdf", "79335731")</f>
        <v>79335731</v>
      </c>
      <c r="F1435" s="11" t="s">
        <v>4200</v>
      </c>
      <c r="G1435" s="11" t="s">
        <v>191</v>
      </c>
      <c r="H1435" s="11" t="s">
        <v>4201</v>
      </c>
      <c r="I1435" s="11" t="s">
        <v>251</v>
      </c>
    </row>
    <row r="1436" spans="1:9" x14ac:dyDescent="0.15">
      <c r="A1436" s="10">
        <v>1435</v>
      </c>
      <c r="B1436" s="11" t="s">
        <v>9</v>
      </c>
      <c r="C1436" s="11" t="s">
        <v>253</v>
      </c>
      <c r="D1436" s="11" t="s">
        <v>254</v>
      </c>
      <c r="E1436" s="9" t="str">
        <f>+HYPERLINK("http://trademark.i-assist.jp/data/china/image_1903th/79335879.pdf", "79335879")</f>
        <v>79335879</v>
      </c>
      <c r="F1436" s="11" t="s">
        <v>4202</v>
      </c>
      <c r="G1436" s="11" t="s">
        <v>4113</v>
      </c>
      <c r="H1436" s="11" t="s">
        <v>4203</v>
      </c>
      <c r="I1436" s="11" t="s">
        <v>251</v>
      </c>
    </row>
    <row r="1437" spans="1:9" x14ac:dyDescent="0.15">
      <c r="A1437" s="10">
        <v>1436</v>
      </c>
      <c r="B1437" s="11" t="s">
        <v>9</v>
      </c>
      <c r="C1437" s="11" t="s">
        <v>253</v>
      </c>
      <c r="D1437" s="11" t="s">
        <v>254</v>
      </c>
      <c r="E1437" s="9" t="str">
        <f>+HYPERLINK("http://trademark.i-assist.jp/data/china/image_1903th/79335895.pdf", "79335895")</f>
        <v>79335895</v>
      </c>
      <c r="F1437" s="11" t="s">
        <v>4204</v>
      </c>
      <c r="G1437" s="11" t="s">
        <v>4205</v>
      </c>
      <c r="H1437" s="11" t="s">
        <v>4206</v>
      </c>
      <c r="I1437" s="11" t="s">
        <v>251</v>
      </c>
    </row>
    <row r="1438" spans="1:9" x14ac:dyDescent="0.15">
      <c r="A1438" s="10">
        <v>1437</v>
      </c>
      <c r="B1438" s="11" t="s">
        <v>9</v>
      </c>
      <c r="C1438" s="11" t="s">
        <v>253</v>
      </c>
      <c r="D1438" s="11" t="s">
        <v>254</v>
      </c>
      <c r="E1438" s="9" t="str">
        <f>+HYPERLINK("http://trademark.i-assist.jp/data/china/image_1903th/79336165.pdf", "79336165")</f>
        <v>79336165</v>
      </c>
      <c r="F1438" s="11" t="s">
        <v>4207</v>
      </c>
      <c r="G1438" s="11" t="s">
        <v>4208</v>
      </c>
      <c r="H1438" s="11" t="s">
        <v>4209</v>
      </c>
      <c r="I1438" s="11" t="s">
        <v>251</v>
      </c>
    </row>
    <row r="1439" spans="1:9" x14ac:dyDescent="0.15">
      <c r="A1439" s="10">
        <v>1438</v>
      </c>
      <c r="B1439" s="11" t="s">
        <v>9</v>
      </c>
      <c r="C1439" s="11" t="s">
        <v>253</v>
      </c>
      <c r="D1439" s="11" t="s">
        <v>254</v>
      </c>
      <c r="E1439" s="9" t="str">
        <f>+HYPERLINK("http://trademark.i-assist.jp/data/china/image_1903th/79336403.pdf", "79336403")</f>
        <v>79336403</v>
      </c>
      <c r="F1439" s="11" t="s">
        <v>4210</v>
      </c>
      <c r="G1439" s="11" t="s">
        <v>4211</v>
      </c>
      <c r="H1439" s="11" t="s">
        <v>4212</v>
      </c>
      <c r="I1439" s="11" t="s">
        <v>251</v>
      </c>
    </row>
    <row r="1440" spans="1:9" x14ac:dyDescent="0.15">
      <c r="A1440" s="10">
        <v>1439</v>
      </c>
      <c r="B1440" s="11" t="s">
        <v>9</v>
      </c>
      <c r="C1440" s="11" t="s">
        <v>253</v>
      </c>
      <c r="D1440" s="11" t="s">
        <v>254</v>
      </c>
      <c r="E1440" s="9" t="str">
        <f>+HYPERLINK("http://trademark.i-assist.jp/data/china/image_1903th/79336522.pdf", "79336522")</f>
        <v>79336522</v>
      </c>
      <c r="F1440" s="11" t="s">
        <v>4213</v>
      </c>
      <c r="G1440" s="11" t="s">
        <v>4214</v>
      </c>
      <c r="H1440" s="11" t="s">
        <v>4215</v>
      </c>
      <c r="I1440" s="11" t="s">
        <v>251</v>
      </c>
    </row>
    <row r="1441" spans="1:9" x14ac:dyDescent="0.15">
      <c r="A1441" s="10">
        <v>1440</v>
      </c>
      <c r="B1441" s="11" t="s">
        <v>9</v>
      </c>
      <c r="C1441" s="11" t="s">
        <v>253</v>
      </c>
      <c r="D1441" s="11" t="s">
        <v>254</v>
      </c>
      <c r="E1441" s="9" t="str">
        <f>+HYPERLINK("http://trademark.i-assist.jp/data/china/image_1903th/79337023.pdf", "79337023")</f>
        <v>79337023</v>
      </c>
      <c r="F1441" s="11" t="s">
        <v>4216</v>
      </c>
      <c r="G1441" s="11" t="s">
        <v>4080</v>
      </c>
      <c r="H1441" s="11" t="s">
        <v>4217</v>
      </c>
      <c r="I1441" s="11" t="s">
        <v>251</v>
      </c>
    </row>
    <row r="1442" spans="1:9" x14ac:dyDescent="0.15">
      <c r="A1442" s="10">
        <v>1441</v>
      </c>
      <c r="B1442" s="11" t="s">
        <v>9</v>
      </c>
      <c r="C1442" s="11" t="s">
        <v>253</v>
      </c>
      <c r="D1442" s="11" t="s">
        <v>254</v>
      </c>
      <c r="E1442" s="9" t="str">
        <f>+HYPERLINK("http://trademark.i-assist.jp/data/china/image_1903th/79337338.pdf", "79337338")</f>
        <v>79337338</v>
      </c>
      <c r="F1442" s="11" t="s">
        <v>4218</v>
      </c>
      <c r="G1442" s="11" t="s">
        <v>4219</v>
      </c>
      <c r="H1442" s="11" t="s">
        <v>4220</v>
      </c>
      <c r="I1442" s="11" t="s">
        <v>251</v>
      </c>
    </row>
    <row r="1443" spans="1:9" x14ac:dyDescent="0.15">
      <c r="A1443" s="10">
        <v>1442</v>
      </c>
      <c r="B1443" s="11" t="s">
        <v>9</v>
      </c>
      <c r="C1443" s="11" t="s">
        <v>253</v>
      </c>
      <c r="D1443" s="11" t="s">
        <v>254</v>
      </c>
      <c r="E1443" s="9" t="str">
        <f>+HYPERLINK("http://trademark.i-assist.jp/data/china/image_1903th/79337376.pdf", "79337376")</f>
        <v>79337376</v>
      </c>
      <c r="F1443" s="11" t="s">
        <v>4221</v>
      </c>
      <c r="G1443" s="11" t="s">
        <v>136</v>
      </c>
      <c r="H1443" s="11" t="s">
        <v>4222</v>
      </c>
      <c r="I1443" s="11" t="s">
        <v>251</v>
      </c>
    </row>
    <row r="1444" spans="1:9" x14ac:dyDescent="0.15">
      <c r="A1444" s="10">
        <v>1443</v>
      </c>
      <c r="B1444" s="11" t="s">
        <v>9</v>
      </c>
      <c r="C1444" s="11" t="s">
        <v>253</v>
      </c>
      <c r="D1444" s="11" t="s">
        <v>254</v>
      </c>
      <c r="E1444" s="9" t="str">
        <f>+HYPERLINK("http://trademark.i-assist.jp/data/china/image_1903th/79337514.pdf", "79337514")</f>
        <v>79337514</v>
      </c>
      <c r="F1444" s="11" t="s">
        <v>4223</v>
      </c>
      <c r="G1444" s="11" t="s">
        <v>4086</v>
      </c>
      <c r="H1444" s="11" t="s">
        <v>4224</v>
      </c>
      <c r="I1444" s="11" t="s">
        <v>251</v>
      </c>
    </row>
    <row r="1445" spans="1:9" x14ac:dyDescent="0.15">
      <c r="A1445" s="10">
        <v>1444</v>
      </c>
      <c r="B1445" s="11" t="s">
        <v>9</v>
      </c>
      <c r="C1445" s="11" t="s">
        <v>253</v>
      </c>
      <c r="D1445" s="11" t="s">
        <v>254</v>
      </c>
      <c r="E1445" s="9" t="str">
        <f>+HYPERLINK("http://trademark.i-assist.jp/data/china/image_1903th/79337539.pdf", "79337539")</f>
        <v>79337539</v>
      </c>
      <c r="F1445" s="11" t="s">
        <v>4225</v>
      </c>
      <c r="G1445" s="11" t="s">
        <v>4086</v>
      </c>
      <c r="H1445" s="11" t="s">
        <v>4226</v>
      </c>
      <c r="I1445" s="11" t="s">
        <v>251</v>
      </c>
    </row>
    <row r="1446" spans="1:9" x14ac:dyDescent="0.15">
      <c r="A1446" s="10">
        <v>1445</v>
      </c>
      <c r="B1446" s="11" t="s">
        <v>9</v>
      </c>
      <c r="C1446" s="11" t="s">
        <v>253</v>
      </c>
      <c r="D1446" s="11" t="s">
        <v>254</v>
      </c>
      <c r="E1446" s="9" t="str">
        <f>+HYPERLINK("http://trademark.i-assist.jp/data/china/image_1903th/79338227.pdf", "79338227")</f>
        <v>79338227</v>
      </c>
      <c r="F1446" s="11" t="s">
        <v>4227</v>
      </c>
      <c r="G1446" s="11" t="s">
        <v>4228</v>
      </c>
      <c r="H1446" s="11" t="s">
        <v>4229</v>
      </c>
      <c r="I1446" s="11" t="s">
        <v>251</v>
      </c>
    </row>
    <row r="1447" spans="1:9" x14ac:dyDescent="0.15">
      <c r="A1447" s="10">
        <v>1446</v>
      </c>
      <c r="B1447" s="11" t="s">
        <v>9</v>
      </c>
      <c r="C1447" s="11" t="s">
        <v>253</v>
      </c>
      <c r="D1447" s="11" t="s">
        <v>254</v>
      </c>
      <c r="E1447" s="9" t="str">
        <f>+HYPERLINK("http://trademark.i-assist.jp/data/china/image_1903th/79338381.pdf", "79338381")</f>
        <v>79338381</v>
      </c>
      <c r="F1447" s="11" t="s">
        <v>4230</v>
      </c>
      <c r="G1447" s="11" t="s">
        <v>137</v>
      </c>
      <c r="H1447" s="11" t="s">
        <v>4231</v>
      </c>
      <c r="I1447" s="11" t="s">
        <v>251</v>
      </c>
    </row>
    <row r="1448" spans="1:9" x14ac:dyDescent="0.15">
      <c r="A1448" s="10">
        <v>1447</v>
      </c>
      <c r="B1448" s="11" t="s">
        <v>9</v>
      </c>
      <c r="C1448" s="11" t="s">
        <v>253</v>
      </c>
      <c r="D1448" s="11" t="s">
        <v>254</v>
      </c>
      <c r="E1448" s="9" t="str">
        <f>+HYPERLINK("http://trademark.i-assist.jp/data/china/image_1903th/79338405.pdf", "79338405")</f>
        <v>79338405</v>
      </c>
      <c r="F1448" s="11" t="s">
        <v>4232</v>
      </c>
      <c r="G1448" s="11" t="s">
        <v>137</v>
      </c>
      <c r="H1448" s="11" t="s">
        <v>4233</v>
      </c>
      <c r="I1448" s="11" t="s">
        <v>251</v>
      </c>
    </row>
    <row r="1449" spans="1:9" x14ac:dyDescent="0.15">
      <c r="A1449" s="10">
        <v>1448</v>
      </c>
      <c r="B1449" s="11" t="s">
        <v>9</v>
      </c>
      <c r="C1449" s="11" t="s">
        <v>253</v>
      </c>
      <c r="D1449" s="11" t="s">
        <v>254</v>
      </c>
      <c r="E1449" s="9" t="str">
        <f>+HYPERLINK("http://trademark.i-assist.jp/data/china/image_1903th/79338544.pdf", "79338544")</f>
        <v>79338544</v>
      </c>
      <c r="F1449" s="11" t="s">
        <v>4234</v>
      </c>
      <c r="G1449" s="11" t="s">
        <v>4235</v>
      </c>
      <c r="H1449" s="11" t="s">
        <v>20</v>
      </c>
      <c r="I1449" s="11" t="s">
        <v>251</v>
      </c>
    </row>
    <row r="1450" spans="1:9" x14ac:dyDescent="0.15">
      <c r="A1450" s="10">
        <v>1449</v>
      </c>
      <c r="B1450" s="11" t="s">
        <v>9</v>
      </c>
      <c r="C1450" s="11" t="s">
        <v>253</v>
      </c>
      <c r="D1450" s="11" t="s">
        <v>254</v>
      </c>
      <c r="E1450" s="9" t="str">
        <f>+HYPERLINK("http://trademark.i-assist.jp/data/china/image_1903th/79338660.pdf", "79338660")</f>
        <v>79338660</v>
      </c>
      <c r="F1450" s="11" t="s">
        <v>4236</v>
      </c>
      <c r="G1450" s="11" t="s">
        <v>4237</v>
      </c>
      <c r="H1450" s="11" t="s">
        <v>4238</v>
      </c>
      <c r="I1450" s="11" t="s">
        <v>251</v>
      </c>
    </row>
    <row r="1451" spans="1:9" x14ac:dyDescent="0.15">
      <c r="A1451" s="10">
        <v>1450</v>
      </c>
      <c r="B1451" s="11" t="s">
        <v>9</v>
      </c>
      <c r="C1451" s="11" t="s">
        <v>253</v>
      </c>
      <c r="D1451" s="11" t="s">
        <v>254</v>
      </c>
      <c r="E1451" s="9" t="str">
        <f>+HYPERLINK("http://trademark.i-assist.jp/data/china/image_1903th/79338661.pdf", "79338661")</f>
        <v>79338661</v>
      </c>
      <c r="F1451" s="11" t="s">
        <v>4239</v>
      </c>
      <c r="G1451" s="11" t="s">
        <v>4240</v>
      </c>
      <c r="H1451" s="11" t="s">
        <v>4241</v>
      </c>
      <c r="I1451" s="11" t="s">
        <v>251</v>
      </c>
    </row>
    <row r="1452" spans="1:9" x14ac:dyDescent="0.15">
      <c r="A1452" s="10">
        <v>1451</v>
      </c>
      <c r="B1452" s="11" t="s">
        <v>9</v>
      </c>
      <c r="C1452" s="11" t="s">
        <v>253</v>
      </c>
      <c r="D1452" s="11" t="s">
        <v>254</v>
      </c>
      <c r="E1452" s="9" t="str">
        <f>+HYPERLINK("http://trademark.i-assist.jp/data/china/image_1903th/79338724.pdf", "79338724")</f>
        <v>79338724</v>
      </c>
      <c r="F1452" s="11" t="s">
        <v>4242</v>
      </c>
      <c r="G1452" s="11" t="s">
        <v>4191</v>
      </c>
      <c r="H1452" s="11" t="s">
        <v>4243</v>
      </c>
      <c r="I1452" s="11" t="s">
        <v>251</v>
      </c>
    </row>
    <row r="1453" spans="1:9" x14ac:dyDescent="0.15">
      <c r="A1453" s="10">
        <v>1452</v>
      </c>
      <c r="B1453" s="11" t="s">
        <v>9</v>
      </c>
      <c r="C1453" s="11" t="s">
        <v>253</v>
      </c>
      <c r="D1453" s="11" t="s">
        <v>254</v>
      </c>
      <c r="E1453" s="9" t="str">
        <f>+HYPERLINK("http://trademark.i-assist.jp/data/china/image_1903th/79339673.pdf", "79339673")</f>
        <v>79339673</v>
      </c>
      <c r="F1453" s="11" t="s">
        <v>4244</v>
      </c>
      <c r="G1453" s="11" t="s">
        <v>4245</v>
      </c>
      <c r="H1453" s="11" t="s">
        <v>4246</v>
      </c>
      <c r="I1453" s="11" t="s">
        <v>251</v>
      </c>
    </row>
    <row r="1454" spans="1:9" x14ac:dyDescent="0.15">
      <c r="A1454" s="10">
        <v>1453</v>
      </c>
      <c r="B1454" s="11" t="s">
        <v>9</v>
      </c>
      <c r="C1454" s="11" t="s">
        <v>253</v>
      </c>
      <c r="D1454" s="11" t="s">
        <v>254</v>
      </c>
      <c r="E1454" s="9" t="str">
        <f>+HYPERLINK("http://trademark.i-assist.jp/data/china/image_1903th/79339679.pdf", "79339679")</f>
        <v>79339679</v>
      </c>
      <c r="F1454" s="11" t="s">
        <v>4247</v>
      </c>
      <c r="G1454" s="11" t="s">
        <v>4240</v>
      </c>
      <c r="H1454" s="11" t="s">
        <v>4248</v>
      </c>
      <c r="I1454" s="11" t="s">
        <v>251</v>
      </c>
    </row>
    <row r="1455" spans="1:9" x14ac:dyDescent="0.15">
      <c r="A1455" s="10">
        <v>1454</v>
      </c>
      <c r="B1455" s="11" t="s">
        <v>9</v>
      </c>
      <c r="C1455" s="11" t="s">
        <v>253</v>
      </c>
      <c r="D1455" s="11" t="s">
        <v>254</v>
      </c>
      <c r="E1455" s="9" t="str">
        <f>+HYPERLINK("http://trademark.i-assist.jp/data/china/image_1903th/79339696.pdf", "79339696")</f>
        <v>79339696</v>
      </c>
      <c r="F1455" s="11" t="s">
        <v>4249</v>
      </c>
      <c r="G1455" s="11" t="s">
        <v>4250</v>
      </c>
      <c r="H1455" s="11" t="s">
        <v>4251</v>
      </c>
      <c r="I1455" s="11" t="s">
        <v>251</v>
      </c>
    </row>
    <row r="1456" spans="1:9" x14ac:dyDescent="0.15">
      <c r="A1456" s="10">
        <v>1455</v>
      </c>
      <c r="B1456" s="11" t="s">
        <v>9</v>
      </c>
      <c r="C1456" s="11" t="s">
        <v>253</v>
      </c>
      <c r="D1456" s="11" t="s">
        <v>254</v>
      </c>
      <c r="E1456" s="9" t="str">
        <f>+HYPERLINK("http://trademark.i-assist.jp/data/china/image_1903th/79339861.pdf", "79339861")</f>
        <v>79339861</v>
      </c>
      <c r="F1456" s="11" t="s">
        <v>4252</v>
      </c>
      <c r="G1456" s="11" t="s">
        <v>137</v>
      </c>
      <c r="H1456" s="11" t="s">
        <v>4253</v>
      </c>
      <c r="I1456" s="11" t="s">
        <v>251</v>
      </c>
    </row>
    <row r="1457" spans="1:9" x14ac:dyDescent="0.15">
      <c r="A1457" s="10">
        <v>1456</v>
      </c>
      <c r="B1457" s="11" t="s">
        <v>9</v>
      </c>
      <c r="C1457" s="11" t="s">
        <v>253</v>
      </c>
      <c r="D1457" s="11" t="s">
        <v>254</v>
      </c>
      <c r="E1457" s="9" t="str">
        <f>+HYPERLINK("http://trademark.i-assist.jp/data/china/image_1903th/79339940.pdf", "79339940")</f>
        <v>79339940</v>
      </c>
      <c r="F1457" s="11" t="s">
        <v>4254</v>
      </c>
      <c r="G1457" s="11" t="s">
        <v>4255</v>
      </c>
      <c r="H1457" s="11" t="s">
        <v>4256</v>
      </c>
      <c r="I1457" s="11" t="s">
        <v>251</v>
      </c>
    </row>
    <row r="1458" spans="1:9" x14ac:dyDescent="0.15">
      <c r="A1458" s="10">
        <v>1457</v>
      </c>
      <c r="B1458" s="11" t="s">
        <v>9</v>
      </c>
      <c r="C1458" s="11" t="s">
        <v>253</v>
      </c>
      <c r="D1458" s="11" t="s">
        <v>254</v>
      </c>
      <c r="E1458" s="9" t="str">
        <f>+HYPERLINK("http://trademark.i-assist.jp/data/china/image_1903th/79340057.pdf", "79340057")</f>
        <v>79340057</v>
      </c>
      <c r="F1458" s="11" t="s">
        <v>4257</v>
      </c>
      <c r="G1458" s="11" t="s">
        <v>4258</v>
      </c>
      <c r="H1458" s="11" t="s">
        <v>4259</v>
      </c>
      <c r="I1458" s="11" t="s">
        <v>251</v>
      </c>
    </row>
    <row r="1459" spans="1:9" x14ac:dyDescent="0.15">
      <c r="A1459" s="10">
        <v>1458</v>
      </c>
      <c r="B1459" s="11" t="s">
        <v>9</v>
      </c>
      <c r="C1459" s="11" t="s">
        <v>253</v>
      </c>
      <c r="D1459" s="11" t="s">
        <v>254</v>
      </c>
      <c r="E1459" s="9" t="str">
        <f>+HYPERLINK("http://trademark.i-assist.jp/data/china/image_1903th/79340083.pdf", "79340083")</f>
        <v>79340083</v>
      </c>
      <c r="F1459" s="11" t="s">
        <v>4260</v>
      </c>
      <c r="G1459" s="11" t="s">
        <v>4205</v>
      </c>
      <c r="H1459" s="11" t="s">
        <v>4261</v>
      </c>
      <c r="I1459" s="11" t="s">
        <v>251</v>
      </c>
    </row>
    <row r="1460" spans="1:9" x14ac:dyDescent="0.15">
      <c r="A1460" s="10">
        <v>1459</v>
      </c>
      <c r="B1460" s="11" t="s">
        <v>9</v>
      </c>
      <c r="C1460" s="11" t="s">
        <v>253</v>
      </c>
      <c r="D1460" s="11" t="s">
        <v>254</v>
      </c>
      <c r="E1460" s="9" t="str">
        <f>+HYPERLINK("http://trademark.i-assist.jp/data/china/image_1903th/79340120.pdf", "79340120")</f>
        <v>79340120</v>
      </c>
      <c r="F1460" s="11" t="s">
        <v>4262</v>
      </c>
      <c r="G1460" s="11" t="s">
        <v>165</v>
      </c>
      <c r="H1460" s="11" t="s">
        <v>4263</v>
      </c>
      <c r="I1460" s="11" t="s">
        <v>251</v>
      </c>
    </row>
    <row r="1461" spans="1:9" x14ac:dyDescent="0.15">
      <c r="A1461" s="10">
        <v>1460</v>
      </c>
      <c r="B1461" s="11" t="s">
        <v>9</v>
      </c>
      <c r="C1461" s="11" t="s">
        <v>253</v>
      </c>
      <c r="D1461" s="11" t="s">
        <v>254</v>
      </c>
      <c r="E1461" s="9" t="str">
        <f>+HYPERLINK("http://trademark.i-assist.jp/data/china/image_1903th/79340145.pdf", "79340145")</f>
        <v>79340145</v>
      </c>
      <c r="F1461" s="11" t="s">
        <v>4264</v>
      </c>
      <c r="G1461" s="11" t="s">
        <v>149</v>
      </c>
      <c r="H1461" s="11" t="s">
        <v>4265</v>
      </c>
      <c r="I1461" s="11" t="s">
        <v>251</v>
      </c>
    </row>
    <row r="1462" spans="1:9" x14ac:dyDescent="0.15">
      <c r="A1462" s="10">
        <v>1461</v>
      </c>
      <c r="B1462" s="11" t="s">
        <v>9</v>
      </c>
      <c r="C1462" s="11" t="s">
        <v>253</v>
      </c>
      <c r="D1462" s="11" t="s">
        <v>254</v>
      </c>
      <c r="E1462" s="9" t="str">
        <f>+HYPERLINK("http://trademark.i-assist.jp/data/china/image_1903th/79340447.pdf", "79340447")</f>
        <v>79340447</v>
      </c>
      <c r="F1462" s="11" t="s">
        <v>4266</v>
      </c>
      <c r="G1462" s="11" t="s">
        <v>4267</v>
      </c>
      <c r="H1462" s="11" t="s">
        <v>4268</v>
      </c>
      <c r="I1462" s="11" t="s">
        <v>251</v>
      </c>
    </row>
    <row r="1463" spans="1:9" x14ac:dyDescent="0.15">
      <c r="A1463" s="10">
        <v>1462</v>
      </c>
      <c r="B1463" s="11" t="s">
        <v>9</v>
      </c>
      <c r="C1463" s="11" t="s">
        <v>253</v>
      </c>
      <c r="D1463" s="11" t="s">
        <v>254</v>
      </c>
      <c r="E1463" s="9" t="str">
        <f>+HYPERLINK("http://trademark.i-assist.jp/data/china/image_1903th/79340774.pdf", "79340774")</f>
        <v>79340774</v>
      </c>
      <c r="F1463" s="11" t="s">
        <v>4269</v>
      </c>
      <c r="G1463" s="11" t="s">
        <v>4270</v>
      </c>
      <c r="H1463" s="11" t="s">
        <v>4271</v>
      </c>
      <c r="I1463" s="11" t="s">
        <v>251</v>
      </c>
    </row>
    <row r="1464" spans="1:9" x14ac:dyDescent="0.15">
      <c r="A1464" s="10">
        <v>1463</v>
      </c>
      <c r="B1464" s="11" t="s">
        <v>9</v>
      </c>
      <c r="C1464" s="11" t="s">
        <v>253</v>
      </c>
      <c r="D1464" s="11" t="s">
        <v>254</v>
      </c>
      <c r="E1464" s="9" t="str">
        <f>+HYPERLINK("http://trademark.i-assist.jp/data/china/image_1903th/79340946.pdf", "79340946")</f>
        <v>79340946</v>
      </c>
      <c r="F1464" s="11" t="s">
        <v>4272</v>
      </c>
      <c r="G1464" s="11" t="s">
        <v>4273</v>
      </c>
      <c r="H1464" s="11" t="s">
        <v>4274</v>
      </c>
      <c r="I1464" s="11" t="s">
        <v>251</v>
      </c>
    </row>
    <row r="1465" spans="1:9" x14ac:dyDescent="0.15">
      <c r="A1465" s="10">
        <v>1464</v>
      </c>
      <c r="B1465" s="11" t="s">
        <v>9</v>
      </c>
      <c r="C1465" s="11" t="s">
        <v>253</v>
      </c>
      <c r="D1465" s="11" t="s">
        <v>254</v>
      </c>
      <c r="E1465" s="9" t="str">
        <f>+HYPERLINK("http://trademark.i-assist.jp/data/china/image_1903th/79341312.pdf", "79341312")</f>
        <v>79341312</v>
      </c>
      <c r="F1465" s="11" t="s">
        <v>4275</v>
      </c>
      <c r="G1465" s="11" t="s">
        <v>4276</v>
      </c>
      <c r="H1465" s="11" t="s">
        <v>4277</v>
      </c>
      <c r="I1465" s="11" t="s">
        <v>251</v>
      </c>
    </row>
    <row r="1466" spans="1:9" x14ac:dyDescent="0.15">
      <c r="A1466" s="10">
        <v>1465</v>
      </c>
      <c r="B1466" s="11" t="s">
        <v>9</v>
      </c>
      <c r="C1466" s="11" t="s">
        <v>253</v>
      </c>
      <c r="D1466" s="11" t="s">
        <v>254</v>
      </c>
      <c r="E1466" s="9" t="str">
        <f>+HYPERLINK("http://trademark.i-assist.jp/data/china/image_1903th/79341346.pdf", "79341346")</f>
        <v>79341346</v>
      </c>
      <c r="F1466" s="11" t="s">
        <v>4278</v>
      </c>
      <c r="G1466" s="11" t="s">
        <v>4279</v>
      </c>
      <c r="H1466" s="11" t="s">
        <v>4280</v>
      </c>
      <c r="I1466" s="11" t="s">
        <v>251</v>
      </c>
    </row>
    <row r="1467" spans="1:9" x14ac:dyDescent="0.15">
      <c r="A1467" s="10">
        <v>1466</v>
      </c>
      <c r="B1467" s="11" t="s">
        <v>9</v>
      </c>
      <c r="C1467" s="11" t="s">
        <v>253</v>
      </c>
      <c r="D1467" s="11" t="s">
        <v>254</v>
      </c>
      <c r="E1467" s="9" t="str">
        <f>+HYPERLINK("http://trademark.i-assist.jp/data/china/image_1903th/79341360.pdf", "79341360")</f>
        <v>79341360</v>
      </c>
      <c r="F1467" s="11" t="s">
        <v>4281</v>
      </c>
      <c r="G1467" s="11" t="s">
        <v>137</v>
      </c>
      <c r="H1467" s="11" t="s">
        <v>4282</v>
      </c>
      <c r="I1467" s="11" t="s">
        <v>251</v>
      </c>
    </row>
    <row r="1468" spans="1:9" x14ac:dyDescent="0.15">
      <c r="A1468" s="10">
        <v>1467</v>
      </c>
      <c r="B1468" s="11" t="s">
        <v>9</v>
      </c>
      <c r="C1468" s="11" t="s">
        <v>253</v>
      </c>
      <c r="D1468" s="11" t="s">
        <v>254</v>
      </c>
      <c r="E1468" s="9" t="str">
        <f>+HYPERLINK("http://trademark.i-assist.jp/data/china/image_1903th/79341460.pdf", "79341460")</f>
        <v>79341460</v>
      </c>
      <c r="F1468" s="11" t="s">
        <v>4283</v>
      </c>
      <c r="G1468" s="11" t="s">
        <v>4284</v>
      </c>
      <c r="H1468" s="11" t="s">
        <v>4285</v>
      </c>
      <c r="I1468" s="11" t="s">
        <v>251</v>
      </c>
    </row>
    <row r="1469" spans="1:9" x14ac:dyDescent="0.15">
      <c r="A1469" s="10">
        <v>1468</v>
      </c>
      <c r="B1469" s="11" t="s">
        <v>9</v>
      </c>
      <c r="C1469" s="11" t="s">
        <v>253</v>
      </c>
      <c r="D1469" s="11" t="s">
        <v>254</v>
      </c>
      <c r="E1469" s="9" t="str">
        <f>+HYPERLINK("http://trademark.i-assist.jp/data/china/image_1903th/79341697.pdf", "79341697")</f>
        <v>79341697</v>
      </c>
      <c r="F1469" s="11" t="s">
        <v>12</v>
      </c>
      <c r="G1469" s="11" t="s">
        <v>4286</v>
      </c>
      <c r="H1469" s="11" t="s">
        <v>4287</v>
      </c>
      <c r="I1469" s="11" t="s">
        <v>251</v>
      </c>
    </row>
    <row r="1470" spans="1:9" x14ac:dyDescent="0.15">
      <c r="A1470" s="10">
        <v>1469</v>
      </c>
      <c r="B1470" s="11" t="s">
        <v>9</v>
      </c>
      <c r="C1470" s="11" t="s">
        <v>253</v>
      </c>
      <c r="D1470" s="11" t="s">
        <v>254</v>
      </c>
      <c r="E1470" s="9" t="str">
        <f>+HYPERLINK("http://trademark.i-assist.jp/data/china/image_1903th/79341759.pdf", "79341759")</f>
        <v>79341759</v>
      </c>
      <c r="F1470" s="11" t="s">
        <v>4288</v>
      </c>
      <c r="G1470" s="11" t="s">
        <v>4116</v>
      </c>
      <c r="H1470" s="11" t="s">
        <v>4289</v>
      </c>
      <c r="I1470" s="11" t="s">
        <v>251</v>
      </c>
    </row>
    <row r="1471" spans="1:9" x14ac:dyDescent="0.15">
      <c r="A1471" s="10">
        <v>1470</v>
      </c>
      <c r="B1471" s="11" t="s">
        <v>9</v>
      </c>
      <c r="C1471" s="11" t="s">
        <v>253</v>
      </c>
      <c r="D1471" s="11" t="s">
        <v>254</v>
      </c>
      <c r="E1471" s="9" t="str">
        <f>+HYPERLINK("http://trademark.i-assist.jp/data/china/image_1903th/79342748.pdf", "79342748")</f>
        <v>79342748</v>
      </c>
      <c r="F1471" s="11" t="s">
        <v>4290</v>
      </c>
      <c r="G1471" s="11" t="s">
        <v>4291</v>
      </c>
      <c r="H1471" s="11" t="s">
        <v>4292</v>
      </c>
      <c r="I1471" s="11" t="s">
        <v>251</v>
      </c>
    </row>
    <row r="1472" spans="1:9" x14ac:dyDescent="0.15">
      <c r="A1472" s="10">
        <v>1471</v>
      </c>
      <c r="B1472" s="11" t="s">
        <v>9</v>
      </c>
      <c r="C1472" s="11" t="s">
        <v>253</v>
      </c>
      <c r="D1472" s="11" t="s">
        <v>254</v>
      </c>
      <c r="E1472" s="9" t="str">
        <f>+HYPERLINK("http://trademark.i-assist.jp/data/china/image_1903th/79342840.pdf", "79342840")</f>
        <v>79342840</v>
      </c>
      <c r="F1472" s="11" t="s">
        <v>4293</v>
      </c>
      <c r="G1472" s="11" t="s">
        <v>4294</v>
      </c>
      <c r="H1472" s="11" t="s">
        <v>4295</v>
      </c>
      <c r="I1472" s="11" t="s">
        <v>251</v>
      </c>
    </row>
    <row r="1473" spans="1:9" x14ac:dyDescent="0.15">
      <c r="A1473" s="10">
        <v>1472</v>
      </c>
      <c r="B1473" s="11" t="s">
        <v>9</v>
      </c>
      <c r="C1473" s="11" t="s">
        <v>253</v>
      </c>
      <c r="D1473" s="11" t="s">
        <v>254</v>
      </c>
      <c r="E1473" s="9" t="str">
        <f>+HYPERLINK("http://trademark.i-assist.jp/data/china/image_1903th/79343241.pdf", "79343241")</f>
        <v>79343241</v>
      </c>
      <c r="F1473" s="11" t="s">
        <v>4296</v>
      </c>
      <c r="G1473" s="11" t="s">
        <v>4297</v>
      </c>
      <c r="H1473" s="11" t="s">
        <v>4298</v>
      </c>
      <c r="I1473" s="11" t="s">
        <v>251</v>
      </c>
    </row>
    <row r="1474" spans="1:9" x14ac:dyDescent="0.15">
      <c r="A1474" s="10">
        <v>1473</v>
      </c>
      <c r="B1474" s="11" t="s">
        <v>9</v>
      </c>
      <c r="C1474" s="11" t="s">
        <v>253</v>
      </c>
      <c r="D1474" s="11" t="s">
        <v>254</v>
      </c>
      <c r="E1474" s="9" t="str">
        <f>+HYPERLINK("http://trademark.i-assist.jp/data/china/image_1903th/79343261.pdf", "79343261")</f>
        <v>79343261</v>
      </c>
      <c r="F1474" s="11" t="s">
        <v>4299</v>
      </c>
      <c r="G1474" s="11" t="s">
        <v>4300</v>
      </c>
      <c r="H1474" s="11" t="s">
        <v>4301</v>
      </c>
      <c r="I1474" s="11" t="s">
        <v>251</v>
      </c>
    </row>
    <row r="1475" spans="1:9" x14ac:dyDescent="0.15">
      <c r="A1475" s="10">
        <v>1474</v>
      </c>
      <c r="B1475" s="11" t="s">
        <v>9</v>
      </c>
      <c r="C1475" s="11" t="s">
        <v>253</v>
      </c>
      <c r="D1475" s="11" t="s">
        <v>254</v>
      </c>
      <c r="E1475" s="9" t="str">
        <f>+HYPERLINK("http://trademark.i-assist.jp/data/china/image_1903th/79343940.pdf", "79343940")</f>
        <v>79343940</v>
      </c>
      <c r="F1475" s="11" t="s">
        <v>12</v>
      </c>
      <c r="G1475" s="11" t="s">
        <v>4302</v>
      </c>
      <c r="H1475" s="11" t="s">
        <v>4303</v>
      </c>
      <c r="I1475" s="11" t="s">
        <v>251</v>
      </c>
    </row>
    <row r="1476" spans="1:9" x14ac:dyDescent="0.15">
      <c r="A1476" s="10">
        <v>1475</v>
      </c>
      <c r="B1476" s="11" t="s">
        <v>9</v>
      </c>
      <c r="C1476" s="11" t="s">
        <v>253</v>
      </c>
      <c r="D1476" s="11" t="s">
        <v>254</v>
      </c>
      <c r="E1476" s="9" t="str">
        <f>+HYPERLINK("http://trademark.i-assist.jp/data/china/image_1903th/79345475.pdf", "79345475")</f>
        <v>79345475</v>
      </c>
      <c r="F1476" s="11" t="s">
        <v>4304</v>
      </c>
      <c r="G1476" s="11" t="s">
        <v>4305</v>
      </c>
      <c r="H1476" s="11" t="s">
        <v>4306</v>
      </c>
      <c r="I1476" s="11" t="s">
        <v>251</v>
      </c>
    </row>
    <row r="1477" spans="1:9" x14ac:dyDescent="0.15">
      <c r="A1477" s="10">
        <v>1476</v>
      </c>
      <c r="B1477" s="11" t="s">
        <v>9</v>
      </c>
      <c r="C1477" s="11" t="s">
        <v>253</v>
      </c>
      <c r="D1477" s="11" t="s">
        <v>254</v>
      </c>
      <c r="E1477" s="9" t="str">
        <f>+HYPERLINK("http://trademark.i-assist.jp/data/china/image_1903th/79345842.pdf", "79345842")</f>
        <v>79345842</v>
      </c>
      <c r="F1477" s="11" t="s">
        <v>4307</v>
      </c>
      <c r="G1477" s="11" t="s">
        <v>4308</v>
      </c>
      <c r="H1477" s="11" t="s">
        <v>4309</v>
      </c>
      <c r="I1477" s="11" t="s">
        <v>251</v>
      </c>
    </row>
    <row r="1478" spans="1:9" x14ac:dyDescent="0.15">
      <c r="A1478" s="10">
        <v>1477</v>
      </c>
      <c r="B1478" s="11" t="s">
        <v>9</v>
      </c>
      <c r="C1478" s="11" t="s">
        <v>253</v>
      </c>
      <c r="D1478" s="11" t="s">
        <v>254</v>
      </c>
      <c r="E1478" s="9" t="str">
        <f>+HYPERLINK("http://trademark.i-assist.jp/data/china/image_1903th/79345870.pdf", "79345870")</f>
        <v>79345870</v>
      </c>
      <c r="F1478" s="11" t="s">
        <v>4310</v>
      </c>
      <c r="G1478" s="11" t="s">
        <v>4311</v>
      </c>
      <c r="H1478" s="11" t="s">
        <v>4312</v>
      </c>
      <c r="I1478" s="11" t="s">
        <v>251</v>
      </c>
    </row>
    <row r="1479" spans="1:9" x14ac:dyDescent="0.15">
      <c r="A1479" s="10">
        <v>1478</v>
      </c>
      <c r="B1479" s="11" t="s">
        <v>9</v>
      </c>
      <c r="C1479" s="11" t="s">
        <v>253</v>
      </c>
      <c r="D1479" s="11" t="s">
        <v>254</v>
      </c>
      <c r="E1479" s="9" t="str">
        <f>+HYPERLINK("http://trademark.i-assist.jp/data/china/image_1903th/79346060.pdf", "79346060")</f>
        <v>79346060</v>
      </c>
      <c r="F1479" s="11" t="s">
        <v>4313</v>
      </c>
      <c r="G1479" s="11" t="s">
        <v>4279</v>
      </c>
      <c r="H1479" s="11" t="s">
        <v>4314</v>
      </c>
      <c r="I1479" s="11" t="s">
        <v>251</v>
      </c>
    </row>
    <row r="1480" spans="1:9" x14ac:dyDescent="0.15">
      <c r="A1480" s="10">
        <v>1479</v>
      </c>
      <c r="B1480" s="11" t="s">
        <v>9</v>
      </c>
      <c r="C1480" s="11" t="s">
        <v>253</v>
      </c>
      <c r="D1480" s="11" t="s">
        <v>254</v>
      </c>
      <c r="E1480" s="9" t="str">
        <f>+HYPERLINK("http://trademark.i-assist.jp/data/china/image_1903th/79346272.pdf", "79346272")</f>
        <v>79346272</v>
      </c>
      <c r="F1480" s="11" t="s">
        <v>4315</v>
      </c>
      <c r="G1480" s="11" t="s">
        <v>4291</v>
      </c>
      <c r="H1480" s="11" t="s">
        <v>4316</v>
      </c>
      <c r="I1480" s="11" t="s">
        <v>251</v>
      </c>
    </row>
    <row r="1481" spans="1:9" x14ac:dyDescent="0.15">
      <c r="A1481" s="10">
        <v>1480</v>
      </c>
      <c r="B1481" s="11" t="s">
        <v>9</v>
      </c>
      <c r="C1481" s="11" t="s">
        <v>253</v>
      </c>
      <c r="D1481" s="11" t="s">
        <v>254</v>
      </c>
      <c r="E1481" s="9" t="str">
        <f>+HYPERLINK("http://trademark.i-assist.jp/data/china/image_1903th/79346357.pdf", "79346357")</f>
        <v>79346357</v>
      </c>
      <c r="F1481" s="11" t="s">
        <v>4317</v>
      </c>
      <c r="G1481" s="11" t="s">
        <v>4240</v>
      </c>
      <c r="H1481" s="11" t="s">
        <v>4318</v>
      </c>
      <c r="I1481" s="11" t="s">
        <v>251</v>
      </c>
    </row>
    <row r="1482" spans="1:9" x14ac:dyDescent="0.15">
      <c r="A1482" s="10">
        <v>1481</v>
      </c>
      <c r="B1482" s="11" t="s">
        <v>9</v>
      </c>
      <c r="C1482" s="11" t="s">
        <v>253</v>
      </c>
      <c r="D1482" s="11" t="s">
        <v>254</v>
      </c>
      <c r="E1482" s="9" t="str">
        <f>+HYPERLINK("http://trademark.i-assist.jp/data/china/image_1903th/79346648.pdf", "79346648")</f>
        <v>79346648</v>
      </c>
      <c r="F1482" s="11" t="s">
        <v>4319</v>
      </c>
      <c r="G1482" s="11" t="s">
        <v>4320</v>
      </c>
      <c r="H1482" s="11" t="s">
        <v>4321</v>
      </c>
      <c r="I1482" s="11" t="s">
        <v>251</v>
      </c>
    </row>
    <row r="1483" spans="1:9" x14ac:dyDescent="0.15">
      <c r="A1483" s="10">
        <v>1482</v>
      </c>
      <c r="B1483" s="11" t="s">
        <v>9</v>
      </c>
      <c r="C1483" s="11" t="s">
        <v>253</v>
      </c>
      <c r="D1483" s="11" t="s">
        <v>254</v>
      </c>
      <c r="E1483" s="9" t="str">
        <f>+HYPERLINK("http://trademark.i-assist.jp/data/china/image_1903th/79346692.pdf", "79346692")</f>
        <v>79346692</v>
      </c>
      <c r="F1483" s="11" t="s">
        <v>4322</v>
      </c>
      <c r="G1483" s="11" t="s">
        <v>4323</v>
      </c>
      <c r="H1483" s="11" t="s">
        <v>4324</v>
      </c>
      <c r="I1483" s="11" t="s">
        <v>251</v>
      </c>
    </row>
    <row r="1484" spans="1:9" x14ac:dyDescent="0.15">
      <c r="A1484" s="10">
        <v>1483</v>
      </c>
      <c r="B1484" s="11" t="s">
        <v>9</v>
      </c>
      <c r="C1484" s="11" t="s">
        <v>253</v>
      </c>
      <c r="D1484" s="11" t="s">
        <v>254</v>
      </c>
      <c r="E1484" s="9" t="str">
        <f>+HYPERLINK("http://trademark.i-assist.jp/data/china/image_1903th/79346844.pdf", "79346844")</f>
        <v>79346844</v>
      </c>
      <c r="F1484" s="11" t="s">
        <v>4325</v>
      </c>
      <c r="G1484" s="11" t="s">
        <v>4177</v>
      </c>
      <c r="H1484" s="11" t="s">
        <v>4326</v>
      </c>
      <c r="I1484" s="11" t="s">
        <v>251</v>
      </c>
    </row>
    <row r="1485" spans="1:9" x14ac:dyDescent="0.15">
      <c r="A1485" s="10">
        <v>1484</v>
      </c>
      <c r="B1485" s="11" t="s">
        <v>9</v>
      </c>
      <c r="C1485" s="11" t="s">
        <v>253</v>
      </c>
      <c r="D1485" s="11" t="s">
        <v>254</v>
      </c>
      <c r="E1485" s="9" t="str">
        <f>+HYPERLINK("http://trademark.i-assist.jp/data/china/image_1903th/79347341.pdf", "79347341")</f>
        <v>79347341</v>
      </c>
      <c r="F1485" s="11" t="s">
        <v>4327</v>
      </c>
      <c r="G1485" s="11" t="s">
        <v>4328</v>
      </c>
      <c r="H1485" s="11" t="s">
        <v>4329</v>
      </c>
      <c r="I1485" s="11" t="s">
        <v>251</v>
      </c>
    </row>
    <row r="1486" spans="1:9" x14ac:dyDescent="0.15">
      <c r="A1486" s="10">
        <v>1485</v>
      </c>
      <c r="B1486" s="11" t="s">
        <v>9</v>
      </c>
      <c r="C1486" s="11" t="s">
        <v>253</v>
      </c>
      <c r="D1486" s="11" t="s">
        <v>254</v>
      </c>
      <c r="E1486" s="9" t="str">
        <f>+HYPERLINK("http://trademark.i-assist.jp/data/china/image_1903th/79347909.pdf", "79347909")</f>
        <v>79347909</v>
      </c>
      <c r="F1486" s="11" t="s">
        <v>4330</v>
      </c>
      <c r="G1486" s="11" t="s">
        <v>149</v>
      </c>
      <c r="H1486" s="11" t="s">
        <v>4331</v>
      </c>
      <c r="I1486" s="11" t="s">
        <v>251</v>
      </c>
    </row>
    <row r="1487" spans="1:9" x14ac:dyDescent="0.15">
      <c r="A1487" s="10">
        <v>1486</v>
      </c>
      <c r="B1487" s="11" t="s">
        <v>9</v>
      </c>
      <c r="C1487" s="11" t="s">
        <v>253</v>
      </c>
      <c r="D1487" s="11" t="s">
        <v>254</v>
      </c>
      <c r="E1487" s="9" t="str">
        <f>+HYPERLINK("http://trademark.i-assist.jp/data/china/image_1903th/79347939.pdf", "79347939")</f>
        <v>79347939</v>
      </c>
      <c r="F1487" s="11" t="s">
        <v>4332</v>
      </c>
      <c r="G1487" s="11" t="s">
        <v>4191</v>
      </c>
      <c r="H1487" s="11" t="s">
        <v>4333</v>
      </c>
      <c r="I1487" s="11" t="s">
        <v>251</v>
      </c>
    </row>
    <row r="1488" spans="1:9" x14ac:dyDescent="0.15">
      <c r="A1488" s="10">
        <v>1487</v>
      </c>
      <c r="B1488" s="11" t="s">
        <v>9</v>
      </c>
      <c r="C1488" s="11" t="s">
        <v>253</v>
      </c>
      <c r="D1488" s="11" t="s">
        <v>254</v>
      </c>
      <c r="E1488" s="9" t="str">
        <f>+HYPERLINK("http://trademark.i-assist.jp/data/china/image_1903th/79348158.pdf", "79348158")</f>
        <v>79348158</v>
      </c>
      <c r="F1488" s="11" t="s">
        <v>4334</v>
      </c>
      <c r="G1488" s="11" t="s">
        <v>4335</v>
      </c>
      <c r="H1488" s="11" t="s">
        <v>4336</v>
      </c>
      <c r="I1488" s="11" t="s">
        <v>251</v>
      </c>
    </row>
    <row r="1489" spans="1:9" x14ac:dyDescent="0.15">
      <c r="A1489" s="10">
        <v>1488</v>
      </c>
      <c r="B1489" s="11" t="s">
        <v>9</v>
      </c>
      <c r="C1489" s="11" t="s">
        <v>253</v>
      </c>
      <c r="D1489" s="11" t="s">
        <v>254</v>
      </c>
      <c r="E1489" s="9" t="str">
        <f>+HYPERLINK("http://trademark.i-assist.jp/data/china/image_1903th/79348266.pdf", "79348266")</f>
        <v>79348266</v>
      </c>
      <c r="F1489" s="11" t="s">
        <v>4337</v>
      </c>
      <c r="G1489" s="11" t="s">
        <v>4338</v>
      </c>
      <c r="H1489" s="11" t="s">
        <v>4339</v>
      </c>
      <c r="I1489" s="11" t="s">
        <v>251</v>
      </c>
    </row>
    <row r="1490" spans="1:9" x14ac:dyDescent="0.15">
      <c r="A1490" s="10">
        <v>1489</v>
      </c>
      <c r="B1490" s="11" t="s">
        <v>9</v>
      </c>
      <c r="C1490" s="11" t="s">
        <v>253</v>
      </c>
      <c r="D1490" s="11" t="s">
        <v>254</v>
      </c>
      <c r="E1490" s="9" t="str">
        <f>+HYPERLINK("http://trademark.i-assist.jp/data/china/image_1903th/79348337.pdf", "79348337")</f>
        <v>79348337</v>
      </c>
      <c r="F1490" s="11" t="s">
        <v>4340</v>
      </c>
      <c r="G1490" s="11" t="s">
        <v>4341</v>
      </c>
      <c r="H1490" s="11" t="s">
        <v>4342</v>
      </c>
      <c r="I1490" s="11" t="s">
        <v>251</v>
      </c>
    </row>
    <row r="1491" spans="1:9" x14ac:dyDescent="0.15">
      <c r="A1491" s="10">
        <v>1490</v>
      </c>
      <c r="B1491" s="11" t="s">
        <v>9</v>
      </c>
      <c r="C1491" s="11" t="s">
        <v>253</v>
      </c>
      <c r="D1491" s="11" t="s">
        <v>254</v>
      </c>
      <c r="E1491" s="9" t="str">
        <f>+HYPERLINK("http://trademark.i-assist.jp/data/china/image_1903th/79348756.pdf", "79348756")</f>
        <v>79348756</v>
      </c>
      <c r="F1491" s="11" t="s">
        <v>4343</v>
      </c>
      <c r="G1491" s="11" t="s">
        <v>4205</v>
      </c>
      <c r="H1491" s="11" t="s">
        <v>4344</v>
      </c>
      <c r="I1491" s="11" t="s">
        <v>251</v>
      </c>
    </row>
    <row r="1492" spans="1:9" x14ac:dyDescent="0.15">
      <c r="A1492" s="10">
        <v>1491</v>
      </c>
      <c r="B1492" s="11" t="s">
        <v>9</v>
      </c>
      <c r="C1492" s="11" t="s">
        <v>253</v>
      </c>
      <c r="D1492" s="11" t="s">
        <v>254</v>
      </c>
      <c r="E1492" s="9" t="str">
        <f>+HYPERLINK("http://trademark.i-assist.jp/data/china/image_1903th/79349403.pdf", "79349403")</f>
        <v>79349403</v>
      </c>
      <c r="F1492" s="11" t="s">
        <v>4345</v>
      </c>
      <c r="G1492" s="11" t="s">
        <v>4346</v>
      </c>
      <c r="H1492" s="11" t="s">
        <v>4347</v>
      </c>
      <c r="I1492" s="11" t="s">
        <v>4348</v>
      </c>
    </row>
    <row r="1493" spans="1:9" x14ac:dyDescent="0.15">
      <c r="A1493" s="10">
        <v>1492</v>
      </c>
      <c r="B1493" s="11" t="s">
        <v>9</v>
      </c>
      <c r="C1493" s="11" t="s">
        <v>253</v>
      </c>
      <c r="D1493" s="11" t="s">
        <v>254</v>
      </c>
      <c r="E1493" s="9" t="str">
        <f>+HYPERLINK("http://trademark.i-assist.jp/data/china/image_1903th/79349514.pdf", "79349514")</f>
        <v>79349514</v>
      </c>
      <c r="F1493" s="11" t="s">
        <v>4349</v>
      </c>
      <c r="G1493" s="11" t="s">
        <v>4350</v>
      </c>
      <c r="H1493" s="11" t="s">
        <v>4351</v>
      </c>
      <c r="I1493" s="11" t="s">
        <v>4348</v>
      </c>
    </row>
    <row r="1494" spans="1:9" x14ac:dyDescent="0.15">
      <c r="A1494" s="10">
        <v>1493</v>
      </c>
      <c r="B1494" s="11" t="s">
        <v>9</v>
      </c>
      <c r="C1494" s="11" t="s">
        <v>253</v>
      </c>
      <c r="D1494" s="11" t="s">
        <v>254</v>
      </c>
      <c r="E1494" s="9" t="str">
        <f>+HYPERLINK("http://trademark.i-assist.jp/data/china/image_1903th/79349933.pdf", "79349933")</f>
        <v>79349933</v>
      </c>
      <c r="F1494" s="11" t="s">
        <v>4352</v>
      </c>
      <c r="G1494" s="11" t="s">
        <v>4353</v>
      </c>
      <c r="H1494" s="11" t="s">
        <v>4354</v>
      </c>
      <c r="I1494" s="11" t="s">
        <v>4348</v>
      </c>
    </row>
    <row r="1495" spans="1:9" x14ac:dyDescent="0.15">
      <c r="A1495" s="10">
        <v>1494</v>
      </c>
      <c r="B1495" s="11" t="s">
        <v>9</v>
      </c>
      <c r="C1495" s="11" t="s">
        <v>253</v>
      </c>
      <c r="D1495" s="11" t="s">
        <v>254</v>
      </c>
      <c r="E1495" s="9" t="str">
        <f>+HYPERLINK("http://trademark.i-assist.jp/data/china/image_1903th/79350062.pdf", "79350062")</f>
        <v>79350062</v>
      </c>
      <c r="F1495" s="11" t="s">
        <v>4355</v>
      </c>
      <c r="G1495" s="11" t="s">
        <v>4356</v>
      </c>
      <c r="H1495" s="11" t="s">
        <v>4357</v>
      </c>
      <c r="I1495" s="11" t="s">
        <v>4348</v>
      </c>
    </row>
    <row r="1496" spans="1:9" x14ac:dyDescent="0.15">
      <c r="A1496" s="10">
        <v>1495</v>
      </c>
      <c r="B1496" s="11" t="s">
        <v>9</v>
      </c>
      <c r="C1496" s="11" t="s">
        <v>253</v>
      </c>
      <c r="D1496" s="11" t="s">
        <v>254</v>
      </c>
      <c r="E1496" s="9" t="str">
        <f>+HYPERLINK("http://trademark.i-assist.jp/data/china/image_1903th/79350198.pdf", "79350198")</f>
        <v>79350198</v>
      </c>
      <c r="F1496" s="11" t="s">
        <v>4358</v>
      </c>
      <c r="G1496" s="11" t="s">
        <v>4359</v>
      </c>
      <c r="H1496" s="11" t="s">
        <v>4360</v>
      </c>
      <c r="I1496" s="11" t="s">
        <v>4348</v>
      </c>
    </row>
    <row r="1497" spans="1:9" x14ac:dyDescent="0.15">
      <c r="A1497" s="10">
        <v>1496</v>
      </c>
      <c r="B1497" s="11" t="s">
        <v>9</v>
      </c>
      <c r="C1497" s="11" t="s">
        <v>253</v>
      </c>
      <c r="D1497" s="11" t="s">
        <v>254</v>
      </c>
      <c r="E1497" s="9" t="str">
        <f>+HYPERLINK("http://trademark.i-assist.jp/data/china/image_1903th/79350364.pdf", "79350364")</f>
        <v>79350364</v>
      </c>
      <c r="F1497" s="11" t="s">
        <v>4361</v>
      </c>
      <c r="G1497" s="11" t="s">
        <v>1947</v>
      </c>
      <c r="H1497" s="11" t="s">
        <v>4362</v>
      </c>
      <c r="I1497" s="11" t="s">
        <v>4348</v>
      </c>
    </row>
    <row r="1498" spans="1:9" x14ac:dyDescent="0.15">
      <c r="A1498" s="10">
        <v>1497</v>
      </c>
      <c r="B1498" s="11" t="s">
        <v>9</v>
      </c>
      <c r="C1498" s="11" t="s">
        <v>253</v>
      </c>
      <c r="D1498" s="11" t="s">
        <v>254</v>
      </c>
      <c r="E1498" s="9" t="str">
        <f>+HYPERLINK("http://trademark.i-assist.jp/data/china/image_1903th/79351104.pdf", "79351104")</f>
        <v>79351104</v>
      </c>
      <c r="F1498" s="11" t="s">
        <v>4363</v>
      </c>
      <c r="G1498" s="11" t="s">
        <v>4364</v>
      </c>
      <c r="H1498" s="11" t="s">
        <v>4365</v>
      </c>
      <c r="I1498" s="11" t="s">
        <v>4348</v>
      </c>
    </row>
    <row r="1499" spans="1:9" x14ac:dyDescent="0.15">
      <c r="A1499" s="10">
        <v>1498</v>
      </c>
      <c r="B1499" s="11" t="s">
        <v>9</v>
      </c>
      <c r="C1499" s="11" t="s">
        <v>253</v>
      </c>
      <c r="D1499" s="11" t="s">
        <v>254</v>
      </c>
      <c r="E1499" s="9" t="str">
        <f>+HYPERLINK("http://trademark.i-assist.jp/data/china/image_1903th/79351293.pdf", "79351293")</f>
        <v>79351293</v>
      </c>
      <c r="F1499" s="11" t="s">
        <v>4366</v>
      </c>
      <c r="G1499" s="11" t="s">
        <v>4367</v>
      </c>
      <c r="H1499" s="11" t="s">
        <v>4368</v>
      </c>
      <c r="I1499" s="11" t="s">
        <v>4348</v>
      </c>
    </row>
    <row r="1500" spans="1:9" x14ac:dyDescent="0.15">
      <c r="A1500" s="10">
        <v>1499</v>
      </c>
      <c r="B1500" s="11" t="s">
        <v>9</v>
      </c>
      <c r="C1500" s="11" t="s">
        <v>253</v>
      </c>
      <c r="D1500" s="11" t="s">
        <v>254</v>
      </c>
      <c r="E1500" s="9" t="str">
        <f>+HYPERLINK("http://trademark.i-assist.jp/data/china/image_1903th/79351327.pdf", "79351327")</f>
        <v>79351327</v>
      </c>
      <c r="F1500" s="11" t="s">
        <v>4369</v>
      </c>
      <c r="G1500" s="11" t="s">
        <v>4370</v>
      </c>
      <c r="H1500" s="11" t="s">
        <v>4371</v>
      </c>
      <c r="I1500" s="11" t="s">
        <v>4348</v>
      </c>
    </row>
    <row r="1501" spans="1:9" x14ac:dyDescent="0.15">
      <c r="A1501" s="10">
        <v>1500</v>
      </c>
      <c r="B1501" s="11" t="s">
        <v>9</v>
      </c>
      <c r="C1501" s="11" t="s">
        <v>253</v>
      </c>
      <c r="D1501" s="11" t="s">
        <v>254</v>
      </c>
      <c r="E1501" s="9" t="str">
        <f>+HYPERLINK("http://trademark.i-assist.jp/data/china/image_1903th/79351355.pdf", "79351355")</f>
        <v>79351355</v>
      </c>
      <c r="F1501" s="11" t="s">
        <v>4372</v>
      </c>
      <c r="G1501" s="11" t="s">
        <v>242</v>
      </c>
      <c r="H1501" s="11" t="s">
        <v>4373</v>
      </c>
      <c r="I1501" s="11" t="s">
        <v>4348</v>
      </c>
    </row>
    <row r="1502" spans="1:9" x14ac:dyDescent="0.15">
      <c r="A1502" s="10">
        <v>1501</v>
      </c>
      <c r="B1502" s="11" t="s">
        <v>9</v>
      </c>
      <c r="C1502" s="11" t="s">
        <v>253</v>
      </c>
      <c r="D1502" s="11" t="s">
        <v>254</v>
      </c>
      <c r="E1502" s="9" t="str">
        <f>+HYPERLINK("http://trademark.i-assist.jp/data/china/image_1903th/79351407.pdf", "79351407")</f>
        <v>79351407</v>
      </c>
      <c r="F1502" s="11" t="s">
        <v>4374</v>
      </c>
      <c r="G1502" s="11" t="s">
        <v>4375</v>
      </c>
      <c r="H1502" s="11" t="s">
        <v>4376</v>
      </c>
      <c r="I1502" s="11" t="s">
        <v>4348</v>
      </c>
    </row>
    <row r="1503" spans="1:9" x14ac:dyDescent="0.15">
      <c r="A1503" s="10">
        <v>1502</v>
      </c>
      <c r="B1503" s="11" t="s">
        <v>9</v>
      </c>
      <c r="C1503" s="11" t="s">
        <v>253</v>
      </c>
      <c r="D1503" s="11" t="s">
        <v>254</v>
      </c>
      <c r="E1503" s="9" t="str">
        <f>+HYPERLINK("http://trademark.i-assist.jp/data/china/image_1903th/79351583.pdf", "79351583")</f>
        <v>79351583</v>
      </c>
      <c r="F1503" s="11" t="s">
        <v>4377</v>
      </c>
      <c r="G1503" s="11" t="s">
        <v>4378</v>
      </c>
      <c r="H1503" s="11" t="s">
        <v>4379</v>
      </c>
      <c r="I1503" s="11" t="s">
        <v>4348</v>
      </c>
    </row>
    <row r="1504" spans="1:9" x14ac:dyDescent="0.15">
      <c r="A1504" s="10">
        <v>1503</v>
      </c>
      <c r="B1504" s="11" t="s">
        <v>9</v>
      </c>
      <c r="C1504" s="11" t="s">
        <v>253</v>
      </c>
      <c r="D1504" s="11" t="s">
        <v>254</v>
      </c>
      <c r="E1504" s="9" t="str">
        <f>+HYPERLINK("http://trademark.i-assist.jp/data/china/image_1903th/79351644.pdf", "79351644")</f>
        <v>79351644</v>
      </c>
      <c r="F1504" s="11" t="s">
        <v>4380</v>
      </c>
      <c r="G1504" s="11" t="s">
        <v>4381</v>
      </c>
      <c r="H1504" s="11" t="s">
        <v>4382</v>
      </c>
      <c r="I1504" s="11" t="s">
        <v>4348</v>
      </c>
    </row>
    <row r="1505" spans="1:9" x14ac:dyDescent="0.15">
      <c r="A1505" s="10">
        <v>1504</v>
      </c>
      <c r="B1505" s="11" t="s">
        <v>9</v>
      </c>
      <c r="C1505" s="11" t="s">
        <v>253</v>
      </c>
      <c r="D1505" s="11" t="s">
        <v>254</v>
      </c>
      <c r="E1505" s="9" t="str">
        <f>+HYPERLINK("http://trademark.i-assist.jp/data/china/image_1903th/79352215.pdf", "79352215")</f>
        <v>79352215</v>
      </c>
      <c r="F1505" s="11" t="s">
        <v>4383</v>
      </c>
      <c r="G1505" s="11" t="s">
        <v>4384</v>
      </c>
      <c r="H1505" s="11" t="s">
        <v>4385</v>
      </c>
      <c r="I1505" s="11" t="s">
        <v>4348</v>
      </c>
    </row>
    <row r="1506" spans="1:9" x14ac:dyDescent="0.15">
      <c r="A1506" s="10">
        <v>1505</v>
      </c>
      <c r="B1506" s="11" t="s">
        <v>9</v>
      </c>
      <c r="C1506" s="11" t="s">
        <v>253</v>
      </c>
      <c r="D1506" s="11" t="s">
        <v>254</v>
      </c>
      <c r="E1506" s="9" t="str">
        <f>+HYPERLINK("http://trademark.i-assist.jp/data/china/image_1903th/79352607.pdf", "79352607")</f>
        <v>79352607</v>
      </c>
      <c r="F1506" s="11" t="s">
        <v>4386</v>
      </c>
      <c r="G1506" s="11" t="s">
        <v>3137</v>
      </c>
      <c r="H1506" s="11" t="s">
        <v>4387</v>
      </c>
      <c r="I1506" s="11" t="s">
        <v>4348</v>
      </c>
    </row>
    <row r="1507" spans="1:9" x14ac:dyDescent="0.15">
      <c r="A1507" s="10">
        <v>1506</v>
      </c>
      <c r="B1507" s="11" t="s">
        <v>9</v>
      </c>
      <c r="C1507" s="11" t="s">
        <v>253</v>
      </c>
      <c r="D1507" s="11" t="s">
        <v>254</v>
      </c>
      <c r="E1507" s="9" t="str">
        <f>+HYPERLINK("http://trademark.i-assist.jp/data/china/image_1903th/79352659.pdf", "79352659")</f>
        <v>79352659</v>
      </c>
      <c r="F1507" s="11" t="s">
        <v>4388</v>
      </c>
      <c r="G1507" s="11" t="s">
        <v>4389</v>
      </c>
      <c r="H1507" s="11" t="s">
        <v>4390</v>
      </c>
      <c r="I1507" s="11" t="s">
        <v>4348</v>
      </c>
    </row>
    <row r="1508" spans="1:9" x14ac:dyDescent="0.15">
      <c r="A1508" s="10">
        <v>1507</v>
      </c>
      <c r="B1508" s="11" t="s">
        <v>9</v>
      </c>
      <c r="C1508" s="11" t="s">
        <v>253</v>
      </c>
      <c r="D1508" s="11" t="s">
        <v>254</v>
      </c>
      <c r="E1508" s="9" t="str">
        <f>+HYPERLINK("http://trademark.i-assist.jp/data/china/image_1903th/79352732.pdf", "79352732")</f>
        <v>79352732</v>
      </c>
      <c r="F1508" s="11" t="s">
        <v>4391</v>
      </c>
      <c r="G1508" s="11" t="s">
        <v>4392</v>
      </c>
      <c r="H1508" s="11" t="s">
        <v>4393</v>
      </c>
      <c r="I1508" s="11" t="s">
        <v>4348</v>
      </c>
    </row>
    <row r="1509" spans="1:9" x14ac:dyDescent="0.15">
      <c r="A1509" s="10">
        <v>1508</v>
      </c>
      <c r="B1509" s="11" t="s">
        <v>9</v>
      </c>
      <c r="C1509" s="11" t="s">
        <v>253</v>
      </c>
      <c r="D1509" s="11" t="s">
        <v>254</v>
      </c>
      <c r="E1509" s="9" t="str">
        <f>+HYPERLINK("http://trademark.i-assist.jp/data/china/image_1903th/79352895.pdf", "79352895")</f>
        <v>79352895</v>
      </c>
      <c r="F1509" s="11" t="s">
        <v>4394</v>
      </c>
      <c r="G1509" s="11" t="s">
        <v>4177</v>
      </c>
      <c r="H1509" s="11" t="s">
        <v>4395</v>
      </c>
      <c r="I1509" s="11" t="s">
        <v>4348</v>
      </c>
    </row>
    <row r="1510" spans="1:9" x14ac:dyDescent="0.15">
      <c r="A1510" s="10">
        <v>1509</v>
      </c>
      <c r="B1510" s="11" t="s">
        <v>9</v>
      </c>
      <c r="C1510" s="11" t="s">
        <v>253</v>
      </c>
      <c r="D1510" s="11" t="s">
        <v>254</v>
      </c>
      <c r="E1510" s="9" t="str">
        <f>+HYPERLINK("http://trademark.i-assist.jp/data/china/image_1903th/79352913.pdf", "79352913")</f>
        <v>79352913</v>
      </c>
      <c r="F1510" s="11" t="s">
        <v>4396</v>
      </c>
      <c r="G1510" s="11" t="s">
        <v>4397</v>
      </c>
      <c r="H1510" s="11" t="s">
        <v>4398</v>
      </c>
      <c r="I1510" s="11" t="s">
        <v>4348</v>
      </c>
    </row>
    <row r="1511" spans="1:9" x14ac:dyDescent="0.15">
      <c r="A1511" s="10">
        <v>1510</v>
      </c>
      <c r="B1511" s="11" t="s">
        <v>9</v>
      </c>
      <c r="C1511" s="11" t="s">
        <v>253</v>
      </c>
      <c r="D1511" s="11" t="s">
        <v>254</v>
      </c>
      <c r="E1511" s="9" t="str">
        <f>+HYPERLINK("http://trademark.i-assist.jp/data/china/image_1903th/79353200.pdf", "79353200")</f>
        <v>79353200</v>
      </c>
      <c r="F1511" s="11" t="s">
        <v>4399</v>
      </c>
      <c r="G1511" s="11" t="s">
        <v>4400</v>
      </c>
      <c r="H1511" s="11" t="s">
        <v>4401</v>
      </c>
      <c r="I1511" s="11" t="s">
        <v>4348</v>
      </c>
    </row>
    <row r="1512" spans="1:9" x14ac:dyDescent="0.15">
      <c r="A1512" s="10">
        <v>1511</v>
      </c>
      <c r="B1512" s="11" t="s">
        <v>9</v>
      </c>
      <c r="C1512" s="11" t="s">
        <v>253</v>
      </c>
      <c r="D1512" s="11" t="s">
        <v>254</v>
      </c>
      <c r="E1512" s="9" t="str">
        <f>+HYPERLINK("http://trademark.i-assist.jp/data/china/image_1903th/79353402.pdf", "79353402")</f>
        <v>79353402</v>
      </c>
      <c r="F1512" s="11" t="s">
        <v>4402</v>
      </c>
      <c r="G1512" s="11" t="s">
        <v>4403</v>
      </c>
      <c r="H1512" s="11" t="s">
        <v>4404</v>
      </c>
      <c r="I1512" s="11" t="s">
        <v>4348</v>
      </c>
    </row>
    <row r="1513" spans="1:9" x14ac:dyDescent="0.15">
      <c r="A1513" s="10">
        <v>1512</v>
      </c>
      <c r="B1513" s="11" t="s">
        <v>9</v>
      </c>
      <c r="C1513" s="11" t="s">
        <v>253</v>
      </c>
      <c r="D1513" s="11" t="s">
        <v>254</v>
      </c>
      <c r="E1513" s="9" t="str">
        <f>+HYPERLINK("http://trademark.i-assist.jp/data/china/image_1903th/79353468.pdf", "79353468")</f>
        <v>79353468</v>
      </c>
      <c r="F1513" s="11" t="s">
        <v>4405</v>
      </c>
      <c r="G1513" s="11" t="s">
        <v>4406</v>
      </c>
      <c r="H1513" s="11" t="s">
        <v>4407</v>
      </c>
      <c r="I1513" s="11" t="s">
        <v>4348</v>
      </c>
    </row>
    <row r="1514" spans="1:9" x14ac:dyDescent="0.15">
      <c r="A1514" s="10">
        <v>1513</v>
      </c>
      <c r="B1514" s="11" t="s">
        <v>9</v>
      </c>
      <c r="C1514" s="11" t="s">
        <v>253</v>
      </c>
      <c r="D1514" s="11" t="s">
        <v>254</v>
      </c>
      <c r="E1514" s="9" t="str">
        <f>+HYPERLINK("http://trademark.i-assist.jp/data/china/image_1903th/79353591.pdf", "79353591")</f>
        <v>79353591</v>
      </c>
      <c r="F1514" s="11" t="s">
        <v>4408</v>
      </c>
      <c r="G1514" s="11" t="s">
        <v>4409</v>
      </c>
      <c r="H1514" s="11" t="s">
        <v>4410</v>
      </c>
      <c r="I1514" s="11" t="s">
        <v>4348</v>
      </c>
    </row>
    <row r="1515" spans="1:9" x14ac:dyDescent="0.15">
      <c r="A1515" s="10">
        <v>1514</v>
      </c>
      <c r="B1515" s="11" t="s">
        <v>9</v>
      </c>
      <c r="C1515" s="11" t="s">
        <v>253</v>
      </c>
      <c r="D1515" s="11" t="s">
        <v>254</v>
      </c>
      <c r="E1515" s="9" t="str">
        <f>+HYPERLINK("http://trademark.i-assist.jp/data/china/image_1903th/79353907.pdf", "79353907")</f>
        <v>79353907</v>
      </c>
      <c r="F1515" s="11" t="s">
        <v>4411</v>
      </c>
      <c r="G1515" s="11" t="s">
        <v>4412</v>
      </c>
      <c r="H1515" s="11" t="s">
        <v>4413</v>
      </c>
      <c r="I1515" s="11" t="s">
        <v>4348</v>
      </c>
    </row>
    <row r="1516" spans="1:9" x14ac:dyDescent="0.15">
      <c r="A1516" s="10">
        <v>1515</v>
      </c>
      <c r="B1516" s="11" t="s">
        <v>9</v>
      </c>
      <c r="C1516" s="11" t="s">
        <v>253</v>
      </c>
      <c r="D1516" s="11" t="s">
        <v>254</v>
      </c>
      <c r="E1516" s="9" t="str">
        <f>+HYPERLINK("http://trademark.i-assist.jp/data/china/image_1903th/79354194.pdf", "79354194")</f>
        <v>79354194</v>
      </c>
      <c r="F1516" s="11" t="s">
        <v>4414</v>
      </c>
      <c r="G1516" s="11" t="s">
        <v>4415</v>
      </c>
      <c r="H1516" s="11" t="s">
        <v>4416</v>
      </c>
      <c r="I1516" s="11" t="s">
        <v>4348</v>
      </c>
    </row>
    <row r="1517" spans="1:9" x14ac:dyDescent="0.15">
      <c r="A1517" s="10">
        <v>1516</v>
      </c>
      <c r="B1517" s="11" t="s">
        <v>9</v>
      </c>
      <c r="C1517" s="11" t="s">
        <v>253</v>
      </c>
      <c r="D1517" s="11" t="s">
        <v>254</v>
      </c>
      <c r="E1517" s="9" t="str">
        <f>+HYPERLINK("http://trademark.i-assist.jp/data/china/image_1903th/79354356.pdf", "79354356")</f>
        <v>79354356</v>
      </c>
      <c r="F1517" s="11" t="s">
        <v>4417</v>
      </c>
      <c r="G1517" s="11" t="s">
        <v>4418</v>
      </c>
      <c r="H1517" s="11" t="s">
        <v>4419</v>
      </c>
      <c r="I1517" s="11" t="s">
        <v>4348</v>
      </c>
    </row>
    <row r="1518" spans="1:9" x14ac:dyDescent="0.15">
      <c r="A1518" s="10">
        <v>1517</v>
      </c>
      <c r="B1518" s="11" t="s">
        <v>9</v>
      </c>
      <c r="C1518" s="11" t="s">
        <v>253</v>
      </c>
      <c r="D1518" s="11" t="s">
        <v>254</v>
      </c>
      <c r="E1518" s="9" t="str">
        <f>+HYPERLINK("http://trademark.i-assist.jp/data/china/image_1903th/79354508.pdf", "79354508")</f>
        <v>79354508</v>
      </c>
      <c r="F1518" s="11" t="s">
        <v>4420</v>
      </c>
      <c r="G1518" s="11" t="s">
        <v>4353</v>
      </c>
      <c r="H1518" s="11" t="s">
        <v>4421</v>
      </c>
      <c r="I1518" s="11" t="s">
        <v>4348</v>
      </c>
    </row>
    <row r="1519" spans="1:9" x14ac:dyDescent="0.15">
      <c r="A1519" s="10">
        <v>1518</v>
      </c>
      <c r="B1519" s="11" t="s">
        <v>9</v>
      </c>
      <c r="C1519" s="11" t="s">
        <v>253</v>
      </c>
      <c r="D1519" s="11" t="s">
        <v>254</v>
      </c>
      <c r="E1519" s="9" t="str">
        <f>+HYPERLINK("http://trademark.i-assist.jp/data/china/image_1903th/79354696.pdf", "79354696")</f>
        <v>79354696</v>
      </c>
      <c r="F1519" s="11" t="s">
        <v>4422</v>
      </c>
      <c r="G1519" s="11" t="s">
        <v>4423</v>
      </c>
      <c r="H1519" s="11" t="s">
        <v>4424</v>
      </c>
      <c r="I1519" s="11" t="s">
        <v>4348</v>
      </c>
    </row>
    <row r="1520" spans="1:9" x14ac:dyDescent="0.15">
      <c r="A1520" s="10">
        <v>1519</v>
      </c>
      <c r="B1520" s="11" t="s">
        <v>9</v>
      </c>
      <c r="C1520" s="11" t="s">
        <v>253</v>
      </c>
      <c r="D1520" s="11" t="s">
        <v>254</v>
      </c>
      <c r="E1520" s="9" t="str">
        <f>+HYPERLINK("http://trademark.i-assist.jp/data/china/image_1903th/79354974.pdf", "79354974")</f>
        <v>79354974</v>
      </c>
      <c r="F1520" s="11" t="s">
        <v>4425</v>
      </c>
      <c r="G1520" s="11" t="s">
        <v>4426</v>
      </c>
      <c r="H1520" s="11" t="s">
        <v>4427</v>
      </c>
      <c r="I1520" s="11" t="s">
        <v>4348</v>
      </c>
    </row>
    <row r="1521" spans="1:9" x14ac:dyDescent="0.15">
      <c r="A1521" s="10">
        <v>1520</v>
      </c>
      <c r="B1521" s="11" t="s">
        <v>9</v>
      </c>
      <c r="C1521" s="11" t="s">
        <v>253</v>
      </c>
      <c r="D1521" s="11" t="s">
        <v>254</v>
      </c>
      <c r="E1521" s="9" t="str">
        <f>+HYPERLINK("http://trademark.i-assist.jp/data/china/image_1903th/79354978.pdf", "79354978")</f>
        <v>79354978</v>
      </c>
      <c r="F1521" s="11" t="s">
        <v>4428</v>
      </c>
      <c r="G1521" s="11" t="s">
        <v>4429</v>
      </c>
      <c r="H1521" s="11" t="s">
        <v>4430</v>
      </c>
      <c r="I1521" s="11" t="s">
        <v>4348</v>
      </c>
    </row>
    <row r="1522" spans="1:9" x14ac:dyDescent="0.15">
      <c r="A1522" s="10">
        <v>1521</v>
      </c>
      <c r="B1522" s="11" t="s">
        <v>9</v>
      </c>
      <c r="C1522" s="11" t="s">
        <v>253</v>
      </c>
      <c r="D1522" s="11" t="s">
        <v>254</v>
      </c>
      <c r="E1522" s="9" t="str">
        <f>+HYPERLINK("http://trademark.i-assist.jp/data/china/image_1903th/79355049.pdf", "79355049")</f>
        <v>79355049</v>
      </c>
      <c r="F1522" s="11" t="s">
        <v>4431</v>
      </c>
      <c r="G1522" s="11" t="s">
        <v>4432</v>
      </c>
      <c r="H1522" s="11" t="s">
        <v>4433</v>
      </c>
      <c r="I1522" s="11" t="s">
        <v>4348</v>
      </c>
    </row>
    <row r="1523" spans="1:9" x14ac:dyDescent="0.15">
      <c r="A1523" s="10">
        <v>1522</v>
      </c>
      <c r="B1523" s="11" t="s">
        <v>9</v>
      </c>
      <c r="C1523" s="11" t="s">
        <v>253</v>
      </c>
      <c r="D1523" s="11" t="s">
        <v>254</v>
      </c>
      <c r="E1523" s="9" t="str">
        <f>+HYPERLINK("http://trademark.i-assist.jp/data/china/image_1903th/79355098.pdf", "79355098")</f>
        <v>79355098</v>
      </c>
      <c r="F1523" s="11" t="s">
        <v>4434</v>
      </c>
      <c r="G1523" s="11" t="s">
        <v>4435</v>
      </c>
      <c r="H1523" s="11" t="s">
        <v>4436</v>
      </c>
      <c r="I1523" s="11" t="s">
        <v>4348</v>
      </c>
    </row>
    <row r="1524" spans="1:9" x14ac:dyDescent="0.15">
      <c r="A1524" s="10">
        <v>1523</v>
      </c>
      <c r="B1524" s="11" t="s">
        <v>9</v>
      </c>
      <c r="C1524" s="11" t="s">
        <v>253</v>
      </c>
      <c r="D1524" s="11" t="s">
        <v>254</v>
      </c>
      <c r="E1524" s="9" t="str">
        <f>+HYPERLINK("http://trademark.i-assist.jp/data/china/image_1903th/79355254.pdf", "79355254")</f>
        <v>79355254</v>
      </c>
      <c r="F1524" s="11" t="s">
        <v>4437</v>
      </c>
      <c r="G1524" s="11" t="s">
        <v>4438</v>
      </c>
      <c r="H1524" s="11" t="s">
        <v>4439</v>
      </c>
      <c r="I1524" s="11" t="s">
        <v>4348</v>
      </c>
    </row>
    <row r="1525" spans="1:9" x14ac:dyDescent="0.15">
      <c r="A1525" s="10">
        <v>1524</v>
      </c>
      <c r="B1525" s="11" t="s">
        <v>9</v>
      </c>
      <c r="C1525" s="11" t="s">
        <v>253</v>
      </c>
      <c r="D1525" s="11" t="s">
        <v>254</v>
      </c>
      <c r="E1525" s="9" t="str">
        <f>+HYPERLINK("http://trademark.i-assist.jp/data/china/image_1903th/79355740.pdf", "79355740")</f>
        <v>79355740</v>
      </c>
      <c r="F1525" s="11" t="s">
        <v>4440</v>
      </c>
      <c r="G1525" s="11" t="s">
        <v>4441</v>
      </c>
      <c r="H1525" s="11" t="s">
        <v>4442</v>
      </c>
      <c r="I1525" s="11" t="s">
        <v>4348</v>
      </c>
    </row>
    <row r="1526" spans="1:9" x14ac:dyDescent="0.15">
      <c r="A1526" s="10">
        <v>1525</v>
      </c>
      <c r="B1526" s="11" t="s">
        <v>9</v>
      </c>
      <c r="C1526" s="11" t="s">
        <v>253</v>
      </c>
      <c r="D1526" s="11" t="s">
        <v>254</v>
      </c>
      <c r="E1526" s="9" t="str">
        <f>+HYPERLINK("http://trademark.i-assist.jp/data/china/image_1903th/79355805.pdf", "79355805")</f>
        <v>79355805</v>
      </c>
      <c r="F1526" s="11" t="s">
        <v>4443</v>
      </c>
      <c r="G1526" s="11" t="s">
        <v>4444</v>
      </c>
      <c r="H1526" s="11" t="s">
        <v>4445</v>
      </c>
      <c r="I1526" s="11" t="s">
        <v>4348</v>
      </c>
    </row>
    <row r="1527" spans="1:9" x14ac:dyDescent="0.15">
      <c r="A1527" s="10">
        <v>1526</v>
      </c>
      <c r="B1527" s="11" t="s">
        <v>9</v>
      </c>
      <c r="C1527" s="11" t="s">
        <v>253</v>
      </c>
      <c r="D1527" s="11" t="s">
        <v>254</v>
      </c>
      <c r="E1527" s="9" t="str">
        <f>+HYPERLINK("http://trademark.i-assist.jp/data/china/image_1903th/79355917.pdf", "79355917")</f>
        <v>79355917</v>
      </c>
      <c r="F1527" s="11" t="s">
        <v>4446</v>
      </c>
      <c r="G1527" s="11" t="s">
        <v>4447</v>
      </c>
      <c r="H1527" s="11" t="s">
        <v>4448</v>
      </c>
      <c r="I1527" s="11" t="s">
        <v>4348</v>
      </c>
    </row>
    <row r="1528" spans="1:9" x14ac:dyDescent="0.15">
      <c r="A1528" s="10">
        <v>1527</v>
      </c>
      <c r="B1528" s="11" t="s">
        <v>9</v>
      </c>
      <c r="C1528" s="11" t="s">
        <v>253</v>
      </c>
      <c r="D1528" s="11" t="s">
        <v>254</v>
      </c>
      <c r="E1528" s="9" t="str">
        <f>+HYPERLINK("http://trademark.i-assist.jp/data/china/image_1903th/79356073.pdf", "79356073")</f>
        <v>79356073</v>
      </c>
      <c r="F1528" s="11" t="s">
        <v>4449</v>
      </c>
      <c r="G1528" s="11" t="s">
        <v>2183</v>
      </c>
      <c r="H1528" s="11" t="s">
        <v>4450</v>
      </c>
      <c r="I1528" s="11" t="s">
        <v>4348</v>
      </c>
    </row>
    <row r="1529" spans="1:9" x14ac:dyDescent="0.15">
      <c r="A1529" s="10">
        <v>1528</v>
      </c>
      <c r="B1529" s="11" t="s">
        <v>9</v>
      </c>
      <c r="C1529" s="11" t="s">
        <v>253</v>
      </c>
      <c r="D1529" s="11" t="s">
        <v>254</v>
      </c>
      <c r="E1529" s="9" t="str">
        <f>+HYPERLINK("http://trademark.i-assist.jp/data/china/image_1903th/79356171.pdf", "79356171")</f>
        <v>79356171</v>
      </c>
      <c r="F1529" s="11" t="s">
        <v>4451</v>
      </c>
      <c r="G1529" s="11" t="s">
        <v>4452</v>
      </c>
      <c r="H1529" s="11" t="s">
        <v>4453</v>
      </c>
      <c r="I1529" s="11" t="s">
        <v>4348</v>
      </c>
    </row>
    <row r="1530" spans="1:9" x14ac:dyDescent="0.15">
      <c r="A1530" s="10">
        <v>1529</v>
      </c>
      <c r="B1530" s="11" t="s">
        <v>9</v>
      </c>
      <c r="C1530" s="11" t="s">
        <v>253</v>
      </c>
      <c r="D1530" s="11" t="s">
        <v>254</v>
      </c>
      <c r="E1530" s="9" t="str">
        <f>+HYPERLINK("http://trademark.i-assist.jp/data/china/image_1903th/79356193.pdf", "79356193")</f>
        <v>79356193</v>
      </c>
      <c r="F1530" s="11" t="s">
        <v>4454</v>
      </c>
      <c r="G1530" s="11" t="s">
        <v>4455</v>
      </c>
      <c r="H1530" s="11" t="s">
        <v>4456</v>
      </c>
      <c r="I1530" s="11" t="s">
        <v>4348</v>
      </c>
    </row>
    <row r="1531" spans="1:9" x14ac:dyDescent="0.15">
      <c r="A1531" s="10">
        <v>1530</v>
      </c>
      <c r="B1531" s="11" t="s">
        <v>9</v>
      </c>
      <c r="C1531" s="11" t="s">
        <v>253</v>
      </c>
      <c r="D1531" s="11" t="s">
        <v>254</v>
      </c>
      <c r="E1531" s="9" t="str">
        <f>+HYPERLINK("http://trademark.i-assist.jp/data/china/image_1903th/79356500.pdf", "79356500")</f>
        <v>79356500</v>
      </c>
      <c r="F1531" s="11" t="s">
        <v>4457</v>
      </c>
      <c r="G1531" s="11" t="s">
        <v>4458</v>
      </c>
      <c r="H1531" s="11" t="s">
        <v>4459</v>
      </c>
      <c r="I1531" s="11" t="s">
        <v>4348</v>
      </c>
    </row>
    <row r="1532" spans="1:9" x14ac:dyDescent="0.15">
      <c r="A1532" s="10">
        <v>1531</v>
      </c>
      <c r="B1532" s="11" t="s">
        <v>9</v>
      </c>
      <c r="C1532" s="11" t="s">
        <v>253</v>
      </c>
      <c r="D1532" s="11" t="s">
        <v>254</v>
      </c>
      <c r="E1532" s="9" t="str">
        <f>+HYPERLINK("http://trademark.i-assist.jp/data/china/image_1903th/79356633.pdf", "79356633")</f>
        <v>79356633</v>
      </c>
      <c r="F1532" s="11" t="s">
        <v>4460</v>
      </c>
      <c r="G1532" s="11" t="s">
        <v>4461</v>
      </c>
      <c r="H1532" s="11" t="s">
        <v>4462</v>
      </c>
      <c r="I1532" s="11" t="s">
        <v>4348</v>
      </c>
    </row>
    <row r="1533" spans="1:9" x14ac:dyDescent="0.15">
      <c r="A1533" s="10">
        <v>1532</v>
      </c>
      <c r="B1533" s="11" t="s">
        <v>9</v>
      </c>
      <c r="C1533" s="11" t="s">
        <v>253</v>
      </c>
      <c r="D1533" s="11" t="s">
        <v>254</v>
      </c>
      <c r="E1533" s="9" t="str">
        <f>+HYPERLINK("http://trademark.i-assist.jp/data/china/image_1903th/79356654.pdf", "79356654")</f>
        <v>79356654</v>
      </c>
      <c r="F1533" s="11" t="s">
        <v>4463</v>
      </c>
      <c r="G1533" s="11" t="s">
        <v>4464</v>
      </c>
      <c r="H1533" s="11" t="s">
        <v>4465</v>
      </c>
      <c r="I1533" s="11" t="s">
        <v>4348</v>
      </c>
    </row>
    <row r="1534" spans="1:9" x14ac:dyDescent="0.15">
      <c r="A1534" s="10">
        <v>1533</v>
      </c>
      <c r="B1534" s="11" t="s">
        <v>9</v>
      </c>
      <c r="C1534" s="11" t="s">
        <v>253</v>
      </c>
      <c r="D1534" s="11" t="s">
        <v>254</v>
      </c>
      <c r="E1534" s="9" t="str">
        <f>+HYPERLINK("http://trademark.i-assist.jp/data/china/image_1903th/79356658.pdf", "79356658")</f>
        <v>79356658</v>
      </c>
      <c r="F1534" s="11" t="s">
        <v>4466</v>
      </c>
      <c r="G1534" s="11" t="s">
        <v>4370</v>
      </c>
      <c r="H1534" s="11" t="s">
        <v>4467</v>
      </c>
      <c r="I1534" s="11" t="s">
        <v>4348</v>
      </c>
    </row>
    <row r="1535" spans="1:9" x14ac:dyDescent="0.15">
      <c r="A1535" s="10">
        <v>1534</v>
      </c>
      <c r="B1535" s="11" t="s">
        <v>9</v>
      </c>
      <c r="C1535" s="11" t="s">
        <v>253</v>
      </c>
      <c r="D1535" s="11" t="s">
        <v>254</v>
      </c>
      <c r="E1535" s="9" t="str">
        <f>+HYPERLINK("http://trademark.i-assist.jp/data/china/image_1903th/79356722.pdf", "79356722")</f>
        <v>79356722</v>
      </c>
      <c r="F1535" s="11" t="s">
        <v>4468</v>
      </c>
      <c r="G1535" s="11" t="s">
        <v>4469</v>
      </c>
      <c r="H1535" s="11" t="s">
        <v>4470</v>
      </c>
      <c r="I1535" s="11" t="s">
        <v>4348</v>
      </c>
    </row>
    <row r="1536" spans="1:9" x14ac:dyDescent="0.15">
      <c r="A1536" s="10">
        <v>1535</v>
      </c>
      <c r="B1536" s="11" t="s">
        <v>9</v>
      </c>
      <c r="C1536" s="11" t="s">
        <v>253</v>
      </c>
      <c r="D1536" s="11" t="s">
        <v>254</v>
      </c>
      <c r="E1536" s="9" t="str">
        <f>+HYPERLINK("http://trademark.i-assist.jp/data/china/image_1903th/79357020.pdf", "79357020")</f>
        <v>79357020</v>
      </c>
      <c r="F1536" s="11" t="s">
        <v>4471</v>
      </c>
      <c r="G1536" s="11" t="s">
        <v>4472</v>
      </c>
      <c r="H1536" s="11" t="s">
        <v>4473</v>
      </c>
      <c r="I1536" s="11" t="s">
        <v>4348</v>
      </c>
    </row>
    <row r="1537" spans="1:9" x14ac:dyDescent="0.15">
      <c r="A1537" s="10">
        <v>1536</v>
      </c>
      <c r="B1537" s="11" t="s">
        <v>9</v>
      </c>
      <c r="C1537" s="11" t="s">
        <v>253</v>
      </c>
      <c r="D1537" s="11" t="s">
        <v>254</v>
      </c>
      <c r="E1537" s="9" t="str">
        <f>+HYPERLINK("http://trademark.i-assist.jp/data/china/image_1903th/79357053.pdf", "79357053")</f>
        <v>79357053</v>
      </c>
      <c r="F1537" s="11" t="s">
        <v>4474</v>
      </c>
      <c r="G1537" s="11" t="s">
        <v>4475</v>
      </c>
      <c r="H1537" s="11" t="s">
        <v>4476</v>
      </c>
      <c r="I1537" s="11" t="s">
        <v>4348</v>
      </c>
    </row>
    <row r="1538" spans="1:9" x14ac:dyDescent="0.15">
      <c r="A1538" s="10">
        <v>1537</v>
      </c>
      <c r="B1538" s="11" t="s">
        <v>9</v>
      </c>
      <c r="C1538" s="11" t="s">
        <v>253</v>
      </c>
      <c r="D1538" s="11" t="s">
        <v>254</v>
      </c>
      <c r="E1538" s="9" t="str">
        <f>+HYPERLINK("http://trademark.i-assist.jp/data/china/image_1903th/79357447.pdf", "79357447")</f>
        <v>79357447</v>
      </c>
      <c r="F1538" s="11" t="s">
        <v>4477</v>
      </c>
      <c r="G1538" s="11" t="s">
        <v>4478</v>
      </c>
      <c r="H1538" s="11" t="s">
        <v>4479</v>
      </c>
      <c r="I1538" s="11" t="s">
        <v>4348</v>
      </c>
    </row>
    <row r="1539" spans="1:9" x14ac:dyDescent="0.15">
      <c r="A1539" s="10">
        <v>1538</v>
      </c>
      <c r="B1539" s="11" t="s">
        <v>9</v>
      </c>
      <c r="C1539" s="11" t="s">
        <v>253</v>
      </c>
      <c r="D1539" s="11" t="s">
        <v>254</v>
      </c>
      <c r="E1539" s="9" t="str">
        <f>+HYPERLINK("http://trademark.i-assist.jp/data/china/image_1903th/79357506.pdf", "79357506")</f>
        <v>79357506</v>
      </c>
      <c r="F1539" s="11" t="s">
        <v>4480</v>
      </c>
      <c r="G1539" s="11" t="s">
        <v>4481</v>
      </c>
      <c r="H1539" s="11" t="s">
        <v>4482</v>
      </c>
      <c r="I1539" s="11" t="s">
        <v>4348</v>
      </c>
    </row>
    <row r="1540" spans="1:9" x14ac:dyDescent="0.15">
      <c r="A1540" s="10">
        <v>1539</v>
      </c>
      <c r="B1540" s="11" t="s">
        <v>9</v>
      </c>
      <c r="C1540" s="11" t="s">
        <v>253</v>
      </c>
      <c r="D1540" s="11" t="s">
        <v>254</v>
      </c>
      <c r="E1540" s="9" t="str">
        <f>+HYPERLINK("http://trademark.i-assist.jp/data/china/image_1903th/79357566.pdf", "79357566")</f>
        <v>79357566</v>
      </c>
      <c r="F1540" s="11" t="s">
        <v>4483</v>
      </c>
      <c r="G1540" s="11" t="s">
        <v>214</v>
      </c>
      <c r="H1540" s="11" t="s">
        <v>4484</v>
      </c>
      <c r="I1540" s="11" t="s">
        <v>4348</v>
      </c>
    </row>
    <row r="1541" spans="1:9" x14ac:dyDescent="0.15">
      <c r="A1541" s="10">
        <v>1540</v>
      </c>
      <c r="B1541" s="11" t="s">
        <v>9</v>
      </c>
      <c r="C1541" s="11" t="s">
        <v>253</v>
      </c>
      <c r="D1541" s="11" t="s">
        <v>254</v>
      </c>
      <c r="E1541" s="9" t="str">
        <f>+HYPERLINK("http://trademark.i-assist.jp/data/china/image_1903th/79357574.pdf", "79357574")</f>
        <v>79357574</v>
      </c>
      <c r="F1541" s="11" t="s">
        <v>4485</v>
      </c>
      <c r="G1541" s="11" t="s">
        <v>4486</v>
      </c>
      <c r="H1541" s="11" t="s">
        <v>4487</v>
      </c>
      <c r="I1541" s="11" t="s">
        <v>4348</v>
      </c>
    </row>
    <row r="1542" spans="1:9" x14ac:dyDescent="0.15">
      <c r="A1542" s="10">
        <v>1541</v>
      </c>
      <c r="B1542" s="11" t="s">
        <v>9</v>
      </c>
      <c r="C1542" s="11" t="s">
        <v>253</v>
      </c>
      <c r="D1542" s="11" t="s">
        <v>254</v>
      </c>
      <c r="E1542" s="9" t="str">
        <f>+HYPERLINK("http://trademark.i-assist.jp/data/china/image_1903th/79357803.pdf", "79357803")</f>
        <v>79357803</v>
      </c>
      <c r="F1542" s="11" t="s">
        <v>4488</v>
      </c>
      <c r="G1542" s="11" t="s">
        <v>4489</v>
      </c>
      <c r="H1542" s="11" t="s">
        <v>4490</v>
      </c>
      <c r="I1542" s="11" t="s">
        <v>4348</v>
      </c>
    </row>
    <row r="1543" spans="1:9" x14ac:dyDescent="0.15">
      <c r="A1543" s="10">
        <v>1542</v>
      </c>
      <c r="B1543" s="11" t="s">
        <v>9</v>
      </c>
      <c r="C1543" s="11" t="s">
        <v>253</v>
      </c>
      <c r="D1543" s="11" t="s">
        <v>254</v>
      </c>
      <c r="E1543" s="9" t="str">
        <f>+HYPERLINK("http://trademark.i-assist.jp/data/china/image_1903th/79358045.pdf", "79358045")</f>
        <v>79358045</v>
      </c>
      <c r="F1543" s="11" t="s">
        <v>4491</v>
      </c>
      <c r="G1543" s="11" t="s">
        <v>4492</v>
      </c>
      <c r="H1543" s="11" t="s">
        <v>4493</v>
      </c>
      <c r="I1543" s="11" t="s">
        <v>4348</v>
      </c>
    </row>
    <row r="1544" spans="1:9" x14ac:dyDescent="0.15">
      <c r="A1544" s="10">
        <v>1543</v>
      </c>
      <c r="B1544" s="11" t="s">
        <v>9</v>
      </c>
      <c r="C1544" s="11" t="s">
        <v>253</v>
      </c>
      <c r="D1544" s="11" t="s">
        <v>254</v>
      </c>
      <c r="E1544" s="9" t="str">
        <f>+HYPERLINK("http://trademark.i-assist.jp/data/china/image_1903th/79358067.pdf", "79358067")</f>
        <v>79358067</v>
      </c>
      <c r="F1544" s="11" t="s">
        <v>4494</v>
      </c>
      <c r="G1544" s="11" t="s">
        <v>4495</v>
      </c>
      <c r="H1544" s="11" t="s">
        <v>4496</v>
      </c>
      <c r="I1544" s="11" t="s">
        <v>4348</v>
      </c>
    </row>
    <row r="1545" spans="1:9" x14ac:dyDescent="0.15">
      <c r="A1545" s="10">
        <v>1544</v>
      </c>
      <c r="B1545" s="11" t="s">
        <v>9</v>
      </c>
      <c r="C1545" s="11" t="s">
        <v>253</v>
      </c>
      <c r="D1545" s="11" t="s">
        <v>254</v>
      </c>
      <c r="E1545" s="9" t="str">
        <f>+HYPERLINK("http://trademark.i-assist.jp/data/china/image_1903th/79358429.pdf", "79358429")</f>
        <v>79358429</v>
      </c>
      <c r="F1545" s="11" t="s">
        <v>4497</v>
      </c>
      <c r="G1545" s="11" t="s">
        <v>4498</v>
      </c>
      <c r="H1545" s="11" t="s">
        <v>4499</v>
      </c>
      <c r="I1545" s="11" t="s">
        <v>4348</v>
      </c>
    </row>
    <row r="1546" spans="1:9" x14ac:dyDescent="0.15">
      <c r="A1546" s="10">
        <v>1545</v>
      </c>
      <c r="B1546" s="11" t="s">
        <v>9</v>
      </c>
      <c r="C1546" s="11" t="s">
        <v>253</v>
      </c>
      <c r="D1546" s="11" t="s">
        <v>254</v>
      </c>
      <c r="E1546" s="9" t="str">
        <f>+HYPERLINK("http://trademark.i-assist.jp/data/china/image_1903th/79358664.pdf", "79358664")</f>
        <v>79358664</v>
      </c>
      <c r="F1546" s="11" t="s">
        <v>4500</v>
      </c>
      <c r="G1546" s="11" t="s">
        <v>4501</v>
      </c>
      <c r="H1546" s="11" t="s">
        <v>4502</v>
      </c>
      <c r="I1546" s="11" t="s">
        <v>4348</v>
      </c>
    </row>
    <row r="1547" spans="1:9" x14ac:dyDescent="0.15">
      <c r="A1547" s="10">
        <v>1546</v>
      </c>
      <c r="B1547" s="11" t="s">
        <v>9</v>
      </c>
      <c r="C1547" s="11" t="s">
        <v>253</v>
      </c>
      <c r="D1547" s="11" t="s">
        <v>254</v>
      </c>
      <c r="E1547" s="9" t="str">
        <f>+HYPERLINK("http://trademark.i-assist.jp/data/china/image_1903th/79358887.pdf", "79358887")</f>
        <v>79358887</v>
      </c>
      <c r="F1547" s="11" t="s">
        <v>4503</v>
      </c>
      <c r="G1547" s="11" t="s">
        <v>4504</v>
      </c>
      <c r="H1547" s="11" t="s">
        <v>4505</v>
      </c>
      <c r="I1547" s="11" t="s">
        <v>4348</v>
      </c>
    </row>
    <row r="1548" spans="1:9" x14ac:dyDescent="0.15">
      <c r="A1548" s="10">
        <v>1547</v>
      </c>
      <c r="B1548" s="11" t="s">
        <v>9</v>
      </c>
      <c r="C1548" s="11" t="s">
        <v>253</v>
      </c>
      <c r="D1548" s="11" t="s">
        <v>254</v>
      </c>
      <c r="E1548" s="9" t="str">
        <f>+HYPERLINK("http://trademark.i-assist.jp/data/china/image_1903th/79359303.pdf", "79359303")</f>
        <v>79359303</v>
      </c>
      <c r="F1548" s="11" t="s">
        <v>4506</v>
      </c>
      <c r="G1548" s="11" t="s">
        <v>4507</v>
      </c>
      <c r="H1548" s="11" t="s">
        <v>4508</v>
      </c>
      <c r="I1548" s="11" t="s">
        <v>4348</v>
      </c>
    </row>
    <row r="1549" spans="1:9" x14ac:dyDescent="0.15">
      <c r="A1549" s="10">
        <v>1548</v>
      </c>
      <c r="B1549" s="11" t="s">
        <v>9</v>
      </c>
      <c r="C1549" s="11" t="s">
        <v>253</v>
      </c>
      <c r="D1549" s="11" t="s">
        <v>254</v>
      </c>
      <c r="E1549" s="9" t="str">
        <f>+HYPERLINK("http://trademark.i-assist.jp/data/china/image_1903th/79359813.pdf", "79359813")</f>
        <v>79359813</v>
      </c>
      <c r="F1549" s="11" t="s">
        <v>4509</v>
      </c>
      <c r="G1549" s="11" t="s">
        <v>4510</v>
      </c>
      <c r="H1549" s="11" t="s">
        <v>4511</v>
      </c>
      <c r="I1549" s="11" t="s">
        <v>4348</v>
      </c>
    </row>
    <row r="1550" spans="1:9" x14ac:dyDescent="0.15">
      <c r="A1550" s="10">
        <v>1549</v>
      </c>
      <c r="B1550" s="11" t="s">
        <v>9</v>
      </c>
      <c r="C1550" s="11" t="s">
        <v>253</v>
      </c>
      <c r="D1550" s="11" t="s">
        <v>254</v>
      </c>
      <c r="E1550" s="9" t="str">
        <f>+HYPERLINK("http://trademark.i-assist.jp/data/china/image_1903th/79360038.pdf", "79360038")</f>
        <v>79360038</v>
      </c>
      <c r="F1550" s="11" t="s">
        <v>4512</v>
      </c>
      <c r="G1550" s="11" t="s">
        <v>4513</v>
      </c>
      <c r="H1550" s="11" t="s">
        <v>4514</v>
      </c>
      <c r="I1550" s="11" t="s">
        <v>4348</v>
      </c>
    </row>
    <row r="1551" spans="1:9" x14ac:dyDescent="0.15">
      <c r="A1551" s="10">
        <v>1550</v>
      </c>
      <c r="B1551" s="11" t="s">
        <v>9</v>
      </c>
      <c r="C1551" s="11" t="s">
        <v>253</v>
      </c>
      <c r="D1551" s="11" t="s">
        <v>254</v>
      </c>
      <c r="E1551" s="9" t="str">
        <f>+HYPERLINK("http://trademark.i-assist.jp/data/china/image_1903th/79360040.pdf", "79360040")</f>
        <v>79360040</v>
      </c>
      <c r="F1551" s="11" t="s">
        <v>4515</v>
      </c>
      <c r="G1551" s="11" t="s">
        <v>4516</v>
      </c>
      <c r="H1551" s="11" t="s">
        <v>4517</v>
      </c>
      <c r="I1551" s="11" t="s">
        <v>4348</v>
      </c>
    </row>
    <row r="1552" spans="1:9" x14ac:dyDescent="0.15">
      <c r="A1552" s="10">
        <v>1551</v>
      </c>
      <c r="B1552" s="11" t="s">
        <v>9</v>
      </c>
      <c r="C1552" s="11" t="s">
        <v>253</v>
      </c>
      <c r="D1552" s="11" t="s">
        <v>254</v>
      </c>
      <c r="E1552" s="9" t="str">
        <f>+HYPERLINK("http://trademark.i-assist.jp/data/china/image_1903th/79360350.pdf", "79360350")</f>
        <v>79360350</v>
      </c>
      <c r="F1552" s="11" t="s">
        <v>4518</v>
      </c>
      <c r="G1552" s="11" t="s">
        <v>4519</v>
      </c>
      <c r="H1552" s="11" t="s">
        <v>4520</v>
      </c>
      <c r="I1552" s="11" t="s">
        <v>4348</v>
      </c>
    </row>
    <row r="1553" spans="1:9" x14ac:dyDescent="0.15">
      <c r="A1553" s="10">
        <v>1552</v>
      </c>
      <c r="B1553" s="11" t="s">
        <v>9</v>
      </c>
      <c r="C1553" s="11" t="s">
        <v>253</v>
      </c>
      <c r="D1553" s="11" t="s">
        <v>254</v>
      </c>
      <c r="E1553" s="9" t="str">
        <f>+HYPERLINK("http://trademark.i-assist.jp/data/china/image_1903th/79360453.pdf", "79360453")</f>
        <v>79360453</v>
      </c>
      <c r="F1553" s="11" t="s">
        <v>4521</v>
      </c>
      <c r="G1553" s="11" t="s">
        <v>4522</v>
      </c>
      <c r="H1553" s="11" t="s">
        <v>4523</v>
      </c>
      <c r="I1553" s="11" t="s">
        <v>4348</v>
      </c>
    </row>
    <row r="1554" spans="1:9" x14ac:dyDescent="0.15">
      <c r="A1554" s="10">
        <v>1553</v>
      </c>
      <c r="B1554" s="11" t="s">
        <v>9</v>
      </c>
      <c r="C1554" s="11" t="s">
        <v>253</v>
      </c>
      <c r="D1554" s="11" t="s">
        <v>254</v>
      </c>
      <c r="E1554" s="9" t="str">
        <f>+HYPERLINK("http://trademark.i-assist.jp/data/china/image_1903th/79361375.pdf", "79361375")</f>
        <v>79361375</v>
      </c>
      <c r="F1554" s="11" t="s">
        <v>4524</v>
      </c>
      <c r="G1554" s="11" t="s">
        <v>4525</v>
      </c>
      <c r="H1554" s="11" t="s">
        <v>4526</v>
      </c>
      <c r="I1554" s="11" t="s">
        <v>4348</v>
      </c>
    </row>
    <row r="1555" spans="1:9" x14ac:dyDescent="0.15">
      <c r="A1555" s="10">
        <v>1554</v>
      </c>
      <c r="B1555" s="11" t="s">
        <v>9</v>
      </c>
      <c r="C1555" s="11" t="s">
        <v>253</v>
      </c>
      <c r="D1555" s="11" t="s">
        <v>254</v>
      </c>
      <c r="E1555" s="9" t="str">
        <f>+HYPERLINK("http://trademark.i-assist.jp/data/china/image_1903th/79361601.pdf", "79361601")</f>
        <v>79361601</v>
      </c>
      <c r="F1555" s="11" t="s">
        <v>4527</v>
      </c>
      <c r="G1555" s="11" t="s">
        <v>4516</v>
      </c>
      <c r="H1555" s="11" t="s">
        <v>4528</v>
      </c>
      <c r="I1555" s="11" t="s">
        <v>4348</v>
      </c>
    </row>
    <row r="1556" spans="1:9" x14ac:dyDescent="0.15">
      <c r="A1556" s="10">
        <v>1555</v>
      </c>
      <c r="B1556" s="11" t="s">
        <v>9</v>
      </c>
      <c r="C1556" s="11" t="s">
        <v>253</v>
      </c>
      <c r="D1556" s="11" t="s">
        <v>254</v>
      </c>
      <c r="E1556" s="9" t="str">
        <f>+HYPERLINK("http://trademark.i-assist.jp/data/china/image_1903th/79361642.pdf", "79361642")</f>
        <v>79361642</v>
      </c>
      <c r="F1556" s="11" t="s">
        <v>4529</v>
      </c>
      <c r="G1556" s="11" t="s">
        <v>4429</v>
      </c>
      <c r="H1556" s="11" t="s">
        <v>4530</v>
      </c>
      <c r="I1556" s="11" t="s">
        <v>4348</v>
      </c>
    </row>
    <row r="1557" spans="1:9" x14ac:dyDescent="0.15">
      <c r="A1557" s="10">
        <v>1556</v>
      </c>
      <c r="B1557" s="11" t="s">
        <v>9</v>
      </c>
      <c r="C1557" s="11" t="s">
        <v>253</v>
      </c>
      <c r="D1557" s="11" t="s">
        <v>254</v>
      </c>
      <c r="E1557" s="9" t="str">
        <f>+HYPERLINK("http://trademark.i-assist.jp/data/china/image_1903th/79361780.pdf", "79361780")</f>
        <v>79361780</v>
      </c>
      <c r="F1557" s="11" t="s">
        <v>4531</v>
      </c>
      <c r="G1557" s="11" t="s">
        <v>4472</v>
      </c>
      <c r="H1557" s="11" t="s">
        <v>4532</v>
      </c>
      <c r="I1557" s="11" t="s">
        <v>4348</v>
      </c>
    </row>
    <row r="1558" spans="1:9" x14ac:dyDescent="0.15">
      <c r="A1558" s="10">
        <v>1557</v>
      </c>
      <c r="B1558" s="11" t="s">
        <v>9</v>
      </c>
      <c r="C1558" s="11" t="s">
        <v>253</v>
      </c>
      <c r="D1558" s="11" t="s">
        <v>254</v>
      </c>
      <c r="E1558" s="9" t="str">
        <f>+HYPERLINK("http://trademark.i-assist.jp/data/china/image_1903th/79361813.pdf", "79361813")</f>
        <v>79361813</v>
      </c>
      <c r="F1558" s="11" t="s">
        <v>4533</v>
      </c>
      <c r="G1558" s="11" t="s">
        <v>227</v>
      </c>
      <c r="H1558" s="11" t="s">
        <v>4534</v>
      </c>
      <c r="I1558" s="11" t="s">
        <v>4348</v>
      </c>
    </row>
    <row r="1559" spans="1:9" x14ac:dyDescent="0.15">
      <c r="A1559" s="10">
        <v>1558</v>
      </c>
      <c r="B1559" s="11" t="s">
        <v>9</v>
      </c>
      <c r="C1559" s="11" t="s">
        <v>253</v>
      </c>
      <c r="D1559" s="11" t="s">
        <v>254</v>
      </c>
      <c r="E1559" s="9" t="str">
        <f>+HYPERLINK("http://trademark.i-assist.jp/data/china/image_1903th/79361833.pdf", "79361833")</f>
        <v>79361833</v>
      </c>
      <c r="F1559" s="11" t="s">
        <v>4535</v>
      </c>
      <c r="G1559" s="11" t="s">
        <v>183</v>
      </c>
      <c r="H1559" s="11" t="s">
        <v>4536</v>
      </c>
      <c r="I1559" s="11" t="s">
        <v>4348</v>
      </c>
    </row>
    <row r="1560" spans="1:9" x14ac:dyDescent="0.15">
      <c r="A1560" s="10">
        <v>1559</v>
      </c>
      <c r="B1560" s="11" t="s">
        <v>9</v>
      </c>
      <c r="C1560" s="11" t="s">
        <v>253</v>
      </c>
      <c r="D1560" s="11" t="s">
        <v>254</v>
      </c>
      <c r="E1560" s="9" t="str">
        <f>+HYPERLINK("http://trademark.i-assist.jp/data/china/image_1903th/79361886.pdf", "79361886")</f>
        <v>79361886</v>
      </c>
      <c r="F1560" s="11" t="s">
        <v>4537</v>
      </c>
      <c r="G1560" s="11" t="s">
        <v>4538</v>
      </c>
      <c r="H1560" s="11" t="s">
        <v>4539</v>
      </c>
      <c r="I1560" s="11" t="s">
        <v>4348</v>
      </c>
    </row>
    <row r="1561" spans="1:9" x14ac:dyDescent="0.15">
      <c r="A1561" s="10">
        <v>1560</v>
      </c>
      <c r="B1561" s="11" t="s">
        <v>9</v>
      </c>
      <c r="C1561" s="11" t="s">
        <v>253</v>
      </c>
      <c r="D1561" s="11" t="s">
        <v>254</v>
      </c>
      <c r="E1561" s="9" t="str">
        <f>+HYPERLINK("http://trademark.i-assist.jp/data/china/image_1903th/79362355.pdf", "79362355")</f>
        <v>79362355</v>
      </c>
      <c r="F1561" s="11" t="s">
        <v>12</v>
      </c>
      <c r="G1561" s="11" t="s">
        <v>4540</v>
      </c>
      <c r="H1561" s="11" t="s">
        <v>4541</v>
      </c>
      <c r="I1561" s="11" t="s">
        <v>4348</v>
      </c>
    </row>
    <row r="1562" spans="1:9" x14ac:dyDescent="0.15">
      <c r="A1562" s="10">
        <v>1561</v>
      </c>
      <c r="B1562" s="11" t="s">
        <v>9</v>
      </c>
      <c r="C1562" s="11" t="s">
        <v>253</v>
      </c>
      <c r="D1562" s="11" t="s">
        <v>254</v>
      </c>
      <c r="E1562" s="9" t="str">
        <f>+HYPERLINK("http://trademark.i-assist.jp/data/china/image_1903th/79362395.pdf", "79362395")</f>
        <v>79362395</v>
      </c>
      <c r="F1562" s="11" t="s">
        <v>4542</v>
      </c>
      <c r="G1562" s="11" t="s">
        <v>4543</v>
      </c>
      <c r="H1562" s="11" t="s">
        <v>4544</v>
      </c>
      <c r="I1562" s="11" t="s">
        <v>4348</v>
      </c>
    </row>
    <row r="1563" spans="1:9" x14ac:dyDescent="0.15">
      <c r="A1563" s="10">
        <v>1562</v>
      </c>
      <c r="B1563" s="11" t="s">
        <v>9</v>
      </c>
      <c r="C1563" s="11" t="s">
        <v>253</v>
      </c>
      <c r="D1563" s="11" t="s">
        <v>254</v>
      </c>
      <c r="E1563" s="9" t="str">
        <f>+HYPERLINK("http://trademark.i-assist.jp/data/china/image_1903th/79362445.pdf", "79362445")</f>
        <v>79362445</v>
      </c>
      <c r="F1563" s="11" t="s">
        <v>4545</v>
      </c>
      <c r="G1563" s="11" t="s">
        <v>4546</v>
      </c>
      <c r="H1563" s="11" t="s">
        <v>4547</v>
      </c>
      <c r="I1563" s="11" t="s">
        <v>4348</v>
      </c>
    </row>
    <row r="1564" spans="1:9" x14ac:dyDescent="0.15">
      <c r="A1564" s="10">
        <v>1563</v>
      </c>
      <c r="B1564" s="11" t="s">
        <v>9</v>
      </c>
      <c r="C1564" s="11" t="s">
        <v>253</v>
      </c>
      <c r="D1564" s="11" t="s">
        <v>254</v>
      </c>
      <c r="E1564" s="9" t="str">
        <f>+HYPERLINK("http://trademark.i-assist.jp/data/china/image_1903th/79362562.pdf", "79362562")</f>
        <v>79362562</v>
      </c>
      <c r="F1564" s="11" t="s">
        <v>4548</v>
      </c>
      <c r="G1564" s="11" t="s">
        <v>195</v>
      </c>
      <c r="H1564" s="11" t="s">
        <v>4549</v>
      </c>
      <c r="I1564" s="11" t="s">
        <v>4348</v>
      </c>
    </row>
    <row r="1565" spans="1:9" x14ac:dyDescent="0.15">
      <c r="A1565" s="10">
        <v>1564</v>
      </c>
      <c r="B1565" s="11" t="s">
        <v>9</v>
      </c>
      <c r="C1565" s="11" t="s">
        <v>253</v>
      </c>
      <c r="D1565" s="11" t="s">
        <v>254</v>
      </c>
      <c r="E1565" s="9" t="str">
        <f>+HYPERLINK("http://trademark.i-assist.jp/data/china/image_1903th/79362795.pdf", "79362795")</f>
        <v>79362795</v>
      </c>
      <c r="F1565" s="11" t="s">
        <v>4550</v>
      </c>
      <c r="G1565" s="11" t="s">
        <v>4551</v>
      </c>
      <c r="H1565" s="11" t="s">
        <v>4552</v>
      </c>
      <c r="I1565" s="11" t="s">
        <v>4348</v>
      </c>
    </row>
    <row r="1566" spans="1:9" x14ac:dyDescent="0.15">
      <c r="A1566" s="10">
        <v>1565</v>
      </c>
      <c r="B1566" s="11" t="s">
        <v>9</v>
      </c>
      <c r="C1566" s="11" t="s">
        <v>253</v>
      </c>
      <c r="D1566" s="11" t="s">
        <v>254</v>
      </c>
      <c r="E1566" s="9" t="str">
        <f>+HYPERLINK("http://trademark.i-assist.jp/data/china/image_1903th/79362830.pdf", "79362830")</f>
        <v>79362830</v>
      </c>
      <c r="F1566" s="11" t="s">
        <v>4553</v>
      </c>
      <c r="G1566" s="11" t="s">
        <v>4554</v>
      </c>
      <c r="H1566" s="11" t="s">
        <v>4555</v>
      </c>
      <c r="I1566" s="11" t="s">
        <v>4348</v>
      </c>
    </row>
    <row r="1567" spans="1:9" x14ac:dyDescent="0.15">
      <c r="A1567" s="10">
        <v>1566</v>
      </c>
      <c r="B1567" s="11" t="s">
        <v>9</v>
      </c>
      <c r="C1567" s="11" t="s">
        <v>253</v>
      </c>
      <c r="D1567" s="11" t="s">
        <v>254</v>
      </c>
      <c r="E1567" s="9" t="str">
        <f>+HYPERLINK("http://trademark.i-assist.jp/data/china/image_1903th/79364130.pdf", "79364130")</f>
        <v>79364130</v>
      </c>
      <c r="F1567" s="11" t="s">
        <v>4556</v>
      </c>
      <c r="G1567" s="11" t="s">
        <v>4557</v>
      </c>
      <c r="H1567" s="11" t="s">
        <v>4558</v>
      </c>
      <c r="I1567" s="11" t="s">
        <v>4348</v>
      </c>
    </row>
    <row r="1568" spans="1:9" x14ac:dyDescent="0.15">
      <c r="A1568" s="10">
        <v>1567</v>
      </c>
      <c r="B1568" s="11" t="s">
        <v>9</v>
      </c>
      <c r="C1568" s="11" t="s">
        <v>253</v>
      </c>
      <c r="D1568" s="11" t="s">
        <v>254</v>
      </c>
      <c r="E1568" s="9" t="str">
        <f>+HYPERLINK("http://trademark.i-assist.jp/data/china/image_1903th/79364315.pdf", "79364315")</f>
        <v>79364315</v>
      </c>
      <c r="F1568" s="11" t="s">
        <v>4559</v>
      </c>
      <c r="G1568" s="11" t="s">
        <v>3137</v>
      </c>
      <c r="H1568" s="11" t="s">
        <v>4560</v>
      </c>
      <c r="I1568" s="11" t="s">
        <v>4348</v>
      </c>
    </row>
    <row r="1569" spans="1:9" x14ac:dyDescent="0.15">
      <c r="A1569" s="10">
        <v>1568</v>
      </c>
      <c r="B1569" s="11" t="s">
        <v>9</v>
      </c>
      <c r="C1569" s="11" t="s">
        <v>253</v>
      </c>
      <c r="D1569" s="11" t="s">
        <v>254</v>
      </c>
      <c r="E1569" s="9" t="str">
        <f>+HYPERLINK("http://trademark.i-assist.jp/data/china/image_1903th/79364449.pdf", "79364449")</f>
        <v>79364449</v>
      </c>
      <c r="F1569" s="11" t="s">
        <v>4561</v>
      </c>
      <c r="G1569" s="11" t="s">
        <v>4562</v>
      </c>
      <c r="H1569" s="11" t="s">
        <v>4563</v>
      </c>
      <c r="I1569" s="11" t="s">
        <v>4348</v>
      </c>
    </row>
    <row r="1570" spans="1:9" x14ac:dyDescent="0.15">
      <c r="A1570" s="10">
        <v>1569</v>
      </c>
      <c r="B1570" s="11" t="s">
        <v>9</v>
      </c>
      <c r="C1570" s="11" t="s">
        <v>253</v>
      </c>
      <c r="D1570" s="11" t="s">
        <v>254</v>
      </c>
      <c r="E1570" s="9" t="str">
        <f>+HYPERLINK("http://trademark.i-assist.jp/data/china/image_1903th/79365275.pdf", "79365275")</f>
        <v>79365275</v>
      </c>
      <c r="F1570" s="11" t="s">
        <v>4564</v>
      </c>
      <c r="G1570" s="11" t="s">
        <v>4565</v>
      </c>
      <c r="H1570" s="11" t="s">
        <v>4566</v>
      </c>
      <c r="I1570" s="11" t="s">
        <v>4348</v>
      </c>
    </row>
    <row r="1571" spans="1:9" x14ac:dyDescent="0.15">
      <c r="A1571" s="10">
        <v>1570</v>
      </c>
      <c r="B1571" s="11" t="s">
        <v>9</v>
      </c>
      <c r="C1571" s="11" t="s">
        <v>253</v>
      </c>
      <c r="D1571" s="11" t="s">
        <v>254</v>
      </c>
      <c r="E1571" s="9" t="str">
        <f>+HYPERLINK("http://trademark.i-assist.jp/data/china/image_1903th/79365447.pdf", "79365447")</f>
        <v>79365447</v>
      </c>
      <c r="F1571" s="11" t="s">
        <v>4567</v>
      </c>
      <c r="G1571" s="11" t="s">
        <v>4568</v>
      </c>
      <c r="H1571" s="11" t="s">
        <v>4569</v>
      </c>
      <c r="I1571" s="11" t="s">
        <v>4348</v>
      </c>
    </row>
    <row r="1572" spans="1:9" x14ac:dyDescent="0.15">
      <c r="A1572" s="10">
        <v>1571</v>
      </c>
      <c r="B1572" s="11" t="s">
        <v>9</v>
      </c>
      <c r="C1572" s="11" t="s">
        <v>253</v>
      </c>
      <c r="D1572" s="11" t="s">
        <v>254</v>
      </c>
      <c r="E1572" s="9" t="str">
        <f>+HYPERLINK("http://trademark.i-assist.jp/data/china/image_1903th/79365731.pdf", "79365731")</f>
        <v>79365731</v>
      </c>
      <c r="F1572" s="11" t="s">
        <v>4570</v>
      </c>
      <c r="G1572" s="11" t="s">
        <v>4516</v>
      </c>
      <c r="H1572" s="11" t="s">
        <v>4571</v>
      </c>
      <c r="I1572" s="11" t="s">
        <v>4348</v>
      </c>
    </row>
    <row r="1573" spans="1:9" x14ac:dyDescent="0.15">
      <c r="A1573" s="10">
        <v>1572</v>
      </c>
      <c r="B1573" s="11" t="s">
        <v>9</v>
      </c>
      <c r="C1573" s="11" t="s">
        <v>253</v>
      </c>
      <c r="D1573" s="11" t="s">
        <v>254</v>
      </c>
      <c r="E1573" s="9" t="str">
        <f>+HYPERLINK("http://trademark.i-assist.jp/data/china/image_1903th/79366676.pdf", "79366676")</f>
        <v>79366676</v>
      </c>
      <c r="F1573" s="11" t="s">
        <v>4572</v>
      </c>
      <c r="G1573" s="11" t="s">
        <v>214</v>
      </c>
      <c r="H1573" s="11" t="s">
        <v>4573</v>
      </c>
      <c r="I1573" s="11" t="s">
        <v>4348</v>
      </c>
    </row>
    <row r="1574" spans="1:9" x14ac:dyDescent="0.15">
      <c r="A1574" s="10">
        <v>1573</v>
      </c>
      <c r="B1574" s="11" t="s">
        <v>9</v>
      </c>
      <c r="C1574" s="11" t="s">
        <v>253</v>
      </c>
      <c r="D1574" s="11" t="s">
        <v>254</v>
      </c>
      <c r="E1574" s="9" t="str">
        <f>+HYPERLINK("http://trademark.i-assist.jp/data/china/image_1903th/79366700.pdf", "79366700")</f>
        <v>79366700</v>
      </c>
      <c r="F1574" s="11" t="s">
        <v>4574</v>
      </c>
      <c r="G1574" s="11" t="s">
        <v>4575</v>
      </c>
      <c r="H1574" s="11" t="s">
        <v>4576</v>
      </c>
      <c r="I1574" s="11" t="s">
        <v>4348</v>
      </c>
    </row>
    <row r="1575" spans="1:9" x14ac:dyDescent="0.15">
      <c r="A1575" s="10">
        <v>1574</v>
      </c>
      <c r="B1575" s="11" t="s">
        <v>9</v>
      </c>
      <c r="C1575" s="11" t="s">
        <v>253</v>
      </c>
      <c r="D1575" s="11" t="s">
        <v>254</v>
      </c>
      <c r="E1575" s="9" t="str">
        <f>+HYPERLINK("http://trademark.i-assist.jp/data/china/image_1903th/79366808.pdf", "79366808")</f>
        <v>79366808</v>
      </c>
      <c r="F1575" s="11" t="s">
        <v>4577</v>
      </c>
      <c r="G1575" s="11" t="s">
        <v>4464</v>
      </c>
      <c r="H1575" s="11" t="s">
        <v>4578</v>
      </c>
      <c r="I1575" s="11" t="s">
        <v>4348</v>
      </c>
    </row>
    <row r="1576" spans="1:9" x14ac:dyDescent="0.15">
      <c r="A1576" s="10">
        <v>1575</v>
      </c>
      <c r="B1576" s="11" t="s">
        <v>9</v>
      </c>
      <c r="C1576" s="11" t="s">
        <v>253</v>
      </c>
      <c r="D1576" s="11" t="s">
        <v>254</v>
      </c>
      <c r="E1576" s="9" t="str">
        <f>+HYPERLINK("http://trademark.i-assist.jp/data/china/image_1903th/79366970.pdf", "79366970")</f>
        <v>79366970</v>
      </c>
      <c r="F1576" s="11" t="s">
        <v>4579</v>
      </c>
      <c r="G1576" s="11" t="s">
        <v>4495</v>
      </c>
      <c r="H1576" s="11" t="s">
        <v>4580</v>
      </c>
      <c r="I1576" s="11" t="s">
        <v>4348</v>
      </c>
    </row>
    <row r="1577" spans="1:9" x14ac:dyDescent="0.15">
      <c r="A1577" s="10">
        <v>1576</v>
      </c>
      <c r="B1577" s="11" t="s">
        <v>9</v>
      </c>
      <c r="C1577" s="11" t="s">
        <v>253</v>
      </c>
      <c r="D1577" s="11" t="s">
        <v>254</v>
      </c>
      <c r="E1577" s="9" t="str">
        <f>+HYPERLINK("http://trademark.i-assist.jp/data/china/image_1903th/79366979.pdf", "79366979")</f>
        <v>79366979</v>
      </c>
      <c r="F1577" s="11" t="s">
        <v>4581</v>
      </c>
      <c r="G1577" s="11" t="s">
        <v>4495</v>
      </c>
      <c r="H1577" s="11" t="s">
        <v>4582</v>
      </c>
      <c r="I1577" s="11" t="s">
        <v>4348</v>
      </c>
    </row>
    <row r="1578" spans="1:9" x14ac:dyDescent="0.15">
      <c r="A1578" s="10">
        <v>1577</v>
      </c>
      <c r="B1578" s="11" t="s">
        <v>9</v>
      </c>
      <c r="C1578" s="11" t="s">
        <v>253</v>
      </c>
      <c r="D1578" s="11" t="s">
        <v>254</v>
      </c>
      <c r="E1578" s="9" t="str">
        <f>+HYPERLINK("http://trademark.i-assist.jp/data/china/image_1903th/79367007.pdf", "79367007")</f>
        <v>79367007</v>
      </c>
      <c r="F1578" s="11" t="s">
        <v>4583</v>
      </c>
      <c r="G1578" s="11" t="s">
        <v>4429</v>
      </c>
      <c r="H1578" s="11" t="s">
        <v>4584</v>
      </c>
      <c r="I1578" s="11" t="s">
        <v>4348</v>
      </c>
    </row>
    <row r="1579" spans="1:9" x14ac:dyDescent="0.15">
      <c r="A1579" s="10">
        <v>1578</v>
      </c>
      <c r="B1579" s="11" t="s">
        <v>9</v>
      </c>
      <c r="C1579" s="11" t="s">
        <v>253</v>
      </c>
      <c r="D1579" s="11" t="s">
        <v>254</v>
      </c>
      <c r="E1579" s="9" t="str">
        <f>+HYPERLINK("http://trademark.i-assist.jp/data/china/image_1903th/79367010.pdf", "79367010")</f>
        <v>79367010</v>
      </c>
      <c r="F1579" s="11" t="s">
        <v>4585</v>
      </c>
      <c r="G1579" s="11" t="s">
        <v>4586</v>
      </c>
      <c r="H1579" s="11" t="s">
        <v>4587</v>
      </c>
      <c r="I1579" s="11" t="s">
        <v>4348</v>
      </c>
    </row>
    <row r="1580" spans="1:9" x14ac:dyDescent="0.15">
      <c r="A1580" s="10">
        <v>1579</v>
      </c>
      <c r="B1580" s="11" t="s">
        <v>9</v>
      </c>
      <c r="C1580" s="11" t="s">
        <v>253</v>
      </c>
      <c r="D1580" s="11" t="s">
        <v>254</v>
      </c>
      <c r="E1580" s="9" t="str">
        <f>+HYPERLINK("http://trademark.i-assist.jp/data/china/image_1903th/79367382.pdf", "79367382")</f>
        <v>79367382</v>
      </c>
      <c r="F1580" s="11" t="s">
        <v>4588</v>
      </c>
      <c r="G1580" s="11" t="s">
        <v>4589</v>
      </c>
      <c r="H1580" s="11" t="s">
        <v>4590</v>
      </c>
      <c r="I1580" s="11" t="s">
        <v>4348</v>
      </c>
    </row>
    <row r="1581" spans="1:9" x14ac:dyDescent="0.15">
      <c r="A1581" s="10">
        <v>1580</v>
      </c>
      <c r="B1581" s="11" t="s">
        <v>9</v>
      </c>
      <c r="C1581" s="11" t="s">
        <v>253</v>
      </c>
      <c r="D1581" s="11" t="s">
        <v>254</v>
      </c>
      <c r="E1581" s="9" t="str">
        <f>+HYPERLINK("http://trademark.i-assist.jp/data/china/image_1903th/79367395.pdf", "79367395")</f>
        <v>79367395</v>
      </c>
      <c r="F1581" s="11" t="s">
        <v>4591</v>
      </c>
      <c r="G1581" s="11" t="s">
        <v>4432</v>
      </c>
      <c r="H1581" s="11" t="s">
        <v>4592</v>
      </c>
      <c r="I1581" s="11" t="s">
        <v>4348</v>
      </c>
    </row>
    <row r="1582" spans="1:9" x14ac:dyDescent="0.15">
      <c r="A1582" s="10">
        <v>1581</v>
      </c>
      <c r="B1582" s="11" t="s">
        <v>9</v>
      </c>
      <c r="C1582" s="11" t="s">
        <v>253</v>
      </c>
      <c r="D1582" s="11" t="s">
        <v>254</v>
      </c>
      <c r="E1582" s="9" t="str">
        <f>+HYPERLINK("http://trademark.i-assist.jp/data/china/image_1903th/79367456.pdf", "79367456")</f>
        <v>79367456</v>
      </c>
      <c r="F1582" s="11" t="s">
        <v>4593</v>
      </c>
      <c r="G1582" s="11" t="s">
        <v>4594</v>
      </c>
      <c r="H1582" s="11" t="s">
        <v>4595</v>
      </c>
      <c r="I1582" s="11" t="s">
        <v>4348</v>
      </c>
    </row>
    <row r="1583" spans="1:9" x14ac:dyDescent="0.15">
      <c r="A1583" s="10">
        <v>1582</v>
      </c>
      <c r="B1583" s="11" t="s">
        <v>9</v>
      </c>
      <c r="C1583" s="11" t="s">
        <v>253</v>
      </c>
      <c r="D1583" s="11" t="s">
        <v>254</v>
      </c>
      <c r="E1583" s="9" t="str">
        <f>+HYPERLINK("http://trademark.i-assist.jp/data/china/image_1903th/79367738.pdf", "79367738")</f>
        <v>79367738</v>
      </c>
      <c r="F1583" s="11" t="s">
        <v>4596</v>
      </c>
      <c r="G1583" s="11" t="s">
        <v>4597</v>
      </c>
      <c r="H1583" s="11" t="s">
        <v>4598</v>
      </c>
      <c r="I1583" s="11" t="s">
        <v>4348</v>
      </c>
    </row>
    <row r="1584" spans="1:9" x14ac:dyDescent="0.15">
      <c r="A1584" s="10">
        <v>1583</v>
      </c>
      <c r="B1584" s="11" t="s">
        <v>9</v>
      </c>
      <c r="C1584" s="11" t="s">
        <v>253</v>
      </c>
      <c r="D1584" s="11" t="s">
        <v>254</v>
      </c>
      <c r="E1584" s="9" t="str">
        <f>+HYPERLINK("http://trademark.i-assist.jp/data/china/image_1903th/79368089.pdf", "79368089")</f>
        <v>79368089</v>
      </c>
      <c r="F1584" s="11" t="s">
        <v>4599</v>
      </c>
      <c r="G1584" s="11" t="s">
        <v>4600</v>
      </c>
      <c r="H1584" s="11" t="s">
        <v>4601</v>
      </c>
      <c r="I1584" s="11" t="s">
        <v>4348</v>
      </c>
    </row>
    <row r="1585" spans="1:9" x14ac:dyDescent="0.15">
      <c r="A1585" s="10">
        <v>1584</v>
      </c>
      <c r="B1585" s="11" t="s">
        <v>9</v>
      </c>
      <c r="C1585" s="11" t="s">
        <v>253</v>
      </c>
      <c r="D1585" s="11" t="s">
        <v>254</v>
      </c>
      <c r="E1585" s="9" t="str">
        <f>+HYPERLINK("http://trademark.i-assist.jp/data/china/image_1903th/79368403.pdf", "79368403")</f>
        <v>79368403</v>
      </c>
      <c r="F1585" s="11" t="s">
        <v>4602</v>
      </c>
      <c r="G1585" s="11" t="s">
        <v>4603</v>
      </c>
      <c r="H1585" s="11" t="s">
        <v>4604</v>
      </c>
      <c r="I1585" s="11" t="s">
        <v>4348</v>
      </c>
    </row>
    <row r="1586" spans="1:9" x14ac:dyDescent="0.15">
      <c r="A1586" s="10">
        <v>1585</v>
      </c>
      <c r="B1586" s="11" t="s">
        <v>9</v>
      </c>
      <c r="C1586" s="11" t="s">
        <v>253</v>
      </c>
      <c r="D1586" s="11" t="s">
        <v>254</v>
      </c>
      <c r="E1586" s="9" t="str">
        <f>+HYPERLINK("http://trademark.i-assist.jp/data/china/image_1903th/79368855.pdf", "79368855")</f>
        <v>79368855</v>
      </c>
      <c r="F1586" s="11" t="s">
        <v>4605</v>
      </c>
      <c r="G1586" s="11" t="s">
        <v>4606</v>
      </c>
      <c r="H1586" s="11" t="s">
        <v>4607</v>
      </c>
      <c r="I1586" s="11" t="s">
        <v>4348</v>
      </c>
    </row>
    <row r="1587" spans="1:9" x14ac:dyDescent="0.15">
      <c r="A1587" s="10">
        <v>1586</v>
      </c>
      <c r="B1587" s="11" t="s">
        <v>9</v>
      </c>
      <c r="C1587" s="11" t="s">
        <v>253</v>
      </c>
      <c r="D1587" s="11" t="s">
        <v>254</v>
      </c>
      <c r="E1587" s="9" t="str">
        <f>+HYPERLINK("http://trademark.i-assist.jp/data/china/image_1903th/79368948.pdf", "79368948")</f>
        <v>79368948</v>
      </c>
      <c r="F1587" s="11" t="s">
        <v>4608</v>
      </c>
      <c r="G1587" s="11" t="s">
        <v>4589</v>
      </c>
      <c r="H1587" s="11" t="s">
        <v>4609</v>
      </c>
      <c r="I1587" s="11" t="s">
        <v>4348</v>
      </c>
    </row>
    <row r="1588" spans="1:9" x14ac:dyDescent="0.15">
      <c r="A1588" s="10">
        <v>1587</v>
      </c>
      <c r="B1588" s="11" t="s">
        <v>9</v>
      </c>
      <c r="C1588" s="11" t="s">
        <v>253</v>
      </c>
      <c r="D1588" s="11" t="s">
        <v>254</v>
      </c>
      <c r="E1588" s="9" t="str">
        <f>+HYPERLINK("http://trademark.i-assist.jp/data/china/image_1903th/79369052.pdf", "79369052")</f>
        <v>79369052</v>
      </c>
      <c r="F1588" s="11" t="s">
        <v>4610</v>
      </c>
      <c r="G1588" s="11" t="s">
        <v>4611</v>
      </c>
      <c r="H1588" s="11" t="s">
        <v>4612</v>
      </c>
      <c r="I1588" s="11" t="s">
        <v>4348</v>
      </c>
    </row>
    <row r="1589" spans="1:9" x14ac:dyDescent="0.15">
      <c r="A1589" s="10">
        <v>1588</v>
      </c>
      <c r="B1589" s="11" t="s">
        <v>9</v>
      </c>
      <c r="C1589" s="11" t="s">
        <v>253</v>
      </c>
      <c r="D1589" s="11" t="s">
        <v>254</v>
      </c>
      <c r="E1589" s="9" t="str">
        <f>+HYPERLINK("http://trademark.i-assist.jp/data/china/image_1903th/79369430.pdf", "79369430")</f>
        <v>79369430</v>
      </c>
      <c r="F1589" s="11" t="s">
        <v>4613</v>
      </c>
      <c r="G1589" s="11" t="s">
        <v>4614</v>
      </c>
      <c r="H1589" s="11" t="s">
        <v>4615</v>
      </c>
      <c r="I1589" s="11" t="s">
        <v>4348</v>
      </c>
    </row>
    <row r="1590" spans="1:9" x14ac:dyDescent="0.15">
      <c r="A1590" s="10">
        <v>1589</v>
      </c>
      <c r="B1590" s="11" t="s">
        <v>9</v>
      </c>
      <c r="C1590" s="11" t="s">
        <v>253</v>
      </c>
      <c r="D1590" s="11" t="s">
        <v>254</v>
      </c>
      <c r="E1590" s="9" t="str">
        <f>+HYPERLINK("http://trademark.i-assist.jp/data/china/image_1903th/79369564.pdf", "79369564")</f>
        <v>79369564</v>
      </c>
      <c r="F1590" s="11" t="s">
        <v>4616</v>
      </c>
      <c r="G1590" s="11" t="s">
        <v>1337</v>
      </c>
      <c r="H1590" s="11" t="s">
        <v>4617</v>
      </c>
      <c r="I1590" s="11" t="s">
        <v>4348</v>
      </c>
    </row>
    <row r="1591" spans="1:9" x14ac:dyDescent="0.15">
      <c r="A1591" s="10">
        <v>1590</v>
      </c>
      <c r="B1591" s="11" t="s">
        <v>9</v>
      </c>
      <c r="C1591" s="11" t="s">
        <v>253</v>
      </c>
      <c r="D1591" s="11" t="s">
        <v>254</v>
      </c>
      <c r="E1591" s="9" t="str">
        <f>+HYPERLINK("http://trademark.i-assist.jp/data/china/image_1903th/79370280.pdf", "79370280")</f>
        <v>79370280</v>
      </c>
      <c r="F1591" s="11" t="s">
        <v>4618</v>
      </c>
      <c r="G1591" s="11" t="s">
        <v>4619</v>
      </c>
      <c r="H1591" s="11" t="s">
        <v>4620</v>
      </c>
      <c r="I1591" s="11" t="s">
        <v>4348</v>
      </c>
    </row>
    <row r="1592" spans="1:9" x14ac:dyDescent="0.15">
      <c r="A1592" s="10">
        <v>1591</v>
      </c>
      <c r="B1592" s="11" t="s">
        <v>9</v>
      </c>
      <c r="C1592" s="11" t="s">
        <v>253</v>
      </c>
      <c r="D1592" s="11" t="s">
        <v>254</v>
      </c>
      <c r="E1592" s="9" t="str">
        <f>+HYPERLINK("http://trademark.i-assist.jp/data/china/image_1903th/79370860.pdf", "79370860")</f>
        <v>79370860</v>
      </c>
      <c r="F1592" s="11" t="s">
        <v>4621</v>
      </c>
      <c r="G1592" s="11" t="s">
        <v>4501</v>
      </c>
      <c r="H1592" s="11" t="s">
        <v>4622</v>
      </c>
      <c r="I1592" s="11" t="s">
        <v>4348</v>
      </c>
    </row>
    <row r="1593" spans="1:9" x14ac:dyDescent="0.15">
      <c r="A1593" s="10">
        <v>1592</v>
      </c>
      <c r="B1593" s="11" t="s">
        <v>9</v>
      </c>
      <c r="C1593" s="11" t="s">
        <v>253</v>
      </c>
      <c r="D1593" s="11" t="s">
        <v>254</v>
      </c>
      <c r="E1593" s="9" t="str">
        <f>+HYPERLINK("http://trademark.i-assist.jp/data/china/image_1903th/79370945.pdf", "79370945")</f>
        <v>79370945</v>
      </c>
      <c r="F1593" s="11" t="s">
        <v>12</v>
      </c>
      <c r="G1593" s="11" t="s">
        <v>4540</v>
      </c>
      <c r="H1593" s="11" t="s">
        <v>4623</v>
      </c>
      <c r="I1593" s="11" t="s">
        <v>4348</v>
      </c>
    </row>
    <row r="1594" spans="1:9" x14ac:dyDescent="0.15">
      <c r="A1594" s="10">
        <v>1593</v>
      </c>
      <c r="B1594" s="11" t="s">
        <v>9</v>
      </c>
      <c r="C1594" s="11" t="s">
        <v>253</v>
      </c>
      <c r="D1594" s="11" t="s">
        <v>254</v>
      </c>
      <c r="E1594" s="9" t="str">
        <f>+HYPERLINK("http://trademark.i-assist.jp/data/china/image_1903th/79371103.pdf", "79371103")</f>
        <v>79371103</v>
      </c>
      <c r="F1594" s="11" t="s">
        <v>4624</v>
      </c>
      <c r="G1594" s="11" t="s">
        <v>2183</v>
      </c>
      <c r="H1594" s="11" t="s">
        <v>4625</v>
      </c>
      <c r="I1594" s="11" t="s">
        <v>4348</v>
      </c>
    </row>
    <row r="1595" spans="1:9" x14ac:dyDescent="0.15">
      <c r="A1595" s="10">
        <v>1594</v>
      </c>
      <c r="B1595" s="11" t="s">
        <v>9</v>
      </c>
      <c r="C1595" s="11" t="s">
        <v>253</v>
      </c>
      <c r="D1595" s="11" t="s">
        <v>254</v>
      </c>
      <c r="E1595" s="9" t="str">
        <f>+HYPERLINK("http://trademark.i-assist.jp/data/china/image_1903th/79371124.pdf", "79371124")</f>
        <v>79371124</v>
      </c>
      <c r="F1595" s="11" t="s">
        <v>4626</v>
      </c>
      <c r="G1595" s="11" t="s">
        <v>162</v>
      </c>
      <c r="H1595" s="11" t="s">
        <v>4627</v>
      </c>
      <c r="I1595" s="11" t="s">
        <v>4348</v>
      </c>
    </row>
    <row r="1596" spans="1:9" x14ac:dyDescent="0.15">
      <c r="A1596" s="10">
        <v>1595</v>
      </c>
      <c r="B1596" s="11" t="s">
        <v>9</v>
      </c>
      <c r="C1596" s="11" t="s">
        <v>253</v>
      </c>
      <c r="D1596" s="11" t="s">
        <v>254</v>
      </c>
      <c r="E1596" s="9" t="str">
        <f>+HYPERLINK("http://trademark.i-assist.jp/data/china/image_1903th/79371190.pdf", "79371190")</f>
        <v>79371190</v>
      </c>
      <c r="F1596" s="11" t="s">
        <v>4621</v>
      </c>
      <c r="G1596" s="11" t="s">
        <v>4501</v>
      </c>
      <c r="H1596" s="11" t="s">
        <v>4628</v>
      </c>
      <c r="I1596" s="11" t="s">
        <v>4348</v>
      </c>
    </row>
    <row r="1597" spans="1:9" x14ac:dyDescent="0.15">
      <c r="A1597" s="10">
        <v>1596</v>
      </c>
      <c r="B1597" s="11" t="s">
        <v>9</v>
      </c>
      <c r="C1597" s="11" t="s">
        <v>253</v>
      </c>
      <c r="D1597" s="11" t="s">
        <v>254</v>
      </c>
      <c r="E1597" s="9" t="str">
        <f>+HYPERLINK("http://trademark.i-assist.jp/data/china/image_1903th/79371305.pdf", "79371305")</f>
        <v>79371305</v>
      </c>
      <c r="F1597" s="11" t="s">
        <v>4629</v>
      </c>
      <c r="G1597" s="11" t="s">
        <v>4630</v>
      </c>
      <c r="H1597" s="11" t="s">
        <v>4631</v>
      </c>
      <c r="I1597" s="11" t="s">
        <v>4348</v>
      </c>
    </row>
    <row r="1598" spans="1:9" x14ac:dyDescent="0.15">
      <c r="A1598" s="10">
        <v>1597</v>
      </c>
      <c r="B1598" s="11" t="s">
        <v>9</v>
      </c>
      <c r="C1598" s="11" t="s">
        <v>253</v>
      </c>
      <c r="D1598" s="11" t="s">
        <v>254</v>
      </c>
      <c r="E1598" s="9" t="str">
        <f>+HYPERLINK("http://trademark.i-assist.jp/data/china/image_1903th/79371507.pdf", "79371507")</f>
        <v>79371507</v>
      </c>
      <c r="F1598" s="11" t="s">
        <v>4632</v>
      </c>
      <c r="G1598" s="11" t="s">
        <v>4472</v>
      </c>
      <c r="H1598" s="11" t="s">
        <v>4633</v>
      </c>
      <c r="I1598" s="11" t="s">
        <v>4348</v>
      </c>
    </row>
    <row r="1599" spans="1:9" x14ac:dyDescent="0.15">
      <c r="A1599" s="10">
        <v>1598</v>
      </c>
      <c r="B1599" s="11" t="s">
        <v>9</v>
      </c>
      <c r="C1599" s="11" t="s">
        <v>253</v>
      </c>
      <c r="D1599" s="11" t="s">
        <v>254</v>
      </c>
      <c r="E1599" s="9" t="str">
        <f>+HYPERLINK("http://trademark.i-assist.jp/data/china/image_1903th/79371792.pdf", "79371792")</f>
        <v>79371792</v>
      </c>
      <c r="F1599" s="11" t="s">
        <v>4634</v>
      </c>
      <c r="G1599" s="11" t="s">
        <v>4635</v>
      </c>
      <c r="H1599" s="11" t="s">
        <v>4636</v>
      </c>
      <c r="I1599" s="11" t="s">
        <v>4348</v>
      </c>
    </row>
    <row r="1600" spans="1:9" x14ac:dyDescent="0.15">
      <c r="A1600" s="10">
        <v>1599</v>
      </c>
      <c r="B1600" s="11" t="s">
        <v>9</v>
      </c>
      <c r="C1600" s="11" t="s">
        <v>253</v>
      </c>
      <c r="D1600" s="11" t="s">
        <v>254</v>
      </c>
      <c r="E1600" s="9" t="str">
        <f>+HYPERLINK("http://trademark.i-assist.jp/data/china/image_1903th/79371805.pdf", "79371805")</f>
        <v>79371805</v>
      </c>
      <c r="F1600" s="11" t="s">
        <v>4637</v>
      </c>
      <c r="G1600" s="11" t="s">
        <v>4638</v>
      </c>
      <c r="H1600" s="11" t="s">
        <v>4639</v>
      </c>
      <c r="I1600" s="11" t="s">
        <v>4348</v>
      </c>
    </row>
    <row r="1601" spans="1:9" x14ac:dyDescent="0.15">
      <c r="A1601" s="10">
        <v>1600</v>
      </c>
      <c r="B1601" s="11" t="s">
        <v>9</v>
      </c>
      <c r="C1601" s="11" t="s">
        <v>253</v>
      </c>
      <c r="D1601" s="11" t="s">
        <v>254</v>
      </c>
      <c r="E1601" s="9" t="str">
        <f>+HYPERLINK("http://trademark.i-assist.jp/data/china/image_1903th/79372572.pdf", "79372572")</f>
        <v>79372572</v>
      </c>
      <c r="F1601" s="11" t="s">
        <v>4640</v>
      </c>
      <c r="G1601" s="11" t="s">
        <v>4495</v>
      </c>
      <c r="H1601" s="11" t="s">
        <v>4641</v>
      </c>
      <c r="I1601" s="11" t="s">
        <v>4348</v>
      </c>
    </row>
    <row r="1602" spans="1:9" x14ac:dyDescent="0.15">
      <c r="A1602" s="10">
        <v>1601</v>
      </c>
      <c r="B1602" s="11" t="s">
        <v>9</v>
      </c>
      <c r="C1602" s="11" t="s">
        <v>253</v>
      </c>
      <c r="D1602" s="11" t="s">
        <v>254</v>
      </c>
      <c r="E1602" s="9" t="str">
        <f>+HYPERLINK("http://trademark.i-assist.jp/data/china/image_1903th/79372696.pdf", "79372696")</f>
        <v>79372696</v>
      </c>
      <c r="F1602" s="11" t="s">
        <v>4642</v>
      </c>
      <c r="G1602" s="11" t="s">
        <v>4643</v>
      </c>
      <c r="H1602" s="11" t="s">
        <v>4644</v>
      </c>
      <c r="I1602" s="11" t="s">
        <v>4348</v>
      </c>
    </row>
    <row r="1603" spans="1:9" x14ac:dyDescent="0.15">
      <c r="A1603" s="10">
        <v>1602</v>
      </c>
      <c r="B1603" s="11" t="s">
        <v>9</v>
      </c>
      <c r="C1603" s="11" t="s">
        <v>253</v>
      </c>
      <c r="D1603" s="11" t="s">
        <v>254</v>
      </c>
      <c r="E1603" s="9" t="str">
        <f>+HYPERLINK("http://trademark.i-assist.jp/data/china/image_1903th/79372884.pdf", "79372884")</f>
        <v>79372884</v>
      </c>
      <c r="F1603" s="11" t="s">
        <v>4645</v>
      </c>
      <c r="G1603" s="11" t="s">
        <v>4646</v>
      </c>
      <c r="H1603" s="11" t="s">
        <v>4647</v>
      </c>
      <c r="I1603" s="11" t="s">
        <v>4348</v>
      </c>
    </row>
    <row r="1604" spans="1:9" x14ac:dyDescent="0.15">
      <c r="A1604" s="10">
        <v>1603</v>
      </c>
      <c r="B1604" s="11" t="s">
        <v>9</v>
      </c>
      <c r="C1604" s="11" t="s">
        <v>253</v>
      </c>
      <c r="D1604" s="11" t="s">
        <v>254</v>
      </c>
      <c r="E1604" s="9" t="str">
        <f>+HYPERLINK("http://trademark.i-assist.jp/data/china/image_1903th/79373072.pdf", "79373072")</f>
        <v>79373072</v>
      </c>
      <c r="F1604" s="11" t="s">
        <v>4648</v>
      </c>
      <c r="G1604" s="11" t="s">
        <v>4649</v>
      </c>
      <c r="H1604" s="11" t="s">
        <v>4650</v>
      </c>
      <c r="I1604" s="11" t="s">
        <v>4348</v>
      </c>
    </row>
    <row r="1605" spans="1:9" x14ac:dyDescent="0.15">
      <c r="A1605" s="10">
        <v>1604</v>
      </c>
      <c r="B1605" s="11" t="s">
        <v>9</v>
      </c>
      <c r="C1605" s="11" t="s">
        <v>253</v>
      </c>
      <c r="D1605" s="11" t="s">
        <v>254</v>
      </c>
      <c r="E1605" s="9" t="str">
        <f>+HYPERLINK("http://trademark.i-assist.jp/data/china/image_1903th/79373359.pdf", "79373359")</f>
        <v>79373359</v>
      </c>
      <c r="F1605" s="11" t="s">
        <v>4651</v>
      </c>
      <c r="G1605" s="11" t="s">
        <v>4638</v>
      </c>
      <c r="H1605" s="11" t="s">
        <v>4652</v>
      </c>
      <c r="I1605" s="11" t="s">
        <v>4348</v>
      </c>
    </row>
    <row r="1606" spans="1:9" x14ac:dyDescent="0.15">
      <c r="A1606" s="10">
        <v>1605</v>
      </c>
      <c r="B1606" s="11" t="s">
        <v>9</v>
      </c>
      <c r="C1606" s="11" t="s">
        <v>253</v>
      </c>
      <c r="D1606" s="11" t="s">
        <v>254</v>
      </c>
      <c r="E1606" s="9" t="str">
        <f>+HYPERLINK("http://trademark.i-assist.jp/data/china/image_1903th/79373521.pdf", "79373521")</f>
        <v>79373521</v>
      </c>
      <c r="F1606" s="11" t="s">
        <v>4653</v>
      </c>
      <c r="G1606" s="11" t="s">
        <v>4438</v>
      </c>
      <c r="H1606" s="11" t="s">
        <v>4654</v>
      </c>
      <c r="I1606" s="11" t="s">
        <v>4348</v>
      </c>
    </row>
    <row r="1607" spans="1:9" x14ac:dyDescent="0.15">
      <c r="A1607" s="10">
        <v>1606</v>
      </c>
      <c r="B1607" s="11" t="s">
        <v>9</v>
      </c>
      <c r="C1607" s="11" t="s">
        <v>253</v>
      </c>
      <c r="D1607" s="11" t="s">
        <v>254</v>
      </c>
      <c r="E1607" s="9" t="str">
        <f>+HYPERLINK("http://trademark.i-assist.jp/data/china/image_1903th/79373561.pdf", "79373561")</f>
        <v>79373561</v>
      </c>
      <c r="F1607" s="11" t="s">
        <v>4655</v>
      </c>
      <c r="G1607" s="11" t="s">
        <v>4656</v>
      </c>
      <c r="H1607" s="11" t="s">
        <v>4657</v>
      </c>
      <c r="I1607" s="11" t="s">
        <v>4348</v>
      </c>
    </row>
    <row r="1608" spans="1:9" x14ac:dyDescent="0.15">
      <c r="A1608" s="10">
        <v>1607</v>
      </c>
      <c r="B1608" s="11" t="s">
        <v>9</v>
      </c>
      <c r="C1608" s="11" t="s">
        <v>253</v>
      </c>
      <c r="D1608" s="11" t="s">
        <v>254</v>
      </c>
      <c r="E1608" s="9" t="str">
        <f>+HYPERLINK("http://trademark.i-assist.jp/data/china/image_1903th/79373794.pdf", "79373794")</f>
        <v>79373794</v>
      </c>
      <c r="F1608" s="11" t="s">
        <v>4658</v>
      </c>
      <c r="G1608" s="11" t="s">
        <v>4659</v>
      </c>
      <c r="H1608" s="11" t="s">
        <v>4660</v>
      </c>
      <c r="I1608" s="11" t="s">
        <v>4348</v>
      </c>
    </row>
    <row r="1609" spans="1:9" x14ac:dyDescent="0.15">
      <c r="A1609" s="10">
        <v>1608</v>
      </c>
      <c r="B1609" s="11" t="s">
        <v>9</v>
      </c>
      <c r="C1609" s="11" t="s">
        <v>253</v>
      </c>
      <c r="D1609" s="11" t="s">
        <v>254</v>
      </c>
      <c r="E1609" s="9" t="str">
        <f>+HYPERLINK("http://trademark.i-assist.jp/data/china/image_1903th/79373804.pdf", "79373804")</f>
        <v>79373804</v>
      </c>
      <c r="F1609" s="11" t="s">
        <v>4661</v>
      </c>
      <c r="G1609" s="11" t="s">
        <v>4662</v>
      </c>
      <c r="H1609" s="11" t="s">
        <v>4663</v>
      </c>
      <c r="I1609" s="11" t="s">
        <v>4348</v>
      </c>
    </row>
    <row r="1610" spans="1:9" x14ac:dyDescent="0.15">
      <c r="A1610" s="10">
        <v>1609</v>
      </c>
      <c r="B1610" s="11" t="s">
        <v>9</v>
      </c>
      <c r="C1610" s="11" t="s">
        <v>253</v>
      </c>
      <c r="D1610" s="11" t="s">
        <v>254</v>
      </c>
      <c r="E1610" s="9" t="str">
        <f>+HYPERLINK("http://trademark.i-assist.jp/data/china/image_1903th/79373932.pdf", "79373932")</f>
        <v>79373932</v>
      </c>
      <c r="F1610" s="11" t="s">
        <v>4664</v>
      </c>
      <c r="G1610" s="11" t="s">
        <v>4510</v>
      </c>
      <c r="H1610" s="11" t="s">
        <v>4665</v>
      </c>
      <c r="I1610" s="11" t="s">
        <v>4348</v>
      </c>
    </row>
    <row r="1611" spans="1:9" x14ac:dyDescent="0.15">
      <c r="A1611" s="10">
        <v>1610</v>
      </c>
      <c r="B1611" s="11" t="s">
        <v>9</v>
      </c>
      <c r="C1611" s="11" t="s">
        <v>253</v>
      </c>
      <c r="D1611" s="11" t="s">
        <v>254</v>
      </c>
      <c r="E1611" s="9" t="str">
        <f>+HYPERLINK("http://trademark.i-assist.jp/data/china/image_1903th/79374015.pdf", "79374015")</f>
        <v>79374015</v>
      </c>
      <c r="F1611" s="11" t="s">
        <v>4666</v>
      </c>
      <c r="G1611" s="11" t="s">
        <v>4667</v>
      </c>
      <c r="H1611" s="11" t="s">
        <v>4668</v>
      </c>
      <c r="I1611" s="11" t="s">
        <v>4348</v>
      </c>
    </row>
    <row r="1612" spans="1:9" x14ac:dyDescent="0.15">
      <c r="A1612" s="10">
        <v>1611</v>
      </c>
      <c r="B1612" s="11" t="s">
        <v>9</v>
      </c>
      <c r="C1612" s="11" t="s">
        <v>253</v>
      </c>
      <c r="D1612" s="11" t="s">
        <v>254</v>
      </c>
      <c r="E1612" s="9" t="str">
        <f>+HYPERLINK("http://trademark.i-assist.jp/data/china/image_1903th/79374065.pdf", "79374065")</f>
        <v>79374065</v>
      </c>
      <c r="F1612" s="11" t="s">
        <v>4669</v>
      </c>
      <c r="G1612" s="11" t="s">
        <v>4670</v>
      </c>
      <c r="H1612" s="11" t="s">
        <v>4671</v>
      </c>
      <c r="I1612" s="11" t="s">
        <v>4348</v>
      </c>
    </row>
    <row r="1613" spans="1:9" x14ac:dyDescent="0.15">
      <c r="A1613" s="10">
        <v>1612</v>
      </c>
      <c r="B1613" s="11" t="s">
        <v>9</v>
      </c>
      <c r="C1613" s="11" t="s">
        <v>253</v>
      </c>
      <c r="D1613" s="11" t="s">
        <v>254</v>
      </c>
      <c r="E1613" s="9" t="str">
        <f>+HYPERLINK("http://trademark.i-assist.jp/data/china/image_1903th/79374126.pdf", "79374126")</f>
        <v>79374126</v>
      </c>
      <c r="F1613" s="11" t="s">
        <v>4672</v>
      </c>
      <c r="G1613" s="11" t="s">
        <v>4495</v>
      </c>
      <c r="H1613" s="11" t="s">
        <v>4673</v>
      </c>
      <c r="I1613" s="11" t="s">
        <v>4348</v>
      </c>
    </row>
    <row r="1614" spans="1:9" x14ac:dyDescent="0.15">
      <c r="A1614" s="10">
        <v>1613</v>
      </c>
      <c r="B1614" s="11" t="s">
        <v>9</v>
      </c>
      <c r="C1614" s="11" t="s">
        <v>253</v>
      </c>
      <c r="D1614" s="11" t="s">
        <v>254</v>
      </c>
      <c r="E1614" s="9" t="str">
        <f>+HYPERLINK("http://trademark.i-assist.jp/data/china/image_1903th/79374220.pdf", "79374220")</f>
        <v>79374220</v>
      </c>
      <c r="F1614" s="11" t="s">
        <v>4674</v>
      </c>
      <c r="G1614" s="11" t="s">
        <v>4675</v>
      </c>
      <c r="H1614" s="11" t="s">
        <v>4676</v>
      </c>
      <c r="I1614" s="11" t="s">
        <v>4348</v>
      </c>
    </row>
    <row r="1615" spans="1:9" x14ac:dyDescent="0.15">
      <c r="A1615" s="10">
        <v>1614</v>
      </c>
      <c r="B1615" s="11" t="s">
        <v>9</v>
      </c>
      <c r="C1615" s="11" t="s">
        <v>253</v>
      </c>
      <c r="D1615" s="11" t="s">
        <v>254</v>
      </c>
      <c r="E1615" s="9" t="str">
        <f>+HYPERLINK("http://trademark.i-assist.jp/data/china/image_1903th/79374269.pdf", "79374269")</f>
        <v>79374269</v>
      </c>
      <c r="F1615" s="11" t="s">
        <v>4677</v>
      </c>
      <c r="G1615" s="11" t="s">
        <v>4678</v>
      </c>
      <c r="H1615" s="11" t="s">
        <v>4679</v>
      </c>
      <c r="I1615" s="11" t="s">
        <v>4348</v>
      </c>
    </row>
    <row r="1616" spans="1:9" x14ac:dyDescent="0.15">
      <c r="A1616" s="10">
        <v>1615</v>
      </c>
      <c r="B1616" s="11" t="s">
        <v>9</v>
      </c>
      <c r="C1616" s="11" t="s">
        <v>253</v>
      </c>
      <c r="D1616" s="11" t="s">
        <v>254</v>
      </c>
      <c r="E1616" s="9" t="str">
        <f>+HYPERLINK("http://trademark.i-assist.jp/data/china/image_1903th/79374319.pdf", "79374319")</f>
        <v>79374319</v>
      </c>
      <c r="F1616" s="11" t="s">
        <v>4680</v>
      </c>
      <c r="G1616" s="11" t="s">
        <v>4681</v>
      </c>
      <c r="H1616" s="11" t="s">
        <v>4682</v>
      </c>
      <c r="I1616" s="11" t="s">
        <v>4348</v>
      </c>
    </row>
    <row r="1617" spans="1:9" x14ac:dyDescent="0.15">
      <c r="A1617" s="10">
        <v>1616</v>
      </c>
      <c r="B1617" s="11" t="s">
        <v>9</v>
      </c>
      <c r="C1617" s="11" t="s">
        <v>253</v>
      </c>
      <c r="D1617" s="11" t="s">
        <v>254</v>
      </c>
      <c r="E1617" s="9" t="str">
        <f>+HYPERLINK("http://trademark.i-assist.jp/data/china/image_1903th/79374828.pdf", "79374828")</f>
        <v>79374828</v>
      </c>
      <c r="F1617" s="11" t="s">
        <v>4683</v>
      </c>
      <c r="G1617" s="11" t="s">
        <v>4684</v>
      </c>
      <c r="H1617" s="11" t="s">
        <v>4685</v>
      </c>
      <c r="I1617" s="11" t="s">
        <v>4348</v>
      </c>
    </row>
    <row r="1618" spans="1:9" x14ac:dyDescent="0.15">
      <c r="A1618" s="10">
        <v>1617</v>
      </c>
      <c r="B1618" s="11" t="s">
        <v>9</v>
      </c>
      <c r="C1618" s="11" t="s">
        <v>253</v>
      </c>
      <c r="D1618" s="11" t="s">
        <v>254</v>
      </c>
      <c r="E1618" s="9" t="str">
        <f>+HYPERLINK("http://trademark.i-assist.jp/data/china/image_1903th/79375152.pdf", "79375152")</f>
        <v>79375152</v>
      </c>
      <c r="F1618" s="11" t="s">
        <v>4686</v>
      </c>
      <c r="G1618" s="11" t="s">
        <v>4359</v>
      </c>
      <c r="H1618" s="11" t="s">
        <v>4687</v>
      </c>
      <c r="I1618" s="11" t="s">
        <v>4348</v>
      </c>
    </row>
    <row r="1619" spans="1:9" x14ac:dyDescent="0.15">
      <c r="A1619" s="10">
        <v>1618</v>
      </c>
      <c r="B1619" s="11" t="s">
        <v>9</v>
      </c>
      <c r="C1619" s="11" t="s">
        <v>253</v>
      </c>
      <c r="D1619" s="11" t="s">
        <v>254</v>
      </c>
      <c r="E1619" s="9" t="str">
        <f>+HYPERLINK("http://trademark.i-assist.jp/data/china/image_1903th/79375196.pdf", "79375196")</f>
        <v>79375196</v>
      </c>
      <c r="F1619" s="11" t="s">
        <v>4688</v>
      </c>
      <c r="G1619" s="11" t="s">
        <v>4689</v>
      </c>
      <c r="H1619" s="11" t="s">
        <v>4690</v>
      </c>
      <c r="I1619" s="11" t="s">
        <v>4348</v>
      </c>
    </row>
    <row r="1620" spans="1:9" x14ac:dyDescent="0.15">
      <c r="A1620" s="10">
        <v>1619</v>
      </c>
      <c r="B1620" s="11" t="s">
        <v>9</v>
      </c>
      <c r="C1620" s="11" t="s">
        <v>253</v>
      </c>
      <c r="D1620" s="11" t="s">
        <v>254</v>
      </c>
      <c r="E1620" s="9" t="str">
        <f>+HYPERLINK("http://trademark.i-assist.jp/data/china/image_1903th/79375553.pdf", "79375553")</f>
        <v>79375553</v>
      </c>
      <c r="F1620" s="11" t="s">
        <v>4691</v>
      </c>
      <c r="G1620" s="11" t="s">
        <v>4692</v>
      </c>
      <c r="H1620" s="11" t="s">
        <v>4693</v>
      </c>
      <c r="I1620" s="11" t="s">
        <v>4694</v>
      </c>
    </row>
    <row r="1621" spans="1:9" x14ac:dyDescent="0.15">
      <c r="A1621" s="10">
        <v>1620</v>
      </c>
      <c r="B1621" s="11" t="s">
        <v>9</v>
      </c>
      <c r="C1621" s="11" t="s">
        <v>253</v>
      </c>
      <c r="D1621" s="11" t="s">
        <v>254</v>
      </c>
      <c r="E1621" s="9" t="str">
        <f>+HYPERLINK("http://trademark.i-assist.jp/data/china/image_1903th/79375782.pdf", "79375782")</f>
        <v>79375782</v>
      </c>
      <c r="F1621" s="11" t="s">
        <v>4695</v>
      </c>
      <c r="G1621" s="11" t="s">
        <v>4696</v>
      </c>
      <c r="H1621" s="11" t="s">
        <v>4697</v>
      </c>
      <c r="I1621" s="11" t="s">
        <v>4694</v>
      </c>
    </row>
    <row r="1622" spans="1:9" x14ac:dyDescent="0.15">
      <c r="A1622" s="10">
        <v>1621</v>
      </c>
      <c r="B1622" s="11" t="s">
        <v>9</v>
      </c>
      <c r="C1622" s="11" t="s">
        <v>253</v>
      </c>
      <c r="D1622" s="11" t="s">
        <v>254</v>
      </c>
      <c r="E1622" s="9" t="str">
        <f>+HYPERLINK("http://trademark.i-assist.jp/data/china/image_1903th/79376115.pdf", "79376115")</f>
        <v>79376115</v>
      </c>
      <c r="F1622" s="11" t="s">
        <v>4698</v>
      </c>
      <c r="G1622" s="11" t="s">
        <v>4699</v>
      </c>
      <c r="H1622" s="11" t="s">
        <v>4700</v>
      </c>
      <c r="I1622" s="11" t="s">
        <v>4694</v>
      </c>
    </row>
    <row r="1623" spans="1:9" x14ac:dyDescent="0.15">
      <c r="A1623" s="10">
        <v>1622</v>
      </c>
      <c r="B1623" s="11" t="s">
        <v>9</v>
      </c>
      <c r="C1623" s="11" t="s">
        <v>253</v>
      </c>
      <c r="D1623" s="11" t="s">
        <v>254</v>
      </c>
      <c r="E1623" s="9" t="str">
        <f>+HYPERLINK("http://trademark.i-assist.jp/data/china/image_1903th/79376423.pdf", "79376423")</f>
        <v>79376423</v>
      </c>
      <c r="F1623" s="11" t="s">
        <v>4701</v>
      </c>
      <c r="G1623" s="11" t="s">
        <v>4702</v>
      </c>
      <c r="H1623" s="11" t="s">
        <v>4703</v>
      </c>
      <c r="I1623" s="11" t="s">
        <v>4694</v>
      </c>
    </row>
    <row r="1624" spans="1:9" x14ac:dyDescent="0.15">
      <c r="A1624" s="10">
        <v>1623</v>
      </c>
      <c r="B1624" s="11" t="s">
        <v>9</v>
      </c>
      <c r="C1624" s="11" t="s">
        <v>253</v>
      </c>
      <c r="D1624" s="11" t="s">
        <v>254</v>
      </c>
      <c r="E1624" s="9" t="str">
        <f>+HYPERLINK("http://trademark.i-assist.jp/data/china/image_1903th/79376523.pdf", "79376523")</f>
        <v>79376523</v>
      </c>
      <c r="F1624" s="11" t="s">
        <v>4704</v>
      </c>
      <c r="G1624" s="11" t="s">
        <v>4705</v>
      </c>
      <c r="H1624" s="11" t="s">
        <v>4706</v>
      </c>
      <c r="I1624" s="11" t="s">
        <v>4694</v>
      </c>
    </row>
    <row r="1625" spans="1:9" x14ac:dyDescent="0.15">
      <c r="A1625" s="10">
        <v>1624</v>
      </c>
      <c r="B1625" s="11" t="s">
        <v>9</v>
      </c>
      <c r="C1625" s="11" t="s">
        <v>253</v>
      </c>
      <c r="D1625" s="11" t="s">
        <v>254</v>
      </c>
      <c r="E1625" s="9" t="str">
        <f>+HYPERLINK("http://trademark.i-assist.jp/data/china/image_1903th/79376561.pdf", "79376561")</f>
        <v>79376561</v>
      </c>
      <c r="F1625" s="11" t="s">
        <v>12</v>
      </c>
      <c r="G1625" s="11" t="s">
        <v>4707</v>
      </c>
      <c r="H1625" s="11" t="s">
        <v>4708</v>
      </c>
      <c r="I1625" s="11" t="s">
        <v>4694</v>
      </c>
    </row>
    <row r="1626" spans="1:9" x14ac:dyDescent="0.15">
      <c r="A1626" s="10">
        <v>1625</v>
      </c>
      <c r="B1626" s="11" t="s">
        <v>9</v>
      </c>
      <c r="C1626" s="11" t="s">
        <v>253</v>
      </c>
      <c r="D1626" s="11" t="s">
        <v>254</v>
      </c>
      <c r="E1626" s="9" t="str">
        <f>+HYPERLINK("http://trademark.i-assist.jp/data/china/image_1903th/79376809.pdf", "79376809")</f>
        <v>79376809</v>
      </c>
      <c r="F1626" s="11" t="s">
        <v>12</v>
      </c>
      <c r="G1626" s="11" t="s">
        <v>4709</v>
      </c>
      <c r="H1626" s="11" t="s">
        <v>4710</v>
      </c>
      <c r="I1626" s="11" t="s">
        <v>4694</v>
      </c>
    </row>
    <row r="1627" spans="1:9" x14ac:dyDescent="0.15">
      <c r="A1627" s="10">
        <v>1626</v>
      </c>
      <c r="B1627" s="11" t="s">
        <v>9</v>
      </c>
      <c r="C1627" s="11" t="s">
        <v>253</v>
      </c>
      <c r="D1627" s="11" t="s">
        <v>254</v>
      </c>
      <c r="E1627" s="9" t="str">
        <f>+HYPERLINK("http://trademark.i-assist.jp/data/china/image_1903th/79377196.pdf", "79377196")</f>
        <v>79377196</v>
      </c>
      <c r="F1627" s="11" t="s">
        <v>4711</v>
      </c>
      <c r="G1627" s="11" t="s">
        <v>4712</v>
      </c>
      <c r="H1627" s="11" t="s">
        <v>4713</v>
      </c>
      <c r="I1627" s="11" t="s">
        <v>4694</v>
      </c>
    </row>
    <row r="1628" spans="1:9" x14ac:dyDescent="0.15">
      <c r="A1628" s="10">
        <v>1627</v>
      </c>
      <c r="B1628" s="11" t="s">
        <v>9</v>
      </c>
      <c r="C1628" s="11" t="s">
        <v>253</v>
      </c>
      <c r="D1628" s="11" t="s">
        <v>254</v>
      </c>
      <c r="E1628" s="9" t="str">
        <f>+HYPERLINK("http://trademark.i-assist.jp/data/china/image_1903th/79377652.pdf", "79377652")</f>
        <v>79377652</v>
      </c>
      <c r="F1628" s="11" t="s">
        <v>4714</v>
      </c>
      <c r="G1628" s="11" t="s">
        <v>4715</v>
      </c>
      <c r="H1628" s="11" t="s">
        <v>4716</v>
      </c>
      <c r="I1628" s="11" t="s">
        <v>4694</v>
      </c>
    </row>
    <row r="1629" spans="1:9" x14ac:dyDescent="0.15">
      <c r="A1629" s="10">
        <v>1628</v>
      </c>
      <c r="B1629" s="11" t="s">
        <v>9</v>
      </c>
      <c r="C1629" s="11" t="s">
        <v>253</v>
      </c>
      <c r="D1629" s="11" t="s">
        <v>254</v>
      </c>
      <c r="E1629" s="9" t="str">
        <f>+HYPERLINK("http://trademark.i-assist.jp/data/china/image_1903th/79378363.pdf", "79378363")</f>
        <v>79378363</v>
      </c>
      <c r="F1629" s="11" t="s">
        <v>4717</v>
      </c>
      <c r="G1629" s="11" t="s">
        <v>4718</v>
      </c>
      <c r="H1629" s="11" t="s">
        <v>4719</v>
      </c>
      <c r="I1629" s="11" t="s">
        <v>4694</v>
      </c>
    </row>
    <row r="1630" spans="1:9" x14ac:dyDescent="0.15">
      <c r="A1630" s="10">
        <v>1629</v>
      </c>
      <c r="B1630" s="11" t="s">
        <v>9</v>
      </c>
      <c r="C1630" s="11" t="s">
        <v>253</v>
      </c>
      <c r="D1630" s="11" t="s">
        <v>254</v>
      </c>
      <c r="E1630" s="9" t="str">
        <f>+HYPERLINK("http://trademark.i-assist.jp/data/china/image_1903th/79378427.pdf", "79378427")</f>
        <v>79378427</v>
      </c>
      <c r="F1630" s="11" t="s">
        <v>4720</v>
      </c>
      <c r="G1630" s="11" t="s">
        <v>4721</v>
      </c>
      <c r="H1630" s="11" t="s">
        <v>4722</v>
      </c>
      <c r="I1630" s="11" t="s">
        <v>4694</v>
      </c>
    </row>
    <row r="1631" spans="1:9" x14ac:dyDescent="0.15">
      <c r="A1631" s="10">
        <v>1630</v>
      </c>
      <c r="B1631" s="11" t="s">
        <v>9</v>
      </c>
      <c r="C1631" s="11" t="s">
        <v>253</v>
      </c>
      <c r="D1631" s="11" t="s">
        <v>254</v>
      </c>
      <c r="E1631" s="9" t="str">
        <f>+HYPERLINK("http://trademark.i-assist.jp/data/china/image_1903th/79378722.pdf", "79378722")</f>
        <v>79378722</v>
      </c>
      <c r="F1631" s="11" t="s">
        <v>4723</v>
      </c>
      <c r="G1631" s="11" t="s">
        <v>4724</v>
      </c>
      <c r="H1631" s="11" t="s">
        <v>4725</v>
      </c>
      <c r="I1631" s="11" t="s">
        <v>4694</v>
      </c>
    </row>
    <row r="1632" spans="1:9" x14ac:dyDescent="0.15">
      <c r="A1632" s="10">
        <v>1631</v>
      </c>
      <c r="B1632" s="11" t="s">
        <v>9</v>
      </c>
      <c r="C1632" s="11" t="s">
        <v>253</v>
      </c>
      <c r="D1632" s="11" t="s">
        <v>254</v>
      </c>
      <c r="E1632" s="9" t="str">
        <f>+HYPERLINK("http://trademark.i-assist.jp/data/china/image_1903th/79378739.pdf", "79378739")</f>
        <v>79378739</v>
      </c>
      <c r="F1632" s="11" t="s">
        <v>4726</v>
      </c>
      <c r="G1632" s="11" t="s">
        <v>4727</v>
      </c>
      <c r="H1632" s="11" t="s">
        <v>4728</v>
      </c>
      <c r="I1632" s="11" t="s">
        <v>4694</v>
      </c>
    </row>
    <row r="1633" spans="1:9" x14ac:dyDescent="0.15">
      <c r="A1633" s="10">
        <v>1632</v>
      </c>
      <c r="B1633" s="11" t="s">
        <v>9</v>
      </c>
      <c r="C1633" s="11" t="s">
        <v>253</v>
      </c>
      <c r="D1633" s="11" t="s">
        <v>254</v>
      </c>
      <c r="E1633" s="9" t="str">
        <f>+HYPERLINK("http://trademark.i-assist.jp/data/china/image_1903th/79378761.pdf", "79378761")</f>
        <v>79378761</v>
      </c>
      <c r="F1633" s="11" t="s">
        <v>4729</v>
      </c>
      <c r="G1633" s="11" t="s">
        <v>4730</v>
      </c>
      <c r="H1633" s="11" t="s">
        <v>4731</v>
      </c>
      <c r="I1633" s="11" t="s">
        <v>4694</v>
      </c>
    </row>
    <row r="1634" spans="1:9" x14ac:dyDescent="0.15">
      <c r="A1634" s="10">
        <v>1633</v>
      </c>
      <c r="B1634" s="11" t="s">
        <v>9</v>
      </c>
      <c r="C1634" s="11" t="s">
        <v>253</v>
      </c>
      <c r="D1634" s="11" t="s">
        <v>254</v>
      </c>
      <c r="E1634" s="9" t="str">
        <f>+HYPERLINK("http://trademark.i-assist.jp/data/china/image_1903th/79378838.pdf", "79378838")</f>
        <v>79378838</v>
      </c>
      <c r="F1634" s="11" t="s">
        <v>4732</v>
      </c>
      <c r="G1634" s="11" t="s">
        <v>4733</v>
      </c>
      <c r="H1634" s="11" t="s">
        <v>4734</v>
      </c>
      <c r="I1634" s="11" t="s">
        <v>4694</v>
      </c>
    </row>
    <row r="1635" spans="1:9" x14ac:dyDescent="0.15">
      <c r="A1635" s="10">
        <v>1634</v>
      </c>
      <c r="B1635" s="11" t="s">
        <v>9</v>
      </c>
      <c r="C1635" s="11" t="s">
        <v>253</v>
      </c>
      <c r="D1635" s="11" t="s">
        <v>254</v>
      </c>
      <c r="E1635" s="9" t="str">
        <f>+HYPERLINK("http://trademark.i-assist.jp/data/china/image_1903th/79379240.pdf", "79379240")</f>
        <v>79379240</v>
      </c>
      <c r="F1635" s="11" t="s">
        <v>4735</v>
      </c>
      <c r="G1635" s="11" t="s">
        <v>152</v>
      </c>
      <c r="H1635" s="11" t="s">
        <v>4736</v>
      </c>
      <c r="I1635" s="11" t="s">
        <v>4694</v>
      </c>
    </row>
    <row r="1636" spans="1:9" x14ac:dyDescent="0.15">
      <c r="A1636" s="10">
        <v>1635</v>
      </c>
      <c r="B1636" s="11" t="s">
        <v>9</v>
      </c>
      <c r="C1636" s="11" t="s">
        <v>253</v>
      </c>
      <c r="D1636" s="11" t="s">
        <v>254</v>
      </c>
      <c r="E1636" s="9" t="str">
        <f>+HYPERLINK("http://trademark.i-assist.jp/data/china/image_1903th/79379293.pdf", "79379293")</f>
        <v>79379293</v>
      </c>
      <c r="F1636" s="11" t="s">
        <v>4737</v>
      </c>
      <c r="G1636" s="11" t="s">
        <v>4738</v>
      </c>
      <c r="H1636" s="11" t="s">
        <v>4739</v>
      </c>
      <c r="I1636" s="11" t="s">
        <v>4694</v>
      </c>
    </row>
    <row r="1637" spans="1:9" x14ac:dyDescent="0.15">
      <c r="A1637" s="10">
        <v>1636</v>
      </c>
      <c r="B1637" s="11" t="s">
        <v>9</v>
      </c>
      <c r="C1637" s="11" t="s">
        <v>253</v>
      </c>
      <c r="D1637" s="11" t="s">
        <v>254</v>
      </c>
      <c r="E1637" s="9" t="str">
        <f>+HYPERLINK("http://trademark.i-assist.jp/data/china/image_1903th/79379645.pdf", "79379645")</f>
        <v>79379645</v>
      </c>
      <c r="F1637" s="11" t="s">
        <v>4740</v>
      </c>
      <c r="G1637" s="11" t="s">
        <v>4696</v>
      </c>
      <c r="H1637" s="11" t="s">
        <v>4741</v>
      </c>
      <c r="I1637" s="11" t="s">
        <v>4694</v>
      </c>
    </row>
    <row r="1638" spans="1:9" x14ac:dyDescent="0.15">
      <c r="A1638" s="10">
        <v>1637</v>
      </c>
      <c r="B1638" s="11" t="s">
        <v>9</v>
      </c>
      <c r="C1638" s="11" t="s">
        <v>253</v>
      </c>
      <c r="D1638" s="11" t="s">
        <v>254</v>
      </c>
      <c r="E1638" s="9" t="str">
        <f>+HYPERLINK("http://trademark.i-assist.jp/data/china/image_1903th/79379979.pdf", "79379979")</f>
        <v>79379979</v>
      </c>
      <c r="F1638" s="11" t="s">
        <v>4742</v>
      </c>
      <c r="G1638" s="11" t="s">
        <v>4743</v>
      </c>
      <c r="H1638" s="11" t="s">
        <v>4744</v>
      </c>
      <c r="I1638" s="11" t="s">
        <v>4694</v>
      </c>
    </row>
    <row r="1639" spans="1:9" x14ac:dyDescent="0.15">
      <c r="A1639" s="10">
        <v>1638</v>
      </c>
      <c r="B1639" s="11" t="s">
        <v>9</v>
      </c>
      <c r="C1639" s="11" t="s">
        <v>253</v>
      </c>
      <c r="D1639" s="11" t="s">
        <v>254</v>
      </c>
      <c r="E1639" s="9" t="str">
        <f>+HYPERLINK("http://trademark.i-assist.jp/data/china/image_1903th/79379982.pdf", "79379982")</f>
        <v>79379982</v>
      </c>
      <c r="F1639" s="11" t="s">
        <v>4745</v>
      </c>
      <c r="G1639" s="11" t="s">
        <v>4702</v>
      </c>
      <c r="H1639" s="11" t="s">
        <v>4746</v>
      </c>
      <c r="I1639" s="11" t="s">
        <v>4694</v>
      </c>
    </row>
    <row r="1640" spans="1:9" x14ac:dyDescent="0.15">
      <c r="A1640" s="10">
        <v>1639</v>
      </c>
      <c r="B1640" s="11" t="s">
        <v>9</v>
      </c>
      <c r="C1640" s="11" t="s">
        <v>253</v>
      </c>
      <c r="D1640" s="11" t="s">
        <v>254</v>
      </c>
      <c r="E1640" s="9" t="str">
        <f>+HYPERLINK("http://trademark.i-assist.jp/data/china/image_1903th/79380015.pdf", "79380015")</f>
        <v>79380015</v>
      </c>
      <c r="F1640" s="11" t="s">
        <v>4747</v>
      </c>
      <c r="G1640" s="11" t="s">
        <v>4748</v>
      </c>
      <c r="H1640" s="11" t="s">
        <v>4749</v>
      </c>
      <c r="I1640" s="11" t="s">
        <v>4694</v>
      </c>
    </row>
    <row r="1641" spans="1:9" x14ac:dyDescent="0.15">
      <c r="A1641" s="10">
        <v>1640</v>
      </c>
      <c r="B1641" s="11" t="s">
        <v>9</v>
      </c>
      <c r="C1641" s="11" t="s">
        <v>253</v>
      </c>
      <c r="D1641" s="11" t="s">
        <v>254</v>
      </c>
      <c r="E1641" s="9" t="str">
        <f>+HYPERLINK("http://trademark.i-assist.jp/data/china/image_1903th/79380145.pdf", "79380145")</f>
        <v>79380145</v>
      </c>
      <c r="F1641" s="11" t="s">
        <v>4750</v>
      </c>
      <c r="G1641" s="11" t="s">
        <v>4751</v>
      </c>
      <c r="H1641" s="11" t="s">
        <v>4752</v>
      </c>
      <c r="I1641" s="11" t="s">
        <v>4694</v>
      </c>
    </row>
    <row r="1642" spans="1:9" x14ac:dyDescent="0.15">
      <c r="A1642" s="10">
        <v>1641</v>
      </c>
      <c r="B1642" s="11" t="s">
        <v>9</v>
      </c>
      <c r="C1642" s="11" t="s">
        <v>253</v>
      </c>
      <c r="D1642" s="11" t="s">
        <v>254</v>
      </c>
      <c r="E1642" s="9" t="str">
        <f>+HYPERLINK("http://trademark.i-assist.jp/data/china/image_1903th/79380262.pdf", "79380262")</f>
        <v>79380262</v>
      </c>
      <c r="F1642" s="11" t="s">
        <v>4753</v>
      </c>
      <c r="G1642" s="11" t="s">
        <v>4754</v>
      </c>
      <c r="H1642" s="11" t="s">
        <v>4755</v>
      </c>
      <c r="I1642" s="11" t="s">
        <v>4694</v>
      </c>
    </row>
    <row r="1643" spans="1:9" x14ac:dyDescent="0.15">
      <c r="A1643" s="10">
        <v>1642</v>
      </c>
      <c r="B1643" s="11" t="s">
        <v>9</v>
      </c>
      <c r="C1643" s="11" t="s">
        <v>253</v>
      </c>
      <c r="D1643" s="11" t="s">
        <v>254</v>
      </c>
      <c r="E1643" s="9" t="str">
        <f>+HYPERLINK("http://trademark.i-assist.jp/data/china/image_1903th/79380267.pdf", "79380267")</f>
        <v>79380267</v>
      </c>
      <c r="F1643" s="11" t="s">
        <v>4756</v>
      </c>
      <c r="G1643" s="11" t="s">
        <v>4757</v>
      </c>
      <c r="H1643" s="11" t="s">
        <v>4758</v>
      </c>
      <c r="I1643" s="11" t="s">
        <v>4694</v>
      </c>
    </row>
    <row r="1644" spans="1:9" x14ac:dyDescent="0.15">
      <c r="A1644" s="10">
        <v>1643</v>
      </c>
      <c r="B1644" s="11" t="s">
        <v>9</v>
      </c>
      <c r="C1644" s="11" t="s">
        <v>253</v>
      </c>
      <c r="D1644" s="11" t="s">
        <v>254</v>
      </c>
      <c r="E1644" s="9" t="str">
        <f>+HYPERLINK("http://trademark.i-assist.jp/data/china/image_1903th/79380490.pdf", "79380490")</f>
        <v>79380490</v>
      </c>
      <c r="F1644" s="11" t="s">
        <v>4759</v>
      </c>
      <c r="G1644" s="11" t="s">
        <v>4696</v>
      </c>
      <c r="H1644" s="11" t="s">
        <v>4760</v>
      </c>
      <c r="I1644" s="11" t="s">
        <v>4694</v>
      </c>
    </row>
    <row r="1645" spans="1:9" x14ac:dyDescent="0.15">
      <c r="A1645" s="10">
        <v>1644</v>
      </c>
      <c r="B1645" s="11" t="s">
        <v>9</v>
      </c>
      <c r="C1645" s="11" t="s">
        <v>253</v>
      </c>
      <c r="D1645" s="11" t="s">
        <v>254</v>
      </c>
      <c r="E1645" s="9" t="str">
        <f>+HYPERLINK("http://trademark.i-assist.jp/data/china/image_1903th/79380713.pdf", "79380713")</f>
        <v>79380713</v>
      </c>
      <c r="F1645" s="11" t="s">
        <v>4761</v>
      </c>
      <c r="G1645" s="11" t="s">
        <v>4762</v>
      </c>
      <c r="H1645" s="11" t="s">
        <v>4763</v>
      </c>
      <c r="I1645" s="11" t="s">
        <v>4694</v>
      </c>
    </row>
    <row r="1646" spans="1:9" x14ac:dyDescent="0.15">
      <c r="A1646" s="10">
        <v>1645</v>
      </c>
      <c r="B1646" s="11" t="s">
        <v>9</v>
      </c>
      <c r="C1646" s="11" t="s">
        <v>253</v>
      </c>
      <c r="D1646" s="11" t="s">
        <v>254</v>
      </c>
      <c r="E1646" s="9" t="str">
        <f>+HYPERLINK("http://trademark.i-assist.jp/data/china/image_1903th/79381209.pdf", "79381209")</f>
        <v>79381209</v>
      </c>
      <c r="F1646" s="11" t="s">
        <v>4764</v>
      </c>
      <c r="G1646" s="11" t="s">
        <v>126</v>
      </c>
      <c r="H1646" s="11" t="s">
        <v>4765</v>
      </c>
      <c r="I1646" s="11" t="s">
        <v>4694</v>
      </c>
    </row>
    <row r="1647" spans="1:9" x14ac:dyDescent="0.15">
      <c r="A1647" s="10">
        <v>1646</v>
      </c>
      <c r="B1647" s="11" t="s">
        <v>9</v>
      </c>
      <c r="C1647" s="11" t="s">
        <v>253</v>
      </c>
      <c r="D1647" s="11" t="s">
        <v>254</v>
      </c>
      <c r="E1647" s="9" t="str">
        <f>+HYPERLINK("http://trademark.i-assist.jp/data/china/image_1903th/79381273.pdf", "79381273")</f>
        <v>79381273</v>
      </c>
      <c r="F1647" s="11" t="s">
        <v>4766</v>
      </c>
      <c r="G1647" s="11" t="s">
        <v>4696</v>
      </c>
      <c r="H1647" s="11" t="s">
        <v>4767</v>
      </c>
      <c r="I1647" s="11" t="s">
        <v>4694</v>
      </c>
    </row>
    <row r="1648" spans="1:9" x14ac:dyDescent="0.15">
      <c r="A1648" s="10">
        <v>1647</v>
      </c>
      <c r="B1648" s="11" t="s">
        <v>9</v>
      </c>
      <c r="C1648" s="11" t="s">
        <v>253</v>
      </c>
      <c r="D1648" s="11" t="s">
        <v>254</v>
      </c>
      <c r="E1648" s="9" t="str">
        <f>+HYPERLINK("http://trademark.i-assist.jp/data/china/image_1903th/79381728.pdf", "79381728")</f>
        <v>79381728</v>
      </c>
      <c r="F1648" s="11" t="s">
        <v>4768</v>
      </c>
      <c r="G1648" s="11" t="s">
        <v>4769</v>
      </c>
      <c r="H1648" s="11" t="s">
        <v>4770</v>
      </c>
      <c r="I1648" s="11" t="s">
        <v>4771</v>
      </c>
    </row>
    <row r="1649" spans="1:9" x14ac:dyDescent="0.15">
      <c r="A1649" s="10">
        <v>1648</v>
      </c>
      <c r="B1649" s="11" t="s">
        <v>9</v>
      </c>
      <c r="C1649" s="11" t="s">
        <v>253</v>
      </c>
      <c r="D1649" s="11" t="s">
        <v>254</v>
      </c>
      <c r="E1649" s="9" t="str">
        <f>+HYPERLINK("http://trademark.i-assist.jp/data/china/image_1903th/79381801.pdf", "79381801")</f>
        <v>79381801</v>
      </c>
      <c r="F1649" s="11" t="s">
        <v>4772</v>
      </c>
      <c r="G1649" s="11" t="s">
        <v>4773</v>
      </c>
      <c r="H1649" s="11" t="s">
        <v>4774</v>
      </c>
      <c r="I1649" s="11" t="s">
        <v>4771</v>
      </c>
    </row>
    <row r="1650" spans="1:9" x14ac:dyDescent="0.15">
      <c r="A1650" s="10">
        <v>1649</v>
      </c>
      <c r="B1650" s="11" t="s">
        <v>9</v>
      </c>
      <c r="C1650" s="11" t="s">
        <v>253</v>
      </c>
      <c r="D1650" s="11" t="s">
        <v>254</v>
      </c>
      <c r="E1650" s="9" t="str">
        <f>+HYPERLINK("http://trademark.i-assist.jp/data/china/image_1903th/79381827.pdf", "79381827")</f>
        <v>79381827</v>
      </c>
      <c r="F1650" s="11" t="s">
        <v>4775</v>
      </c>
      <c r="G1650" s="11" t="s">
        <v>4776</v>
      </c>
      <c r="H1650" s="11" t="s">
        <v>4777</v>
      </c>
      <c r="I1650" s="11" t="s">
        <v>4771</v>
      </c>
    </row>
    <row r="1651" spans="1:9" x14ac:dyDescent="0.15">
      <c r="A1651" s="10">
        <v>1650</v>
      </c>
      <c r="B1651" s="11" t="s">
        <v>9</v>
      </c>
      <c r="C1651" s="11" t="s">
        <v>253</v>
      </c>
      <c r="D1651" s="11" t="s">
        <v>254</v>
      </c>
      <c r="E1651" s="9" t="str">
        <f>+HYPERLINK("http://trademark.i-assist.jp/data/china/image_1903th/79381920.pdf", "79381920")</f>
        <v>79381920</v>
      </c>
      <c r="F1651" s="11" t="s">
        <v>4778</v>
      </c>
      <c r="G1651" s="11" t="s">
        <v>4779</v>
      </c>
      <c r="H1651" s="11" t="s">
        <v>4780</v>
      </c>
      <c r="I1651" s="11" t="s">
        <v>4771</v>
      </c>
    </row>
    <row r="1652" spans="1:9" x14ac:dyDescent="0.15">
      <c r="A1652" s="10">
        <v>1651</v>
      </c>
      <c r="B1652" s="11" t="s">
        <v>9</v>
      </c>
      <c r="C1652" s="11" t="s">
        <v>253</v>
      </c>
      <c r="D1652" s="11" t="s">
        <v>254</v>
      </c>
      <c r="E1652" s="9" t="str">
        <f>+HYPERLINK("http://trademark.i-assist.jp/data/china/image_1903th/79382244.pdf", "79382244")</f>
        <v>79382244</v>
      </c>
      <c r="F1652" s="11" t="s">
        <v>4781</v>
      </c>
      <c r="G1652" s="11" t="s">
        <v>4782</v>
      </c>
      <c r="H1652" s="11" t="s">
        <v>4783</v>
      </c>
      <c r="I1652" s="11" t="s">
        <v>4771</v>
      </c>
    </row>
    <row r="1653" spans="1:9" x14ac:dyDescent="0.15">
      <c r="A1653" s="10">
        <v>1652</v>
      </c>
      <c r="B1653" s="11" t="s">
        <v>9</v>
      </c>
      <c r="C1653" s="11" t="s">
        <v>253</v>
      </c>
      <c r="D1653" s="11" t="s">
        <v>254</v>
      </c>
      <c r="E1653" s="9" t="str">
        <f>+HYPERLINK("http://trademark.i-assist.jp/data/china/image_1903th/79382263.pdf", "79382263")</f>
        <v>79382263</v>
      </c>
      <c r="F1653" s="11" t="s">
        <v>4784</v>
      </c>
      <c r="G1653" s="11" t="s">
        <v>128</v>
      </c>
      <c r="H1653" s="11" t="s">
        <v>4785</v>
      </c>
      <c r="I1653" s="11" t="s">
        <v>4771</v>
      </c>
    </row>
    <row r="1654" spans="1:9" x14ac:dyDescent="0.15">
      <c r="A1654" s="10">
        <v>1653</v>
      </c>
      <c r="B1654" s="11" t="s">
        <v>9</v>
      </c>
      <c r="C1654" s="11" t="s">
        <v>253</v>
      </c>
      <c r="D1654" s="11" t="s">
        <v>254</v>
      </c>
      <c r="E1654" s="9" t="str">
        <f>+HYPERLINK("http://trademark.i-assist.jp/data/china/image_1903th/79382362.pdf", "79382362")</f>
        <v>79382362</v>
      </c>
      <c r="F1654" s="11" t="s">
        <v>4786</v>
      </c>
      <c r="G1654" s="11" t="s">
        <v>4787</v>
      </c>
      <c r="H1654" s="11" t="s">
        <v>4788</v>
      </c>
      <c r="I1654" s="11" t="s">
        <v>4771</v>
      </c>
    </row>
    <row r="1655" spans="1:9" x14ac:dyDescent="0.15">
      <c r="A1655" s="10">
        <v>1654</v>
      </c>
      <c r="B1655" s="11" t="s">
        <v>9</v>
      </c>
      <c r="C1655" s="11" t="s">
        <v>253</v>
      </c>
      <c r="D1655" s="11" t="s">
        <v>254</v>
      </c>
      <c r="E1655" s="9" t="str">
        <f>+HYPERLINK("http://trademark.i-assist.jp/data/china/image_1903th/79382390.pdf", "79382390")</f>
        <v>79382390</v>
      </c>
      <c r="F1655" s="11" t="s">
        <v>4789</v>
      </c>
      <c r="G1655" s="11" t="s">
        <v>4790</v>
      </c>
      <c r="H1655" s="11" t="s">
        <v>4791</v>
      </c>
      <c r="I1655" s="11" t="s">
        <v>4771</v>
      </c>
    </row>
    <row r="1656" spans="1:9" x14ac:dyDescent="0.15">
      <c r="A1656" s="10">
        <v>1655</v>
      </c>
      <c r="B1656" s="11" t="s">
        <v>9</v>
      </c>
      <c r="C1656" s="11" t="s">
        <v>253</v>
      </c>
      <c r="D1656" s="11" t="s">
        <v>254</v>
      </c>
      <c r="E1656" s="9" t="str">
        <f>+HYPERLINK("http://trademark.i-assist.jp/data/china/image_1903th/79382740.pdf", "79382740")</f>
        <v>79382740</v>
      </c>
      <c r="F1656" s="11" t="s">
        <v>4792</v>
      </c>
      <c r="G1656" s="11" t="s">
        <v>4793</v>
      </c>
      <c r="H1656" s="11" t="s">
        <v>4794</v>
      </c>
      <c r="I1656" s="11" t="s">
        <v>4771</v>
      </c>
    </row>
    <row r="1657" spans="1:9" x14ac:dyDescent="0.15">
      <c r="A1657" s="10">
        <v>1656</v>
      </c>
      <c r="B1657" s="11" t="s">
        <v>9</v>
      </c>
      <c r="C1657" s="11" t="s">
        <v>253</v>
      </c>
      <c r="D1657" s="11" t="s">
        <v>254</v>
      </c>
      <c r="E1657" s="9" t="str">
        <f>+HYPERLINK("http://trademark.i-assist.jp/data/china/image_1903th/79382777.pdf", "79382777")</f>
        <v>79382777</v>
      </c>
      <c r="F1657" s="11" t="s">
        <v>4795</v>
      </c>
      <c r="G1657" s="11" t="s">
        <v>4796</v>
      </c>
      <c r="H1657" s="11" t="s">
        <v>4797</v>
      </c>
      <c r="I1657" s="11" t="s">
        <v>4771</v>
      </c>
    </row>
    <row r="1658" spans="1:9" x14ac:dyDescent="0.15">
      <c r="A1658" s="10">
        <v>1657</v>
      </c>
      <c r="B1658" s="11" t="s">
        <v>9</v>
      </c>
      <c r="C1658" s="11" t="s">
        <v>253</v>
      </c>
      <c r="D1658" s="11" t="s">
        <v>254</v>
      </c>
      <c r="E1658" s="9" t="str">
        <f>+HYPERLINK("http://trademark.i-assist.jp/data/china/image_1903th/79382837.pdf", "79382837")</f>
        <v>79382837</v>
      </c>
      <c r="F1658" s="11" t="s">
        <v>4798</v>
      </c>
      <c r="G1658" s="11" t="s">
        <v>4790</v>
      </c>
      <c r="H1658" s="11" t="s">
        <v>4799</v>
      </c>
      <c r="I1658" s="11" t="s">
        <v>4771</v>
      </c>
    </row>
    <row r="1659" spans="1:9" x14ac:dyDescent="0.15">
      <c r="A1659" s="10">
        <v>1658</v>
      </c>
      <c r="B1659" s="11" t="s">
        <v>9</v>
      </c>
      <c r="C1659" s="11" t="s">
        <v>253</v>
      </c>
      <c r="D1659" s="11" t="s">
        <v>254</v>
      </c>
      <c r="E1659" s="9" t="str">
        <f>+HYPERLINK("http://trademark.i-assist.jp/data/china/image_1903th/79383157.pdf", "79383157")</f>
        <v>79383157</v>
      </c>
      <c r="F1659" s="11" t="s">
        <v>4800</v>
      </c>
      <c r="G1659" s="11" t="s">
        <v>4801</v>
      </c>
      <c r="H1659" s="11" t="s">
        <v>4802</v>
      </c>
      <c r="I1659" s="11" t="s">
        <v>4771</v>
      </c>
    </row>
    <row r="1660" spans="1:9" x14ac:dyDescent="0.15">
      <c r="A1660" s="10">
        <v>1659</v>
      </c>
      <c r="B1660" s="11" t="s">
        <v>9</v>
      </c>
      <c r="C1660" s="11" t="s">
        <v>253</v>
      </c>
      <c r="D1660" s="11" t="s">
        <v>254</v>
      </c>
      <c r="E1660" s="9" t="str">
        <f>+HYPERLINK("http://trademark.i-assist.jp/data/china/image_1903th/79383495.pdf", "79383495")</f>
        <v>79383495</v>
      </c>
      <c r="F1660" s="11" t="s">
        <v>4803</v>
      </c>
      <c r="G1660" s="11" t="s">
        <v>4804</v>
      </c>
      <c r="H1660" s="11" t="s">
        <v>4805</v>
      </c>
      <c r="I1660" s="11" t="s">
        <v>4771</v>
      </c>
    </row>
    <row r="1661" spans="1:9" x14ac:dyDescent="0.15">
      <c r="A1661" s="10">
        <v>1660</v>
      </c>
      <c r="B1661" s="11" t="s">
        <v>9</v>
      </c>
      <c r="C1661" s="11" t="s">
        <v>253</v>
      </c>
      <c r="D1661" s="11" t="s">
        <v>254</v>
      </c>
      <c r="E1661" s="9" t="str">
        <f>+HYPERLINK("http://trademark.i-assist.jp/data/china/image_1903th/79383560.pdf", "79383560")</f>
        <v>79383560</v>
      </c>
      <c r="F1661" s="11" t="s">
        <v>4806</v>
      </c>
      <c r="G1661" s="11" t="s">
        <v>4790</v>
      </c>
      <c r="H1661" s="11" t="s">
        <v>4807</v>
      </c>
      <c r="I1661" s="11" t="s">
        <v>4771</v>
      </c>
    </row>
    <row r="1662" spans="1:9" x14ac:dyDescent="0.15">
      <c r="A1662" s="10">
        <v>1661</v>
      </c>
      <c r="B1662" s="11" t="s">
        <v>9</v>
      </c>
      <c r="C1662" s="11" t="s">
        <v>253</v>
      </c>
      <c r="D1662" s="11" t="s">
        <v>254</v>
      </c>
      <c r="E1662" s="9" t="str">
        <f>+HYPERLINK("http://trademark.i-assist.jp/data/china/image_1903th/79383587.pdf", "79383587")</f>
        <v>79383587</v>
      </c>
      <c r="F1662" s="11" t="s">
        <v>4808</v>
      </c>
      <c r="G1662" s="11" t="s">
        <v>98</v>
      </c>
      <c r="H1662" s="11" t="s">
        <v>4809</v>
      </c>
      <c r="I1662" s="11" t="s">
        <v>4771</v>
      </c>
    </row>
    <row r="1663" spans="1:9" x14ac:dyDescent="0.15">
      <c r="A1663" s="10">
        <v>1662</v>
      </c>
      <c r="B1663" s="11" t="s">
        <v>9</v>
      </c>
      <c r="C1663" s="11" t="s">
        <v>253</v>
      </c>
      <c r="D1663" s="11" t="s">
        <v>254</v>
      </c>
      <c r="E1663" s="9" t="str">
        <f>+HYPERLINK("http://trademark.i-assist.jp/data/china/image_1903th/79383867.pdf", "79383867")</f>
        <v>79383867</v>
      </c>
      <c r="F1663" s="11" t="s">
        <v>4810</v>
      </c>
      <c r="G1663" s="11" t="s">
        <v>4811</v>
      </c>
      <c r="H1663" s="11" t="s">
        <v>4812</v>
      </c>
      <c r="I1663" s="11" t="s">
        <v>4771</v>
      </c>
    </row>
    <row r="1664" spans="1:9" x14ac:dyDescent="0.15">
      <c r="A1664" s="10">
        <v>1663</v>
      </c>
      <c r="B1664" s="11" t="s">
        <v>9</v>
      </c>
      <c r="C1664" s="11" t="s">
        <v>253</v>
      </c>
      <c r="D1664" s="11" t="s">
        <v>254</v>
      </c>
      <c r="E1664" s="9" t="str">
        <f>+HYPERLINK("http://trademark.i-assist.jp/data/china/image_1903th/79383970.pdf", "79383970")</f>
        <v>79383970</v>
      </c>
      <c r="F1664" s="11" t="s">
        <v>4813</v>
      </c>
      <c r="G1664" s="11" t="s">
        <v>4814</v>
      </c>
      <c r="H1664" s="11" t="s">
        <v>4815</v>
      </c>
      <c r="I1664" s="11" t="s">
        <v>4771</v>
      </c>
    </row>
    <row r="1665" spans="1:9" x14ac:dyDescent="0.15">
      <c r="A1665" s="10">
        <v>1664</v>
      </c>
      <c r="B1665" s="11" t="s">
        <v>9</v>
      </c>
      <c r="C1665" s="11" t="s">
        <v>253</v>
      </c>
      <c r="D1665" s="11" t="s">
        <v>254</v>
      </c>
      <c r="E1665" s="9" t="str">
        <f>+HYPERLINK("http://trademark.i-assist.jp/data/china/image_1903th/79384092.pdf", "79384092")</f>
        <v>79384092</v>
      </c>
      <c r="F1665" s="11" t="s">
        <v>4816</v>
      </c>
      <c r="G1665" s="11" t="s">
        <v>4817</v>
      </c>
      <c r="H1665" s="11" t="s">
        <v>4818</v>
      </c>
      <c r="I1665" s="11" t="s">
        <v>4771</v>
      </c>
    </row>
    <row r="1666" spans="1:9" x14ac:dyDescent="0.15">
      <c r="A1666" s="10">
        <v>1665</v>
      </c>
      <c r="B1666" s="11" t="s">
        <v>9</v>
      </c>
      <c r="C1666" s="11" t="s">
        <v>253</v>
      </c>
      <c r="D1666" s="11" t="s">
        <v>254</v>
      </c>
      <c r="E1666" s="9" t="str">
        <f>+HYPERLINK("http://trademark.i-assist.jp/data/china/image_1903th/79384130.pdf", "79384130")</f>
        <v>79384130</v>
      </c>
      <c r="F1666" s="11" t="s">
        <v>4819</v>
      </c>
      <c r="G1666" s="11" t="s">
        <v>237</v>
      </c>
      <c r="H1666" s="11" t="s">
        <v>4820</v>
      </c>
      <c r="I1666" s="11" t="s">
        <v>4771</v>
      </c>
    </row>
    <row r="1667" spans="1:9" x14ac:dyDescent="0.15">
      <c r="A1667" s="10">
        <v>1666</v>
      </c>
      <c r="B1667" s="11" t="s">
        <v>9</v>
      </c>
      <c r="C1667" s="11" t="s">
        <v>253</v>
      </c>
      <c r="D1667" s="11" t="s">
        <v>254</v>
      </c>
      <c r="E1667" s="9" t="str">
        <f>+HYPERLINK("http://trademark.i-assist.jp/data/china/image_1903th/79384257.pdf", "79384257")</f>
        <v>79384257</v>
      </c>
      <c r="F1667" s="11" t="s">
        <v>4821</v>
      </c>
      <c r="G1667" s="11" t="s">
        <v>4822</v>
      </c>
      <c r="H1667" s="11" t="s">
        <v>4823</v>
      </c>
      <c r="I1667" s="11" t="s">
        <v>4771</v>
      </c>
    </row>
    <row r="1668" spans="1:9" x14ac:dyDescent="0.15">
      <c r="A1668" s="10">
        <v>1667</v>
      </c>
      <c r="B1668" s="11" t="s">
        <v>9</v>
      </c>
      <c r="C1668" s="11" t="s">
        <v>253</v>
      </c>
      <c r="D1668" s="11" t="s">
        <v>254</v>
      </c>
      <c r="E1668" s="9" t="str">
        <f>+HYPERLINK("http://trademark.i-assist.jp/data/china/image_1903th/79384792.pdf", "79384792")</f>
        <v>79384792</v>
      </c>
      <c r="F1668" s="11" t="s">
        <v>4824</v>
      </c>
      <c r="G1668" s="11" t="s">
        <v>4825</v>
      </c>
      <c r="H1668" s="11" t="s">
        <v>4826</v>
      </c>
      <c r="I1668" s="11" t="s">
        <v>4827</v>
      </c>
    </row>
    <row r="1669" spans="1:9" x14ac:dyDescent="0.15">
      <c r="A1669" s="10">
        <v>1668</v>
      </c>
      <c r="B1669" s="11" t="s">
        <v>9</v>
      </c>
      <c r="C1669" s="11" t="s">
        <v>253</v>
      </c>
      <c r="D1669" s="11" t="s">
        <v>254</v>
      </c>
      <c r="E1669" s="9" t="str">
        <f>+HYPERLINK("http://trademark.i-assist.jp/data/china/image_1903th/79385265.pdf", "79385265")</f>
        <v>79385265</v>
      </c>
      <c r="F1669" s="11" t="s">
        <v>4828</v>
      </c>
      <c r="G1669" s="11" t="s">
        <v>4829</v>
      </c>
      <c r="H1669" s="11" t="s">
        <v>4830</v>
      </c>
      <c r="I1669" s="11" t="s">
        <v>4827</v>
      </c>
    </row>
    <row r="1670" spans="1:9" x14ac:dyDescent="0.15">
      <c r="A1670" s="10">
        <v>1669</v>
      </c>
      <c r="B1670" s="11" t="s">
        <v>9</v>
      </c>
      <c r="C1670" s="11" t="s">
        <v>253</v>
      </c>
      <c r="D1670" s="11" t="s">
        <v>254</v>
      </c>
      <c r="E1670" s="9" t="str">
        <f>+HYPERLINK("http://trademark.i-assist.jp/data/china/image_1903th/79385435.pdf", "79385435")</f>
        <v>79385435</v>
      </c>
      <c r="F1670" s="11" t="s">
        <v>4831</v>
      </c>
      <c r="G1670" s="11" t="s">
        <v>4832</v>
      </c>
      <c r="H1670" s="11" t="s">
        <v>4833</v>
      </c>
      <c r="I1670" s="11" t="s">
        <v>4827</v>
      </c>
    </row>
    <row r="1671" spans="1:9" x14ac:dyDescent="0.15">
      <c r="A1671" s="10">
        <v>1670</v>
      </c>
      <c r="B1671" s="11" t="s">
        <v>9</v>
      </c>
      <c r="C1671" s="11" t="s">
        <v>253</v>
      </c>
      <c r="D1671" s="11" t="s">
        <v>254</v>
      </c>
      <c r="E1671" s="9" t="str">
        <f>+HYPERLINK("http://trademark.i-assist.jp/data/china/image_1903th/79385496.pdf", "79385496")</f>
        <v>79385496</v>
      </c>
      <c r="F1671" s="11" t="s">
        <v>4834</v>
      </c>
      <c r="G1671" s="11" t="s">
        <v>4835</v>
      </c>
      <c r="H1671" s="11" t="s">
        <v>4836</v>
      </c>
      <c r="I1671" s="11" t="s">
        <v>4827</v>
      </c>
    </row>
    <row r="1672" spans="1:9" x14ac:dyDescent="0.15">
      <c r="A1672" s="10">
        <v>1671</v>
      </c>
      <c r="B1672" s="11" t="s">
        <v>9</v>
      </c>
      <c r="C1672" s="11" t="s">
        <v>253</v>
      </c>
      <c r="D1672" s="11" t="s">
        <v>254</v>
      </c>
      <c r="E1672" s="9" t="str">
        <f>+HYPERLINK("http://trademark.i-assist.jp/data/china/image_1903th/79385921.pdf", "79385921")</f>
        <v>79385921</v>
      </c>
      <c r="F1672" s="11" t="s">
        <v>4837</v>
      </c>
      <c r="G1672" s="11" t="s">
        <v>4838</v>
      </c>
      <c r="H1672" s="11" t="s">
        <v>4839</v>
      </c>
      <c r="I1672" s="11" t="s">
        <v>4827</v>
      </c>
    </row>
    <row r="1673" spans="1:9" x14ac:dyDescent="0.15">
      <c r="A1673" s="10">
        <v>1672</v>
      </c>
      <c r="B1673" s="11" t="s">
        <v>9</v>
      </c>
      <c r="C1673" s="11" t="s">
        <v>253</v>
      </c>
      <c r="D1673" s="11" t="s">
        <v>254</v>
      </c>
      <c r="E1673" s="9" t="str">
        <f>+HYPERLINK("http://trademark.i-assist.jp/data/china/image_1903th/79386015.pdf", "79386015")</f>
        <v>79386015</v>
      </c>
      <c r="F1673" s="11" t="s">
        <v>12</v>
      </c>
      <c r="G1673" s="11" t="s">
        <v>4840</v>
      </c>
      <c r="H1673" s="11" t="s">
        <v>4841</v>
      </c>
      <c r="I1673" s="11" t="s">
        <v>4827</v>
      </c>
    </row>
    <row r="1674" spans="1:9" x14ac:dyDescent="0.15">
      <c r="A1674" s="10">
        <v>1673</v>
      </c>
      <c r="B1674" s="11" t="s">
        <v>9</v>
      </c>
      <c r="C1674" s="11" t="s">
        <v>253</v>
      </c>
      <c r="D1674" s="11" t="s">
        <v>254</v>
      </c>
      <c r="E1674" s="9" t="str">
        <f>+HYPERLINK("http://trademark.i-assist.jp/data/china/image_1903th/79386669.pdf", "79386669")</f>
        <v>79386669</v>
      </c>
      <c r="F1674" s="11" t="s">
        <v>4842</v>
      </c>
      <c r="G1674" s="11" t="s">
        <v>4843</v>
      </c>
      <c r="H1674" s="11" t="s">
        <v>4844</v>
      </c>
      <c r="I1674" s="11" t="s">
        <v>4827</v>
      </c>
    </row>
    <row r="1675" spans="1:9" x14ac:dyDescent="0.15">
      <c r="A1675" s="10">
        <v>1674</v>
      </c>
      <c r="B1675" s="11" t="s">
        <v>9</v>
      </c>
      <c r="C1675" s="11" t="s">
        <v>253</v>
      </c>
      <c r="D1675" s="11" t="s">
        <v>254</v>
      </c>
      <c r="E1675" s="9" t="str">
        <f>+HYPERLINK("http://trademark.i-assist.jp/data/china/image_1903th/79386952.pdf", "79386952")</f>
        <v>79386952</v>
      </c>
      <c r="F1675" s="11" t="s">
        <v>4845</v>
      </c>
      <c r="G1675" s="11" t="s">
        <v>4846</v>
      </c>
      <c r="H1675" s="11" t="s">
        <v>4847</v>
      </c>
      <c r="I1675" s="11" t="s">
        <v>4827</v>
      </c>
    </row>
    <row r="1676" spans="1:9" x14ac:dyDescent="0.15">
      <c r="A1676" s="10">
        <v>1675</v>
      </c>
      <c r="B1676" s="11" t="s">
        <v>9</v>
      </c>
      <c r="C1676" s="11" t="s">
        <v>253</v>
      </c>
      <c r="D1676" s="11" t="s">
        <v>254</v>
      </c>
      <c r="E1676" s="9" t="str">
        <f>+HYPERLINK("http://trademark.i-assist.jp/data/china/image_1903th/79386987.pdf", "79386987")</f>
        <v>79386987</v>
      </c>
      <c r="F1676" s="11" t="s">
        <v>4848</v>
      </c>
      <c r="G1676" s="11" t="s">
        <v>135</v>
      </c>
      <c r="H1676" s="11" t="s">
        <v>4849</v>
      </c>
      <c r="I1676" s="11" t="s">
        <v>4827</v>
      </c>
    </row>
    <row r="1677" spans="1:9" x14ac:dyDescent="0.15">
      <c r="A1677" s="10">
        <v>1676</v>
      </c>
      <c r="B1677" s="11" t="s">
        <v>9</v>
      </c>
      <c r="C1677" s="11" t="s">
        <v>253</v>
      </c>
      <c r="D1677" s="11" t="s">
        <v>254</v>
      </c>
      <c r="E1677" s="9" t="str">
        <f>+HYPERLINK("http://trademark.i-assist.jp/data/china/image_1903th/79387180.pdf", "79387180")</f>
        <v>79387180</v>
      </c>
      <c r="F1677" s="11" t="s">
        <v>4850</v>
      </c>
      <c r="G1677" s="11" t="s">
        <v>4851</v>
      </c>
      <c r="H1677" s="11" t="s">
        <v>4852</v>
      </c>
      <c r="I1677" s="11" t="s">
        <v>4827</v>
      </c>
    </row>
    <row r="1678" spans="1:9" x14ac:dyDescent="0.15">
      <c r="A1678" s="10">
        <v>1677</v>
      </c>
      <c r="B1678" s="11" t="s">
        <v>9</v>
      </c>
      <c r="C1678" s="11" t="s">
        <v>253</v>
      </c>
      <c r="D1678" s="11" t="s">
        <v>254</v>
      </c>
      <c r="E1678" s="9" t="str">
        <f>+HYPERLINK("http://trademark.i-assist.jp/data/china/image_1903th/79387284.pdf", "79387284")</f>
        <v>79387284</v>
      </c>
      <c r="F1678" s="11" t="s">
        <v>4853</v>
      </c>
      <c r="G1678" s="11" t="s">
        <v>144</v>
      </c>
      <c r="H1678" s="11" t="s">
        <v>4854</v>
      </c>
      <c r="I1678" s="11" t="s">
        <v>4827</v>
      </c>
    </row>
    <row r="1679" spans="1:9" x14ac:dyDescent="0.15">
      <c r="A1679" s="10">
        <v>1678</v>
      </c>
      <c r="B1679" s="11" t="s">
        <v>9</v>
      </c>
      <c r="C1679" s="11" t="s">
        <v>253</v>
      </c>
      <c r="D1679" s="11" t="s">
        <v>254</v>
      </c>
      <c r="E1679" s="9" t="str">
        <f>+HYPERLINK("http://trademark.i-assist.jp/data/china/image_1903th/79387379.pdf", "79387379")</f>
        <v>79387379</v>
      </c>
      <c r="F1679" s="11" t="s">
        <v>4855</v>
      </c>
      <c r="G1679" s="11" t="s">
        <v>38</v>
      </c>
      <c r="H1679" s="11" t="s">
        <v>4856</v>
      </c>
      <c r="I1679" s="11" t="s">
        <v>4827</v>
      </c>
    </row>
    <row r="1680" spans="1:9" x14ac:dyDescent="0.15">
      <c r="A1680" s="10">
        <v>1679</v>
      </c>
      <c r="B1680" s="11" t="s">
        <v>9</v>
      </c>
      <c r="C1680" s="11" t="s">
        <v>253</v>
      </c>
      <c r="D1680" s="11" t="s">
        <v>254</v>
      </c>
      <c r="E1680" s="9" t="str">
        <f>+HYPERLINK("http://trademark.i-assist.jp/data/china/image_1903th/79387558.pdf", "79387558")</f>
        <v>79387558</v>
      </c>
      <c r="F1680" s="11" t="s">
        <v>4857</v>
      </c>
      <c r="G1680" s="11" t="s">
        <v>4858</v>
      </c>
      <c r="H1680" s="11" t="s">
        <v>4859</v>
      </c>
      <c r="I1680" s="11" t="s">
        <v>4827</v>
      </c>
    </row>
    <row r="1681" spans="1:9" x14ac:dyDescent="0.15">
      <c r="A1681" s="10">
        <v>1680</v>
      </c>
      <c r="B1681" s="11" t="s">
        <v>9</v>
      </c>
      <c r="C1681" s="11" t="s">
        <v>253</v>
      </c>
      <c r="D1681" s="11" t="s">
        <v>254</v>
      </c>
      <c r="E1681" s="9" t="str">
        <f>+HYPERLINK("http://trademark.i-assist.jp/data/china/image_1903th/79387655.pdf", "79387655")</f>
        <v>79387655</v>
      </c>
      <c r="F1681" s="11" t="s">
        <v>4860</v>
      </c>
      <c r="G1681" s="11" t="s">
        <v>4861</v>
      </c>
      <c r="H1681" s="11" t="s">
        <v>4862</v>
      </c>
      <c r="I1681" s="11" t="s">
        <v>4827</v>
      </c>
    </row>
    <row r="1682" spans="1:9" x14ac:dyDescent="0.15">
      <c r="A1682" s="10">
        <v>1681</v>
      </c>
      <c r="B1682" s="11" t="s">
        <v>9</v>
      </c>
      <c r="C1682" s="11" t="s">
        <v>253</v>
      </c>
      <c r="D1682" s="11" t="s">
        <v>254</v>
      </c>
      <c r="E1682" s="9" t="str">
        <f>+HYPERLINK("http://trademark.i-assist.jp/data/china/image_1903th/79387728.pdf", "79387728")</f>
        <v>79387728</v>
      </c>
      <c r="F1682" s="11" t="s">
        <v>4863</v>
      </c>
      <c r="G1682" s="11" t="s">
        <v>4864</v>
      </c>
      <c r="H1682" s="11" t="s">
        <v>4865</v>
      </c>
      <c r="I1682" s="11" t="s">
        <v>4827</v>
      </c>
    </row>
    <row r="1683" spans="1:9" x14ac:dyDescent="0.15">
      <c r="A1683" s="10">
        <v>1682</v>
      </c>
      <c r="B1683" s="11" t="s">
        <v>9</v>
      </c>
      <c r="C1683" s="11" t="s">
        <v>253</v>
      </c>
      <c r="D1683" s="11" t="s">
        <v>254</v>
      </c>
      <c r="E1683" s="9" t="str">
        <f>+HYPERLINK("http://trademark.i-assist.jp/data/china/image_1903th/79387812.pdf", "79387812")</f>
        <v>79387812</v>
      </c>
      <c r="F1683" s="11" t="s">
        <v>4866</v>
      </c>
      <c r="G1683" s="11" t="s">
        <v>4867</v>
      </c>
      <c r="H1683" s="11" t="s">
        <v>4868</v>
      </c>
      <c r="I1683" s="11" t="s">
        <v>4827</v>
      </c>
    </row>
    <row r="1684" spans="1:9" x14ac:dyDescent="0.15">
      <c r="A1684" s="10">
        <v>1683</v>
      </c>
      <c r="B1684" s="11" t="s">
        <v>9</v>
      </c>
      <c r="C1684" s="11" t="s">
        <v>253</v>
      </c>
      <c r="D1684" s="11" t="s">
        <v>254</v>
      </c>
      <c r="E1684" s="9" t="str">
        <f>+HYPERLINK("http://trademark.i-assist.jp/data/china/image_1903th/79387829.pdf", "79387829")</f>
        <v>79387829</v>
      </c>
      <c r="F1684" s="11" t="s">
        <v>4869</v>
      </c>
      <c r="G1684" s="11" t="s">
        <v>4870</v>
      </c>
      <c r="H1684" s="11" t="s">
        <v>4871</v>
      </c>
      <c r="I1684" s="11" t="s">
        <v>4827</v>
      </c>
    </row>
    <row r="1685" spans="1:9" x14ac:dyDescent="0.15">
      <c r="A1685" s="10">
        <v>1684</v>
      </c>
      <c r="B1685" s="11" t="s">
        <v>9</v>
      </c>
      <c r="C1685" s="11" t="s">
        <v>253</v>
      </c>
      <c r="D1685" s="11" t="s">
        <v>254</v>
      </c>
      <c r="E1685" s="9" t="str">
        <f>+HYPERLINK("http://trademark.i-assist.jp/data/china/image_1903th/79388066.pdf", "79388066")</f>
        <v>79388066</v>
      </c>
      <c r="F1685" s="11" t="s">
        <v>4872</v>
      </c>
      <c r="G1685" s="11" t="s">
        <v>4873</v>
      </c>
      <c r="H1685" s="11" t="s">
        <v>4874</v>
      </c>
      <c r="I1685" s="11" t="s">
        <v>4827</v>
      </c>
    </row>
    <row r="1686" spans="1:9" x14ac:dyDescent="0.15">
      <c r="A1686" s="10">
        <v>1685</v>
      </c>
      <c r="B1686" s="11" t="s">
        <v>9</v>
      </c>
      <c r="C1686" s="11" t="s">
        <v>253</v>
      </c>
      <c r="D1686" s="11" t="s">
        <v>254</v>
      </c>
      <c r="E1686" s="9" t="str">
        <f>+HYPERLINK("http://trademark.i-assist.jp/data/china/image_1903th/79388136.pdf", "79388136")</f>
        <v>79388136</v>
      </c>
      <c r="F1686" s="11" t="s">
        <v>4875</v>
      </c>
      <c r="G1686" s="11" t="s">
        <v>4876</v>
      </c>
      <c r="H1686" s="11" t="s">
        <v>4877</v>
      </c>
      <c r="I1686" s="11" t="s">
        <v>4827</v>
      </c>
    </row>
    <row r="1687" spans="1:9" x14ac:dyDescent="0.15">
      <c r="A1687" s="10">
        <v>1686</v>
      </c>
      <c r="B1687" s="11" t="s">
        <v>9</v>
      </c>
      <c r="C1687" s="11" t="s">
        <v>253</v>
      </c>
      <c r="D1687" s="11" t="s">
        <v>254</v>
      </c>
      <c r="E1687" s="9" t="str">
        <f>+HYPERLINK("http://trademark.i-assist.jp/data/china/image_1903th/79388151.pdf", "79388151")</f>
        <v>79388151</v>
      </c>
      <c r="F1687" s="11" t="s">
        <v>4878</v>
      </c>
      <c r="G1687" s="11" t="s">
        <v>4879</v>
      </c>
      <c r="H1687" s="11" t="s">
        <v>4880</v>
      </c>
      <c r="I1687" s="11" t="s">
        <v>4827</v>
      </c>
    </row>
    <row r="1688" spans="1:9" x14ac:dyDescent="0.15">
      <c r="A1688" s="10">
        <v>1687</v>
      </c>
      <c r="B1688" s="11" t="s">
        <v>9</v>
      </c>
      <c r="C1688" s="11" t="s">
        <v>253</v>
      </c>
      <c r="D1688" s="11" t="s">
        <v>254</v>
      </c>
      <c r="E1688" s="9" t="str">
        <f>+HYPERLINK("http://trademark.i-assist.jp/data/china/image_1903th/79388434.pdf", "79388434")</f>
        <v>79388434</v>
      </c>
      <c r="F1688" s="11" t="s">
        <v>4881</v>
      </c>
      <c r="G1688" s="11" t="s">
        <v>3686</v>
      </c>
      <c r="H1688" s="11" t="s">
        <v>4882</v>
      </c>
      <c r="I1688" s="11" t="s">
        <v>4827</v>
      </c>
    </row>
    <row r="1689" spans="1:9" x14ac:dyDescent="0.15">
      <c r="A1689" s="10">
        <v>1688</v>
      </c>
      <c r="B1689" s="11" t="s">
        <v>9</v>
      </c>
      <c r="C1689" s="11" t="s">
        <v>253</v>
      </c>
      <c r="D1689" s="11" t="s">
        <v>254</v>
      </c>
      <c r="E1689" s="9" t="str">
        <f>+HYPERLINK("http://trademark.i-assist.jp/data/china/image_1903th/79389070.pdf", "79389070")</f>
        <v>79389070</v>
      </c>
      <c r="F1689" s="11" t="s">
        <v>4883</v>
      </c>
      <c r="G1689" s="11" t="s">
        <v>4884</v>
      </c>
      <c r="H1689" s="11" t="s">
        <v>4885</v>
      </c>
      <c r="I1689" s="11" t="s">
        <v>4827</v>
      </c>
    </row>
    <row r="1690" spans="1:9" x14ac:dyDescent="0.15">
      <c r="A1690" s="10">
        <v>1689</v>
      </c>
      <c r="B1690" s="11" t="s">
        <v>9</v>
      </c>
      <c r="C1690" s="11" t="s">
        <v>253</v>
      </c>
      <c r="D1690" s="11" t="s">
        <v>254</v>
      </c>
      <c r="E1690" s="9" t="str">
        <f>+HYPERLINK("http://trademark.i-assist.jp/data/china/image_1903th/79389116.pdf", "79389116")</f>
        <v>79389116</v>
      </c>
      <c r="F1690" s="11" t="s">
        <v>4886</v>
      </c>
      <c r="G1690" s="11" t="s">
        <v>4887</v>
      </c>
      <c r="H1690" s="11" t="s">
        <v>4888</v>
      </c>
      <c r="I1690" s="11" t="s">
        <v>4827</v>
      </c>
    </row>
    <row r="1691" spans="1:9" x14ac:dyDescent="0.15">
      <c r="A1691" s="10">
        <v>1690</v>
      </c>
      <c r="B1691" s="11" t="s">
        <v>9</v>
      </c>
      <c r="C1691" s="11" t="s">
        <v>253</v>
      </c>
      <c r="D1691" s="11" t="s">
        <v>254</v>
      </c>
      <c r="E1691" s="9" t="str">
        <f>+HYPERLINK("http://trademark.i-assist.jp/data/china/image_1903th/79389165.pdf", "79389165")</f>
        <v>79389165</v>
      </c>
      <c r="F1691" s="11" t="s">
        <v>4889</v>
      </c>
      <c r="G1691" s="11" t="s">
        <v>4890</v>
      </c>
      <c r="H1691" s="11" t="s">
        <v>4891</v>
      </c>
      <c r="I1691" s="11" t="s">
        <v>4827</v>
      </c>
    </row>
    <row r="1692" spans="1:9" x14ac:dyDescent="0.15">
      <c r="A1692" s="10">
        <v>1691</v>
      </c>
      <c r="B1692" s="11" t="s">
        <v>9</v>
      </c>
      <c r="C1692" s="11" t="s">
        <v>253</v>
      </c>
      <c r="D1692" s="11" t="s">
        <v>254</v>
      </c>
      <c r="E1692" s="9" t="str">
        <f>+HYPERLINK("http://trademark.i-assist.jp/data/china/image_1903th/79389336.pdf", "79389336")</f>
        <v>79389336</v>
      </c>
      <c r="F1692" s="11" t="s">
        <v>4892</v>
      </c>
      <c r="G1692" s="11" t="s">
        <v>4893</v>
      </c>
      <c r="H1692" s="11" t="s">
        <v>4894</v>
      </c>
      <c r="I1692" s="11" t="s">
        <v>4827</v>
      </c>
    </row>
    <row r="1693" spans="1:9" x14ac:dyDescent="0.15">
      <c r="A1693" s="10">
        <v>1692</v>
      </c>
      <c r="B1693" s="11" t="s">
        <v>9</v>
      </c>
      <c r="C1693" s="11" t="s">
        <v>253</v>
      </c>
      <c r="D1693" s="11" t="s">
        <v>254</v>
      </c>
      <c r="E1693" s="9" t="str">
        <f>+HYPERLINK("http://trademark.i-assist.jp/data/china/image_1903th/79389391.pdf", "79389391")</f>
        <v>79389391</v>
      </c>
      <c r="F1693" s="11" t="s">
        <v>4895</v>
      </c>
      <c r="G1693" s="11" t="s">
        <v>1343</v>
      </c>
      <c r="H1693" s="11" t="s">
        <v>4896</v>
      </c>
      <c r="I1693" s="11" t="s">
        <v>4827</v>
      </c>
    </row>
    <row r="1694" spans="1:9" x14ac:dyDescent="0.15">
      <c r="A1694" s="10">
        <v>1693</v>
      </c>
      <c r="B1694" s="11" t="s">
        <v>9</v>
      </c>
      <c r="C1694" s="11" t="s">
        <v>253</v>
      </c>
      <c r="D1694" s="11" t="s">
        <v>254</v>
      </c>
      <c r="E1694" s="9" t="str">
        <f>+HYPERLINK("http://trademark.i-assist.jp/data/china/image_1903th/79389493.pdf", "79389493")</f>
        <v>79389493</v>
      </c>
      <c r="F1694" s="11" t="s">
        <v>12</v>
      </c>
      <c r="G1694" s="11" t="s">
        <v>4897</v>
      </c>
      <c r="H1694" s="11" t="s">
        <v>4898</v>
      </c>
      <c r="I1694" s="11" t="s">
        <v>4827</v>
      </c>
    </row>
    <row r="1695" spans="1:9" x14ac:dyDescent="0.15">
      <c r="A1695" s="10">
        <v>1694</v>
      </c>
      <c r="B1695" s="11" t="s">
        <v>9</v>
      </c>
      <c r="C1695" s="11" t="s">
        <v>253</v>
      </c>
      <c r="D1695" s="11" t="s">
        <v>254</v>
      </c>
      <c r="E1695" s="9" t="str">
        <f>+HYPERLINK("http://trademark.i-assist.jp/data/china/image_1903th/79389762.pdf", "79389762")</f>
        <v>79389762</v>
      </c>
      <c r="F1695" s="11" t="s">
        <v>4899</v>
      </c>
      <c r="G1695" s="11" t="s">
        <v>4900</v>
      </c>
      <c r="H1695" s="11" t="s">
        <v>4901</v>
      </c>
      <c r="I1695" s="11" t="s">
        <v>4827</v>
      </c>
    </row>
    <row r="1696" spans="1:9" x14ac:dyDescent="0.15">
      <c r="A1696" s="10">
        <v>1695</v>
      </c>
      <c r="B1696" s="11" t="s">
        <v>9</v>
      </c>
      <c r="C1696" s="11" t="s">
        <v>253</v>
      </c>
      <c r="D1696" s="11" t="s">
        <v>254</v>
      </c>
      <c r="E1696" s="9" t="str">
        <f>+HYPERLINK("http://trademark.i-assist.jp/data/china/image_1903th/79389922.pdf", "79389922")</f>
        <v>79389922</v>
      </c>
      <c r="F1696" s="11" t="s">
        <v>4902</v>
      </c>
      <c r="G1696" s="11" t="s">
        <v>4903</v>
      </c>
      <c r="H1696" s="11" t="s">
        <v>4904</v>
      </c>
      <c r="I1696" s="11" t="s">
        <v>4827</v>
      </c>
    </row>
    <row r="1697" spans="1:9" x14ac:dyDescent="0.15">
      <c r="A1697" s="10">
        <v>1696</v>
      </c>
      <c r="B1697" s="11" t="s">
        <v>9</v>
      </c>
      <c r="C1697" s="11" t="s">
        <v>253</v>
      </c>
      <c r="D1697" s="11" t="s">
        <v>254</v>
      </c>
      <c r="E1697" s="9" t="str">
        <f>+HYPERLINK("http://trademark.i-assist.jp/data/china/image_1903th/79389983.pdf", "79389983")</f>
        <v>79389983</v>
      </c>
      <c r="F1697" s="11" t="s">
        <v>4905</v>
      </c>
      <c r="G1697" s="11" t="s">
        <v>4906</v>
      </c>
      <c r="H1697" s="11" t="s">
        <v>4907</v>
      </c>
      <c r="I1697" s="11" t="s">
        <v>4827</v>
      </c>
    </row>
    <row r="1698" spans="1:9" x14ac:dyDescent="0.15">
      <c r="A1698" s="10">
        <v>1697</v>
      </c>
      <c r="B1698" s="11" t="s">
        <v>9</v>
      </c>
      <c r="C1698" s="11" t="s">
        <v>253</v>
      </c>
      <c r="D1698" s="11" t="s">
        <v>254</v>
      </c>
      <c r="E1698" s="9" t="str">
        <f>+HYPERLINK("http://trademark.i-assist.jp/data/china/image_1903th/79390665.pdf", "79390665")</f>
        <v>79390665</v>
      </c>
      <c r="F1698" s="11" t="s">
        <v>4908</v>
      </c>
      <c r="G1698" s="11" t="s">
        <v>4909</v>
      </c>
      <c r="H1698" s="11" t="s">
        <v>4910</v>
      </c>
      <c r="I1698" s="11" t="s">
        <v>4827</v>
      </c>
    </row>
    <row r="1699" spans="1:9" x14ac:dyDescent="0.15">
      <c r="A1699" s="10">
        <v>1698</v>
      </c>
      <c r="B1699" s="11" t="s">
        <v>9</v>
      </c>
      <c r="C1699" s="11" t="s">
        <v>253</v>
      </c>
      <c r="D1699" s="11" t="s">
        <v>254</v>
      </c>
      <c r="E1699" s="9" t="str">
        <f>+HYPERLINK("http://trademark.i-assist.jp/data/china/image_1903th/79390713.pdf", "79390713")</f>
        <v>79390713</v>
      </c>
      <c r="F1699" s="11" t="s">
        <v>4911</v>
      </c>
      <c r="G1699" s="11" t="s">
        <v>4912</v>
      </c>
      <c r="H1699" s="11" t="s">
        <v>4913</v>
      </c>
      <c r="I1699" s="11" t="s">
        <v>4827</v>
      </c>
    </row>
    <row r="1700" spans="1:9" x14ac:dyDescent="0.15">
      <c r="A1700" s="10">
        <v>1699</v>
      </c>
      <c r="B1700" s="11" t="s">
        <v>9</v>
      </c>
      <c r="C1700" s="11" t="s">
        <v>253</v>
      </c>
      <c r="D1700" s="11" t="s">
        <v>254</v>
      </c>
      <c r="E1700" s="9" t="str">
        <f>+HYPERLINK("http://trademark.i-assist.jp/data/china/image_1903th/79390983.pdf", "79390983")</f>
        <v>79390983</v>
      </c>
      <c r="F1700" s="11" t="s">
        <v>4914</v>
      </c>
      <c r="G1700" s="11" t="s">
        <v>4915</v>
      </c>
      <c r="H1700" s="11" t="s">
        <v>4916</v>
      </c>
      <c r="I1700" s="11" t="s">
        <v>4827</v>
      </c>
    </row>
    <row r="1701" spans="1:9" x14ac:dyDescent="0.15">
      <c r="A1701" s="10">
        <v>1700</v>
      </c>
      <c r="B1701" s="11" t="s">
        <v>9</v>
      </c>
      <c r="C1701" s="11" t="s">
        <v>253</v>
      </c>
      <c r="D1701" s="11" t="s">
        <v>254</v>
      </c>
      <c r="E1701" s="9" t="str">
        <f>+HYPERLINK("http://trademark.i-assist.jp/data/china/image_1903th/79391465.pdf", "79391465")</f>
        <v>79391465</v>
      </c>
      <c r="F1701" s="11" t="s">
        <v>4917</v>
      </c>
      <c r="G1701" s="11" t="s">
        <v>4918</v>
      </c>
      <c r="H1701" s="11" t="s">
        <v>4919</v>
      </c>
      <c r="I1701" s="11" t="s">
        <v>4827</v>
      </c>
    </row>
    <row r="1702" spans="1:9" x14ac:dyDescent="0.15">
      <c r="A1702" s="10">
        <v>1701</v>
      </c>
      <c r="B1702" s="11" t="s">
        <v>9</v>
      </c>
      <c r="C1702" s="11" t="s">
        <v>253</v>
      </c>
      <c r="D1702" s="11" t="s">
        <v>254</v>
      </c>
      <c r="E1702" s="9" t="str">
        <f>+HYPERLINK("http://trademark.i-assist.jp/data/china/image_1903th/79391647.pdf", "79391647")</f>
        <v>79391647</v>
      </c>
      <c r="F1702" s="11" t="s">
        <v>4920</v>
      </c>
      <c r="G1702" s="11" t="s">
        <v>4890</v>
      </c>
      <c r="H1702" s="11" t="s">
        <v>4921</v>
      </c>
      <c r="I1702" s="11" t="s">
        <v>4827</v>
      </c>
    </row>
    <row r="1703" spans="1:9" x14ac:dyDescent="0.15">
      <c r="A1703" s="10">
        <v>1702</v>
      </c>
      <c r="B1703" s="11" t="s">
        <v>9</v>
      </c>
      <c r="C1703" s="11" t="s">
        <v>253</v>
      </c>
      <c r="D1703" s="11" t="s">
        <v>254</v>
      </c>
      <c r="E1703" s="9" t="str">
        <f>+HYPERLINK("http://trademark.i-assist.jp/data/china/image_1903th/79391702.pdf", "79391702")</f>
        <v>79391702</v>
      </c>
      <c r="F1703" s="11" t="s">
        <v>4922</v>
      </c>
      <c r="G1703" s="11" t="s">
        <v>4923</v>
      </c>
      <c r="H1703" s="11" t="s">
        <v>4924</v>
      </c>
      <c r="I1703" s="11" t="s">
        <v>4827</v>
      </c>
    </row>
    <row r="1704" spans="1:9" x14ac:dyDescent="0.15">
      <c r="A1704" s="10">
        <v>1703</v>
      </c>
      <c r="B1704" s="11" t="s">
        <v>9</v>
      </c>
      <c r="C1704" s="11" t="s">
        <v>253</v>
      </c>
      <c r="D1704" s="11" t="s">
        <v>254</v>
      </c>
      <c r="E1704" s="9" t="str">
        <f>+HYPERLINK("http://trademark.i-assist.jp/data/china/image_1903th/79391867.pdf", "79391867")</f>
        <v>79391867</v>
      </c>
      <c r="F1704" s="11" t="s">
        <v>4925</v>
      </c>
      <c r="G1704" s="11" t="s">
        <v>4926</v>
      </c>
      <c r="H1704" s="11" t="s">
        <v>4927</v>
      </c>
      <c r="I1704" s="11" t="s">
        <v>4827</v>
      </c>
    </row>
    <row r="1705" spans="1:9" x14ac:dyDescent="0.15">
      <c r="A1705" s="10">
        <v>1704</v>
      </c>
      <c r="B1705" s="11" t="s">
        <v>9</v>
      </c>
      <c r="C1705" s="11" t="s">
        <v>253</v>
      </c>
      <c r="D1705" s="11" t="s">
        <v>254</v>
      </c>
      <c r="E1705" s="9" t="str">
        <f>+HYPERLINK("http://trademark.i-assist.jp/data/china/image_1903th/79392169.pdf", "79392169")</f>
        <v>79392169</v>
      </c>
      <c r="F1705" s="11" t="s">
        <v>4928</v>
      </c>
      <c r="G1705" s="11" t="s">
        <v>4929</v>
      </c>
      <c r="H1705" s="11" t="s">
        <v>4930</v>
      </c>
      <c r="I1705" s="11" t="s">
        <v>4827</v>
      </c>
    </row>
    <row r="1706" spans="1:9" x14ac:dyDescent="0.15">
      <c r="A1706" s="10">
        <v>1705</v>
      </c>
      <c r="B1706" s="11" t="s">
        <v>9</v>
      </c>
      <c r="C1706" s="11" t="s">
        <v>253</v>
      </c>
      <c r="D1706" s="11" t="s">
        <v>254</v>
      </c>
      <c r="E1706" s="9" t="str">
        <f>+HYPERLINK("http://trademark.i-assist.jp/data/china/image_1903th/79392187.pdf", "79392187")</f>
        <v>79392187</v>
      </c>
      <c r="F1706" s="11" t="s">
        <v>4931</v>
      </c>
      <c r="G1706" s="11" t="s">
        <v>4932</v>
      </c>
      <c r="H1706" s="11" t="s">
        <v>4933</v>
      </c>
      <c r="I1706" s="11" t="s">
        <v>4827</v>
      </c>
    </row>
    <row r="1707" spans="1:9" x14ac:dyDescent="0.15">
      <c r="A1707" s="10">
        <v>1706</v>
      </c>
      <c r="B1707" s="11" t="s">
        <v>9</v>
      </c>
      <c r="C1707" s="11" t="s">
        <v>253</v>
      </c>
      <c r="D1707" s="11" t="s">
        <v>254</v>
      </c>
      <c r="E1707" s="9" t="str">
        <f>+HYPERLINK("http://trademark.i-assist.jp/data/china/image_1903th/79392386.pdf", "79392386")</f>
        <v>79392386</v>
      </c>
      <c r="F1707" s="11" t="s">
        <v>4934</v>
      </c>
      <c r="G1707" s="11" t="s">
        <v>4935</v>
      </c>
      <c r="H1707" s="11" t="s">
        <v>4933</v>
      </c>
      <c r="I1707" s="11" t="s">
        <v>4827</v>
      </c>
    </row>
    <row r="1708" spans="1:9" x14ac:dyDescent="0.15">
      <c r="A1708" s="10">
        <v>1707</v>
      </c>
      <c r="B1708" s="11" t="s">
        <v>9</v>
      </c>
      <c r="C1708" s="11" t="s">
        <v>253</v>
      </c>
      <c r="D1708" s="11" t="s">
        <v>254</v>
      </c>
      <c r="E1708" s="9" t="str">
        <f>+HYPERLINK("http://trademark.i-assist.jp/data/china/image_1903th/79392404.pdf", "79392404")</f>
        <v>79392404</v>
      </c>
      <c r="F1708" s="11" t="s">
        <v>4936</v>
      </c>
      <c r="G1708" s="11" t="s">
        <v>4937</v>
      </c>
      <c r="H1708" s="11" t="s">
        <v>4938</v>
      </c>
      <c r="I1708" s="11" t="s">
        <v>4827</v>
      </c>
    </row>
    <row r="1709" spans="1:9" x14ac:dyDescent="0.15">
      <c r="A1709" s="10">
        <v>1708</v>
      </c>
      <c r="B1709" s="11" t="s">
        <v>9</v>
      </c>
      <c r="C1709" s="11" t="s">
        <v>253</v>
      </c>
      <c r="D1709" s="11" t="s">
        <v>254</v>
      </c>
      <c r="E1709" s="9" t="str">
        <f>+HYPERLINK("http://trademark.i-assist.jp/data/china/image_1903th/79392643.pdf", "79392643")</f>
        <v>79392643</v>
      </c>
      <c r="F1709" s="11" t="s">
        <v>4939</v>
      </c>
      <c r="G1709" s="11" t="s">
        <v>2624</v>
      </c>
      <c r="H1709" s="11" t="s">
        <v>4940</v>
      </c>
      <c r="I1709" s="11" t="s">
        <v>4827</v>
      </c>
    </row>
    <row r="1710" spans="1:9" x14ac:dyDescent="0.15">
      <c r="A1710" s="10">
        <v>1709</v>
      </c>
      <c r="B1710" s="11" t="s">
        <v>9</v>
      </c>
      <c r="C1710" s="11" t="s">
        <v>253</v>
      </c>
      <c r="D1710" s="11" t="s">
        <v>254</v>
      </c>
      <c r="E1710" s="9" t="str">
        <f>+HYPERLINK("http://trademark.i-assist.jp/data/china/image_1903th/79392742.pdf", "79392742")</f>
        <v>79392742</v>
      </c>
      <c r="F1710" s="11" t="s">
        <v>4941</v>
      </c>
      <c r="G1710" s="11" t="s">
        <v>4942</v>
      </c>
      <c r="H1710" s="11" t="s">
        <v>4943</v>
      </c>
      <c r="I1710" s="11" t="s">
        <v>4827</v>
      </c>
    </row>
    <row r="1711" spans="1:9" x14ac:dyDescent="0.15">
      <c r="A1711" s="10">
        <v>1710</v>
      </c>
      <c r="B1711" s="11" t="s">
        <v>9</v>
      </c>
      <c r="C1711" s="11" t="s">
        <v>253</v>
      </c>
      <c r="D1711" s="11" t="s">
        <v>254</v>
      </c>
      <c r="E1711" s="9" t="str">
        <f>+HYPERLINK("http://trademark.i-assist.jp/data/china/image_1903th/79392933.pdf", "79392933")</f>
        <v>79392933</v>
      </c>
      <c r="F1711" s="11" t="s">
        <v>4944</v>
      </c>
      <c r="G1711" s="11" t="s">
        <v>4945</v>
      </c>
      <c r="H1711" s="11" t="s">
        <v>4946</v>
      </c>
      <c r="I1711" s="11" t="s">
        <v>4827</v>
      </c>
    </row>
    <row r="1712" spans="1:9" x14ac:dyDescent="0.15">
      <c r="A1712" s="10">
        <v>1711</v>
      </c>
      <c r="B1712" s="11" t="s">
        <v>9</v>
      </c>
      <c r="C1712" s="11" t="s">
        <v>253</v>
      </c>
      <c r="D1712" s="11" t="s">
        <v>254</v>
      </c>
      <c r="E1712" s="9" t="str">
        <f>+HYPERLINK("http://trademark.i-assist.jp/data/china/image_1903th/79393145.pdf", "79393145")</f>
        <v>79393145</v>
      </c>
      <c r="F1712" s="11" t="s">
        <v>4947</v>
      </c>
      <c r="G1712" s="11" t="s">
        <v>4948</v>
      </c>
      <c r="H1712" s="11" t="s">
        <v>4949</v>
      </c>
      <c r="I1712" s="11" t="s">
        <v>4827</v>
      </c>
    </row>
    <row r="1713" spans="1:9" x14ac:dyDescent="0.15">
      <c r="A1713" s="10">
        <v>1712</v>
      </c>
      <c r="B1713" s="11" t="s">
        <v>9</v>
      </c>
      <c r="C1713" s="11" t="s">
        <v>253</v>
      </c>
      <c r="D1713" s="11" t="s">
        <v>254</v>
      </c>
      <c r="E1713" s="9" t="str">
        <f>+HYPERLINK("http://trademark.i-assist.jp/data/china/image_1903th/79393268.pdf", "79393268")</f>
        <v>79393268</v>
      </c>
      <c r="F1713" s="11" t="s">
        <v>4950</v>
      </c>
      <c r="G1713" s="11" t="s">
        <v>4951</v>
      </c>
      <c r="H1713" s="11" t="s">
        <v>4952</v>
      </c>
      <c r="I1713" s="11" t="s">
        <v>4827</v>
      </c>
    </row>
    <row r="1714" spans="1:9" x14ac:dyDescent="0.15">
      <c r="A1714" s="10">
        <v>1713</v>
      </c>
      <c r="B1714" s="11" t="s">
        <v>9</v>
      </c>
      <c r="C1714" s="11" t="s">
        <v>253</v>
      </c>
      <c r="D1714" s="11" t="s">
        <v>254</v>
      </c>
      <c r="E1714" s="9" t="str">
        <f>+HYPERLINK("http://trademark.i-assist.jp/data/china/image_1903th/79393315.pdf", "79393315")</f>
        <v>79393315</v>
      </c>
      <c r="F1714" s="11" t="s">
        <v>4953</v>
      </c>
      <c r="G1714" s="11" t="s">
        <v>4954</v>
      </c>
      <c r="H1714" s="11" t="s">
        <v>4955</v>
      </c>
      <c r="I1714" s="11" t="s">
        <v>4827</v>
      </c>
    </row>
    <row r="1715" spans="1:9" x14ac:dyDescent="0.15">
      <c r="A1715" s="10">
        <v>1714</v>
      </c>
      <c r="B1715" s="11" t="s">
        <v>9</v>
      </c>
      <c r="C1715" s="11" t="s">
        <v>253</v>
      </c>
      <c r="D1715" s="11" t="s">
        <v>254</v>
      </c>
      <c r="E1715" s="9" t="str">
        <f>+HYPERLINK("http://trademark.i-assist.jp/data/china/image_1903th/79393560.pdf", "79393560")</f>
        <v>79393560</v>
      </c>
      <c r="F1715" s="11" t="s">
        <v>4956</v>
      </c>
      <c r="G1715" s="11" t="s">
        <v>38</v>
      </c>
      <c r="H1715" s="11" t="s">
        <v>4957</v>
      </c>
      <c r="I1715" s="11" t="s">
        <v>4827</v>
      </c>
    </row>
    <row r="1716" spans="1:9" x14ac:dyDescent="0.15">
      <c r="A1716" s="10">
        <v>1715</v>
      </c>
      <c r="B1716" s="11" t="s">
        <v>9</v>
      </c>
      <c r="C1716" s="11" t="s">
        <v>253</v>
      </c>
      <c r="D1716" s="11" t="s">
        <v>254</v>
      </c>
      <c r="E1716" s="9" t="str">
        <f>+HYPERLINK("http://trademark.i-assist.jp/data/china/image_1903th/79393702.pdf", "79393702")</f>
        <v>79393702</v>
      </c>
      <c r="F1716" s="11" t="s">
        <v>4958</v>
      </c>
      <c r="G1716" s="11" t="s">
        <v>4851</v>
      </c>
      <c r="H1716" s="11" t="s">
        <v>4959</v>
      </c>
      <c r="I1716" s="11" t="s">
        <v>4827</v>
      </c>
    </row>
    <row r="1717" spans="1:9" x14ac:dyDescent="0.15">
      <c r="A1717" s="10">
        <v>1716</v>
      </c>
      <c r="B1717" s="11" t="s">
        <v>9</v>
      </c>
      <c r="C1717" s="11" t="s">
        <v>253</v>
      </c>
      <c r="D1717" s="11" t="s">
        <v>254</v>
      </c>
      <c r="E1717" s="9" t="str">
        <f>+HYPERLINK("http://trademark.i-assist.jp/data/china/image_1903th/79393745.pdf", "79393745")</f>
        <v>79393745</v>
      </c>
      <c r="F1717" s="11" t="s">
        <v>4960</v>
      </c>
      <c r="G1717" s="11" t="s">
        <v>3686</v>
      </c>
      <c r="H1717" s="11" t="s">
        <v>4961</v>
      </c>
      <c r="I1717" s="11" t="s">
        <v>4827</v>
      </c>
    </row>
    <row r="1718" spans="1:9" x14ac:dyDescent="0.15">
      <c r="A1718" s="10">
        <v>1717</v>
      </c>
      <c r="B1718" s="11" t="s">
        <v>9</v>
      </c>
      <c r="C1718" s="11" t="s">
        <v>253</v>
      </c>
      <c r="D1718" s="11" t="s">
        <v>254</v>
      </c>
      <c r="E1718" s="9" t="str">
        <f>+HYPERLINK("http://trademark.i-assist.jp/data/china/image_1903th/79393904.pdf", "79393904")</f>
        <v>79393904</v>
      </c>
      <c r="F1718" s="11" t="s">
        <v>4962</v>
      </c>
      <c r="G1718" s="11" t="s">
        <v>4963</v>
      </c>
      <c r="H1718" s="11" t="s">
        <v>4964</v>
      </c>
      <c r="I1718" s="11" t="s">
        <v>4827</v>
      </c>
    </row>
    <row r="1719" spans="1:9" x14ac:dyDescent="0.15">
      <c r="A1719" s="10">
        <v>1718</v>
      </c>
      <c r="B1719" s="11" t="s">
        <v>9</v>
      </c>
      <c r="C1719" s="11" t="s">
        <v>253</v>
      </c>
      <c r="D1719" s="11" t="s">
        <v>254</v>
      </c>
      <c r="E1719" s="9" t="str">
        <f>+HYPERLINK("http://trademark.i-assist.jp/data/china/image_1903th/79394136.pdf", "79394136")</f>
        <v>79394136</v>
      </c>
      <c r="F1719" s="11" t="s">
        <v>4965</v>
      </c>
      <c r="G1719" s="11" t="s">
        <v>4966</v>
      </c>
      <c r="H1719" s="11" t="s">
        <v>4967</v>
      </c>
      <c r="I1719" s="11" t="s">
        <v>4827</v>
      </c>
    </row>
    <row r="1720" spans="1:9" x14ac:dyDescent="0.15">
      <c r="A1720" s="10">
        <v>1719</v>
      </c>
      <c r="B1720" s="11" t="s">
        <v>9</v>
      </c>
      <c r="C1720" s="11" t="s">
        <v>253</v>
      </c>
      <c r="D1720" s="11" t="s">
        <v>254</v>
      </c>
      <c r="E1720" s="9" t="str">
        <f>+HYPERLINK("http://trademark.i-assist.jp/data/china/image_1903th/79394296.pdf", "79394296")</f>
        <v>79394296</v>
      </c>
      <c r="F1720" s="11" t="s">
        <v>4968</v>
      </c>
      <c r="G1720" s="11" t="s">
        <v>38</v>
      </c>
      <c r="H1720" s="11" t="s">
        <v>4969</v>
      </c>
      <c r="I1720" s="11" t="s">
        <v>4827</v>
      </c>
    </row>
    <row r="1721" spans="1:9" x14ac:dyDescent="0.15">
      <c r="A1721" s="10">
        <v>1720</v>
      </c>
      <c r="B1721" s="11" t="s">
        <v>9</v>
      </c>
      <c r="C1721" s="11" t="s">
        <v>253</v>
      </c>
      <c r="D1721" s="11" t="s">
        <v>254</v>
      </c>
      <c r="E1721" s="9" t="str">
        <f>+HYPERLINK("http://trademark.i-assist.jp/data/china/image_1903th/79394502.pdf", "79394502")</f>
        <v>79394502</v>
      </c>
      <c r="F1721" s="11" t="s">
        <v>4970</v>
      </c>
      <c r="G1721" s="11" t="s">
        <v>4971</v>
      </c>
      <c r="H1721" s="11" t="s">
        <v>4972</v>
      </c>
      <c r="I1721" s="11" t="s">
        <v>4827</v>
      </c>
    </row>
    <row r="1722" spans="1:9" x14ac:dyDescent="0.15">
      <c r="A1722" s="10">
        <v>1721</v>
      </c>
      <c r="B1722" s="11" t="s">
        <v>9</v>
      </c>
      <c r="C1722" s="11" t="s">
        <v>253</v>
      </c>
      <c r="D1722" s="11" t="s">
        <v>254</v>
      </c>
      <c r="E1722" s="9" t="str">
        <f>+HYPERLINK("http://trademark.i-assist.jp/data/china/image_1903th/79394864.pdf", "79394864")</f>
        <v>79394864</v>
      </c>
      <c r="F1722" s="11" t="s">
        <v>4973</v>
      </c>
      <c r="G1722" s="11" t="s">
        <v>4974</v>
      </c>
      <c r="H1722" s="11" t="s">
        <v>4975</v>
      </c>
      <c r="I1722" s="11" t="s">
        <v>4827</v>
      </c>
    </row>
    <row r="1723" spans="1:9" x14ac:dyDescent="0.15">
      <c r="A1723" s="10">
        <v>1722</v>
      </c>
      <c r="B1723" s="11" t="s">
        <v>9</v>
      </c>
      <c r="C1723" s="11" t="s">
        <v>253</v>
      </c>
      <c r="D1723" s="11" t="s">
        <v>254</v>
      </c>
      <c r="E1723" s="9" t="str">
        <f>+HYPERLINK("http://trademark.i-assist.jp/data/china/image_1903th/79394876.pdf", "79394876")</f>
        <v>79394876</v>
      </c>
      <c r="F1723" s="11" t="s">
        <v>4976</v>
      </c>
      <c r="G1723" s="11" t="s">
        <v>4977</v>
      </c>
      <c r="H1723" s="11" t="s">
        <v>4978</v>
      </c>
      <c r="I1723" s="11" t="s">
        <v>4827</v>
      </c>
    </row>
    <row r="1724" spans="1:9" x14ac:dyDescent="0.15">
      <c r="A1724" s="10">
        <v>1723</v>
      </c>
      <c r="B1724" s="11" t="s">
        <v>9</v>
      </c>
      <c r="C1724" s="11" t="s">
        <v>253</v>
      </c>
      <c r="D1724" s="11" t="s">
        <v>254</v>
      </c>
      <c r="E1724" s="9" t="str">
        <f>+HYPERLINK("http://trademark.i-assist.jp/data/china/image_1903th/79395069.pdf", "79395069")</f>
        <v>79395069</v>
      </c>
      <c r="F1724" s="11" t="s">
        <v>4979</v>
      </c>
      <c r="G1724" s="11" t="s">
        <v>4980</v>
      </c>
      <c r="H1724" s="11" t="s">
        <v>4981</v>
      </c>
      <c r="I1724" s="11" t="s">
        <v>4827</v>
      </c>
    </row>
    <row r="1725" spans="1:9" x14ac:dyDescent="0.15">
      <c r="A1725" s="10">
        <v>1724</v>
      </c>
      <c r="B1725" s="11" t="s">
        <v>9</v>
      </c>
      <c r="C1725" s="11" t="s">
        <v>253</v>
      </c>
      <c r="D1725" s="11" t="s">
        <v>254</v>
      </c>
      <c r="E1725" s="9" t="str">
        <f>+HYPERLINK("http://trademark.i-assist.jp/data/china/image_1903th/79395179.pdf", "79395179")</f>
        <v>79395179</v>
      </c>
      <c r="F1725" s="11" t="s">
        <v>4982</v>
      </c>
      <c r="G1725" s="11" t="s">
        <v>4983</v>
      </c>
      <c r="H1725" s="11" t="s">
        <v>4984</v>
      </c>
      <c r="I1725" s="11" t="s">
        <v>4827</v>
      </c>
    </row>
    <row r="1726" spans="1:9" x14ac:dyDescent="0.15">
      <c r="A1726" s="10">
        <v>1725</v>
      </c>
      <c r="B1726" s="11" t="s">
        <v>9</v>
      </c>
      <c r="C1726" s="11" t="s">
        <v>253</v>
      </c>
      <c r="D1726" s="11" t="s">
        <v>254</v>
      </c>
      <c r="E1726" s="9" t="str">
        <f>+HYPERLINK("http://trademark.i-assist.jp/data/china/image_1903th/79395221.pdf", "79395221")</f>
        <v>79395221</v>
      </c>
      <c r="F1726" s="11" t="s">
        <v>4985</v>
      </c>
      <c r="G1726" s="11" t="s">
        <v>4986</v>
      </c>
      <c r="H1726" s="11" t="s">
        <v>4987</v>
      </c>
      <c r="I1726" s="11" t="s">
        <v>4827</v>
      </c>
    </row>
    <row r="1727" spans="1:9" x14ac:dyDescent="0.15">
      <c r="A1727" s="10">
        <v>1726</v>
      </c>
      <c r="B1727" s="11" t="s">
        <v>9</v>
      </c>
      <c r="C1727" s="11" t="s">
        <v>253</v>
      </c>
      <c r="D1727" s="11" t="s">
        <v>254</v>
      </c>
      <c r="E1727" s="9" t="str">
        <f>+HYPERLINK("http://trademark.i-assist.jp/data/china/image_1903th/79395331.pdf", "79395331")</f>
        <v>79395331</v>
      </c>
      <c r="F1727" s="11" t="s">
        <v>4988</v>
      </c>
      <c r="G1727" s="11" t="s">
        <v>4989</v>
      </c>
      <c r="H1727" s="11" t="s">
        <v>4990</v>
      </c>
      <c r="I1727" s="11" t="s">
        <v>4827</v>
      </c>
    </row>
    <row r="1728" spans="1:9" x14ac:dyDescent="0.15">
      <c r="A1728" s="10">
        <v>1727</v>
      </c>
      <c r="B1728" s="11" t="s">
        <v>9</v>
      </c>
      <c r="C1728" s="11" t="s">
        <v>253</v>
      </c>
      <c r="D1728" s="11" t="s">
        <v>254</v>
      </c>
      <c r="E1728" s="9" t="str">
        <f>+HYPERLINK("http://trademark.i-assist.jp/data/china/image_1903th/79395340.pdf", "79395340")</f>
        <v>79395340</v>
      </c>
      <c r="F1728" s="11" t="s">
        <v>4991</v>
      </c>
      <c r="G1728" s="11" t="s">
        <v>4992</v>
      </c>
      <c r="H1728" s="11" t="s">
        <v>4993</v>
      </c>
      <c r="I1728" s="11" t="s">
        <v>4827</v>
      </c>
    </row>
    <row r="1729" spans="1:9" x14ac:dyDescent="0.15">
      <c r="A1729" s="10">
        <v>1728</v>
      </c>
      <c r="B1729" s="11" t="s">
        <v>9</v>
      </c>
      <c r="C1729" s="11" t="s">
        <v>253</v>
      </c>
      <c r="D1729" s="11" t="s">
        <v>254</v>
      </c>
      <c r="E1729" s="9" t="str">
        <f>+HYPERLINK("http://trademark.i-assist.jp/data/china/image_1903th/79395612.pdf", "79395612")</f>
        <v>79395612</v>
      </c>
      <c r="F1729" s="11" t="s">
        <v>4994</v>
      </c>
      <c r="G1729" s="11" t="s">
        <v>228</v>
      </c>
      <c r="H1729" s="11" t="s">
        <v>4995</v>
      </c>
      <c r="I1729" s="11" t="s">
        <v>4827</v>
      </c>
    </row>
    <row r="1730" spans="1:9" x14ac:dyDescent="0.15">
      <c r="A1730" s="10">
        <v>1729</v>
      </c>
      <c r="B1730" s="11" t="s">
        <v>9</v>
      </c>
      <c r="C1730" s="11" t="s">
        <v>253</v>
      </c>
      <c r="D1730" s="11" t="s">
        <v>254</v>
      </c>
      <c r="E1730" s="9" t="str">
        <f>+HYPERLINK("http://trademark.i-assist.jp/data/china/image_1903th/79395648.pdf", "79395648")</f>
        <v>79395648</v>
      </c>
      <c r="F1730" s="11" t="s">
        <v>4996</v>
      </c>
      <c r="G1730" s="11" t="s">
        <v>4997</v>
      </c>
      <c r="H1730" s="11" t="s">
        <v>4998</v>
      </c>
      <c r="I1730" s="11" t="s">
        <v>4827</v>
      </c>
    </row>
    <row r="1731" spans="1:9" x14ac:dyDescent="0.15">
      <c r="A1731" s="10">
        <v>1730</v>
      </c>
      <c r="B1731" s="11" t="s">
        <v>9</v>
      </c>
      <c r="C1731" s="11" t="s">
        <v>253</v>
      </c>
      <c r="D1731" s="11" t="s">
        <v>254</v>
      </c>
      <c r="E1731" s="9" t="str">
        <f>+HYPERLINK("http://trademark.i-assist.jp/data/china/image_1903th/79395719.pdf", "79395719")</f>
        <v>79395719</v>
      </c>
      <c r="F1731" s="11" t="s">
        <v>4999</v>
      </c>
      <c r="G1731" s="11" t="s">
        <v>4843</v>
      </c>
      <c r="H1731" s="11" t="s">
        <v>5000</v>
      </c>
      <c r="I1731" s="11" t="s">
        <v>4827</v>
      </c>
    </row>
    <row r="1732" spans="1:9" x14ac:dyDescent="0.15">
      <c r="A1732" s="10">
        <v>1731</v>
      </c>
      <c r="B1732" s="11" t="s">
        <v>9</v>
      </c>
      <c r="C1732" s="11" t="s">
        <v>253</v>
      </c>
      <c r="D1732" s="11" t="s">
        <v>254</v>
      </c>
      <c r="E1732" s="9" t="str">
        <f>+HYPERLINK("http://trademark.i-assist.jp/data/china/image_1903th/79396056.pdf", "79396056")</f>
        <v>79396056</v>
      </c>
      <c r="F1732" s="11" t="s">
        <v>5001</v>
      </c>
      <c r="G1732" s="11" t="s">
        <v>5002</v>
      </c>
      <c r="H1732" s="11" t="s">
        <v>5003</v>
      </c>
      <c r="I1732" s="11" t="s">
        <v>4827</v>
      </c>
    </row>
    <row r="1733" spans="1:9" x14ac:dyDescent="0.15">
      <c r="A1733" s="10">
        <v>1732</v>
      </c>
      <c r="B1733" s="11" t="s">
        <v>9</v>
      </c>
      <c r="C1733" s="11" t="s">
        <v>253</v>
      </c>
      <c r="D1733" s="11" t="s">
        <v>254</v>
      </c>
      <c r="E1733" s="9" t="str">
        <f>+HYPERLINK("http://trademark.i-assist.jp/data/china/image_1903th/79396114.pdf", "79396114")</f>
        <v>79396114</v>
      </c>
      <c r="F1733" s="11" t="s">
        <v>5004</v>
      </c>
      <c r="G1733" s="11" t="s">
        <v>5005</v>
      </c>
      <c r="H1733" s="11" t="s">
        <v>5006</v>
      </c>
      <c r="I1733" s="11" t="s">
        <v>4827</v>
      </c>
    </row>
    <row r="1734" spans="1:9" x14ac:dyDescent="0.15">
      <c r="A1734" s="10">
        <v>1733</v>
      </c>
      <c r="B1734" s="11" t="s">
        <v>9</v>
      </c>
      <c r="C1734" s="11" t="s">
        <v>253</v>
      </c>
      <c r="D1734" s="11" t="s">
        <v>254</v>
      </c>
      <c r="E1734" s="9" t="str">
        <f>+HYPERLINK("http://trademark.i-assist.jp/data/china/image_1903th/79396201.pdf", "79396201")</f>
        <v>79396201</v>
      </c>
      <c r="F1734" s="11" t="s">
        <v>5007</v>
      </c>
      <c r="G1734" s="11" t="s">
        <v>5008</v>
      </c>
      <c r="H1734" s="11" t="s">
        <v>5009</v>
      </c>
      <c r="I1734" s="11" t="s">
        <v>4827</v>
      </c>
    </row>
    <row r="1735" spans="1:9" x14ac:dyDescent="0.15">
      <c r="A1735" s="10">
        <v>1734</v>
      </c>
      <c r="B1735" s="11" t="s">
        <v>9</v>
      </c>
      <c r="C1735" s="11" t="s">
        <v>253</v>
      </c>
      <c r="D1735" s="11" t="s">
        <v>254</v>
      </c>
      <c r="E1735" s="9" t="str">
        <f>+HYPERLINK("http://trademark.i-assist.jp/data/china/image_1903th/79396346.pdf", "79396346")</f>
        <v>79396346</v>
      </c>
      <c r="F1735" s="11" t="s">
        <v>5010</v>
      </c>
      <c r="G1735" s="11" t="s">
        <v>61</v>
      </c>
      <c r="H1735" s="11" t="s">
        <v>5011</v>
      </c>
      <c r="I1735" s="11" t="s">
        <v>4827</v>
      </c>
    </row>
    <row r="1736" spans="1:9" x14ac:dyDescent="0.15">
      <c r="A1736" s="10">
        <v>1735</v>
      </c>
      <c r="B1736" s="11" t="s">
        <v>9</v>
      </c>
      <c r="C1736" s="11" t="s">
        <v>253</v>
      </c>
      <c r="D1736" s="11" t="s">
        <v>254</v>
      </c>
      <c r="E1736" s="9" t="str">
        <f>+HYPERLINK("http://trademark.i-assist.jp/data/china/image_1903th/79396426.pdf", "79396426")</f>
        <v>79396426</v>
      </c>
      <c r="F1736" s="11" t="s">
        <v>5012</v>
      </c>
      <c r="G1736" s="11" t="s">
        <v>5013</v>
      </c>
      <c r="H1736" s="11" t="s">
        <v>5014</v>
      </c>
      <c r="I1736" s="11" t="s">
        <v>4827</v>
      </c>
    </row>
    <row r="1737" spans="1:9" x14ac:dyDescent="0.15">
      <c r="A1737" s="10">
        <v>1736</v>
      </c>
      <c r="B1737" s="11" t="s">
        <v>9</v>
      </c>
      <c r="C1737" s="11" t="s">
        <v>253</v>
      </c>
      <c r="D1737" s="11" t="s">
        <v>254</v>
      </c>
      <c r="E1737" s="9" t="str">
        <f>+HYPERLINK("http://trademark.i-assist.jp/data/china/image_1903th/79396503.pdf", "79396503")</f>
        <v>79396503</v>
      </c>
      <c r="F1737" s="11" t="s">
        <v>5015</v>
      </c>
      <c r="G1737" s="11" t="s">
        <v>4887</v>
      </c>
      <c r="H1737" s="11" t="s">
        <v>5016</v>
      </c>
      <c r="I1737" s="11" t="s">
        <v>4827</v>
      </c>
    </row>
    <row r="1738" spans="1:9" x14ac:dyDescent="0.15">
      <c r="A1738" s="10">
        <v>1737</v>
      </c>
      <c r="B1738" s="11" t="s">
        <v>9</v>
      </c>
      <c r="C1738" s="11" t="s">
        <v>253</v>
      </c>
      <c r="D1738" s="11" t="s">
        <v>254</v>
      </c>
      <c r="E1738" s="9" t="str">
        <f>+HYPERLINK("http://trademark.i-assist.jp/data/china/image_1903th/79396619.pdf", "79396619")</f>
        <v>79396619</v>
      </c>
      <c r="F1738" s="11" t="s">
        <v>5017</v>
      </c>
      <c r="G1738" s="11" t="s">
        <v>5018</v>
      </c>
      <c r="H1738" s="11" t="s">
        <v>5019</v>
      </c>
      <c r="I1738" s="11" t="s">
        <v>4827</v>
      </c>
    </row>
    <row r="1739" spans="1:9" x14ac:dyDescent="0.15">
      <c r="A1739" s="10">
        <v>1738</v>
      </c>
      <c r="B1739" s="11" t="s">
        <v>9</v>
      </c>
      <c r="C1739" s="11" t="s">
        <v>253</v>
      </c>
      <c r="D1739" s="11" t="s">
        <v>254</v>
      </c>
      <c r="E1739" s="9" t="str">
        <f>+HYPERLINK("http://trademark.i-assist.jp/data/china/image_1903th/79396632.pdf", "79396632")</f>
        <v>79396632</v>
      </c>
      <c r="F1739" s="11" t="s">
        <v>5020</v>
      </c>
      <c r="G1739" s="11" t="s">
        <v>4864</v>
      </c>
      <c r="H1739" s="11" t="s">
        <v>5021</v>
      </c>
      <c r="I1739" s="11" t="s">
        <v>4827</v>
      </c>
    </row>
    <row r="1740" spans="1:9" x14ac:dyDescent="0.15">
      <c r="A1740" s="10">
        <v>1739</v>
      </c>
      <c r="B1740" s="11" t="s">
        <v>9</v>
      </c>
      <c r="C1740" s="11" t="s">
        <v>253</v>
      </c>
      <c r="D1740" s="11" t="s">
        <v>254</v>
      </c>
      <c r="E1740" s="9" t="str">
        <f>+HYPERLINK("http://trademark.i-assist.jp/data/china/image_1903th/79396819.pdf", "79396819")</f>
        <v>79396819</v>
      </c>
      <c r="F1740" s="11" t="s">
        <v>5022</v>
      </c>
      <c r="G1740" s="11" t="s">
        <v>5023</v>
      </c>
      <c r="H1740" s="11" t="s">
        <v>5024</v>
      </c>
      <c r="I1740" s="11" t="s">
        <v>4827</v>
      </c>
    </row>
    <row r="1741" spans="1:9" x14ac:dyDescent="0.15">
      <c r="A1741" s="10">
        <v>1740</v>
      </c>
      <c r="B1741" s="11" t="s">
        <v>9</v>
      </c>
      <c r="C1741" s="11" t="s">
        <v>253</v>
      </c>
      <c r="D1741" s="11" t="s">
        <v>254</v>
      </c>
      <c r="E1741" s="9" t="str">
        <f>+HYPERLINK("http://trademark.i-assist.jp/data/china/image_1903th/79396851.pdf", "79396851")</f>
        <v>79396851</v>
      </c>
      <c r="F1741" s="11" t="s">
        <v>5025</v>
      </c>
      <c r="G1741" s="11" t="s">
        <v>135</v>
      </c>
      <c r="H1741" s="11" t="s">
        <v>5026</v>
      </c>
      <c r="I1741" s="11" t="s">
        <v>4827</v>
      </c>
    </row>
    <row r="1742" spans="1:9" x14ac:dyDescent="0.15">
      <c r="A1742" s="10">
        <v>1741</v>
      </c>
      <c r="B1742" s="11" t="s">
        <v>9</v>
      </c>
      <c r="C1742" s="11" t="s">
        <v>253</v>
      </c>
      <c r="D1742" s="11" t="s">
        <v>254</v>
      </c>
      <c r="E1742" s="9" t="str">
        <f>+HYPERLINK("http://trademark.i-assist.jp/data/china/image_1903th/79396853.pdf", "79396853")</f>
        <v>79396853</v>
      </c>
      <c r="F1742" s="11" t="s">
        <v>5027</v>
      </c>
      <c r="G1742" s="11" t="s">
        <v>5028</v>
      </c>
      <c r="H1742" s="11" t="s">
        <v>5029</v>
      </c>
      <c r="I1742" s="11" t="s">
        <v>4827</v>
      </c>
    </row>
    <row r="1743" spans="1:9" x14ac:dyDescent="0.15">
      <c r="A1743" s="10">
        <v>1742</v>
      </c>
      <c r="B1743" s="11" t="s">
        <v>9</v>
      </c>
      <c r="C1743" s="11" t="s">
        <v>253</v>
      </c>
      <c r="D1743" s="11" t="s">
        <v>254</v>
      </c>
      <c r="E1743" s="9" t="str">
        <f>+HYPERLINK("http://trademark.i-assist.jp/data/china/image_1903th/79396933.pdf", "79396933")</f>
        <v>79396933</v>
      </c>
      <c r="F1743" s="11" t="s">
        <v>5030</v>
      </c>
      <c r="G1743" s="11" t="s">
        <v>38</v>
      </c>
      <c r="H1743" s="11" t="s">
        <v>5031</v>
      </c>
      <c r="I1743" s="11" t="s">
        <v>4827</v>
      </c>
    </row>
    <row r="1744" spans="1:9" x14ac:dyDescent="0.15">
      <c r="A1744" s="10">
        <v>1743</v>
      </c>
      <c r="B1744" s="11" t="s">
        <v>9</v>
      </c>
      <c r="C1744" s="11" t="s">
        <v>253</v>
      </c>
      <c r="D1744" s="11" t="s">
        <v>254</v>
      </c>
      <c r="E1744" s="9" t="str">
        <f>+HYPERLINK("http://trademark.i-assist.jp/data/china/image_1903th/79397051.pdf", "79397051")</f>
        <v>79397051</v>
      </c>
      <c r="F1744" s="11" t="s">
        <v>5032</v>
      </c>
      <c r="G1744" s="11" t="s">
        <v>5033</v>
      </c>
      <c r="H1744" s="11" t="s">
        <v>5034</v>
      </c>
      <c r="I1744" s="11" t="s">
        <v>4827</v>
      </c>
    </row>
    <row r="1745" spans="1:9" x14ac:dyDescent="0.15">
      <c r="A1745" s="10">
        <v>1744</v>
      </c>
      <c r="B1745" s="11" t="s">
        <v>9</v>
      </c>
      <c r="C1745" s="11" t="s">
        <v>253</v>
      </c>
      <c r="D1745" s="11" t="s">
        <v>254</v>
      </c>
      <c r="E1745" s="9" t="str">
        <f>+HYPERLINK("http://trademark.i-assist.jp/data/china/image_1903th/79397057.pdf", "79397057")</f>
        <v>79397057</v>
      </c>
      <c r="F1745" s="11" t="s">
        <v>5035</v>
      </c>
      <c r="G1745" s="11" t="s">
        <v>5036</v>
      </c>
      <c r="H1745" s="11" t="s">
        <v>5037</v>
      </c>
      <c r="I1745" s="11" t="s">
        <v>4827</v>
      </c>
    </row>
    <row r="1746" spans="1:9" x14ac:dyDescent="0.15">
      <c r="A1746" s="10">
        <v>1745</v>
      </c>
      <c r="B1746" s="11" t="s">
        <v>9</v>
      </c>
      <c r="C1746" s="11" t="s">
        <v>253</v>
      </c>
      <c r="D1746" s="11" t="s">
        <v>254</v>
      </c>
      <c r="E1746" s="9" t="str">
        <f>+HYPERLINK("http://trademark.i-assist.jp/data/china/image_1903th/79397278.pdf", "79397278")</f>
        <v>79397278</v>
      </c>
      <c r="F1746" s="11" t="s">
        <v>12</v>
      </c>
      <c r="G1746" s="11" t="s">
        <v>5038</v>
      </c>
      <c r="H1746" s="11" t="s">
        <v>5039</v>
      </c>
      <c r="I1746" s="11" t="s">
        <v>4827</v>
      </c>
    </row>
    <row r="1747" spans="1:9" x14ac:dyDescent="0.15">
      <c r="A1747" s="10">
        <v>1746</v>
      </c>
      <c r="B1747" s="11" t="s">
        <v>9</v>
      </c>
      <c r="C1747" s="11" t="s">
        <v>253</v>
      </c>
      <c r="D1747" s="11" t="s">
        <v>254</v>
      </c>
      <c r="E1747" s="9" t="str">
        <f>+HYPERLINK("http://trademark.i-assist.jp/data/china/image_1903th/79397422.pdf", "79397422")</f>
        <v>79397422</v>
      </c>
      <c r="F1747" s="11" t="s">
        <v>5040</v>
      </c>
      <c r="G1747" s="11" t="s">
        <v>5041</v>
      </c>
      <c r="H1747" s="11" t="s">
        <v>5042</v>
      </c>
      <c r="I1747" s="11" t="s">
        <v>4827</v>
      </c>
    </row>
    <row r="1748" spans="1:9" x14ac:dyDescent="0.15">
      <c r="A1748" s="10">
        <v>1747</v>
      </c>
      <c r="B1748" s="11" t="s">
        <v>9</v>
      </c>
      <c r="C1748" s="11" t="s">
        <v>253</v>
      </c>
      <c r="D1748" s="11" t="s">
        <v>254</v>
      </c>
      <c r="E1748" s="9" t="str">
        <f>+HYPERLINK("http://trademark.i-assist.jp/data/china/image_1903th/79397482.pdf", "79397482")</f>
        <v>79397482</v>
      </c>
      <c r="F1748" s="11" t="s">
        <v>5043</v>
      </c>
      <c r="G1748" s="11" t="s">
        <v>5044</v>
      </c>
      <c r="H1748" s="11" t="s">
        <v>5045</v>
      </c>
      <c r="I1748" s="11" t="s">
        <v>4827</v>
      </c>
    </row>
    <row r="1749" spans="1:9" x14ac:dyDescent="0.15">
      <c r="A1749" s="10">
        <v>1748</v>
      </c>
      <c r="B1749" s="11" t="s">
        <v>9</v>
      </c>
      <c r="C1749" s="11" t="s">
        <v>253</v>
      </c>
      <c r="D1749" s="11" t="s">
        <v>254</v>
      </c>
      <c r="E1749" s="9" t="str">
        <f>+HYPERLINK("http://trademark.i-assist.jp/data/china/image_1903th/79397556.pdf", "79397556")</f>
        <v>79397556</v>
      </c>
      <c r="F1749" s="11" t="s">
        <v>5046</v>
      </c>
      <c r="G1749" s="11" t="s">
        <v>4829</v>
      </c>
      <c r="H1749" s="11" t="s">
        <v>5047</v>
      </c>
      <c r="I1749" s="11" t="s">
        <v>4827</v>
      </c>
    </row>
    <row r="1750" spans="1:9" x14ac:dyDescent="0.15">
      <c r="A1750" s="10">
        <v>1749</v>
      </c>
      <c r="B1750" s="11" t="s">
        <v>9</v>
      </c>
      <c r="C1750" s="11" t="s">
        <v>253</v>
      </c>
      <c r="D1750" s="11" t="s">
        <v>254</v>
      </c>
      <c r="E1750" s="9" t="str">
        <f>+HYPERLINK("http://trademark.i-assist.jp/data/china/image_1903th/79397893.pdf", "79397893")</f>
        <v>79397893</v>
      </c>
      <c r="F1750" s="11" t="s">
        <v>5048</v>
      </c>
      <c r="G1750" s="11" t="s">
        <v>4851</v>
      </c>
      <c r="H1750" s="11" t="s">
        <v>5049</v>
      </c>
      <c r="I1750" s="11" t="s">
        <v>4827</v>
      </c>
    </row>
    <row r="1751" spans="1:9" x14ac:dyDescent="0.15">
      <c r="A1751" s="10">
        <v>1750</v>
      </c>
      <c r="B1751" s="11" t="s">
        <v>9</v>
      </c>
      <c r="C1751" s="11" t="s">
        <v>253</v>
      </c>
      <c r="D1751" s="11" t="s">
        <v>254</v>
      </c>
      <c r="E1751" s="9" t="str">
        <f>+HYPERLINK("http://trademark.i-assist.jp/data/china/image_1903th/79397934.pdf", "79397934")</f>
        <v>79397934</v>
      </c>
      <c r="F1751" s="11" t="s">
        <v>12</v>
      </c>
      <c r="G1751" s="11" t="s">
        <v>5050</v>
      </c>
      <c r="H1751" s="11" t="s">
        <v>5051</v>
      </c>
      <c r="I1751" s="11" t="s">
        <v>4827</v>
      </c>
    </row>
    <row r="1752" spans="1:9" x14ac:dyDescent="0.15">
      <c r="A1752" s="10">
        <v>1751</v>
      </c>
      <c r="B1752" s="11" t="s">
        <v>9</v>
      </c>
      <c r="C1752" s="11" t="s">
        <v>253</v>
      </c>
      <c r="D1752" s="11" t="s">
        <v>254</v>
      </c>
      <c r="E1752" s="9" t="str">
        <f>+HYPERLINK("http://trademark.i-assist.jp/data/china/image_1903th/79397968.pdf", "79397968")</f>
        <v>79397968</v>
      </c>
      <c r="F1752" s="11" t="s">
        <v>5052</v>
      </c>
      <c r="G1752" s="11" t="s">
        <v>5053</v>
      </c>
      <c r="H1752" s="11" t="s">
        <v>5054</v>
      </c>
      <c r="I1752" s="11" t="s">
        <v>4827</v>
      </c>
    </row>
    <row r="1753" spans="1:9" x14ac:dyDescent="0.15">
      <c r="A1753" s="10">
        <v>1752</v>
      </c>
      <c r="B1753" s="11" t="s">
        <v>9</v>
      </c>
      <c r="C1753" s="11" t="s">
        <v>253</v>
      </c>
      <c r="D1753" s="11" t="s">
        <v>254</v>
      </c>
      <c r="E1753" s="9" t="str">
        <f>+HYPERLINK("http://trademark.i-assist.jp/data/china/image_1903th/79398578.pdf", "79398578")</f>
        <v>79398578</v>
      </c>
      <c r="F1753" s="11" t="s">
        <v>12</v>
      </c>
      <c r="G1753" s="11" t="s">
        <v>5055</v>
      </c>
      <c r="H1753" s="11" t="s">
        <v>5056</v>
      </c>
      <c r="I1753" s="11" t="s">
        <v>4827</v>
      </c>
    </row>
    <row r="1754" spans="1:9" x14ac:dyDescent="0.15">
      <c r="A1754" s="10">
        <v>1753</v>
      </c>
      <c r="B1754" s="11" t="s">
        <v>9</v>
      </c>
      <c r="C1754" s="11" t="s">
        <v>253</v>
      </c>
      <c r="D1754" s="11" t="s">
        <v>254</v>
      </c>
      <c r="E1754" s="9" t="str">
        <f>+HYPERLINK("http://trademark.i-assist.jp/data/china/image_1903th/79398777.pdf", "79398777")</f>
        <v>79398777</v>
      </c>
      <c r="F1754" s="11" t="s">
        <v>5057</v>
      </c>
      <c r="G1754" s="11" t="s">
        <v>5058</v>
      </c>
      <c r="H1754" s="11" t="s">
        <v>5059</v>
      </c>
      <c r="I1754" s="11" t="s">
        <v>4827</v>
      </c>
    </row>
    <row r="1755" spans="1:9" x14ac:dyDescent="0.15">
      <c r="A1755" s="10">
        <v>1754</v>
      </c>
      <c r="B1755" s="11" t="s">
        <v>9</v>
      </c>
      <c r="C1755" s="11" t="s">
        <v>253</v>
      </c>
      <c r="D1755" s="11" t="s">
        <v>254</v>
      </c>
      <c r="E1755" s="9" t="str">
        <f>+HYPERLINK("http://trademark.i-assist.jp/data/china/image_1903th/79399194.pdf", "79399194")</f>
        <v>79399194</v>
      </c>
      <c r="F1755" s="11" t="s">
        <v>5060</v>
      </c>
      <c r="G1755" s="11" t="s">
        <v>5061</v>
      </c>
      <c r="H1755" s="11" t="s">
        <v>5062</v>
      </c>
      <c r="I1755" s="11" t="s">
        <v>4827</v>
      </c>
    </row>
    <row r="1756" spans="1:9" x14ac:dyDescent="0.15">
      <c r="A1756" s="10">
        <v>1755</v>
      </c>
      <c r="B1756" s="11" t="s">
        <v>9</v>
      </c>
      <c r="C1756" s="11" t="s">
        <v>253</v>
      </c>
      <c r="D1756" s="11" t="s">
        <v>254</v>
      </c>
      <c r="E1756" s="9" t="str">
        <f>+HYPERLINK("http://trademark.i-assist.jp/data/china/image_1903th/79399423.pdf", "79399423")</f>
        <v>79399423</v>
      </c>
      <c r="F1756" s="11" t="s">
        <v>5063</v>
      </c>
      <c r="G1756" s="11" t="s">
        <v>197</v>
      </c>
      <c r="H1756" s="11" t="s">
        <v>5064</v>
      </c>
      <c r="I1756" s="11" t="s">
        <v>4827</v>
      </c>
    </row>
    <row r="1757" spans="1:9" x14ac:dyDescent="0.15">
      <c r="A1757" s="10">
        <v>1756</v>
      </c>
      <c r="B1757" s="11" t="s">
        <v>9</v>
      </c>
      <c r="C1757" s="11" t="s">
        <v>253</v>
      </c>
      <c r="D1757" s="11" t="s">
        <v>254</v>
      </c>
      <c r="E1757" s="9" t="str">
        <f>+HYPERLINK("http://trademark.i-assist.jp/data/china/image_1903th/79399471.pdf", "79399471")</f>
        <v>79399471</v>
      </c>
      <c r="F1757" s="11" t="s">
        <v>5065</v>
      </c>
      <c r="G1757" s="11" t="s">
        <v>5066</v>
      </c>
      <c r="H1757" s="11" t="s">
        <v>5067</v>
      </c>
      <c r="I1757" s="11" t="s">
        <v>4827</v>
      </c>
    </row>
    <row r="1758" spans="1:9" x14ac:dyDescent="0.15">
      <c r="A1758" s="10">
        <v>1757</v>
      </c>
      <c r="B1758" s="11" t="s">
        <v>9</v>
      </c>
      <c r="C1758" s="11" t="s">
        <v>253</v>
      </c>
      <c r="D1758" s="11" t="s">
        <v>254</v>
      </c>
      <c r="E1758" s="9" t="str">
        <f>+HYPERLINK("http://trademark.i-assist.jp/data/china/image_1903th/79399917.pdf", "79399917")</f>
        <v>79399917</v>
      </c>
      <c r="F1758" s="11" t="s">
        <v>5068</v>
      </c>
      <c r="G1758" s="11" t="s">
        <v>5069</v>
      </c>
      <c r="H1758" s="11" t="s">
        <v>5070</v>
      </c>
      <c r="I1758" s="11" t="s">
        <v>4827</v>
      </c>
    </row>
    <row r="1759" spans="1:9" x14ac:dyDescent="0.15">
      <c r="A1759" s="10">
        <v>1758</v>
      </c>
      <c r="B1759" s="11" t="s">
        <v>9</v>
      </c>
      <c r="C1759" s="11" t="s">
        <v>253</v>
      </c>
      <c r="D1759" s="11" t="s">
        <v>254</v>
      </c>
      <c r="E1759" s="9" t="str">
        <f>+HYPERLINK("http://trademark.i-assist.jp/data/china/image_1903th/79399971.pdf", "79399971")</f>
        <v>79399971</v>
      </c>
      <c r="F1759" s="11" t="s">
        <v>5071</v>
      </c>
      <c r="G1759" s="11" t="s">
        <v>5038</v>
      </c>
      <c r="H1759" s="11" t="s">
        <v>5072</v>
      </c>
      <c r="I1759" s="11" t="s">
        <v>4827</v>
      </c>
    </row>
    <row r="1760" spans="1:9" x14ac:dyDescent="0.15">
      <c r="A1760" s="10">
        <v>1759</v>
      </c>
      <c r="B1760" s="11" t="s">
        <v>9</v>
      </c>
      <c r="C1760" s="11" t="s">
        <v>253</v>
      </c>
      <c r="D1760" s="11" t="s">
        <v>254</v>
      </c>
      <c r="E1760" s="9" t="str">
        <f>+HYPERLINK("http://trademark.i-assist.jp/data/china/image_1903th/79400203.pdf", "79400203")</f>
        <v>79400203</v>
      </c>
      <c r="F1760" s="11" t="s">
        <v>5073</v>
      </c>
      <c r="G1760" s="11" t="s">
        <v>4864</v>
      </c>
      <c r="H1760" s="11" t="s">
        <v>5074</v>
      </c>
      <c r="I1760" s="11" t="s">
        <v>4827</v>
      </c>
    </row>
    <row r="1761" spans="1:9" x14ac:dyDescent="0.15">
      <c r="A1761" s="10">
        <v>1760</v>
      </c>
      <c r="B1761" s="11" t="s">
        <v>9</v>
      </c>
      <c r="C1761" s="11" t="s">
        <v>253</v>
      </c>
      <c r="D1761" s="11" t="s">
        <v>254</v>
      </c>
      <c r="E1761" s="9" t="str">
        <f>+HYPERLINK("http://trademark.i-assist.jp/data/china/image_1903th/79400525.pdf", "79400525")</f>
        <v>79400525</v>
      </c>
      <c r="F1761" s="11" t="s">
        <v>5075</v>
      </c>
      <c r="G1761" s="11" t="s">
        <v>3686</v>
      </c>
      <c r="H1761" s="11" t="s">
        <v>5076</v>
      </c>
      <c r="I1761" s="11" t="s">
        <v>4827</v>
      </c>
    </row>
    <row r="1762" spans="1:9" x14ac:dyDescent="0.15">
      <c r="A1762" s="10">
        <v>1761</v>
      </c>
      <c r="B1762" s="11" t="s">
        <v>9</v>
      </c>
      <c r="C1762" s="11" t="s">
        <v>253</v>
      </c>
      <c r="D1762" s="11" t="s">
        <v>254</v>
      </c>
      <c r="E1762" s="9" t="str">
        <f>+HYPERLINK("http://trademark.i-assist.jp/data/china/image_1903th/79400576.pdf", "79400576")</f>
        <v>79400576</v>
      </c>
      <c r="F1762" s="11" t="s">
        <v>5077</v>
      </c>
      <c r="G1762" s="11" t="s">
        <v>4980</v>
      </c>
      <c r="H1762" s="11" t="s">
        <v>5078</v>
      </c>
      <c r="I1762" s="11" t="s">
        <v>4827</v>
      </c>
    </row>
    <row r="1763" spans="1:9" x14ac:dyDescent="0.15">
      <c r="A1763" s="10">
        <v>1762</v>
      </c>
      <c r="B1763" s="11" t="s">
        <v>9</v>
      </c>
      <c r="C1763" s="11" t="s">
        <v>253</v>
      </c>
      <c r="D1763" s="11" t="s">
        <v>254</v>
      </c>
      <c r="E1763" s="9" t="str">
        <f>+HYPERLINK("http://trademark.i-assist.jp/data/china/image_1903th/79400585.pdf", "79400585")</f>
        <v>79400585</v>
      </c>
      <c r="F1763" s="11" t="s">
        <v>5079</v>
      </c>
      <c r="G1763" s="11" t="s">
        <v>5080</v>
      </c>
      <c r="H1763" s="11" t="s">
        <v>5081</v>
      </c>
      <c r="I1763" s="11" t="s">
        <v>4827</v>
      </c>
    </row>
    <row r="1764" spans="1:9" x14ac:dyDescent="0.15">
      <c r="A1764" s="10">
        <v>1763</v>
      </c>
      <c r="B1764" s="11" t="s">
        <v>9</v>
      </c>
      <c r="C1764" s="11" t="s">
        <v>253</v>
      </c>
      <c r="D1764" s="11" t="s">
        <v>254</v>
      </c>
      <c r="E1764" s="9" t="str">
        <f>+HYPERLINK("http://trademark.i-assist.jp/data/china/image_1903th/79400868.pdf", "79400868")</f>
        <v>79400868</v>
      </c>
      <c r="F1764" s="11" t="s">
        <v>5082</v>
      </c>
      <c r="G1764" s="11" t="s">
        <v>5083</v>
      </c>
      <c r="H1764" s="11" t="s">
        <v>5084</v>
      </c>
      <c r="I1764" s="11" t="s">
        <v>4827</v>
      </c>
    </row>
    <row r="1765" spans="1:9" x14ac:dyDescent="0.15">
      <c r="A1765" s="10">
        <v>1764</v>
      </c>
      <c r="B1765" s="11" t="s">
        <v>9</v>
      </c>
      <c r="C1765" s="11" t="s">
        <v>253</v>
      </c>
      <c r="D1765" s="11" t="s">
        <v>254</v>
      </c>
      <c r="E1765" s="9" t="str">
        <f>+HYPERLINK("http://trademark.i-assist.jp/data/china/image_1903th/79400873.pdf", "79400873")</f>
        <v>79400873</v>
      </c>
      <c r="F1765" s="11" t="s">
        <v>5085</v>
      </c>
      <c r="G1765" s="11" t="s">
        <v>5086</v>
      </c>
      <c r="H1765" s="11" t="s">
        <v>5087</v>
      </c>
      <c r="I1765" s="11" t="s">
        <v>4827</v>
      </c>
    </row>
    <row r="1766" spans="1:9" x14ac:dyDescent="0.15">
      <c r="A1766" s="10">
        <v>1765</v>
      </c>
      <c r="B1766" s="11" t="s">
        <v>9</v>
      </c>
      <c r="C1766" s="11" t="s">
        <v>253</v>
      </c>
      <c r="D1766" s="11" t="s">
        <v>254</v>
      </c>
      <c r="E1766" s="9" t="str">
        <f>+HYPERLINK("http://trademark.i-assist.jp/data/china/image_1903th/79400894.pdf", "79400894")</f>
        <v>79400894</v>
      </c>
      <c r="F1766" s="11" t="s">
        <v>5088</v>
      </c>
      <c r="G1766" s="11" t="s">
        <v>5089</v>
      </c>
      <c r="H1766" s="11" t="s">
        <v>5090</v>
      </c>
      <c r="I1766" s="11" t="s">
        <v>4827</v>
      </c>
    </row>
    <row r="1767" spans="1:9" x14ac:dyDescent="0.15">
      <c r="A1767" s="10">
        <v>1766</v>
      </c>
      <c r="B1767" s="11" t="s">
        <v>9</v>
      </c>
      <c r="C1767" s="11" t="s">
        <v>253</v>
      </c>
      <c r="D1767" s="11" t="s">
        <v>254</v>
      </c>
      <c r="E1767" s="9" t="str">
        <f>+HYPERLINK("http://trademark.i-assist.jp/data/china/image_1903th/79401041.pdf", "79401041")</f>
        <v>79401041</v>
      </c>
      <c r="F1767" s="11" t="s">
        <v>5091</v>
      </c>
      <c r="G1767" s="11" t="s">
        <v>222</v>
      </c>
      <c r="H1767" s="11" t="s">
        <v>5092</v>
      </c>
      <c r="I1767" s="11" t="s">
        <v>4827</v>
      </c>
    </row>
    <row r="1768" spans="1:9" x14ac:dyDescent="0.15">
      <c r="A1768" s="10">
        <v>1767</v>
      </c>
      <c r="B1768" s="11" t="s">
        <v>9</v>
      </c>
      <c r="C1768" s="11" t="s">
        <v>253</v>
      </c>
      <c r="D1768" s="11" t="s">
        <v>254</v>
      </c>
      <c r="E1768" s="9" t="str">
        <f>+HYPERLINK("http://trademark.i-assist.jp/data/china/image_1903th/79401052.pdf", "79401052")</f>
        <v>79401052</v>
      </c>
      <c r="F1768" s="11" t="s">
        <v>5093</v>
      </c>
      <c r="G1768" s="11" t="s">
        <v>4980</v>
      </c>
      <c r="H1768" s="11" t="s">
        <v>5094</v>
      </c>
      <c r="I1768" s="11" t="s">
        <v>4827</v>
      </c>
    </row>
    <row r="1769" spans="1:9" x14ac:dyDescent="0.15">
      <c r="A1769" s="10">
        <v>1768</v>
      </c>
      <c r="B1769" s="11" t="s">
        <v>9</v>
      </c>
      <c r="C1769" s="11" t="s">
        <v>253</v>
      </c>
      <c r="D1769" s="11" t="s">
        <v>254</v>
      </c>
      <c r="E1769" s="9" t="str">
        <f>+HYPERLINK("http://trademark.i-assist.jp/data/china/image_1903th/79401306.pdf", "79401306")</f>
        <v>79401306</v>
      </c>
      <c r="F1769" s="11" t="s">
        <v>5095</v>
      </c>
      <c r="G1769" s="11" t="s">
        <v>4890</v>
      </c>
      <c r="H1769" s="11" t="s">
        <v>5096</v>
      </c>
      <c r="I1769" s="11" t="s">
        <v>4827</v>
      </c>
    </row>
    <row r="1770" spans="1:9" x14ac:dyDescent="0.15">
      <c r="A1770" s="10">
        <v>1769</v>
      </c>
      <c r="B1770" s="11" t="s">
        <v>9</v>
      </c>
      <c r="C1770" s="11" t="s">
        <v>253</v>
      </c>
      <c r="D1770" s="11" t="s">
        <v>254</v>
      </c>
      <c r="E1770" s="9" t="str">
        <f>+HYPERLINK("http://trademark.i-assist.jp/data/china/image_1903th/79401402.pdf", "79401402")</f>
        <v>79401402</v>
      </c>
      <c r="F1770" s="11" t="s">
        <v>5097</v>
      </c>
      <c r="G1770" s="11" t="s">
        <v>5098</v>
      </c>
      <c r="H1770" s="11" t="s">
        <v>5099</v>
      </c>
      <c r="I1770" s="11" t="s">
        <v>4827</v>
      </c>
    </row>
    <row r="1771" spans="1:9" x14ac:dyDescent="0.15">
      <c r="A1771" s="10">
        <v>1770</v>
      </c>
      <c r="B1771" s="11" t="s">
        <v>9</v>
      </c>
      <c r="C1771" s="11" t="s">
        <v>253</v>
      </c>
      <c r="D1771" s="11" t="s">
        <v>254</v>
      </c>
      <c r="E1771" s="9" t="str">
        <f>+HYPERLINK("http://trademark.i-assist.jp/data/china/image_1903th/79401542.pdf", "79401542")</f>
        <v>79401542</v>
      </c>
      <c r="F1771" s="11" t="s">
        <v>5100</v>
      </c>
      <c r="G1771" s="11" t="s">
        <v>5101</v>
      </c>
      <c r="H1771" s="11" t="s">
        <v>5102</v>
      </c>
      <c r="I1771" s="11" t="s">
        <v>4827</v>
      </c>
    </row>
    <row r="1772" spans="1:9" x14ac:dyDescent="0.15">
      <c r="A1772" s="10">
        <v>1771</v>
      </c>
      <c r="B1772" s="11" t="s">
        <v>9</v>
      </c>
      <c r="C1772" s="11" t="s">
        <v>253</v>
      </c>
      <c r="D1772" s="11" t="s">
        <v>254</v>
      </c>
      <c r="E1772" s="9" t="str">
        <f>+HYPERLINK("http://trademark.i-assist.jp/data/china/image_1903th/79401732.pdf", "79401732")</f>
        <v>79401732</v>
      </c>
      <c r="F1772" s="11" t="s">
        <v>5103</v>
      </c>
      <c r="G1772" s="11" t="s">
        <v>4864</v>
      </c>
      <c r="H1772" s="11" t="s">
        <v>5104</v>
      </c>
      <c r="I1772" s="11" t="s">
        <v>4827</v>
      </c>
    </row>
    <row r="1773" spans="1:9" x14ac:dyDescent="0.15">
      <c r="A1773" s="10">
        <v>1772</v>
      </c>
      <c r="B1773" s="11" t="s">
        <v>9</v>
      </c>
      <c r="C1773" s="11" t="s">
        <v>253</v>
      </c>
      <c r="D1773" s="11" t="s">
        <v>254</v>
      </c>
      <c r="E1773" s="9" t="str">
        <f>+HYPERLINK("http://trademark.i-assist.jp/data/china/image_1903th/79401751.pdf", "79401751")</f>
        <v>79401751</v>
      </c>
      <c r="F1773" s="11" t="s">
        <v>5105</v>
      </c>
      <c r="G1773" s="11" t="s">
        <v>155</v>
      </c>
      <c r="H1773" s="11" t="s">
        <v>5106</v>
      </c>
      <c r="I1773" s="11" t="s">
        <v>4827</v>
      </c>
    </row>
    <row r="1774" spans="1:9" x14ac:dyDescent="0.15">
      <c r="A1774" s="10">
        <v>1773</v>
      </c>
      <c r="B1774" s="11" t="s">
        <v>9</v>
      </c>
      <c r="C1774" s="11" t="s">
        <v>253</v>
      </c>
      <c r="D1774" s="11" t="s">
        <v>254</v>
      </c>
      <c r="E1774" s="9" t="str">
        <f>+HYPERLINK("http://trademark.i-assist.jp/data/china/image_1903th/79401777.pdf", "79401777")</f>
        <v>79401777</v>
      </c>
      <c r="F1774" s="11" t="s">
        <v>12</v>
      </c>
      <c r="G1774" s="11" t="s">
        <v>5107</v>
      </c>
      <c r="H1774" s="11" t="s">
        <v>5108</v>
      </c>
      <c r="I1774" s="11" t="s">
        <v>4827</v>
      </c>
    </row>
    <row r="1775" spans="1:9" x14ac:dyDescent="0.15">
      <c r="A1775" s="10">
        <v>1774</v>
      </c>
      <c r="B1775" s="11" t="s">
        <v>9</v>
      </c>
      <c r="C1775" s="11" t="s">
        <v>253</v>
      </c>
      <c r="D1775" s="11" t="s">
        <v>254</v>
      </c>
      <c r="E1775" s="9" t="str">
        <f>+HYPERLINK("http://trademark.i-assist.jp/data/china/image_1903th/79401844.pdf", "79401844")</f>
        <v>79401844</v>
      </c>
      <c r="F1775" s="11" t="s">
        <v>5109</v>
      </c>
      <c r="G1775" s="11" t="s">
        <v>5110</v>
      </c>
      <c r="H1775" s="11" t="s">
        <v>5111</v>
      </c>
      <c r="I1775" s="11" t="s">
        <v>4827</v>
      </c>
    </row>
    <row r="1776" spans="1:9" x14ac:dyDescent="0.15">
      <c r="A1776" s="10">
        <v>1775</v>
      </c>
      <c r="B1776" s="11" t="s">
        <v>9</v>
      </c>
      <c r="C1776" s="11" t="s">
        <v>253</v>
      </c>
      <c r="D1776" s="11" t="s">
        <v>254</v>
      </c>
      <c r="E1776" s="9" t="str">
        <f>+HYPERLINK("http://trademark.i-assist.jp/data/china/image_1903th/79401991.pdf", "79401991")</f>
        <v>79401991</v>
      </c>
      <c r="F1776" s="11" t="s">
        <v>5112</v>
      </c>
      <c r="G1776" s="11" t="s">
        <v>5113</v>
      </c>
      <c r="H1776" s="11" t="s">
        <v>5114</v>
      </c>
      <c r="I1776" s="11" t="s">
        <v>4827</v>
      </c>
    </row>
    <row r="1777" spans="1:9" x14ac:dyDescent="0.15">
      <c r="A1777" s="10">
        <v>1776</v>
      </c>
      <c r="B1777" s="11" t="s">
        <v>9</v>
      </c>
      <c r="C1777" s="11" t="s">
        <v>253</v>
      </c>
      <c r="D1777" s="11" t="s">
        <v>254</v>
      </c>
      <c r="E1777" s="9" t="str">
        <f>+HYPERLINK("http://trademark.i-assist.jp/data/china/image_1903th/79401993.pdf", "79401993")</f>
        <v>79401993</v>
      </c>
      <c r="F1777" s="11" t="s">
        <v>5115</v>
      </c>
      <c r="G1777" s="11" t="s">
        <v>2624</v>
      </c>
      <c r="H1777" s="11" t="s">
        <v>5116</v>
      </c>
      <c r="I1777" s="11" t="s">
        <v>4827</v>
      </c>
    </row>
    <row r="1778" spans="1:9" x14ac:dyDescent="0.15">
      <c r="A1778" s="10">
        <v>1777</v>
      </c>
      <c r="B1778" s="11" t="s">
        <v>9</v>
      </c>
      <c r="C1778" s="11" t="s">
        <v>253</v>
      </c>
      <c r="D1778" s="11" t="s">
        <v>254</v>
      </c>
      <c r="E1778" s="9" t="str">
        <f>+HYPERLINK("http://trademark.i-assist.jp/data/china/image_1903th/79402051.pdf", "79402051")</f>
        <v>79402051</v>
      </c>
      <c r="F1778" s="11" t="s">
        <v>5117</v>
      </c>
      <c r="G1778" s="11" t="s">
        <v>5066</v>
      </c>
      <c r="H1778" s="11" t="s">
        <v>5118</v>
      </c>
      <c r="I1778" s="11" t="s">
        <v>4827</v>
      </c>
    </row>
    <row r="1779" spans="1:9" x14ac:dyDescent="0.15">
      <c r="A1779" s="10">
        <v>1778</v>
      </c>
      <c r="B1779" s="11" t="s">
        <v>9</v>
      </c>
      <c r="C1779" s="11" t="s">
        <v>253</v>
      </c>
      <c r="D1779" s="11" t="s">
        <v>254</v>
      </c>
      <c r="E1779" s="9" t="str">
        <f>+HYPERLINK("http://trademark.i-assist.jp/data/china/image_1903th/79402537.pdf", "79402537")</f>
        <v>79402537</v>
      </c>
      <c r="F1779" s="11" t="s">
        <v>5119</v>
      </c>
      <c r="G1779" s="11" t="s">
        <v>5028</v>
      </c>
      <c r="H1779" s="11" t="s">
        <v>5120</v>
      </c>
      <c r="I1779" s="11" t="s">
        <v>4827</v>
      </c>
    </row>
    <row r="1780" spans="1:9" x14ac:dyDescent="0.15">
      <c r="A1780" s="10">
        <v>1779</v>
      </c>
      <c r="B1780" s="11" t="s">
        <v>9</v>
      </c>
      <c r="C1780" s="11" t="s">
        <v>253</v>
      </c>
      <c r="D1780" s="11" t="s">
        <v>254</v>
      </c>
      <c r="E1780" s="9" t="str">
        <f>+HYPERLINK("http://trademark.i-assist.jp/data/china/image_1903th/79402575.pdf", "79402575")</f>
        <v>79402575</v>
      </c>
      <c r="F1780" s="11" t="s">
        <v>5121</v>
      </c>
      <c r="G1780" s="11" t="s">
        <v>5122</v>
      </c>
      <c r="H1780" s="11" t="s">
        <v>5123</v>
      </c>
      <c r="I1780" s="11" t="s">
        <v>4827</v>
      </c>
    </row>
    <row r="1781" spans="1:9" x14ac:dyDescent="0.15">
      <c r="A1781" s="10">
        <v>1780</v>
      </c>
      <c r="B1781" s="11" t="s">
        <v>9</v>
      </c>
      <c r="C1781" s="11" t="s">
        <v>253</v>
      </c>
      <c r="D1781" s="11" t="s">
        <v>254</v>
      </c>
      <c r="E1781" s="9" t="str">
        <f>+HYPERLINK("http://trademark.i-assist.jp/data/china/image_1903th/79402915.pdf", "79402915")</f>
        <v>79402915</v>
      </c>
      <c r="F1781" s="11" t="s">
        <v>5124</v>
      </c>
      <c r="G1781" s="11" t="s">
        <v>5125</v>
      </c>
      <c r="H1781" s="11" t="s">
        <v>5126</v>
      </c>
      <c r="I1781" s="11" t="s">
        <v>4827</v>
      </c>
    </row>
    <row r="1782" spans="1:9" x14ac:dyDescent="0.15">
      <c r="A1782" s="10">
        <v>1781</v>
      </c>
      <c r="B1782" s="11" t="s">
        <v>9</v>
      </c>
      <c r="C1782" s="11" t="s">
        <v>253</v>
      </c>
      <c r="D1782" s="11" t="s">
        <v>254</v>
      </c>
      <c r="E1782" s="9" t="str">
        <f>+HYPERLINK("http://trademark.i-assist.jp/data/china/image_1903th/79402949.pdf", "79402949")</f>
        <v>79402949</v>
      </c>
      <c r="F1782" s="11" t="s">
        <v>5127</v>
      </c>
      <c r="G1782" s="11" t="s">
        <v>5128</v>
      </c>
      <c r="H1782" s="11" t="s">
        <v>5129</v>
      </c>
      <c r="I1782" s="11" t="s">
        <v>4827</v>
      </c>
    </row>
    <row r="1783" spans="1:9" x14ac:dyDescent="0.15">
      <c r="A1783" s="10">
        <v>1782</v>
      </c>
      <c r="B1783" s="11" t="s">
        <v>9</v>
      </c>
      <c r="C1783" s="11" t="s">
        <v>253</v>
      </c>
      <c r="D1783" s="11" t="s">
        <v>254</v>
      </c>
      <c r="E1783" s="9" t="str">
        <f>+HYPERLINK("http://trademark.i-assist.jp/data/china/image_1903th/79403018.pdf", "79403018")</f>
        <v>79403018</v>
      </c>
      <c r="F1783" s="11" t="s">
        <v>5130</v>
      </c>
      <c r="G1783" s="11" t="s">
        <v>5131</v>
      </c>
      <c r="H1783" s="11" t="s">
        <v>5132</v>
      </c>
      <c r="I1783" s="11" t="s">
        <v>4827</v>
      </c>
    </row>
    <row r="1784" spans="1:9" x14ac:dyDescent="0.15">
      <c r="A1784" s="10">
        <v>1783</v>
      </c>
      <c r="B1784" s="11" t="s">
        <v>9</v>
      </c>
      <c r="C1784" s="11" t="s">
        <v>253</v>
      </c>
      <c r="D1784" s="11" t="s">
        <v>254</v>
      </c>
      <c r="E1784" s="9" t="str">
        <f>+HYPERLINK("http://trademark.i-assist.jp/data/china/image_1903th/79403026.pdf", "79403026")</f>
        <v>79403026</v>
      </c>
      <c r="F1784" s="11" t="s">
        <v>5133</v>
      </c>
      <c r="G1784" s="11" t="s">
        <v>4840</v>
      </c>
      <c r="H1784" s="11" t="s">
        <v>5134</v>
      </c>
      <c r="I1784" s="11" t="s">
        <v>4827</v>
      </c>
    </row>
    <row r="1785" spans="1:9" x14ac:dyDescent="0.15">
      <c r="A1785" s="10">
        <v>1784</v>
      </c>
      <c r="B1785" s="11" t="s">
        <v>9</v>
      </c>
      <c r="C1785" s="11" t="s">
        <v>253</v>
      </c>
      <c r="D1785" s="11" t="s">
        <v>254</v>
      </c>
      <c r="E1785" s="9" t="str">
        <f>+HYPERLINK("http://trademark.i-assist.jp/data/china/image_1903th/79403257.pdf", "79403257")</f>
        <v>79403257</v>
      </c>
      <c r="F1785" s="11" t="s">
        <v>5135</v>
      </c>
      <c r="G1785" s="11" t="s">
        <v>5136</v>
      </c>
      <c r="H1785" s="11" t="s">
        <v>5137</v>
      </c>
      <c r="I1785" s="11" t="s">
        <v>4827</v>
      </c>
    </row>
    <row r="1786" spans="1:9" x14ac:dyDescent="0.15">
      <c r="A1786" s="10">
        <v>1785</v>
      </c>
      <c r="B1786" s="11" t="s">
        <v>9</v>
      </c>
      <c r="C1786" s="11" t="s">
        <v>253</v>
      </c>
      <c r="D1786" s="11" t="s">
        <v>254</v>
      </c>
      <c r="E1786" s="9" t="str">
        <f>+HYPERLINK("http://trademark.i-assist.jp/data/china/image_1903th/79403485.pdf", "79403485")</f>
        <v>79403485</v>
      </c>
      <c r="F1786" s="11" t="s">
        <v>5138</v>
      </c>
      <c r="G1786" s="11" t="s">
        <v>248</v>
      </c>
      <c r="H1786" s="11" t="s">
        <v>5139</v>
      </c>
      <c r="I1786" s="11" t="s">
        <v>4827</v>
      </c>
    </row>
    <row r="1787" spans="1:9" x14ac:dyDescent="0.15">
      <c r="A1787" s="10">
        <v>1786</v>
      </c>
      <c r="B1787" s="11" t="s">
        <v>9</v>
      </c>
      <c r="C1787" s="11" t="s">
        <v>253</v>
      </c>
      <c r="D1787" s="11" t="s">
        <v>254</v>
      </c>
      <c r="E1787" s="9" t="str">
        <f>+HYPERLINK("http://trademark.i-assist.jp/data/china/image_1903th/79403528.pdf", "79403528")</f>
        <v>79403528</v>
      </c>
      <c r="F1787" s="11" t="s">
        <v>5140</v>
      </c>
      <c r="G1787" s="11" t="s">
        <v>5113</v>
      </c>
      <c r="H1787" s="11" t="s">
        <v>5141</v>
      </c>
      <c r="I1787" s="11" t="s">
        <v>4827</v>
      </c>
    </row>
    <row r="1788" spans="1:9" x14ac:dyDescent="0.15">
      <c r="A1788" s="10">
        <v>1787</v>
      </c>
      <c r="B1788" s="11" t="s">
        <v>9</v>
      </c>
      <c r="C1788" s="11" t="s">
        <v>253</v>
      </c>
      <c r="D1788" s="11" t="s">
        <v>254</v>
      </c>
      <c r="E1788" s="9" t="str">
        <f>+HYPERLINK("http://trademark.i-assist.jp/data/china/image_1903th/79403543.pdf", "79403543")</f>
        <v>79403543</v>
      </c>
      <c r="F1788" s="11" t="s">
        <v>5142</v>
      </c>
      <c r="G1788" s="11" t="s">
        <v>2624</v>
      </c>
      <c r="H1788" s="11" t="s">
        <v>5143</v>
      </c>
      <c r="I1788" s="11" t="s">
        <v>4827</v>
      </c>
    </row>
    <row r="1789" spans="1:9" x14ac:dyDescent="0.15">
      <c r="A1789" s="10">
        <v>1788</v>
      </c>
      <c r="B1789" s="11" t="s">
        <v>9</v>
      </c>
      <c r="C1789" s="11" t="s">
        <v>253</v>
      </c>
      <c r="D1789" s="11" t="s">
        <v>254</v>
      </c>
      <c r="E1789" s="9" t="str">
        <f>+HYPERLINK("http://trademark.i-assist.jp/data/china/image_1903th/79403603.pdf", "79403603")</f>
        <v>79403603</v>
      </c>
      <c r="F1789" s="11" t="s">
        <v>5144</v>
      </c>
      <c r="G1789" s="11" t="s">
        <v>5145</v>
      </c>
      <c r="H1789" s="11" t="s">
        <v>5146</v>
      </c>
      <c r="I1789" s="11" t="s">
        <v>4827</v>
      </c>
    </row>
    <row r="1790" spans="1:9" x14ac:dyDescent="0.15">
      <c r="A1790" s="10">
        <v>1789</v>
      </c>
      <c r="B1790" s="11" t="s">
        <v>9</v>
      </c>
      <c r="C1790" s="11" t="s">
        <v>253</v>
      </c>
      <c r="D1790" s="11" t="s">
        <v>254</v>
      </c>
      <c r="E1790" s="9" t="str">
        <f>+HYPERLINK("http://trademark.i-assist.jp/data/china/image_1903th/79403704.pdf", "79403704")</f>
        <v>79403704</v>
      </c>
      <c r="F1790" s="11" t="s">
        <v>5147</v>
      </c>
      <c r="G1790" s="11" t="s">
        <v>4929</v>
      </c>
      <c r="H1790" s="11" t="s">
        <v>5148</v>
      </c>
      <c r="I1790" s="11" t="s">
        <v>4827</v>
      </c>
    </row>
    <row r="1791" spans="1:9" x14ac:dyDescent="0.15">
      <c r="A1791" s="10">
        <v>1790</v>
      </c>
      <c r="B1791" s="11" t="s">
        <v>9</v>
      </c>
      <c r="C1791" s="11" t="s">
        <v>253</v>
      </c>
      <c r="D1791" s="11" t="s">
        <v>254</v>
      </c>
      <c r="E1791" s="9" t="str">
        <f>+HYPERLINK("http://trademark.i-assist.jp/data/china/image_1903th/79403713.pdf", "79403713")</f>
        <v>79403713</v>
      </c>
      <c r="F1791" s="11" t="s">
        <v>5149</v>
      </c>
      <c r="G1791" s="11" t="s">
        <v>5150</v>
      </c>
      <c r="H1791" s="11" t="s">
        <v>5151</v>
      </c>
      <c r="I1791" s="11" t="s">
        <v>4827</v>
      </c>
    </row>
    <row r="1792" spans="1:9" x14ac:dyDescent="0.15">
      <c r="A1792" s="10">
        <v>1791</v>
      </c>
      <c r="B1792" s="11" t="s">
        <v>9</v>
      </c>
      <c r="C1792" s="11" t="s">
        <v>253</v>
      </c>
      <c r="D1792" s="11" t="s">
        <v>254</v>
      </c>
      <c r="E1792" s="9" t="str">
        <f>+HYPERLINK("http://trademark.i-assist.jp/data/china/image_1903th/79404209.pdf", "79404209")</f>
        <v>79404209</v>
      </c>
      <c r="F1792" s="11" t="s">
        <v>5152</v>
      </c>
      <c r="G1792" s="11" t="s">
        <v>5153</v>
      </c>
      <c r="H1792" s="11" t="s">
        <v>5154</v>
      </c>
      <c r="I1792" s="11" t="s">
        <v>4827</v>
      </c>
    </row>
    <row r="1793" spans="1:9" x14ac:dyDescent="0.15">
      <c r="A1793" s="10">
        <v>1792</v>
      </c>
      <c r="B1793" s="11" t="s">
        <v>9</v>
      </c>
      <c r="C1793" s="11" t="s">
        <v>253</v>
      </c>
      <c r="D1793" s="11" t="s">
        <v>254</v>
      </c>
      <c r="E1793" s="9" t="str">
        <f>+HYPERLINK("http://trademark.i-assist.jp/data/china/image_1903th/79404272.pdf", "79404272")</f>
        <v>79404272</v>
      </c>
      <c r="F1793" s="11" t="s">
        <v>5155</v>
      </c>
      <c r="G1793" s="11" t="s">
        <v>4948</v>
      </c>
      <c r="H1793" s="11" t="s">
        <v>5156</v>
      </c>
      <c r="I1793" s="11" t="s">
        <v>4827</v>
      </c>
    </row>
    <row r="1794" spans="1:9" x14ac:dyDescent="0.15">
      <c r="A1794" s="10">
        <v>1793</v>
      </c>
      <c r="B1794" s="11" t="s">
        <v>9</v>
      </c>
      <c r="C1794" s="11" t="s">
        <v>253</v>
      </c>
      <c r="D1794" s="11" t="s">
        <v>254</v>
      </c>
      <c r="E1794" s="9" t="str">
        <f>+HYPERLINK("http://trademark.i-assist.jp/data/china/image_1903th/79404523.pdf", "79404523")</f>
        <v>79404523</v>
      </c>
      <c r="F1794" s="11" t="s">
        <v>5157</v>
      </c>
      <c r="G1794" s="11" t="s">
        <v>28</v>
      </c>
      <c r="H1794" s="11" t="s">
        <v>5158</v>
      </c>
      <c r="I1794" s="11" t="s">
        <v>4827</v>
      </c>
    </row>
    <row r="1795" spans="1:9" x14ac:dyDescent="0.15">
      <c r="A1795" s="10">
        <v>1794</v>
      </c>
      <c r="B1795" s="11" t="s">
        <v>9</v>
      </c>
      <c r="C1795" s="11" t="s">
        <v>253</v>
      </c>
      <c r="D1795" s="11" t="s">
        <v>254</v>
      </c>
      <c r="E1795" s="9" t="str">
        <f>+HYPERLINK("http://trademark.i-assist.jp/data/china/image_1903th/79404544.pdf", "79404544")</f>
        <v>79404544</v>
      </c>
      <c r="F1795" s="11" t="s">
        <v>5159</v>
      </c>
      <c r="G1795" s="11" t="s">
        <v>5160</v>
      </c>
      <c r="H1795" s="11" t="s">
        <v>5161</v>
      </c>
      <c r="I1795" s="11" t="s">
        <v>4827</v>
      </c>
    </row>
    <row r="1796" spans="1:9" x14ac:dyDescent="0.15">
      <c r="A1796" s="10">
        <v>1795</v>
      </c>
      <c r="B1796" s="11" t="s">
        <v>9</v>
      </c>
      <c r="C1796" s="11" t="s">
        <v>253</v>
      </c>
      <c r="D1796" s="11" t="s">
        <v>254</v>
      </c>
      <c r="E1796" s="9" t="str">
        <f>+HYPERLINK("http://trademark.i-assist.jp/data/china/image_1903th/79404709.pdf", "79404709")</f>
        <v>79404709</v>
      </c>
      <c r="F1796" s="11" t="s">
        <v>5162</v>
      </c>
      <c r="G1796" s="11" t="s">
        <v>155</v>
      </c>
      <c r="H1796" s="11" t="s">
        <v>5163</v>
      </c>
      <c r="I1796" s="11" t="s">
        <v>4827</v>
      </c>
    </row>
    <row r="1797" spans="1:9" x14ac:dyDescent="0.15">
      <c r="A1797" s="10">
        <v>1796</v>
      </c>
      <c r="B1797" s="11" t="s">
        <v>9</v>
      </c>
      <c r="C1797" s="11" t="s">
        <v>253</v>
      </c>
      <c r="D1797" s="11" t="s">
        <v>254</v>
      </c>
      <c r="E1797" s="9" t="str">
        <f>+HYPERLINK("http://trademark.i-assist.jp/data/china/image_1903th/79405066.pdf", "79405066")</f>
        <v>79405066</v>
      </c>
      <c r="F1797" s="11" t="s">
        <v>5164</v>
      </c>
      <c r="G1797" s="11" t="s">
        <v>3686</v>
      </c>
      <c r="H1797" s="11" t="s">
        <v>5165</v>
      </c>
      <c r="I1797" s="11" t="s">
        <v>4827</v>
      </c>
    </row>
    <row r="1798" spans="1:9" x14ac:dyDescent="0.15">
      <c r="A1798" s="10">
        <v>1797</v>
      </c>
      <c r="B1798" s="11" t="s">
        <v>9</v>
      </c>
      <c r="C1798" s="11" t="s">
        <v>253</v>
      </c>
      <c r="D1798" s="11" t="s">
        <v>254</v>
      </c>
      <c r="E1798" s="9" t="str">
        <f>+HYPERLINK("http://trademark.i-assist.jp/data/china/image_1903th/79405251.pdf", "79405251")</f>
        <v>79405251</v>
      </c>
      <c r="F1798" s="11" t="s">
        <v>5166</v>
      </c>
      <c r="G1798" s="11" t="s">
        <v>5167</v>
      </c>
      <c r="H1798" s="11" t="s">
        <v>5168</v>
      </c>
      <c r="I1798" s="11" t="s">
        <v>4827</v>
      </c>
    </row>
    <row r="1799" spans="1:9" x14ac:dyDescent="0.15">
      <c r="A1799" s="10">
        <v>1798</v>
      </c>
      <c r="B1799" s="11" t="s">
        <v>9</v>
      </c>
      <c r="C1799" s="11" t="s">
        <v>253</v>
      </c>
      <c r="D1799" s="11" t="s">
        <v>254</v>
      </c>
      <c r="E1799" s="9" t="str">
        <f>+HYPERLINK("http://trademark.i-assist.jp/data/china/image_1903th/79405433.pdf", "79405433")</f>
        <v>79405433</v>
      </c>
      <c r="F1799" s="11" t="s">
        <v>5169</v>
      </c>
      <c r="G1799" s="11" t="s">
        <v>38</v>
      </c>
      <c r="H1799" s="11" t="s">
        <v>5170</v>
      </c>
      <c r="I1799" s="11" t="s">
        <v>4827</v>
      </c>
    </row>
    <row r="1800" spans="1:9" x14ac:dyDescent="0.15">
      <c r="A1800" s="10">
        <v>1799</v>
      </c>
      <c r="B1800" s="11" t="s">
        <v>9</v>
      </c>
      <c r="C1800" s="11" t="s">
        <v>253</v>
      </c>
      <c r="D1800" s="11" t="s">
        <v>254</v>
      </c>
      <c r="E1800" s="9" t="str">
        <f>+HYPERLINK("http://trademark.i-assist.jp/data/china/image_1903th/79405446.pdf", "79405446")</f>
        <v>79405446</v>
      </c>
      <c r="F1800" s="11" t="s">
        <v>5171</v>
      </c>
      <c r="G1800" s="11" t="s">
        <v>4948</v>
      </c>
      <c r="H1800" s="11" t="s">
        <v>5172</v>
      </c>
      <c r="I1800" s="11" t="s">
        <v>4827</v>
      </c>
    </row>
    <row r="1801" spans="1:9" x14ac:dyDescent="0.15">
      <c r="A1801" s="10">
        <v>1800</v>
      </c>
      <c r="B1801" s="11" t="s">
        <v>9</v>
      </c>
      <c r="C1801" s="11" t="s">
        <v>253</v>
      </c>
      <c r="D1801" s="11" t="s">
        <v>254</v>
      </c>
      <c r="E1801" s="9" t="str">
        <f>+HYPERLINK("http://trademark.i-assist.jp/data/china/image_1903th/79405456.pdf", "79405456")</f>
        <v>79405456</v>
      </c>
      <c r="F1801" s="11" t="s">
        <v>5173</v>
      </c>
      <c r="G1801" s="11" t="s">
        <v>252</v>
      </c>
      <c r="H1801" s="11" t="s">
        <v>5174</v>
      </c>
      <c r="I1801" s="11" t="s">
        <v>4827</v>
      </c>
    </row>
    <row r="1802" spans="1:9" x14ac:dyDescent="0.15">
      <c r="A1802" s="10">
        <v>1801</v>
      </c>
      <c r="B1802" s="11" t="s">
        <v>9</v>
      </c>
      <c r="C1802" s="11" t="s">
        <v>253</v>
      </c>
      <c r="D1802" s="11" t="s">
        <v>254</v>
      </c>
      <c r="E1802" s="9" t="str">
        <f>+HYPERLINK("http://trademark.i-assist.jp/data/china/image_1903th/79405545.pdf", "79405545")</f>
        <v>79405545</v>
      </c>
      <c r="F1802" s="11" t="s">
        <v>5175</v>
      </c>
      <c r="G1802" s="11" t="s">
        <v>5176</v>
      </c>
      <c r="H1802" s="11" t="s">
        <v>5177</v>
      </c>
      <c r="I1802" s="11" t="s">
        <v>4827</v>
      </c>
    </row>
    <row r="1803" spans="1:9" x14ac:dyDescent="0.15">
      <c r="A1803" s="10">
        <v>1802</v>
      </c>
      <c r="B1803" s="11" t="s">
        <v>9</v>
      </c>
      <c r="C1803" s="11" t="s">
        <v>253</v>
      </c>
      <c r="D1803" s="11" t="s">
        <v>254</v>
      </c>
      <c r="E1803" s="9" t="str">
        <f>+HYPERLINK("http://trademark.i-assist.jp/data/china/image_1903th/79405814.pdf", "79405814")</f>
        <v>79405814</v>
      </c>
      <c r="F1803" s="11" t="s">
        <v>5178</v>
      </c>
      <c r="G1803" s="11" t="s">
        <v>5179</v>
      </c>
      <c r="H1803" s="11" t="s">
        <v>5180</v>
      </c>
      <c r="I1803" s="11" t="s">
        <v>4827</v>
      </c>
    </row>
    <row r="1804" spans="1:9" x14ac:dyDescent="0.15">
      <c r="A1804" s="10">
        <v>1803</v>
      </c>
      <c r="B1804" s="11" t="s">
        <v>9</v>
      </c>
      <c r="C1804" s="11" t="s">
        <v>253</v>
      </c>
      <c r="D1804" s="11" t="s">
        <v>254</v>
      </c>
      <c r="E1804" s="9" t="str">
        <f>+HYPERLINK("http://trademark.i-assist.jp/data/china/image_1903th/79405855.pdf", "79405855")</f>
        <v>79405855</v>
      </c>
      <c r="F1804" s="11" t="s">
        <v>5181</v>
      </c>
      <c r="G1804" s="11" t="s">
        <v>5182</v>
      </c>
      <c r="H1804" s="11" t="s">
        <v>5183</v>
      </c>
      <c r="I1804" s="11" t="s">
        <v>4827</v>
      </c>
    </row>
    <row r="1805" spans="1:9" x14ac:dyDescent="0.15">
      <c r="A1805" s="10">
        <v>1804</v>
      </c>
      <c r="B1805" s="11" t="s">
        <v>9</v>
      </c>
      <c r="C1805" s="11" t="s">
        <v>253</v>
      </c>
      <c r="D1805" s="11" t="s">
        <v>254</v>
      </c>
      <c r="E1805" s="9" t="str">
        <f>+HYPERLINK("http://trademark.i-assist.jp/data/china/image_1903th/79405930.pdf", "79405930")</f>
        <v>79405930</v>
      </c>
      <c r="F1805" s="11" t="s">
        <v>5184</v>
      </c>
      <c r="G1805" s="11" t="s">
        <v>5185</v>
      </c>
      <c r="H1805" s="11" t="s">
        <v>5186</v>
      </c>
      <c r="I1805" s="11" t="s">
        <v>4827</v>
      </c>
    </row>
    <row r="1806" spans="1:9" x14ac:dyDescent="0.15">
      <c r="A1806" s="10">
        <v>1805</v>
      </c>
      <c r="B1806" s="11" t="s">
        <v>9</v>
      </c>
      <c r="C1806" s="11" t="s">
        <v>253</v>
      </c>
      <c r="D1806" s="11" t="s">
        <v>254</v>
      </c>
      <c r="E1806" s="9" t="str">
        <f>+HYPERLINK("http://trademark.i-assist.jp/data/china/image_1903th/79405947.pdf", "79405947")</f>
        <v>79405947</v>
      </c>
      <c r="F1806" s="11" t="s">
        <v>5187</v>
      </c>
      <c r="G1806" s="11" t="s">
        <v>5188</v>
      </c>
      <c r="H1806" s="11" t="s">
        <v>5189</v>
      </c>
      <c r="I1806" s="11" t="s">
        <v>4827</v>
      </c>
    </row>
    <row r="1807" spans="1:9" x14ac:dyDescent="0.15">
      <c r="A1807" s="10">
        <v>1806</v>
      </c>
      <c r="B1807" s="11" t="s">
        <v>9</v>
      </c>
      <c r="C1807" s="11" t="s">
        <v>253</v>
      </c>
      <c r="D1807" s="11" t="s">
        <v>254</v>
      </c>
      <c r="E1807" s="9" t="str">
        <f>+HYPERLINK("http://trademark.i-assist.jp/data/china/image_1903th/79405948.pdf", "79405948")</f>
        <v>79405948</v>
      </c>
      <c r="F1807" s="11" t="s">
        <v>5190</v>
      </c>
      <c r="G1807" s="11" t="s">
        <v>100</v>
      </c>
      <c r="H1807" s="11" t="s">
        <v>5191</v>
      </c>
      <c r="I1807" s="11" t="s">
        <v>4827</v>
      </c>
    </row>
    <row r="1808" spans="1:9" x14ac:dyDescent="0.15">
      <c r="A1808" s="10">
        <v>1807</v>
      </c>
      <c r="B1808" s="11" t="s">
        <v>9</v>
      </c>
      <c r="C1808" s="11" t="s">
        <v>253</v>
      </c>
      <c r="D1808" s="11" t="s">
        <v>254</v>
      </c>
      <c r="E1808" s="9" t="str">
        <f>+HYPERLINK("http://trademark.i-assist.jp/data/china/image_1903th/79406027.pdf", "79406027")</f>
        <v>79406027</v>
      </c>
      <c r="F1808" s="11" t="s">
        <v>5192</v>
      </c>
      <c r="G1808" s="11" t="s">
        <v>5193</v>
      </c>
      <c r="H1808" s="11" t="s">
        <v>5194</v>
      </c>
      <c r="I1808" s="11" t="s">
        <v>4827</v>
      </c>
    </row>
    <row r="1809" spans="1:9" x14ac:dyDescent="0.15">
      <c r="A1809" s="10">
        <v>1808</v>
      </c>
      <c r="B1809" s="11" t="s">
        <v>9</v>
      </c>
      <c r="C1809" s="11" t="s">
        <v>253</v>
      </c>
      <c r="D1809" s="11" t="s">
        <v>254</v>
      </c>
      <c r="E1809" s="9" t="str">
        <f>+HYPERLINK("http://trademark.i-assist.jp/data/china/image_1903th/79406176.pdf", "79406176")</f>
        <v>79406176</v>
      </c>
      <c r="F1809" s="11" t="s">
        <v>5195</v>
      </c>
      <c r="G1809" s="11" t="s">
        <v>5196</v>
      </c>
      <c r="H1809" s="11" t="s">
        <v>5197</v>
      </c>
      <c r="I1809" s="11" t="s">
        <v>4827</v>
      </c>
    </row>
    <row r="1810" spans="1:9" x14ac:dyDescent="0.15">
      <c r="A1810" s="10">
        <v>1809</v>
      </c>
      <c r="B1810" s="11" t="s">
        <v>9</v>
      </c>
      <c r="C1810" s="11" t="s">
        <v>253</v>
      </c>
      <c r="D1810" s="11" t="s">
        <v>254</v>
      </c>
      <c r="E1810" s="9" t="str">
        <f>+HYPERLINK("http://trademark.i-assist.jp/data/china/image_1903th/79406211.pdf", "79406211")</f>
        <v>79406211</v>
      </c>
      <c r="F1810" s="11" t="s">
        <v>5198</v>
      </c>
      <c r="G1810" s="11" t="s">
        <v>4948</v>
      </c>
      <c r="H1810" s="11" t="s">
        <v>5199</v>
      </c>
      <c r="I1810" s="11" t="s">
        <v>4827</v>
      </c>
    </row>
    <row r="1811" spans="1:9" x14ac:dyDescent="0.15">
      <c r="A1811" s="10">
        <v>1810</v>
      </c>
      <c r="B1811" s="11" t="s">
        <v>9</v>
      </c>
      <c r="C1811" s="11" t="s">
        <v>253</v>
      </c>
      <c r="D1811" s="11" t="s">
        <v>254</v>
      </c>
      <c r="E1811" s="9" t="str">
        <f>+HYPERLINK("http://trademark.i-assist.jp/data/china/image_1903th/79406291.pdf", "79406291")</f>
        <v>79406291</v>
      </c>
      <c r="F1811" s="11" t="s">
        <v>5200</v>
      </c>
      <c r="G1811" s="11" t="s">
        <v>5201</v>
      </c>
      <c r="H1811" s="11" t="s">
        <v>5202</v>
      </c>
      <c r="I1811" s="11" t="s">
        <v>4827</v>
      </c>
    </row>
    <row r="1812" spans="1:9" x14ac:dyDescent="0.15">
      <c r="A1812" s="10">
        <v>1811</v>
      </c>
      <c r="B1812" s="11" t="s">
        <v>9</v>
      </c>
      <c r="C1812" s="11" t="s">
        <v>253</v>
      </c>
      <c r="D1812" s="11" t="s">
        <v>254</v>
      </c>
      <c r="E1812" s="9" t="str">
        <f>+HYPERLINK("http://trademark.i-assist.jp/data/china/image_1903th/79406375.pdf", "79406375")</f>
        <v>79406375</v>
      </c>
      <c r="F1812" s="11" t="s">
        <v>5203</v>
      </c>
      <c r="G1812" s="11" t="s">
        <v>4279</v>
      </c>
      <c r="H1812" s="11" t="s">
        <v>5204</v>
      </c>
      <c r="I1812" s="11" t="s">
        <v>4827</v>
      </c>
    </row>
    <row r="1813" spans="1:9" x14ac:dyDescent="0.15">
      <c r="A1813" s="10">
        <v>1812</v>
      </c>
      <c r="B1813" s="11" t="s">
        <v>9</v>
      </c>
      <c r="C1813" s="11" t="s">
        <v>253</v>
      </c>
      <c r="D1813" s="11" t="s">
        <v>254</v>
      </c>
      <c r="E1813" s="9" t="str">
        <f>+HYPERLINK("http://trademark.i-assist.jp/data/china/image_1903th/79406405.pdf", "79406405")</f>
        <v>79406405</v>
      </c>
      <c r="F1813" s="11" t="s">
        <v>5205</v>
      </c>
      <c r="G1813" s="11" t="s">
        <v>5206</v>
      </c>
      <c r="H1813" s="11" t="s">
        <v>5207</v>
      </c>
      <c r="I1813" s="11" t="s">
        <v>4827</v>
      </c>
    </row>
    <row r="1814" spans="1:9" x14ac:dyDescent="0.15">
      <c r="A1814" s="10">
        <v>1813</v>
      </c>
      <c r="B1814" s="11" t="s">
        <v>9</v>
      </c>
      <c r="C1814" s="11" t="s">
        <v>253</v>
      </c>
      <c r="D1814" s="11" t="s">
        <v>254</v>
      </c>
      <c r="E1814" s="9" t="str">
        <f>+HYPERLINK("http://trademark.i-assist.jp/data/china/image_1903th/79406580.pdf", "79406580")</f>
        <v>79406580</v>
      </c>
      <c r="F1814" s="11" t="s">
        <v>5208</v>
      </c>
      <c r="G1814" s="11" t="s">
        <v>3445</v>
      </c>
      <c r="H1814" s="11" t="s">
        <v>5209</v>
      </c>
      <c r="I1814" s="11" t="s">
        <v>4827</v>
      </c>
    </row>
    <row r="1815" spans="1:9" x14ac:dyDescent="0.15">
      <c r="A1815" s="10">
        <v>1814</v>
      </c>
      <c r="B1815" s="11" t="s">
        <v>9</v>
      </c>
      <c r="C1815" s="11" t="s">
        <v>253</v>
      </c>
      <c r="D1815" s="11" t="s">
        <v>254</v>
      </c>
      <c r="E1815" s="9" t="str">
        <f>+HYPERLINK("http://trademark.i-assist.jp/data/china/image_1903th/79406700.pdf", "79406700")</f>
        <v>79406700</v>
      </c>
      <c r="F1815" s="11" t="s">
        <v>5210</v>
      </c>
      <c r="G1815" s="11" t="s">
        <v>5211</v>
      </c>
      <c r="H1815" s="11" t="s">
        <v>5212</v>
      </c>
      <c r="I1815" s="11" t="s">
        <v>4827</v>
      </c>
    </row>
    <row r="1816" spans="1:9" x14ac:dyDescent="0.15">
      <c r="A1816" s="10">
        <v>1815</v>
      </c>
      <c r="B1816" s="11" t="s">
        <v>9</v>
      </c>
      <c r="C1816" s="11" t="s">
        <v>253</v>
      </c>
      <c r="D1816" s="11" t="s">
        <v>254</v>
      </c>
      <c r="E1816" s="9" t="str">
        <f>+HYPERLINK("http://trademark.i-assist.jp/data/china/image_1903th/79406764.pdf", "79406764")</f>
        <v>79406764</v>
      </c>
      <c r="F1816" s="11" t="s">
        <v>5213</v>
      </c>
      <c r="G1816" s="11" t="s">
        <v>5214</v>
      </c>
      <c r="H1816" s="11" t="s">
        <v>5215</v>
      </c>
      <c r="I1816" s="11" t="s">
        <v>4827</v>
      </c>
    </row>
    <row r="1817" spans="1:9" x14ac:dyDescent="0.15">
      <c r="A1817" s="10">
        <v>1816</v>
      </c>
      <c r="B1817" s="11" t="s">
        <v>9</v>
      </c>
      <c r="C1817" s="11" t="s">
        <v>253</v>
      </c>
      <c r="D1817" s="11" t="s">
        <v>254</v>
      </c>
      <c r="E1817" s="9" t="str">
        <f>+HYPERLINK("http://trademark.i-assist.jp/data/china/image_1903th/79407510.pdf", "79407510")</f>
        <v>79407510</v>
      </c>
      <c r="F1817" s="11" t="s">
        <v>5216</v>
      </c>
      <c r="G1817" s="11" t="s">
        <v>4948</v>
      </c>
      <c r="H1817" s="11" t="s">
        <v>5217</v>
      </c>
      <c r="I1817" s="11" t="s">
        <v>4827</v>
      </c>
    </row>
    <row r="1818" spans="1:9" x14ac:dyDescent="0.15">
      <c r="A1818" s="10">
        <v>1817</v>
      </c>
      <c r="B1818" s="11" t="s">
        <v>9</v>
      </c>
      <c r="C1818" s="11" t="s">
        <v>253</v>
      </c>
      <c r="D1818" s="11" t="s">
        <v>254</v>
      </c>
      <c r="E1818" s="9" t="str">
        <f>+HYPERLINK("http://trademark.i-assist.jp/data/china/image_1903th/79407563.pdf", "79407563")</f>
        <v>79407563</v>
      </c>
      <c r="F1818" s="11" t="s">
        <v>5218</v>
      </c>
      <c r="G1818" s="11" t="s">
        <v>220</v>
      </c>
      <c r="H1818" s="11" t="s">
        <v>5219</v>
      </c>
      <c r="I1818" s="11" t="s">
        <v>4827</v>
      </c>
    </row>
    <row r="1819" spans="1:9" x14ac:dyDescent="0.15">
      <c r="A1819" s="10">
        <v>1818</v>
      </c>
      <c r="B1819" s="11" t="s">
        <v>9</v>
      </c>
      <c r="C1819" s="11" t="s">
        <v>253</v>
      </c>
      <c r="D1819" s="11" t="s">
        <v>254</v>
      </c>
      <c r="E1819" s="9" t="str">
        <f>+HYPERLINK("http://trademark.i-assist.jp/data/china/image_1903th/79408662.pdf", "79408662")</f>
        <v>79408662</v>
      </c>
      <c r="F1819" s="11" t="s">
        <v>5220</v>
      </c>
      <c r="G1819" s="11" t="s">
        <v>5041</v>
      </c>
      <c r="H1819" s="11" t="s">
        <v>5221</v>
      </c>
      <c r="I1819" s="11" t="s">
        <v>4827</v>
      </c>
    </row>
    <row r="1820" spans="1:9" x14ac:dyDescent="0.15">
      <c r="A1820" s="10">
        <v>1819</v>
      </c>
      <c r="B1820" s="11" t="s">
        <v>9</v>
      </c>
      <c r="C1820" s="11" t="s">
        <v>253</v>
      </c>
      <c r="D1820" s="11" t="s">
        <v>254</v>
      </c>
      <c r="E1820" s="9" t="str">
        <f>+HYPERLINK("http://trademark.i-assist.jp/data/china/image_1903th/79408752.pdf", "79408752")</f>
        <v>79408752</v>
      </c>
      <c r="F1820" s="11" t="s">
        <v>5222</v>
      </c>
      <c r="G1820" s="11" t="s">
        <v>5223</v>
      </c>
      <c r="H1820" s="11" t="s">
        <v>5224</v>
      </c>
      <c r="I1820" s="11" t="s">
        <v>4827</v>
      </c>
    </row>
    <row r="1821" spans="1:9" x14ac:dyDescent="0.15">
      <c r="A1821" s="10">
        <v>1820</v>
      </c>
      <c r="B1821" s="11" t="s">
        <v>9</v>
      </c>
      <c r="C1821" s="11" t="s">
        <v>253</v>
      </c>
      <c r="D1821" s="11" t="s">
        <v>254</v>
      </c>
      <c r="E1821" s="9" t="str">
        <f>+HYPERLINK("http://trademark.i-assist.jp/data/china/image_1903th/79409598.pdf", "79409598")</f>
        <v>79409598</v>
      </c>
      <c r="F1821" s="11" t="s">
        <v>5225</v>
      </c>
      <c r="G1821" s="11" t="s">
        <v>4843</v>
      </c>
      <c r="H1821" s="11" t="s">
        <v>5226</v>
      </c>
      <c r="I1821" s="11" t="s">
        <v>4827</v>
      </c>
    </row>
    <row r="1822" spans="1:9" x14ac:dyDescent="0.15">
      <c r="A1822" s="10">
        <v>1821</v>
      </c>
      <c r="B1822" s="11" t="s">
        <v>9</v>
      </c>
      <c r="C1822" s="11" t="s">
        <v>253</v>
      </c>
      <c r="D1822" s="11" t="s">
        <v>254</v>
      </c>
      <c r="E1822" s="9" t="str">
        <f>+HYPERLINK("http://trademark.i-assist.jp/data/china/image_1903th/79409682.pdf", "79409682")</f>
        <v>79409682</v>
      </c>
      <c r="F1822" s="11" t="s">
        <v>5227</v>
      </c>
      <c r="G1822" s="11" t="s">
        <v>5228</v>
      </c>
      <c r="H1822" s="11" t="s">
        <v>5229</v>
      </c>
      <c r="I1822" s="11" t="s">
        <v>4827</v>
      </c>
    </row>
    <row r="1823" spans="1:9" x14ac:dyDescent="0.15">
      <c r="A1823" s="10">
        <v>1822</v>
      </c>
      <c r="B1823" s="11" t="s">
        <v>9</v>
      </c>
      <c r="C1823" s="11" t="s">
        <v>253</v>
      </c>
      <c r="D1823" s="11" t="s">
        <v>254</v>
      </c>
      <c r="E1823" s="9" t="str">
        <f>+HYPERLINK("http://trademark.i-assist.jp/data/china/image_1903th/79410047.pdf", "79410047")</f>
        <v>79410047</v>
      </c>
      <c r="F1823" s="11" t="s">
        <v>5230</v>
      </c>
      <c r="G1823" s="11" t="s">
        <v>252</v>
      </c>
      <c r="H1823" s="11" t="s">
        <v>5231</v>
      </c>
      <c r="I1823" s="11" t="s">
        <v>4827</v>
      </c>
    </row>
    <row r="1824" spans="1:9" x14ac:dyDescent="0.15">
      <c r="A1824" s="10">
        <v>1823</v>
      </c>
      <c r="B1824" s="11" t="s">
        <v>9</v>
      </c>
      <c r="C1824" s="11" t="s">
        <v>253</v>
      </c>
      <c r="D1824" s="11" t="s">
        <v>254</v>
      </c>
      <c r="E1824" s="9" t="str">
        <f>+HYPERLINK("http://trademark.i-assist.jp/data/china/image_1903th/79410169.pdf", "79410169")</f>
        <v>79410169</v>
      </c>
      <c r="F1824" s="11" t="s">
        <v>5232</v>
      </c>
      <c r="G1824" s="11" t="s">
        <v>5233</v>
      </c>
      <c r="H1824" s="11" t="s">
        <v>5234</v>
      </c>
      <c r="I1824" s="11" t="s">
        <v>4827</v>
      </c>
    </row>
    <row r="1825" spans="1:9" x14ac:dyDescent="0.15">
      <c r="A1825" s="10">
        <v>1824</v>
      </c>
      <c r="B1825" s="11" t="s">
        <v>9</v>
      </c>
      <c r="C1825" s="11" t="s">
        <v>253</v>
      </c>
      <c r="D1825" s="11" t="s">
        <v>254</v>
      </c>
      <c r="E1825" s="9" t="str">
        <f>+HYPERLINK("http://trademark.i-assist.jp/data/china/image_1903th/79410826.pdf", "79410826")</f>
        <v>79410826</v>
      </c>
      <c r="F1825" s="11" t="s">
        <v>5235</v>
      </c>
      <c r="G1825" s="11" t="s">
        <v>5236</v>
      </c>
      <c r="H1825" s="11" t="s">
        <v>5237</v>
      </c>
      <c r="I1825" s="11" t="s">
        <v>4827</v>
      </c>
    </row>
    <row r="1826" spans="1:9" x14ac:dyDescent="0.15">
      <c r="A1826" s="10">
        <v>1825</v>
      </c>
      <c r="B1826" s="11" t="s">
        <v>9</v>
      </c>
      <c r="C1826" s="11" t="s">
        <v>253</v>
      </c>
      <c r="D1826" s="11" t="s">
        <v>254</v>
      </c>
      <c r="E1826" s="9" t="str">
        <f>+HYPERLINK("http://trademark.i-assist.jp/data/china/image_1903th/79411175.pdf", "79411175")</f>
        <v>79411175</v>
      </c>
      <c r="F1826" s="11" t="s">
        <v>5238</v>
      </c>
      <c r="G1826" s="11" t="s">
        <v>5239</v>
      </c>
      <c r="H1826" s="11" t="s">
        <v>5240</v>
      </c>
      <c r="I1826" s="11" t="s">
        <v>4827</v>
      </c>
    </row>
    <row r="1827" spans="1:9" x14ac:dyDescent="0.15">
      <c r="A1827" s="10">
        <v>1826</v>
      </c>
      <c r="B1827" s="11" t="s">
        <v>9</v>
      </c>
      <c r="C1827" s="11" t="s">
        <v>253</v>
      </c>
      <c r="D1827" s="11" t="s">
        <v>254</v>
      </c>
      <c r="E1827" s="9" t="str">
        <f>+HYPERLINK("http://trademark.i-assist.jp/data/china/image_1903th/79411601.pdf", "79411601")</f>
        <v>79411601</v>
      </c>
      <c r="F1827" s="11" t="s">
        <v>5241</v>
      </c>
      <c r="G1827" s="11" t="s">
        <v>295</v>
      </c>
      <c r="H1827" s="11" t="s">
        <v>5242</v>
      </c>
      <c r="I1827" s="11" t="s">
        <v>5243</v>
      </c>
    </row>
    <row r="1828" spans="1:9" x14ac:dyDescent="0.15">
      <c r="A1828" s="10">
        <v>1827</v>
      </c>
      <c r="B1828" s="11" t="s">
        <v>9</v>
      </c>
      <c r="C1828" s="11" t="s">
        <v>253</v>
      </c>
      <c r="D1828" s="11" t="s">
        <v>254</v>
      </c>
      <c r="E1828" s="9" t="str">
        <f>+HYPERLINK("http://trademark.i-assist.jp/data/china/image_1903th/79411620.pdf", "79411620")</f>
        <v>79411620</v>
      </c>
      <c r="F1828" s="11" t="s">
        <v>5244</v>
      </c>
      <c r="G1828" s="11" t="s">
        <v>232</v>
      </c>
      <c r="H1828" s="11" t="s">
        <v>5245</v>
      </c>
      <c r="I1828" s="11" t="s">
        <v>5243</v>
      </c>
    </row>
    <row r="1829" spans="1:9" x14ac:dyDescent="0.15">
      <c r="A1829" s="10">
        <v>1828</v>
      </c>
      <c r="B1829" s="11" t="s">
        <v>9</v>
      </c>
      <c r="C1829" s="11" t="s">
        <v>253</v>
      </c>
      <c r="D1829" s="11" t="s">
        <v>254</v>
      </c>
      <c r="E1829" s="9" t="str">
        <f>+HYPERLINK("http://trademark.i-assist.jp/data/china/image_1903th/79411812.pdf", "79411812")</f>
        <v>79411812</v>
      </c>
      <c r="F1829" s="11" t="s">
        <v>5246</v>
      </c>
      <c r="G1829" s="11" t="s">
        <v>5247</v>
      </c>
      <c r="H1829" s="11" t="s">
        <v>5248</v>
      </c>
      <c r="I1829" s="11" t="s">
        <v>5243</v>
      </c>
    </row>
    <row r="1830" spans="1:9" x14ac:dyDescent="0.15">
      <c r="A1830" s="10">
        <v>1829</v>
      </c>
      <c r="B1830" s="11" t="s">
        <v>9</v>
      </c>
      <c r="C1830" s="11" t="s">
        <v>253</v>
      </c>
      <c r="D1830" s="11" t="s">
        <v>254</v>
      </c>
      <c r="E1830" s="9" t="str">
        <f>+HYPERLINK("http://trademark.i-assist.jp/data/china/image_1903th/79411879.pdf", "79411879")</f>
        <v>79411879</v>
      </c>
      <c r="F1830" s="11" t="s">
        <v>5249</v>
      </c>
      <c r="G1830" s="11" t="s">
        <v>5250</v>
      </c>
      <c r="H1830" s="11" t="s">
        <v>5251</v>
      </c>
      <c r="I1830" s="11" t="s">
        <v>5243</v>
      </c>
    </row>
    <row r="1831" spans="1:9" x14ac:dyDescent="0.15">
      <c r="A1831" s="10">
        <v>1830</v>
      </c>
      <c r="B1831" s="11" t="s">
        <v>9</v>
      </c>
      <c r="C1831" s="11" t="s">
        <v>253</v>
      </c>
      <c r="D1831" s="11" t="s">
        <v>254</v>
      </c>
      <c r="E1831" s="9" t="str">
        <f>+HYPERLINK("http://trademark.i-assist.jp/data/china/image_1903th/79411885.pdf", "79411885")</f>
        <v>79411885</v>
      </c>
      <c r="F1831" s="11" t="s">
        <v>5252</v>
      </c>
      <c r="G1831" s="11" t="s">
        <v>95</v>
      </c>
      <c r="H1831" s="11" t="s">
        <v>5253</v>
      </c>
      <c r="I1831" s="11" t="s">
        <v>5243</v>
      </c>
    </row>
    <row r="1832" spans="1:9" x14ac:dyDescent="0.15">
      <c r="A1832" s="10">
        <v>1831</v>
      </c>
      <c r="B1832" s="11" t="s">
        <v>9</v>
      </c>
      <c r="C1832" s="11" t="s">
        <v>253</v>
      </c>
      <c r="D1832" s="11" t="s">
        <v>254</v>
      </c>
      <c r="E1832" s="9" t="str">
        <f>+HYPERLINK("http://trademark.i-assist.jp/data/china/image_1903th/79412007.pdf", "79412007")</f>
        <v>79412007</v>
      </c>
      <c r="F1832" s="11" t="s">
        <v>5254</v>
      </c>
      <c r="G1832" s="11" t="s">
        <v>5255</v>
      </c>
      <c r="H1832" s="11" t="s">
        <v>5256</v>
      </c>
      <c r="I1832" s="11" t="s">
        <v>5243</v>
      </c>
    </row>
    <row r="1833" spans="1:9" x14ac:dyDescent="0.15">
      <c r="A1833" s="10">
        <v>1832</v>
      </c>
      <c r="B1833" s="11" t="s">
        <v>9</v>
      </c>
      <c r="C1833" s="11" t="s">
        <v>253</v>
      </c>
      <c r="D1833" s="11" t="s">
        <v>254</v>
      </c>
      <c r="E1833" s="9" t="str">
        <f>+HYPERLINK("http://trademark.i-assist.jp/data/china/image_1903th/79413354.pdf", "79413354")</f>
        <v>79413354</v>
      </c>
      <c r="F1833" s="11" t="s">
        <v>5257</v>
      </c>
      <c r="G1833" s="11" t="s">
        <v>5258</v>
      </c>
      <c r="H1833" s="11" t="s">
        <v>5259</v>
      </c>
      <c r="I1833" s="11" t="s">
        <v>5243</v>
      </c>
    </row>
    <row r="1834" spans="1:9" x14ac:dyDescent="0.15">
      <c r="A1834" s="10">
        <v>1833</v>
      </c>
      <c r="B1834" s="11" t="s">
        <v>9</v>
      </c>
      <c r="C1834" s="11" t="s">
        <v>253</v>
      </c>
      <c r="D1834" s="11" t="s">
        <v>254</v>
      </c>
      <c r="E1834" s="9" t="str">
        <f>+HYPERLINK("http://trademark.i-assist.jp/data/china/image_1903th/79413424.pdf", "79413424")</f>
        <v>79413424</v>
      </c>
      <c r="F1834" s="11" t="s">
        <v>5260</v>
      </c>
      <c r="G1834" s="11" t="s">
        <v>25</v>
      </c>
      <c r="H1834" s="11" t="s">
        <v>5261</v>
      </c>
      <c r="I1834" s="11" t="s">
        <v>5243</v>
      </c>
    </row>
    <row r="1835" spans="1:9" x14ac:dyDescent="0.15">
      <c r="A1835" s="10">
        <v>1834</v>
      </c>
      <c r="B1835" s="11" t="s">
        <v>9</v>
      </c>
      <c r="C1835" s="11" t="s">
        <v>253</v>
      </c>
      <c r="D1835" s="11" t="s">
        <v>254</v>
      </c>
      <c r="E1835" s="9" t="str">
        <f>+HYPERLINK("http://trademark.i-assist.jp/data/china/image_1903th/79413937.pdf", "79413937")</f>
        <v>79413937</v>
      </c>
      <c r="F1835" s="11" t="s">
        <v>5262</v>
      </c>
      <c r="G1835" s="11" t="s">
        <v>5263</v>
      </c>
      <c r="H1835" s="11" t="s">
        <v>5264</v>
      </c>
      <c r="I1835" s="11" t="s">
        <v>5243</v>
      </c>
    </row>
    <row r="1836" spans="1:9" x14ac:dyDescent="0.15">
      <c r="A1836" s="10">
        <v>1835</v>
      </c>
      <c r="B1836" s="11" t="s">
        <v>9</v>
      </c>
      <c r="C1836" s="11" t="s">
        <v>253</v>
      </c>
      <c r="D1836" s="11" t="s">
        <v>254</v>
      </c>
      <c r="E1836" s="9" t="str">
        <f>+HYPERLINK("http://trademark.i-assist.jp/data/china/image_1903th/79414174.pdf", "79414174")</f>
        <v>79414174</v>
      </c>
      <c r="F1836" s="11" t="s">
        <v>5265</v>
      </c>
      <c r="G1836" s="11" t="s">
        <v>5266</v>
      </c>
      <c r="H1836" s="11" t="s">
        <v>5267</v>
      </c>
      <c r="I1836" s="11" t="s">
        <v>5243</v>
      </c>
    </row>
    <row r="1837" spans="1:9" x14ac:dyDescent="0.15">
      <c r="A1837" s="10">
        <v>1836</v>
      </c>
      <c r="B1837" s="11" t="s">
        <v>9</v>
      </c>
      <c r="C1837" s="11" t="s">
        <v>253</v>
      </c>
      <c r="D1837" s="11" t="s">
        <v>254</v>
      </c>
      <c r="E1837" s="9" t="str">
        <f>+HYPERLINK("http://trademark.i-assist.jp/data/china/image_1903th/79414343.pdf", "79414343")</f>
        <v>79414343</v>
      </c>
      <c r="F1837" s="11" t="s">
        <v>5268</v>
      </c>
      <c r="G1837" s="11" t="s">
        <v>5269</v>
      </c>
      <c r="H1837" s="11" t="s">
        <v>5270</v>
      </c>
      <c r="I1837" s="11" t="s">
        <v>5243</v>
      </c>
    </row>
    <row r="1838" spans="1:9" x14ac:dyDescent="0.15">
      <c r="A1838" s="10">
        <v>1837</v>
      </c>
      <c r="B1838" s="11" t="s">
        <v>9</v>
      </c>
      <c r="C1838" s="11" t="s">
        <v>253</v>
      </c>
      <c r="D1838" s="11" t="s">
        <v>254</v>
      </c>
      <c r="E1838" s="9" t="str">
        <f>+HYPERLINK("http://trademark.i-assist.jp/data/china/image_1903th/79414469.pdf", "79414469")</f>
        <v>79414469</v>
      </c>
      <c r="F1838" s="11" t="s">
        <v>12</v>
      </c>
      <c r="G1838" s="11" t="s">
        <v>5271</v>
      </c>
      <c r="H1838" s="11" t="s">
        <v>5272</v>
      </c>
      <c r="I1838" s="11" t="s">
        <v>5243</v>
      </c>
    </row>
    <row r="1839" spans="1:9" x14ac:dyDescent="0.15">
      <c r="A1839" s="10">
        <v>1838</v>
      </c>
      <c r="B1839" s="11" t="s">
        <v>9</v>
      </c>
      <c r="C1839" s="11" t="s">
        <v>253</v>
      </c>
      <c r="D1839" s="11" t="s">
        <v>254</v>
      </c>
      <c r="E1839" s="9" t="str">
        <f>+HYPERLINK("http://trademark.i-assist.jp/data/china/image_1903th/79414593.pdf", "79414593")</f>
        <v>79414593</v>
      </c>
      <c r="F1839" s="11" t="s">
        <v>5273</v>
      </c>
      <c r="G1839" s="11" t="s">
        <v>5274</v>
      </c>
      <c r="H1839" s="11" t="s">
        <v>5275</v>
      </c>
      <c r="I1839" s="11" t="s">
        <v>5243</v>
      </c>
    </row>
    <row r="1840" spans="1:9" x14ac:dyDescent="0.15">
      <c r="A1840" s="10">
        <v>1839</v>
      </c>
      <c r="B1840" s="11" t="s">
        <v>9</v>
      </c>
      <c r="C1840" s="11" t="s">
        <v>253</v>
      </c>
      <c r="D1840" s="11" t="s">
        <v>254</v>
      </c>
      <c r="E1840" s="9" t="str">
        <f>+HYPERLINK("http://trademark.i-assist.jp/data/china/image_1903th/79414640.pdf", "79414640")</f>
        <v>79414640</v>
      </c>
      <c r="F1840" s="11" t="s">
        <v>5276</v>
      </c>
      <c r="G1840" s="11" t="s">
        <v>5277</v>
      </c>
      <c r="H1840" s="11" t="s">
        <v>5278</v>
      </c>
      <c r="I1840" s="11" t="s">
        <v>5243</v>
      </c>
    </row>
    <row r="1841" spans="1:9" x14ac:dyDescent="0.15">
      <c r="A1841" s="10">
        <v>1840</v>
      </c>
      <c r="B1841" s="11" t="s">
        <v>9</v>
      </c>
      <c r="C1841" s="11" t="s">
        <v>253</v>
      </c>
      <c r="D1841" s="11" t="s">
        <v>254</v>
      </c>
      <c r="E1841" s="9" t="str">
        <f>+HYPERLINK("http://trademark.i-assist.jp/data/china/image_1903th/79414866.pdf", "79414866")</f>
        <v>79414866</v>
      </c>
      <c r="F1841" s="11" t="s">
        <v>5279</v>
      </c>
      <c r="G1841" s="11" t="s">
        <v>154</v>
      </c>
      <c r="H1841" s="11" t="s">
        <v>5280</v>
      </c>
      <c r="I1841" s="11" t="s">
        <v>5243</v>
      </c>
    </row>
    <row r="1842" spans="1:9" x14ac:dyDescent="0.15">
      <c r="A1842" s="10">
        <v>1841</v>
      </c>
      <c r="B1842" s="11" t="s">
        <v>9</v>
      </c>
      <c r="C1842" s="11" t="s">
        <v>253</v>
      </c>
      <c r="D1842" s="11" t="s">
        <v>254</v>
      </c>
      <c r="E1842" s="9" t="str">
        <f>+HYPERLINK("http://trademark.i-assist.jp/data/china/image_1903th/79414901.pdf", "79414901")</f>
        <v>79414901</v>
      </c>
      <c r="F1842" s="11" t="s">
        <v>5281</v>
      </c>
      <c r="G1842" s="11" t="s">
        <v>5282</v>
      </c>
      <c r="H1842" s="11" t="s">
        <v>5283</v>
      </c>
      <c r="I1842" s="11" t="s">
        <v>5243</v>
      </c>
    </row>
    <row r="1843" spans="1:9" x14ac:dyDescent="0.15">
      <c r="A1843" s="10">
        <v>1842</v>
      </c>
      <c r="B1843" s="11" t="s">
        <v>9</v>
      </c>
      <c r="C1843" s="11" t="s">
        <v>253</v>
      </c>
      <c r="D1843" s="11" t="s">
        <v>254</v>
      </c>
      <c r="E1843" s="9" t="str">
        <f>+HYPERLINK("http://trademark.i-assist.jp/data/china/image_1903th/79414969.pdf", "79414969")</f>
        <v>79414969</v>
      </c>
      <c r="F1843" s="11" t="s">
        <v>5284</v>
      </c>
      <c r="G1843" s="11" t="s">
        <v>159</v>
      </c>
      <c r="H1843" s="11" t="s">
        <v>5285</v>
      </c>
      <c r="I1843" s="11" t="s">
        <v>5243</v>
      </c>
    </row>
    <row r="1844" spans="1:9" x14ac:dyDescent="0.15">
      <c r="A1844" s="10">
        <v>1843</v>
      </c>
      <c r="B1844" s="11" t="s">
        <v>9</v>
      </c>
      <c r="C1844" s="11" t="s">
        <v>253</v>
      </c>
      <c r="D1844" s="11" t="s">
        <v>254</v>
      </c>
      <c r="E1844" s="9" t="str">
        <f>+HYPERLINK("http://trademark.i-assist.jp/data/china/image_1903th/79414997.pdf", "79414997")</f>
        <v>79414997</v>
      </c>
      <c r="F1844" s="11" t="s">
        <v>5286</v>
      </c>
      <c r="G1844" s="11" t="s">
        <v>5287</v>
      </c>
      <c r="H1844" s="11" t="s">
        <v>5288</v>
      </c>
      <c r="I1844" s="11" t="s">
        <v>5243</v>
      </c>
    </row>
    <row r="1845" spans="1:9" x14ac:dyDescent="0.15">
      <c r="A1845" s="10">
        <v>1844</v>
      </c>
      <c r="B1845" s="11" t="s">
        <v>9</v>
      </c>
      <c r="C1845" s="11" t="s">
        <v>253</v>
      </c>
      <c r="D1845" s="11" t="s">
        <v>254</v>
      </c>
      <c r="E1845" s="9" t="str">
        <f>+HYPERLINK("http://trademark.i-assist.jp/data/china/image_1903th/79415024.pdf", "79415024")</f>
        <v>79415024</v>
      </c>
      <c r="F1845" s="11" t="s">
        <v>5289</v>
      </c>
      <c r="G1845" s="11" t="s">
        <v>5290</v>
      </c>
      <c r="H1845" s="11" t="s">
        <v>5291</v>
      </c>
      <c r="I1845" s="11" t="s">
        <v>5243</v>
      </c>
    </row>
    <row r="1846" spans="1:9" x14ac:dyDescent="0.15">
      <c r="A1846" s="10">
        <v>1845</v>
      </c>
      <c r="B1846" s="11" t="s">
        <v>9</v>
      </c>
      <c r="C1846" s="11" t="s">
        <v>253</v>
      </c>
      <c r="D1846" s="11" t="s">
        <v>254</v>
      </c>
      <c r="E1846" s="9" t="str">
        <f>+HYPERLINK("http://trademark.i-assist.jp/data/china/image_1903th/79415276.pdf", "79415276")</f>
        <v>79415276</v>
      </c>
      <c r="F1846" s="11" t="s">
        <v>5292</v>
      </c>
      <c r="G1846" s="11" t="s">
        <v>5293</v>
      </c>
      <c r="H1846" s="11" t="s">
        <v>5294</v>
      </c>
      <c r="I1846" s="11" t="s">
        <v>5243</v>
      </c>
    </row>
    <row r="1847" spans="1:9" x14ac:dyDescent="0.15">
      <c r="A1847" s="10">
        <v>1846</v>
      </c>
      <c r="B1847" s="11" t="s">
        <v>9</v>
      </c>
      <c r="C1847" s="11" t="s">
        <v>253</v>
      </c>
      <c r="D1847" s="11" t="s">
        <v>254</v>
      </c>
      <c r="E1847" s="9" t="str">
        <f>+HYPERLINK("http://trademark.i-assist.jp/data/china/image_1903th/79415632.pdf", "79415632")</f>
        <v>79415632</v>
      </c>
      <c r="F1847" s="11" t="s">
        <v>5295</v>
      </c>
      <c r="G1847" s="11" t="s">
        <v>5296</v>
      </c>
      <c r="H1847" s="11" t="s">
        <v>5297</v>
      </c>
      <c r="I1847" s="11" t="s">
        <v>5243</v>
      </c>
    </row>
    <row r="1848" spans="1:9" x14ac:dyDescent="0.15">
      <c r="A1848" s="10">
        <v>1847</v>
      </c>
      <c r="B1848" s="11" t="s">
        <v>9</v>
      </c>
      <c r="C1848" s="11" t="s">
        <v>253</v>
      </c>
      <c r="D1848" s="11" t="s">
        <v>254</v>
      </c>
      <c r="E1848" s="9" t="str">
        <f>+HYPERLINK("http://trademark.i-assist.jp/data/china/image_1903th/79416019.pdf", "79416019")</f>
        <v>79416019</v>
      </c>
      <c r="F1848" s="11" t="s">
        <v>5298</v>
      </c>
      <c r="G1848" s="11" t="s">
        <v>5299</v>
      </c>
      <c r="H1848" s="11" t="s">
        <v>5300</v>
      </c>
      <c r="I1848" s="11" t="s">
        <v>5243</v>
      </c>
    </row>
    <row r="1849" spans="1:9" x14ac:dyDescent="0.15">
      <c r="A1849" s="10">
        <v>1848</v>
      </c>
      <c r="B1849" s="11" t="s">
        <v>9</v>
      </c>
      <c r="C1849" s="11" t="s">
        <v>253</v>
      </c>
      <c r="D1849" s="11" t="s">
        <v>254</v>
      </c>
      <c r="E1849" s="9" t="str">
        <f>+HYPERLINK("http://trademark.i-assist.jp/data/china/image_1903th/79416062.pdf", "79416062")</f>
        <v>79416062</v>
      </c>
      <c r="F1849" s="11" t="s">
        <v>5301</v>
      </c>
      <c r="G1849" s="11" t="s">
        <v>5302</v>
      </c>
      <c r="H1849" s="11" t="s">
        <v>5303</v>
      </c>
      <c r="I1849" s="11" t="s">
        <v>5243</v>
      </c>
    </row>
    <row r="1850" spans="1:9" x14ac:dyDescent="0.15">
      <c r="A1850" s="10">
        <v>1849</v>
      </c>
      <c r="B1850" s="11" t="s">
        <v>9</v>
      </c>
      <c r="C1850" s="11" t="s">
        <v>253</v>
      </c>
      <c r="D1850" s="11" t="s">
        <v>254</v>
      </c>
      <c r="E1850" s="9" t="str">
        <f>+HYPERLINK("http://trademark.i-assist.jp/data/china/image_1903th/79416071.pdf", "79416071")</f>
        <v>79416071</v>
      </c>
      <c r="F1850" s="11" t="s">
        <v>5304</v>
      </c>
      <c r="G1850" s="11" t="s">
        <v>5305</v>
      </c>
      <c r="H1850" s="11" t="s">
        <v>5306</v>
      </c>
      <c r="I1850" s="11" t="s">
        <v>5243</v>
      </c>
    </row>
    <row r="1851" spans="1:9" x14ac:dyDescent="0.15">
      <c r="A1851" s="10">
        <v>1850</v>
      </c>
      <c r="B1851" s="11" t="s">
        <v>9</v>
      </c>
      <c r="C1851" s="11" t="s">
        <v>253</v>
      </c>
      <c r="D1851" s="11" t="s">
        <v>254</v>
      </c>
      <c r="E1851" s="9" t="str">
        <f>+HYPERLINK("http://trademark.i-assist.jp/data/china/image_1903th/79416865.pdf", "79416865")</f>
        <v>79416865</v>
      </c>
      <c r="F1851" s="11" t="s">
        <v>5307</v>
      </c>
      <c r="G1851" s="11" t="s">
        <v>5308</v>
      </c>
      <c r="H1851" s="11" t="s">
        <v>5309</v>
      </c>
      <c r="I1851" s="11" t="s">
        <v>5243</v>
      </c>
    </row>
    <row r="1852" spans="1:9" x14ac:dyDescent="0.15">
      <c r="A1852" s="10">
        <v>1851</v>
      </c>
      <c r="B1852" s="11" t="s">
        <v>9</v>
      </c>
      <c r="C1852" s="11" t="s">
        <v>253</v>
      </c>
      <c r="D1852" s="11" t="s">
        <v>254</v>
      </c>
      <c r="E1852" s="9" t="str">
        <f>+HYPERLINK("http://trademark.i-assist.jp/data/china/image_1903th/79417018.pdf", "79417018")</f>
        <v>79417018</v>
      </c>
      <c r="F1852" s="11" t="s">
        <v>5310</v>
      </c>
      <c r="G1852" s="11" t="s">
        <v>5311</v>
      </c>
      <c r="H1852" s="11" t="s">
        <v>5312</v>
      </c>
      <c r="I1852" s="11" t="s">
        <v>5243</v>
      </c>
    </row>
    <row r="1853" spans="1:9" x14ac:dyDescent="0.15">
      <c r="A1853" s="10">
        <v>1852</v>
      </c>
      <c r="B1853" s="11" t="s">
        <v>9</v>
      </c>
      <c r="C1853" s="11" t="s">
        <v>253</v>
      </c>
      <c r="D1853" s="11" t="s">
        <v>254</v>
      </c>
      <c r="E1853" s="9" t="str">
        <f>+HYPERLINK("http://trademark.i-assist.jp/data/china/image_1903th/79417405.pdf", "79417405")</f>
        <v>79417405</v>
      </c>
      <c r="F1853" s="11" t="s">
        <v>5313</v>
      </c>
      <c r="G1853" s="11" t="s">
        <v>5314</v>
      </c>
      <c r="H1853" s="11" t="s">
        <v>5315</v>
      </c>
      <c r="I1853" s="11" t="s">
        <v>5243</v>
      </c>
    </row>
    <row r="1854" spans="1:9" x14ac:dyDescent="0.15">
      <c r="A1854" s="10">
        <v>1853</v>
      </c>
      <c r="B1854" s="11" t="s">
        <v>9</v>
      </c>
      <c r="C1854" s="11" t="s">
        <v>253</v>
      </c>
      <c r="D1854" s="11" t="s">
        <v>254</v>
      </c>
      <c r="E1854" s="9" t="str">
        <f>+HYPERLINK("http://trademark.i-assist.jp/data/china/image_1903th/79417550.pdf", "79417550")</f>
        <v>79417550</v>
      </c>
      <c r="F1854" s="11" t="s">
        <v>5316</v>
      </c>
      <c r="G1854" s="11" t="s">
        <v>5317</v>
      </c>
      <c r="H1854" s="11" t="s">
        <v>5318</v>
      </c>
      <c r="I1854" s="11" t="s">
        <v>5243</v>
      </c>
    </row>
    <row r="1855" spans="1:9" x14ac:dyDescent="0.15">
      <c r="A1855" s="10">
        <v>1854</v>
      </c>
      <c r="B1855" s="11" t="s">
        <v>9</v>
      </c>
      <c r="C1855" s="11" t="s">
        <v>253</v>
      </c>
      <c r="D1855" s="11" t="s">
        <v>254</v>
      </c>
      <c r="E1855" s="9" t="str">
        <f>+HYPERLINK("http://trademark.i-assist.jp/data/china/image_1903th/79417658.pdf", "79417658")</f>
        <v>79417658</v>
      </c>
      <c r="F1855" s="11" t="s">
        <v>5319</v>
      </c>
      <c r="G1855" s="11" t="s">
        <v>5320</v>
      </c>
      <c r="H1855" s="11" t="s">
        <v>5321</v>
      </c>
      <c r="I1855" s="11" t="s">
        <v>5243</v>
      </c>
    </row>
    <row r="1856" spans="1:9" x14ac:dyDescent="0.15">
      <c r="A1856" s="10">
        <v>1855</v>
      </c>
      <c r="B1856" s="11" t="s">
        <v>9</v>
      </c>
      <c r="C1856" s="11" t="s">
        <v>253</v>
      </c>
      <c r="D1856" s="11" t="s">
        <v>254</v>
      </c>
      <c r="E1856" s="9" t="str">
        <f>+HYPERLINK("http://trademark.i-assist.jp/data/china/image_1903th/79417988.pdf", "79417988")</f>
        <v>79417988</v>
      </c>
      <c r="F1856" s="11" t="s">
        <v>5322</v>
      </c>
      <c r="G1856" s="11" t="s">
        <v>5323</v>
      </c>
      <c r="H1856" s="11" t="s">
        <v>5324</v>
      </c>
      <c r="I1856" s="11" t="s">
        <v>5243</v>
      </c>
    </row>
    <row r="1857" spans="1:9" x14ac:dyDescent="0.15">
      <c r="A1857" s="10">
        <v>1856</v>
      </c>
      <c r="B1857" s="11" t="s">
        <v>9</v>
      </c>
      <c r="C1857" s="11" t="s">
        <v>253</v>
      </c>
      <c r="D1857" s="11" t="s">
        <v>254</v>
      </c>
      <c r="E1857" s="9" t="str">
        <f>+HYPERLINK("http://trademark.i-assist.jp/data/china/image_1903th/79418085.pdf", "79418085")</f>
        <v>79418085</v>
      </c>
      <c r="F1857" s="11" t="s">
        <v>5325</v>
      </c>
      <c r="G1857" s="11" t="s">
        <v>151</v>
      </c>
      <c r="H1857" s="11" t="s">
        <v>5326</v>
      </c>
      <c r="I1857" s="11" t="s">
        <v>5243</v>
      </c>
    </row>
    <row r="1858" spans="1:9" x14ac:dyDescent="0.15">
      <c r="A1858" s="10">
        <v>1857</v>
      </c>
      <c r="B1858" s="11" t="s">
        <v>9</v>
      </c>
      <c r="C1858" s="11" t="s">
        <v>253</v>
      </c>
      <c r="D1858" s="11" t="s">
        <v>254</v>
      </c>
      <c r="E1858" s="9" t="str">
        <f>+HYPERLINK("http://trademark.i-assist.jp/data/china/image_1903th/79418228.pdf", "79418228")</f>
        <v>79418228</v>
      </c>
      <c r="F1858" s="11" t="s">
        <v>5327</v>
      </c>
      <c r="G1858" s="11" t="s">
        <v>5328</v>
      </c>
      <c r="H1858" s="11" t="s">
        <v>5329</v>
      </c>
      <c r="I1858" s="11" t="s">
        <v>5243</v>
      </c>
    </row>
    <row r="1859" spans="1:9" x14ac:dyDescent="0.15">
      <c r="A1859" s="10">
        <v>1858</v>
      </c>
      <c r="B1859" s="11" t="s">
        <v>9</v>
      </c>
      <c r="C1859" s="11" t="s">
        <v>253</v>
      </c>
      <c r="D1859" s="11" t="s">
        <v>254</v>
      </c>
      <c r="E1859" s="9" t="str">
        <f>+HYPERLINK("http://trademark.i-assist.jp/data/china/image_1903th/79418465.pdf", "79418465")</f>
        <v>79418465</v>
      </c>
      <c r="F1859" s="11" t="s">
        <v>5330</v>
      </c>
      <c r="G1859" s="11" t="s">
        <v>5331</v>
      </c>
      <c r="H1859" s="11" t="s">
        <v>5332</v>
      </c>
      <c r="I1859" s="11" t="s">
        <v>5243</v>
      </c>
    </row>
    <row r="1860" spans="1:9" x14ac:dyDescent="0.15">
      <c r="A1860" s="10">
        <v>1859</v>
      </c>
      <c r="B1860" s="11" t="s">
        <v>9</v>
      </c>
      <c r="C1860" s="11" t="s">
        <v>253</v>
      </c>
      <c r="D1860" s="11" t="s">
        <v>254</v>
      </c>
      <c r="E1860" s="9" t="str">
        <f>+HYPERLINK("http://trademark.i-assist.jp/data/china/image_1903th/79418781.pdf", "79418781")</f>
        <v>79418781</v>
      </c>
      <c r="F1860" s="11" t="s">
        <v>5333</v>
      </c>
      <c r="G1860" s="11" t="s">
        <v>5334</v>
      </c>
      <c r="H1860" s="11" t="s">
        <v>5335</v>
      </c>
      <c r="I1860" s="11" t="s">
        <v>5243</v>
      </c>
    </row>
    <row r="1861" spans="1:9" x14ac:dyDescent="0.15">
      <c r="A1861" s="10">
        <v>1860</v>
      </c>
      <c r="B1861" s="11" t="s">
        <v>9</v>
      </c>
      <c r="C1861" s="11" t="s">
        <v>253</v>
      </c>
      <c r="D1861" s="11" t="s">
        <v>254</v>
      </c>
      <c r="E1861" s="9" t="str">
        <f>+HYPERLINK("http://trademark.i-assist.jp/data/china/image_1903th/79419169.pdf", "79419169")</f>
        <v>79419169</v>
      </c>
      <c r="F1861" s="11" t="s">
        <v>5336</v>
      </c>
      <c r="G1861" s="11" t="s">
        <v>5337</v>
      </c>
      <c r="H1861" s="11" t="s">
        <v>5338</v>
      </c>
      <c r="I1861" s="11" t="s">
        <v>5243</v>
      </c>
    </row>
    <row r="1862" spans="1:9" x14ac:dyDescent="0.15">
      <c r="A1862" s="10">
        <v>1861</v>
      </c>
      <c r="B1862" s="11" t="s">
        <v>9</v>
      </c>
      <c r="C1862" s="11" t="s">
        <v>253</v>
      </c>
      <c r="D1862" s="11" t="s">
        <v>254</v>
      </c>
      <c r="E1862" s="9" t="str">
        <f>+HYPERLINK("http://trademark.i-assist.jp/data/china/image_1903th/79419517.pdf", "79419517")</f>
        <v>79419517</v>
      </c>
      <c r="F1862" s="11" t="s">
        <v>5339</v>
      </c>
      <c r="G1862" s="11" t="s">
        <v>5340</v>
      </c>
      <c r="H1862" s="11" t="s">
        <v>5341</v>
      </c>
      <c r="I1862" s="11" t="s">
        <v>5243</v>
      </c>
    </row>
    <row r="1863" spans="1:9" x14ac:dyDescent="0.15">
      <c r="A1863" s="10">
        <v>1862</v>
      </c>
      <c r="B1863" s="11" t="s">
        <v>9</v>
      </c>
      <c r="C1863" s="11" t="s">
        <v>253</v>
      </c>
      <c r="D1863" s="11" t="s">
        <v>254</v>
      </c>
      <c r="E1863" s="9" t="str">
        <f>+HYPERLINK("http://trademark.i-assist.jp/data/china/image_1903th/79419624.pdf", "79419624")</f>
        <v>79419624</v>
      </c>
      <c r="F1863" s="11" t="s">
        <v>5342</v>
      </c>
      <c r="G1863" s="11" t="s">
        <v>60</v>
      </c>
      <c r="H1863" s="11" t="s">
        <v>5343</v>
      </c>
      <c r="I1863" s="11" t="s">
        <v>5243</v>
      </c>
    </row>
    <row r="1864" spans="1:9" x14ac:dyDescent="0.15">
      <c r="A1864" s="10">
        <v>1863</v>
      </c>
      <c r="B1864" s="11" t="s">
        <v>9</v>
      </c>
      <c r="C1864" s="11" t="s">
        <v>253</v>
      </c>
      <c r="D1864" s="11" t="s">
        <v>254</v>
      </c>
      <c r="E1864" s="9" t="str">
        <f>+HYPERLINK("http://trademark.i-assist.jp/data/china/image_1903th/79419934.pdf", "79419934")</f>
        <v>79419934</v>
      </c>
      <c r="F1864" s="11" t="s">
        <v>5344</v>
      </c>
      <c r="G1864" s="11" t="s">
        <v>5345</v>
      </c>
      <c r="H1864" s="11" t="s">
        <v>5346</v>
      </c>
      <c r="I1864" s="11" t="s">
        <v>5243</v>
      </c>
    </row>
    <row r="1865" spans="1:9" x14ac:dyDescent="0.15">
      <c r="A1865" s="10">
        <v>1864</v>
      </c>
      <c r="B1865" s="11" t="s">
        <v>9</v>
      </c>
      <c r="C1865" s="11" t="s">
        <v>253</v>
      </c>
      <c r="D1865" s="11" t="s">
        <v>254</v>
      </c>
      <c r="E1865" s="9" t="str">
        <f>+HYPERLINK("http://trademark.i-assist.jp/data/china/image_1903th/79420300.pdf", "79420300")</f>
        <v>79420300</v>
      </c>
      <c r="F1865" s="11" t="s">
        <v>5347</v>
      </c>
      <c r="G1865" s="11" t="s">
        <v>5348</v>
      </c>
      <c r="H1865" s="11" t="s">
        <v>5349</v>
      </c>
      <c r="I1865" s="11" t="s">
        <v>5243</v>
      </c>
    </row>
    <row r="1866" spans="1:9" x14ac:dyDescent="0.15">
      <c r="A1866" s="10">
        <v>1865</v>
      </c>
      <c r="B1866" s="11" t="s">
        <v>9</v>
      </c>
      <c r="C1866" s="11" t="s">
        <v>253</v>
      </c>
      <c r="D1866" s="11" t="s">
        <v>254</v>
      </c>
      <c r="E1866" s="9" t="str">
        <f>+HYPERLINK("http://trademark.i-assist.jp/data/china/image_1903th/79421306.pdf", "79421306")</f>
        <v>79421306</v>
      </c>
      <c r="F1866" s="11" t="s">
        <v>5350</v>
      </c>
      <c r="G1866" s="11" t="s">
        <v>5305</v>
      </c>
      <c r="H1866" s="11" t="s">
        <v>5351</v>
      </c>
      <c r="I1866" s="11" t="s">
        <v>5243</v>
      </c>
    </row>
    <row r="1867" spans="1:9" x14ac:dyDescent="0.15">
      <c r="A1867" s="10">
        <v>1866</v>
      </c>
      <c r="B1867" s="11" t="s">
        <v>9</v>
      </c>
      <c r="C1867" s="11" t="s">
        <v>253</v>
      </c>
      <c r="D1867" s="11" t="s">
        <v>254</v>
      </c>
      <c r="E1867" s="9" t="str">
        <f>+HYPERLINK("http://trademark.i-assist.jp/data/china/image_1903th/79421522.pdf", "79421522")</f>
        <v>79421522</v>
      </c>
      <c r="F1867" s="11" t="s">
        <v>5352</v>
      </c>
      <c r="G1867" s="11" t="s">
        <v>5353</v>
      </c>
      <c r="H1867" s="11" t="s">
        <v>5354</v>
      </c>
      <c r="I1867" s="11" t="s">
        <v>5243</v>
      </c>
    </row>
    <row r="1868" spans="1:9" x14ac:dyDescent="0.15">
      <c r="A1868" s="10">
        <v>1867</v>
      </c>
      <c r="B1868" s="11" t="s">
        <v>9</v>
      </c>
      <c r="C1868" s="11" t="s">
        <v>253</v>
      </c>
      <c r="D1868" s="11" t="s">
        <v>254</v>
      </c>
      <c r="E1868" s="9" t="str">
        <f>+HYPERLINK("http://trademark.i-assist.jp/data/china/image_1903th/79421859.pdf", "79421859")</f>
        <v>79421859</v>
      </c>
      <c r="F1868" s="11" t="s">
        <v>5355</v>
      </c>
      <c r="G1868" s="11" t="s">
        <v>5356</v>
      </c>
      <c r="H1868" s="11" t="s">
        <v>5357</v>
      </c>
      <c r="I1868" s="11" t="s">
        <v>5243</v>
      </c>
    </row>
    <row r="1869" spans="1:9" x14ac:dyDescent="0.15">
      <c r="A1869" s="10">
        <v>1868</v>
      </c>
      <c r="B1869" s="11" t="s">
        <v>9</v>
      </c>
      <c r="C1869" s="11" t="s">
        <v>253</v>
      </c>
      <c r="D1869" s="11" t="s">
        <v>254</v>
      </c>
      <c r="E1869" s="9" t="str">
        <f>+HYPERLINK("http://trademark.i-assist.jp/data/china/image_1903th/79422029.pdf", "79422029")</f>
        <v>79422029</v>
      </c>
      <c r="F1869" s="11" t="s">
        <v>5358</v>
      </c>
      <c r="G1869" s="11" t="s">
        <v>5359</v>
      </c>
      <c r="H1869" s="11" t="s">
        <v>5360</v>
      </c>
      <c r="I1869" s="11" t="s">
        <v>5243</v>
      </c>
    </row>
    <row r="1870" spans="1:9" x14ac:dyDescent="0.15">
      <c r="A1870" s="10">
        <v>1869</v>
      </c>
      <c r="B1870" s="11" t="s">
        <v>9</v>
      </c>
      <c r="C1870" s="11" t="s">
        <v>253</v>
      </c>
      <c r="D1870" s="11" t="s">
        <v>254</v>
      </c>
      <c r="E1870" s="9" t="str">
        <f>+HYPERLINK("http://trademark.i-assist.jp/data/china/image_1903th/79422416.pdf", "79422416")</f>
        <v>79422416</v>
      </c>
      <c r="F1870" s="11" t="s">
        <v>5361</v>
      </c>
      <c r="G1870" s="11" t="s">
        <v>5362</v>
      </c>
      <c r="H1870" s="11" t="s">
        <v>5363</v>
      </c>
      <c r="I1870" s="11" t="s">
        <v>5243</v>
      </c>
    </row>
    <row r="1871" spans="1:9" x14ac:dyDescent="0.15">
      <c r="A1871" s="10">
        <v>1870</v>
      </c>
      <c r="B1871" s="11" t="s">
        <v>9</v>
      </c>
      <c r="C1871" s="11" t="s">
        <v>253</v>
      </c>
      <c r="D1871" s="11" t="s">
        <v>254</v>
      </c>
      <c r="E1871" s="9" t="str">
        <f>+HYPERLINK("http://trademark.i-assist.jp/data/china/image_1903th/79422732.pdf", "79422732")</f>
        <v>79422732</v>
      </c>
      <c r="F1871" s="11" t="s">
        <v>5364</v>
      </c>
      <c r="G1871" s="11" t="s">
        <v>5365</v>
      </c>
      <c r="H1871" s="11" t="s">
        <v>5366</v>
      </c>
      <c r="I1871" s="11" t="s">
        <v>5243</v>
      </c>
    </row>
    <row r="1872" spans="1:9" x14ac:dyDescent="0.15">
      <c r="A1872" s="10">
        <v>1871</v>
      </c>
      <c r="B1872" s="11" t="s">
        <v>9</v>
      </c>
      <c r="C1872" s="11" t="s">
        <v>253</v>
      </c>
      <c r="D1872" s="11" t="s">
        <v>254</v>
      </c>
      <c r="E1872" s="9" t="str">
        <f>+HYPERLINK("http://trademark.i-assist.jp/data/china/image_1903th/79422877.pdf", "79422877")</f>
        <v>79422877</v>
      </c>
      <c r="F1872" s="11" t="s">
        <v>5367</v>
      </c>
      <c r="G1872" s="11" t="s">
        <v>5368</v>
      </c>
      <c r="H1872" s="11" t="s">
        <v>5369</v>
      </c>
      <c r="I1872" s="11" t="s">
        <v>5243</v>
      </c>
    </row>
    <row r="1873" spans="1:9" x14ac:dyDescent="0.15">
      <c r="A1873" s="10">
        <v>1872</v>
      </c>
      <c r="B1873" s="11" t="s">
        <v>9</v>
      </c>
      <c r="C1873" s="11" t="s">
        <v>253</v>
      </c>
      <c r="D1873" s="11" t="s">
        <v>254</v>
      </c>
      <c r="E1873" s="9" t="str">
        <f>+HYPERLINK("http://trademark.i-assist.jp/data/china/image_1903th/79423377.pdf", "79423377")</f>
        <v>79423377</v>
      </c>
      <c r="F1873" s="11" t="s">
        <v>5370</v>
      </c>
      <c r="G1873" s="11" t="s">
        <v>5371</v>
      </c>
      <c r="H1873" s="11" t="s">
        <v>5372</v>
      </c>
      <c r="I1873" s="11" t="s">
        <v>5243</v>
      </c>
    </row>
    <row r="1874" spans="1:9" x14ac:dyDescent="0.15">
      <c r="A1874" s="10">
        <v>1873</v>
      </c>
      <c r="B1874" s="11" t="s">
        <v>9</v>
      </c>
      <c r="C1874" s="11" t="s">
        <v>253</v>
      </c>
      <c r="D1874" s="11" t="s">
        <v>254</v>
      </c>
      <c r="E1874" s="9" t="str">
        <f>+HYPERLINK("http://trademark.i-assist.jp/data/china/image_1903th/79423418.pdf", "79423418")</f>
        <v>79423418</v>
      </c>
      <c r="F1874" s="11" t="s">
        <v>5373</v>
      </c>
      <c r="G1874" s="11" t="s">
        <v>141</v>
      </c>
      <c r="H1874" s="11" t="s">
        <v>5374</v>
      </c>
      <c r="I1874" s="11" t="s">
        <v>5243</v>
      </c>
    </row>
    <row r="1875" spans="1:9" x14ac:dyDescent="0.15">
      <c r="A1875" s="10">
        <v>1874</v>
      </c>
      <c r="B1875" s="11" t="s">
        <v>9</v>
      </c>
      <c r="C1875" s="11" t="s">
        <v>253</v>
      </c>
      <c r="D1875" s="11" t="s">
        <v>254</v>
      </c>
      <c r="E1875" s="9" t="str">
        <f>+HYPERLINK("http://trademark.i-assist.jp/data/china/image_1903th/79423583.pdf", "79423583")</f>
        <v>79423583</v>
      </c>
      <c r="F1875" s="11" t="s">
        <v>12</v>
      </c>
      <c r="G1875" s="11" t="s">
        <v>5375</v>
      </c>
      <c r="H1875" s="11" t="s">
        <v>5376</v>
      </c>
      <c r="I1875" s="11" t="s">
        <v>5243</v>
      </c>
    </row>
    <row r="1876" spans="1:9" x14ac:dyDescent="0.15">
      <c r="A1876" s="10">
        <v>1875</v>
      </c>
      <c r="B1876" s="11" t="s">
        <v>9</v>
      </c>
      <c r="C1876" s="11" t="s">
        <v>253</v>
      </c>
      <c r="D1876" s="11" t="s">
        <v>254</v>
      </c>
      <c r="E1876" s="9" t="str">
        <f>+HYPERLINK("http://trademark.i-assist.jp/data/china/image_1903th/79423878.pdf", "79423878")</f>
        <v>79423878</v>
      </c>
      <c r="F1876" s="11" t="s">
        <v>5377</v>
      </c>
      <c r="G1876" s="11" t="s">
        <v>5378</v>
      </c>
      <c r="H1876" s="11" t="s">
        <v>5379</v>
      </c>
      <c r="I1876" s="11" t="s">
        <v>5243</v>
      </c>
    </row>
    <row r="1877" spans="1:9" x14ac:dyDescent="0.15">
      <c r="A1877" s="10">
        <v>1876</v>
      </c>
      <c r="B1877" s="11" t="s">
        <v>9</v>
      </c>
      <c r="C1877" s="11" t="s">
        <v>253</v>
      </c>
      <c r="D1877" s="11" t="s">
        <v>254</v>
      </c>
      <c r="E1877" s="9" t="str">
        <f>+HYPERLINK("http://trademark.i-assist.jp/data/china/image_1903th/79424062.pdf", "79424062")</f>
        <v>79424062</v>
      </c>
      <c r="F1877" s="11" t="s">
        <v>5380</v>
      </c>
      <c r="G1877" s="11" t="s">
        <v>295</v>
      </c>
      <c r="H1877" s="11" t="s">
        <v>5381</v>
      </c>
      <c r="I1877" s="11" t="s">
        <v>5243</v>
      </c>
    </row>
    <row r="1878" spans="1:9" x14ac:dyDescent="0.15">
      <c r="A1878" s="10">
        <v>1877</v>
      </c>
      <c r="B1878" s="11" t="s">
        <v>9</v>
      </c>
      <c r="C1878" s="11" t="s">
        <v>253</v>
      </c>
      <c r="D1878" s="11" t="s">
        <v>254</v>
      </c>
      <c r="E1878" s="9" t="str">
        <f>+HYPERLINK("http://trademark.i-assist.jp/data/china/image_1903th/79424162.pdf", "79424162")</f>
        <v>79424162</v>
      </c>
      <c r="F1878" s="11" t="s">
        <v>5382</v>
      </c>
      <c r="G1878" s="11" t="s">
        <v>95</v>
      </c>
      <c r="H1878" s="11" t="s">
        <v>5383</v>
      </c>
      <c r="I1878" s="11" t="s">
        <v>5243</v>
      </c>
    </row>
    <row r="1879" spans="1:9" x14ac:dyDescent="0.15">
      <c r="A1879" s="10">
        <v>1878</v>
      </c>
      <c r="B1879" s="11" t="s">
        <v>9</v>
      </c>
      <c r="C1879" s="11" t="s">
        <v>253</v>
      </c>
      <c r="D1879" s="11" t="s">
        <v>254</v>
      </c>
      <c r="E1879" s="9" t="str">
        <f>+HYPERLINK("http://trademark.i-assist.jp/data/china/image_1903th/79424520.pdf", "79424520")</f>
        <v>79424520</v>
      </c>
      <c r="F1879" s="11" t="s">
        <v>5384</v>
      </c>
      <c r="G1879" s="11" t="s">
        <v>5385</v>
      </c>
      <c r="H1879" s="11" t="s">
        <v>5386</v>
      </c>
      <c r="I1879" s="11" t="s">
        <v>5243</v>
      </c>
    </row>
    <row r="1880" spans="1:9" x14ac:dyDescent="0.15">
      <c r="A1880" s="10">
        <v>1879</v>
      </c>
      <c r="B1880" s="11" t="s">
        <v>9</v>
      </c>
      <c r="C1880" s="11" t="s">
        <v>253</v>
      </c>
      <c r="D1880" s="11" t="s">
        <v>254</v>
      </c>
      <c r="E1880" s="9" t="str">
        <f>+HYPERLINK("http://trademark.i-assist.jp/data/china/image_1903th/79424632.pdf", "79424632")</f>
        <v>79424632</v>
      </c>
      <c r="F1880" s="11" t="s">
        <v>5387</v>
      </c>
      <c r="G1880" s="11" t="s">
        <v>5388</v>
      </c>
      <c r="H1880" s="11" t="s">
        <v>5389</v>
      </c>
      <c r="I1880" s="11" t="s">
        <v>5243</v>
      </c>
    </row>
    <row r="1881" spans="1:9" x14ac:dyDescent="0.15">
      <c r="A1881" s="10">
        <v>1880</v>
      </c>
      <c r="B1881" s="11" t="s">
        <v>9</v>
      </c>
      <c r="C1881" s="11" t="s">
        <v>253</v>
      </c>
      <c r="D1881" s="11" t="s">
        <v>254</v>
      </c>
      <c r="E1881" s="9" t="str">
        <f>+HYPERLINK("http://trademark.i-assist.jp/data/china/image_1903th/79424665.pdf", "79424665")</f>
        <v>79424665</v>
      </c>
      <c r="F1881" s="11" t="s">
        <v>5390</v>
      </c>
      <c r="G1881" s="11" t="s">
        <v>5320</v>
      </c>
      <c r="H1881" s="11" t="s">
        <v>5391</v>
      </c>
      <c r="I1881" s="11" t="s">
        <v>5243</v>
      </c>
    </row>
    <row r="1882" spans="1:9" x14ac:dyDescent="0.15">
      <c r="A1882" s="10">
        <v>1881</v>
      </c>
      <c r="B1882" s="11" t="s">
        <v>9</v>
      </c>
      <c r="C1882" s="11" t="s">
        <v>253</v>
      </c>
      <c r="D1882" s="11" t="s">
        <v>254</v>
      </c>
      <c r="E1882" s="9" t="str">
        <f>+HYPERLINK("http://trademark.i-assist.jp/data/china/image_1903th/79425056.pdf", "79425056")</f>
        <v>79425056</v>
      </c>
      <c r="F1882" s="11" t="s">
        <v>5392</v>
      </c>
      <c r="G1882" s="11" t="s">
        <v>5393</v>
      </c>
      <c r="H1882" s="11" t="s">
        <v>5394</v>
      </c>
      <c r="I1882" s="11" t="s">
        <v>5243</v>
      </c>
    </row>
    <row r="1883" spans="1:9" x14ac:dyDescent="0.15">
      <c r="A1883" s="10">
        <v>1882</v>
      </c>
      <c r="B1883" s="11" t="s">
        <v>9</v>
      </c>
      <c r="C1883" s="11" t="s">
        <v>253</v>
      </c>
      <c r="D1883" s="11" t="s">
        <v>254</v>
      </c>
      <c r="E1883" s="9" t="str">
        <f>+HYPERLINK("http://trademark.i-assist.jp/data/china/image_1903th/79425098.pdf", "79425098")</f>
        <v>79425098</v>
      </c>
      <c r="F1883" s="11" t="s">
        <v>5395</v>
      </c>
      <c r="G1883" s="11" t="s">
        <v>5247</v>
      </c>
      <c r="H1883" s="11" t="s">
        <v>5396</v>
      </c>
      <c r="I1883" s="11" t="s">
        <v>5243</v>
      </c>
    </row>
    <row r="1884" spans="1:9" x14ac:dyDescent="0.15">
      <c r="A1884" s="10">
        <v>1883</v>
      </c>
      <c r="B1884" s="11" t="s">
        <v>9</v>
      </c>
      <c r="C1884" s="11" t="s">
        <v>253</v>
      </c>
      <c r="D1884" s="11" t="s">
        <v>254</v>
      </c>
      <c r="E1884" s="9" t="str">
        <f>+HYPERLINK("http://trademark.i-assist.jp/data/china/image_1903th/79425102.pdf", "79425102")</f>
        <v>79425102</v>
      </c>
      <c r="F1884" s="11" t="s">
        <v>5397</v>
      </c>
      <c r="G1884" s="11" t="s">
        <v>5398</v>
      </c>
      <c r="H1884" s="11" t="s">
        <v>5399</v>
      </c>
      <c r="I1884" s="11" t="s">
        <v>5243</v>
      </c>
    </row>
    <row r="1885" spans="1:9" x14ac:dyDescent="0.15">
      <c r="A1885" s="10">
        <v>1884</v>
      </c>
      <c r="B1885" s="11" t="s">
        <v>9</v>
      </c>
      <c r="C1885" s="11" t="s">
        <v>253</v>
      </c>
      <c r="D1885" s="11" t="s">
        <v>254</v>
      </c>
      <c r="E1885" s="9" t="str">
        <f>+HYPERLINK("http://trademark.i-assist.jp/data/china/image_1903th/79425173.pdf", "79425173")</f>
        <v>79425173</v>
      </c>
      <c r="F1885" s="11" t="s">
        <v>5400</v>
      </c>
      <c r="G1885" s="11" t="s">
        <v>5401</v>
      </c>
      <c r="H1885" s="11" t="s">
        <v>5402</v>
      </c>
      <c r="I1885" s="11" t="s">
        <v>5243</v>
      </c>
    </row>
    <row r="1886" spans="1:9" x14ac:dyDescent="0.15">
      <c r="A1886" s="10">
        <v>1885</v>
      </c>
      <c r="B1886" s="11" t="s">
        <v>9</v>
      </c>
      <c r="C1886" s="11" t="s">
        <v>253</v>
      </c>
      <c r="D1886" s="11" t="s">
        <v>254</v>
      </c>
      <c r="E1886" s="9" t="str">
        <f>+HYPERLINK("http://trademark.i-assist.jp/data/china/image_1903th/79425362.pdf", "79425362")</f>
        <v>79425362</v>
      </c>
      <c r="F1886" s="11" t="s">
        <v>5403</v>
      </c>
      <c r="G1886" s="11" t="s">
        <v>5404</v>
      </c>
      <c r="H1886" s="11" t="s">
        <v>5405</v>
      </c>
      <c r="I1886" s="11" t="s">
        <v>5243</v>
      </c>
    </row>
    <row r="1887" spans="1:9" x14ac:dyDescent="0.15">
      <c r="A1887" s="10">
        <v>1886</v>
      </c>
      <c r="B1887" s="11" t="s">
        <v>9</v>
      </c>
      <c r="C1887" s="11" t="s">
        <v>253</v>
      </c>
      <c r="D1887" s="11" t="s">
        <v>254</v>
      </c>
      <c r="E1887" s="9" t="str">
        <f>+HYPERLINK("http://trademark.i-assist.jp/data/china/image_1903th/79425387.pdf", "79425387")</f>
        <v>79425387</v>
      </c>
      <c r="F1887" s="11" t="s">
        <v>5406</v>
      </c>
      <c r="G1887" s="11" t="s">
        <v>5407</v>
      </c>
      <c r="H1887" s="11" t="s">
        <v>5408</v>
      </c>
      <c r="I1887" s="11" t="s">
        <v>5243</v>
      </c>
    </row>
    <row r="1888" spans="1:9" x14ac:dyDescent="0.15">
      <c r="A1888" s="10">
        <v>1887</v>
      </c>
      <c r="B1888" s="11" t="s">
        <v>9</v>
      </c>
      <c r="C1888" s="11" t="s">
        <v>253</v>
      </c>
      <c r="D1888" s="11" t="s">
        <v>254</v>
      </c>
      <c r="E1888" s="9" t="str">
        <f>+HYPERLINK("http://trademark.i-assist.jp/data/china/image_1903th/79425659.pdf", "79425659")</f>
        <v>79425659</v>
      </c>
      <c r="F1888" s="11" t="s">
        <v>12</v>
      </c>
      <c r="G1888" s="11" t="s">
        <v>5409</v>
      </c>
      <c r="H1888" s="11" t="s">
        <v>5410</v>
      </c>
      <c r="I1888" s="11" t="s">
        <v>5243</v>
      </c>
    </row>
    <row r="1889" spans="1:9" x14ac:dyDescent="0.15">
      <c r="A1889" s="10">
        <v>1888</v>
      </c>
      <c r="B1889" s="11" t="s">
        <v>9</v>
      </c>
      <c r="C1889" s="11" t="s">
        <v>253</v>
      </c>
      <c r="D1889" s="11" t="s">
        <v>254</v>
      </c>
      <c r="E1889" s="9" t="str">
        <f>+HYPERLINK("http://trademark.i-assist.jp/data/china/image_1903th/79425747.pdf", "79425747")</f>
        <v>79425747</v>
      </c>
      <c r="F1889" s="11" t="s">
        <v>5411</v>
      </c>
      <c r="G1889" s="11" t="s">
        <v>134</v>
      </c>
      <c r="H1889" s="11" t="s">
        <v>5412</v>
      </c>
      <c r="I1889" s="11" t="s">
        <v>5243</v>
      </c>
    </row>
    <row r="1890" spans="1:9" x14ac:dyDescent="0.15">
      <c r="A1890" s="10">
        <v>1889</v>
      </c>
      <c r="B1890" s="11" t="s">
        <v>9</v>
      </c>
      <c r="C1890" s="11" t="s">
        <v>253</v>
      </c>
      <c r="D1890" s="11" t="s">
        <v>254</v>
      </c>
      <c r="E1890" s="9" t="str">
        <f>+HYPERLINK("http://trademark.i-assist.jp/data/china/image_1903th/79425967.pdf", "79425967")</f>
        <v>79425967</v>
      </c>
      <c r="F1890" s="11" t="s">
        <v>5413</v>
      </c>
      <c r="G1890" s="11" t="s">
        <v>5414</v>
      </c>
      <c r="H1890" s="11" t="s">
        <v>5415</v>
      </c>
      <c r="I1890" s="11" t="s">
        <v>5243</v>
      </c>
    </row>
    <row r="1891" spans="1:9" x14ac:dyDescent="0.15">
      <c r="A1891" s="10">
        <v>1890</v>
      </c>
      <c r="B1891" s="11" t="s">
        <v>9</v>
      </c>
      <c r="C1891" s="11" t="s">
        <v>253</v>
      </c>
      <c r="D1891" s="11" t="s">
        <v>254</v>
      </c>
      <c r="E1891" s="9" t="str">
        <f>+HYPERLINK("http://trademark.i-assist.jp/data/china/image_1903th/79426054.pdf", "79426054")</f>
        <v>79426054</v>
      </c>
      <c r="F1891" s="11" t="s">
        <v>5416</v>
      </c>
      <c r="G1891" s="11" t="s">
        <v>52</v>
      </c>
      <c r="H1891" s="11" t="s">
        <v>5417</v>
      </c>
      <c r="I1891" s="11" t="s">
        <v>5243</v>
      </c>
    </row>
    <row r="1892" spans="1:9" x14ac:dyDescent="0.15">
      <c r="A1892" s="10">
        <v>1891</v>
      </c>
      <c r="B1892" s="11" t="s">
        <v>9</v>
      </c>
      <c r="C1892" s="11" t="s">
        <v>253</v>
      </c>
      <c r="D1892" s="11" t="s">
        <v>254</v>
      </c>
      <c r="E1892" s="9" t="str">
        <f>+HYPERLINK("http://trademark.i-assist.jp/data/china/image_1903th/79426262.pdf", "79426262")</f>
        <v>79426262</v>
      </c>
      <c r="F1892" s="11" t="s">
        <v>5418</v>
      </c>
      <c r="G1892" s="11" t="s">
        <v>5305</v>
      </c>
      <c r="H1892" s="11" t="s">
        <v>5419</v>
      </c>
      <c r="I1892" s="11" t="s">
        <v>5243</v>
      </c>
    </row>
    <row r="1893" spans="1:9" x14ac:dyDescent="0.15">
      <c r="A1893" s="10">
        <v>1892</v>
      </c>
      <c r="B1893" s="11" t="s">
        <v>9</v>
      </c>
      <c r="C1893" s="11" t="s">
        <v>253</v>
      </c>
      <c r="D1893" s="11" t="s">
        <v>254</v>
      </c>
      <c r="E1893" s="9" t="str">
        <f>+HYPERLINK("http://trademark.i-assist.jp/data/china/image_1903th/79426296.pdf", "79426296")</f>
        <v>79426296</v>
      </c>
      <c r="F1893" s="11" t="s">
        <v>5420</v>
      </c>
      <c r="G1893" s="11" t="s">
        <v>5421</v>
      </c>
      <c r="H1893" s="11" t="s">
        <v>5422</v>
      </c>
      <c r="I1893" s="11" t="s">
        <v>5243</v>
      </c>
    </row>
    <row r="1894" spans="1:9" x14ac:dyDescent="0.15">
      <c r="A1894" s="10">
        <v>1893</v>
      </c>
      <c r="B1894" s="11" t="s">
        <v>9</v>
      </c>
      <c r="C1894" s="11" t="s">
        <v>253</v>
      </c>
      <c r="D1894" s="11" t="s">
        <v>254</v>
      </c>
      <c r="E1894" s="9" t="str">
        <f>+HYPERLINK("http://trademark.i-assist.jp/data/china/image_1903th/79426760.pdf", "79426760")</f>
        <v>79426760</v>
      </c>
      <c r="F1894" s="11" t="s">
        <v>5423</v>
      </c>
      <c r="G1894" s="11" t="s">
        <v>5424</v>
      </c>
      <c r="H1894" s="11" t="s">
        <v>5425</v>
      </c>
      <c r="I1894" s="11" t="s">
        <v>5243</v>
      </c>
    </row>
    <row r="1895" spans="1:9" x14ac:dyDescent="0.15">
      <c r="A1895" s="10">
        <v>1894</v>
      </c>
      <c r="B1895" s="11" t="s">
        <v>9</v>
      </c>
      <c r="C1895" s="11" t="s">
        <v>253</v>
      </c>
      <c r="D1895" s="11" t="s">
        <v>254</v>
      </c>
      <c r="E1895" s="9" t="str">
        <f>+HYPERLINK("http://trademark.i-assist.jp/data/china/image_1903th/79426858.pdf", "79426858")</f>
        <v>79426858</v>
      </c>
      <c r="F1895" s="11" t="s">
        <v>5426</v>
      </c>
      <c r="G1895" s="11" t="s">
        <v>5427</v>
      </c>
      <c r="H1895" s="11" t="s">
        <v>5428</v>
      </c>
      <c r="I1895" s="11" t="s">
        <v>5243</v>
      </c>
    </row>
    <row r="1896" spans="1:9" x14ac:dyDescent="0.15">
      <c r="A1896" s="10">
        <v>1895</v>
      </c>
      <c r="B1896" s="11" t="s">
        <v>9</v>
      </c>
      <c r="C1896" s="11" t="s">
        <v>253</v>
      </c>
      <c r="D1896" s="11" t="s">
        <v>254</v>
      </c>
      <c r="E1896" s="9" t="str">
        <f>+HYPERLINK("http://trademark.i-assist.jp/data/china/image_1903th/79428199.pdf", "79428199")</f>
        <v>79428199</v>
      </c>
      <c r="F1896" s="11" t="s">
        <v>5429</v>
      </c>
      <c r="G1896" s="11" t="s">
        <v>5430</v>
      </c>
      <c r="H1896" s="11" t="s">
        <v>5431</v>
      </c>
      <c r="I1896" s="11" t="s">
        <v>5243</v>
      </c>
    </row>
    <row r="1897" spans="1:9" x14ac:dyDescent="0.15">
      <c r="A1897" s="10">
        <v>1896</v>
      </c>
      <c r="B1897" s="11" t="s">
        <v>9</v>
      </c>
      <c r="C1897" s="11" t="s">
        <v>253</v>
      </c>
      <c r="D1897" s="11" t="s">
        <v>254</v>
      </c>
      <c r="E1897" s="9" t="str">
        <f>+HYPERLINK("http://trademark.i-assist.jp/data/china/image_1903th/79428310.pdf", "79428310")</f>
        <v>79428310</v>
      </c>
      <c r="F1897" s="11" t="s">
        <v>5432</v>
      </c>
      <c r="G1897" s="11" t="s">
        <v>5433</v>
      </c>
      <c r="H1897" s="11" t="s">
        <v>5434</v>
      </c>
      <c r="I1897" s="11" t="s">
        <v>5243</v>
      </c>
    </row>
    <row r="1898" spans="1:9" x14ac:dyDescent="0.15">
      <c r="A1898" s="10">
        <v>1897</v>
      </c>
      <c r="B1898" s="11" t="s">
        <v>9</v>
      </c>
      <c r="C1898" s="11" t="s">
        <v>253</v>
      </c>
      <c r="D1898" s="11" t="s">
        <v>254</v>
      </c>
      <c r="E1898" s="9" t="str">
        <f>+HYPERLINK("http://trademark.i-assist.jp/data/china/image_1903th/79428695.pdf", "79428695")</f>
        <v>79428695</v>
      </c>
      <c r="F1898" s="11" t="s">
        <v>5435</v>
      </c>
      <c r="G1898" s="11" t="s">
        <v>132</v>
      </c>
      <c r="H1898" s="11" t="s">
        <v>5436</v>
      </c>
      <c r="I1898" s="11" t="s">
        <v>5243</v>
      </c>
    </row>
    <row r="1899" spans="1:9" x14ac:dyDescent="0.15">
      <c r="A1899" s="10">
        <v>1898</v>
      </c>
      <c r="B1899" s="11" t="s">
        <v>9</v>
      </c>
      <c r="C1899" s="11" t="s">
        <v>253</v>
      </c>
      <c r="D1899" s="11" t="s">
        <v>254</v>
      </c>
      <c r="E1899" s="9" t="str">
        <f>+HYPERLINK("http://trademark.i-assist.jp/data/china/image_1903th/79428745.pdf", "79428745")</f>
        <v>79428745</v>
      </c>
      <c r="F1899" s="11" t="s">
        <v>5437</v>
      </c>
      <c r="G1899" s="11" t="s">
        <v>5438</v>
      </c>
      <c r="H1899" s="11" t="s">
        <v>5439</v>
      </c>
      <c r="I1899" s="11" t="s">
        <v>5243</v>
      </c>
    </row>
    <row r="1900" spans="1:9" x14ac:dyDescent="0.15">
      <c r="A1900" s="10">
        <v>1899</v>
      </c>
      <c r="B1900" s="11" t="s">
        <v>9</v>
      </c>
      <c r="C1900" s="11" t="s">
        <v>253</v>
      </c>
      <c r="D1900" s="11" t="s">
        <v>254</v>
      </c>
      <c r="E1900" s="9" t="str">
        <f>+HYPERLINK("http://trademark.i-assist.jp/data/china/image_1903th/79428763.pdf", "79428763")</f>
        <v>79428763</v>
      </c>
      <c r="F1900" s="11" t="s">
        <v>5440</v>
      </c>
      <c r="G1900" s="11" t="s">
        <v>5441</v>
      </c>
      <c r="H1900" s="11" t="s">
        <v>5442</v>
      </c>
      <c r="I1900" s="11" t="s">
        <v>5243</v>
      </c>
    </row>
    <row r="1901" spans="1:9" x14ac:dyDescent="0.15">
      <c r="A1901" s="10">
        <v>1900</v>
      </c>
      <c r="B1901" s="11" t="s">
        <v>9</v>
      </c>
      <c r="C1901" s="11" t="s">
        <v>253</v>
      </c>
      <c r="D1901" s="11" t="s">
        <v>254</v>
      </c>
      <c r="E1901" s="9" t="str">
        <f>+HYPERLINK("http://trademark.i-assist.jp/data/china/image_1903th/79429936.pdf", "79429936")</f>
        <v>79429936</v>
      </c>
      <c r="F1901" s="11" t="s">
        <v>5443</v>
      </c>
      <c r="G1901" s="11" t="s">
        <v>5356</v>
      </c>
      <c r="H1901" s="11" t="s">
        <v>5444</v>
      </c>
      <c r="I1901" s="11" t="s">
        <v>5243</v>
      </c>
    </row>
    <row r="1902" spans="1:9" x14ac:dyDescent="0.15">
      <c r="A1902" s="10">
        <v>1901</v>
      </c>
      <c r="B1902" s="11" t="s">
        <v>9</v>
      </c>
      <c r="C1902" s="11" t="s">
        <v>253</v>
      </c>
      <c r="D1902" s="11" t="s">
        <v>254</v>
      </c>
      <c r="E1902" s="9" t="str">
        <f>+HYPERLINK("http://trademark.i-assist.jp/data/china/image_1903th/79429946.pdf", "79429946")</f>
        <v>79429946</v>
      </c>
      <c r="F1902" s="11" t="s">
        <v>5445</v>
      </c>
      <c r="G1902" s="11" t="s">
        <v>5446</v>
      </c>
      <c r="H1902" s="11" t="s">
        <v>5447</v>
      </c>
      <c r="I1902" s="11" t="s">
        <v>5243</v>
      </c>
    </row>
    <row r="1903" spans="1:9" x14ac:dyDescent="0.15">
      <c r="A1903" s="10">
        <v>1902</v>
      </c>
      <c r="B1903" s="11" t="s">
        <v>9</v>
      </c>
      <c r="C1903" s="11" t="s">
        <v>253</v>
      </c>
      <c r="D1903" s="11" t="s">
        <v>254</v>
      </c>
      <c r="E1903" s="9" t="str">
        <f>+HYPERLINK("http://trademark.i-assist.jp/data/china/image_1903th/79430062.pdf", "79430062")</f>
        <v>79430062</v>
      </c>
      <c r="F1903" s="11" t="s">
        <v>5448</v>
      </c>
      <c r="G1903" s="11" t="s">
        <v>5449</v>
      </c>
      <c r="H1903" s="11" t="s">
        <v>5450</v>
      </c>
      <c r="I1903" s="11" t="s">
        <v>5243</v>
      </c>
    </row>
    <row r="1904" spans="1:9" x14ac:dyDescent="0.15">
      <c r="A1904" s="10">
        <v>1903</v>
      </c>
      <c r="B1904" s="11" t="s">
        <v>9</v>
      </c>
      <c r="C1904" s="11" t="s">
        <v>253</v>
      </c>
      <c r="D1904" s="11" t="s">
        <v>254</v>
      </c>
      <c r="E1904" s="9" t="str">
        <f>+HYPERLINK("http://trademark.i-assist.jp/data/china/image_1903th/79430586.pdf", "79430586")</f>
        <v>79430586</v>
      </c>
      <c r="F1904" s="11" t="s">
        <v>5451</v>
      </c>
      <c r="G1904" s="11" t="s">
        <v>5452</v>
      </c>
      <c r="H1904" s="11" t="s">
        <v>5453</v>
      </c>
      <c r="I1904" s="11" t="s">
        <v>5243</v>
      </c>
    </row>
    <row r="1905" spans="1:9" x14ac:dyDescent="0.15">
      <c r="A1905" s="10">
        <v>1904</v>
      </c>
      <c r="B1905" s="11" t="s">
        <v>9</v>
      </c>
      <c r="C1905" s="11" t="s">
        <v>253</v>
      </c>
      <c r="D1905" s="11" t="s">
        <v>254</v>
      </c>
      <c r="E1905" s="9" t="str">
        <f>+HYPERLINK("http://trademark.i-assist.jp/data/china/image_1903th/79430911.pdf", "79430911")</f>
        <v>79430911</v>
      </c>
      <c r="F1905" s="11" t="s">
        <v>5454</v>
      </c>
      <c r="G1905" s="11" t="s">
        <v>1285</v>
      </c>
      <c r="H1905" s="11" t="s">
        <v>5455</v>
      </c>
      <c r="I1905" s="11" t="s">
        <v>5243</v>
      </c>
    </row>
    <row r="1906" spans="1:9" x14ac:dyDescent="0.15">
      <c r="A1906" s="10">
        <v>1905</v>
      </c>
      <c r="B1906" s="11" t="s">
        <v>9</v>
      </c>
      <c r="C1906" s="11" t="s">
        <v>253</v>
      </c>
      <c r="D1906" s="11" t="s">
        <v>254</v>
      </c>
      <c r="E1906" s="9" t="str">
        <f>+HYPERLINK("http://trademark.i-assist.jp/data/china/image_1903th/79431139.pdf", "79431139")</f>
        <v>79431139</v>
      </c>
      <c r="F1906" s="11" t="s">
        <v>5456</v>
      </c>
      <c r="G1906" s="11" t="s">
        <v>5457</v>
      </c>
      <c r="H1906" s="11" t="s">
        <v>5458</v>
      </c>
      <c r="I1906" s="11" t="s">
        <v>5243</v>
      </c>
    </row>
    <row r="1907" spans="1:9" x14ac:dyDescent="0.15">
      <c r="A1907" s="10">
        <v>1906</v>
      </c>
      <c r="B1907" s="11" t="s">
        <v>9</v>
      </c>
      <c r="C1907" s="11" t="s">
        <v>253</v>
      </c>
      <c r="D1907" s="11" t="s">
        <v>254</v>
      </c>
      <c r="E1907" s="9" t="str">
        <f>+HYPERLINK("http://trademark.i-assist.jp/data/china/image_1903th/79431312.pdf", "79431312")</f>
        <v>79431312</v>
      </c>
      <c r="F1907" s="11" t="s">
        <v>5459</v>
      </c>
      <c r="G1907" s="11" t="s">
        <v>56</v>
      </c>
      <c r="H1907" s="11" t="s">
        <v>5460</v>
      </c>
      <c r="I1907" s="11" t="s">
        <v>5243</v>
      </c>
    </row>
    <row r="1908" spans="1:9" x14ac:dyDescent="0.15">
      <c r="A1908" s="10">
        <v>1907</v>
      </c>
      <c r="B1908" s="11" t="s">
        <v>9</v>
      </c>
      <c r="C1908" s="11" t="s">
        <v>253</v>
      </c>
      <c r="D1908" s="11" t="s">
        <v>254</v>
      </c>
      <c r="E1908" s="9" t="str">
        <f>+HYPERLINK("http://trademark.i-assist.jp/data/china/image_1903th/79431643.pdf", "79431643")</f>
        <v>79431643</v>
      </c>
      <c r="F1908" s="11" t="s">
        <v>5461</v>
      </c>
      <c r="G1908" s="11" t="s">
        <v>5462</v>
      </c>
      <c r="H1908" s="11" t="s">
        <v>5463</v>
      </c>
      <c r="I1908" s="11" t="s">
        <v>5243</v>
      </c>
    </row>
    <row r="1909" spans="1:9" x14ac:dyDescent="0.15">
      <c r="A1909" s="10">
        <v>1908</v>
      </c>
      <c r="B1909" s="11" t="s">
        <v>9</v>
      </c>
      <c r="C1909" s="11" t="s">
        <v>253</v>
      </c>
      <c r="D1909" s="11" t="s">
        <v>254</v>
      </c>
      <c r="E1909" s="9" t="str">
        <f>+HYPERLINK("http://trademark.i-assist.jp/data/china/image_1903th/79431850.pdf", "79431850")</f>
        <v>79431850</v>
      </c>
      <c r="F1909" s="11" t="s">
        <v>5464</v>
      </c>
      <c r="G1909" s="11" t="s">
        <v>5465</v>
      </c>
      <c r="H1909" s="11" t="s">
        <v>5466</v>
      </c>
      <c r="I1909" s="11" t="s">
        <v>5243</v>
      </c>
    </row>
    <row r="1910" spans="1:9" x14ac:dyDescent="0.15">
      <c r="A1910" s="10">
        <v>1909</v>
      </c>
      <c r="B1910" s="11" t="s">
        <v>9</v>
      </c>
      <c r="C1910" s="11" t="s">
        <v>253</v>
      </c>
      <c r="D1910" s="11" t="s">
        <v>254</v>
      </c>
      <c r="E1910" s="9" t="str">
        <f>+HYPERLINK("http://trademark.i-assist.jp/data/china/image_1903th/79432047.pdf", "79432047")</f>
        <v>79432047</v>
      </c>
      <c r="F1910" s="11" t="s">
        <v>5467</v>
      </c>
      <c r="G1910" s="11" t="s">
        <v>5468</v>
      </c>
      <c r="H1910" s="11" t="s">
        <v>5469</v>
      </c>
      <c r="I1910" s="11" t="s">
        <v>5243</v>
      </c>
    </row>
    <row r="1911" spans="1:9" x14ac:dyDescent="0.15">
      <c r="A1911" s="10">
        <v>1910</v>
      </c>
      <c r="B1911" s="11" t="s">
        <v>9</v>
      </c>
      <c r="C1911" s="11" t="s">
        <v>253</v>
      </c>
      <c r="D1911" s="11" t="s">
        <v>254</v>
      </c>
      <c r="E1911" s="9" t="str">
        <f>+HYPERLINK("http://trademark.i-assist.jp/data/china/image_1903th/79432109.pdf", "79432109")</f>
        <v>79432109</v>
      </c>
      <c r="F1911" s="11" t="s">
        <v>5470</v>
      </c>
      <c r="G1911" s="11" t="s">
        <v>5471</v>
      </c>
      <c r="H1911" s="11" t="s">
        <v>5472</v>
      </c>
      <c r="I1911" s="11" t="s">
        <v>5243</v>
      </c>
    </row>
    <row r="1912" spans="1:9" x14ac:dyDescent="0.15">
      <c r="A1912" s="10">
        <v>1911</v>
      </c>
      <c r="B1912" s="11" t="s">
        <v>9</v>
      </c>
      <c r="C1912" s="11" t="s">
        <v>253</v>
      </c>
      <c r="D1912" s="11" t="s">
        <v>254</v>
      </c>
      <c r="E1912" s="9" t="str">
        <f>+HYPERLINK("http://trademark.i-assist.jp/data/china/image_1903th/79432189.pdf", "79432189")</f>
        <v>79432189</v>
      </c>
      <c r="F1912" s="11" t="s">
        <v>5473</v>
      </c>
      <c r="G1912" s="11" t="s">
        <v>5474</v>
      </c>
      <c r="H1912" s="11" t="s">
        <v>5475</v>
      </c>
      <c r="I1912" s="11" t="s">
        <v>5243</v>
      </c>
    </row>
    <row r="1913" spans="1:9" x14ac:dyDescent="0.15">
      <c r="A1913" s="10">
        <v>1912</v>
      </c>
      <c r="B1913" s="11" t="s">
        <v>9</v>
      </c>
      <c r="C1913" s="11" t="s">
        <v>253</v>
      </c>
      <c r="D1913" s="11" t="s">
        <v>254</v>
      </c>
      <c r="E1913" s="9" t="str">
        <f>+HYPERLINK("http://trademark.i-assist.jp/data/china/image_1903th/79432411.pdf", "79432411")</f>
        <v>79432411</v>
      </c>
      <c r="F1913" s="11" t="s">
        <v>5476</v>
      </c>
      <c r="G1913" s="11" t="s">
        <v>4435</v>
      </c>
      <c r="H1913" s="11" t="s">
        <v>5477</v>
      </c>
      <c r="I1913" s="11" t="s">
        <v>5243</v>
      </c>
    </row>
    <row r="1914" spans="1:9" x14ac:dyDescent="0.15">
      <c r="A1914" s="10">
        <v>1913</v>
      </c>
      <c r="B1914" s="11" t="s">
        <v>9</v>
      </c>
      <c r="C1914" s="11" t="s">
        <v>253</v>
      </c>
      <c r="D1914" s="11" t="s">
        <v>254</v>
      </c>
      <c r="E1914" s="9" t="str">
        <f>+HYPERLINK("http://trademark.i-assist.jp/data/china/image_1903th/79432658.pdf", "79432658")</f>
        <v>79432658</v>
      </c>
      <c r="F1914" s="11" t="s">
        <v>5478</v>
      </c>
      <c r="G1914" s="11" t="s">
        <v>5371</v>
      </c>
      <c r="H1914" s="11" t="s">
        <v>5479</v>
      </c>
      <c r="I1914" s="11" t="s">
        <v>5243</v>
      </c>
    </row>
    <row r="1915" spans="1:9" x14ac:dyDescent="0.15">
      <c r="A1915" s="10">
        <v>1914</v>
      </c>
      <c r="B1915" s="11" t="s">
        <v>9</v>
      </c>
      <c r="C1915" s="11" t="s">
        <v>253</v>
      </c>
      <c r="D1915" s="11" t="s">
        <v>254</v>
      </c>
      <c r="E1915" s="9" t="str">
        <f>+HYPERLINK("http://trademark.i-assist.jp/data/china/image_1903th/79432785.pdf", "79432785")</f>
        <v>79432785</v>
      </c>
      <c r="F1915" s="11" t="s">
        <v>5480</v>
      </c>
      <c r="G1915" s="11" t="s">
        <v>5481</v>
      </c>
      <c r="H1915" s="11" t="s">
        <v>5482</v>
      </c>
      <c r="I1915" s="11" t="s">
        <v>5243</v>
      </c>
    </row>
    <row r="1916" spans="1:9" x14ac:dyDescent="0.15">
      <c r="A1916" s="10">
        <v>1915</v>
      </c>
      <c r="B1916" s="11" t="s">
        <v>9</v>
      </c>
      <c r="C1916" s="11" t="s">
        <v>253</v>
      </c>
      <c r="D1916" s="11" t="s">
        <v>254</v>
      </c>
      <c r="E1916" s="9" t="str">
        <f>+HYPERLINK("http://trademark.i-assist.jp/data/china/image_1903th/79432930.pdf", "79432930")</f>
        <v>79432930</v>
      </c>
      <c r="F1916" s="11" t="s">
        <v>5483</v>
      </c>
      <c r="G1916" s="11" t="s">
        <v>5484</v>
      </c>
      <c r="H1916" s="11" t="s">
        <v>5485</v>
      </c>
      <c r="I1916" s="11" t="s">
        <v>5243</v>
      </c>
    </row>
    <row r="1917" spans="1:9" x14ac:dyDescent="0.15">
      <c r="A1917" s="10">
        <v>1916</v>
      </c>
      <c r="B1917" s="11" t="s">
        <v>9</v>
      </c>
      <c r="C1917" s="11" t="s">
        <v>253</v>
      </c>
      <c r="D1917" s="11" t="s">
        <v>254</v>
      </c>
      <c r="E1917" s="9" t="str">
        <f>+HYPERLINK("http://trademark.i-assist.jp/data/china/image_1903th/79433120.pdf", "79433120")</f>
        <v>79433120</v>
      </c>
      <c r="F1917" s="11" t="s">
        <v>5486</v>
      </c>
      <c r="G1917" s="11" t="s">
        <v>5487</v>
      </c>
      <c r="H1917" s="11" t="s">
        <v>5488</v>
      </c>
      <c r="I1917" s="11" t="s">
        <v>5243</v>
      </c>
    </row>
    <row r="1918" spans="1:9" x14ac:dyDescent="0.15">
      <c r="A1918" s="10">
        <v>1917</v>
      </c>
      <c r="B1918" s="11" t="s">
        <v>9</v>
      </c>
      <c r="C1918" s="11" t="s">
        <v>253</v>
      </c>
      <c r="D1918" s="11" t="s">
        <v>254</v>
      </c>
      <c r="E1918" s="9" t="str">
        <f>+HYPERLINK("http://trademark.i-assist.jp/data/china/image_1903th/79433203.pdf", "79433203")</f>
        <v>79433203</v>
      </c>
      <c r="F1918" s="11" t="s">
        <v>5489</v>
      </c>
      <c r="G1918" s="11" t="s">
        <v>5368</v>
      </c>
      <c r="H1918" s="11" t="s">
        <v>5490</v>
      </c>
      <c r="I1918" s="11" t="s">
        <v>5243</v>
      </c>
    </row>
    <row r="1919" spans="1:9" x14ac:dyDescent="0.15">
      <c r="A1919" s="10">
        <v>1918</v>
      </c>
      <c r="B1919" s="11" t="s">
        <v>9</v>
      </c>
      <c r="C1919" s="11" t="s">
        <v>253</v>
      </c>
      <c r="D1919" s="11" t="s">
        <v>254</v>
      </c>
      <c r="E1919" s="9" t="str">
        <f>+HYPERLINK("http://trademark.i-assist.jp/data/china/image_1903th/79433380.pdf", "79433380")</f>
        <v>79433380</v>
      </c>
      <c r="F1919" s="11" t="s">
        <v>5491</v>
      </c>
      <c r="G1919" s="11" t="s">
        <v>1285</v>
      </c>
      <c r="H1919" s="11" t="s">
        <v>5492</v>
      </c>
      <c r="I1919" s="11" t="s">
        <v>5243</v>
      </c>
    </row>
    <row r="1920" spans="1:9" x14ac:dyDescent="0.15">
      <c r="A1920" s="10">
        <v>1919</v>
      </c>
      <c r="B1920" s="11" t="s">
        <v>9</v>
      </c>
      <c r="C1920" s="11" t="s">
        <v>253</v>
      </c>
      <c r="D1920" s="11" t="s">
        <v>254</v>
      </c>
      <c r="E1920" s="9" t="str">
        <f>+HYPERLINK("http://trademark.i-assist.jp/data/china/image_1903th/79433666.pdf", "79433666")</f>
        <v>79433666</v>
      </c>
      <c r="F1920" s="11" t="s">
        <v>5493</v>
      </c>
      <c r="G1920" s="11" t="s">
        <v>5494</v>
      </c>
      <c r="H1920" s="11" t="s">
        <v>5495</v>
      </c>
      <c r="I1920" s="11" t="s">
        <v>5243</v>
      </c>
    </row>
    <row r="1921" spans="1:9" x14ac:dyDescent="0.15">
      <c r="A1921" s="10">
        <v>1920</v>
      </c>
      <c r="B1921" s="11" t="s">
        <v>9</v>
      </c>
      <c r="C1921" s="11" t="s">
        <v>253</v>
      </c>
      <c r="D1921" s="11" t="s">
        <v>254</v>
      </c>
      <c r="E1921" s="9" t="str">
        <f>+HYPERLINK("http://trademark.i-assist.jp/data/china/image_1903th/79433810.pdf", "79433810")</f>
        <v>79433810</v>
      </c>
      <c r="F1921" s="11" t="s">
        <v>5496</v>
      </c>
      <c r="G1921" s="11" t="s">
        <v>60</v>
      </c>
      <c r="H1921" s="11" t="s">
        <v>5497</v>
      </c>
      <c r="I1921" s="11" t="s">
        <v>5243</v>
      </c>
    </row>
    <row r="1922" spans="1:9" x14ac:dyDescent="0.15">
      <c r="A1922" s="10">
        <v>1921</v>
      </c>
      <c r="B1922" s="11" t="s">
        <v>9</v>
      </c>
      <c r="C1922" s="11" t="s">
        <v>253</v>
      </c>
      <c r="D1922" s="11" t="s">
        <v>254</v>
      </c>
      <c r="E1922" s="9" t="str">
        <f>+HYPERLINK("http://trademark.i-assist.jp/data/china/image_1903th/79433930.pdf", "79433930")</f>
        <v>79433930</v>
      </c>
      <c r="F1922" s="11" t="s">
        <v>5498</v>
      </c>
      <c r="G1922" s="11" t="s">
        <v>5331</v>
      </c>
      <c r="H1922" s="11" t="s">
        <v>5499</v>
      </c>
      <c r="I1922" s="11" t="s">
        <v>5243</v>
      </c>
    </row>
    <row r="1923" spans="1:9" x14ac:dyDescent="0.15">
      <c r="A1923" s="10">
        <v>1922</v>
      </c>
      <c r="B1923" s="11" t="s">
        <v>9</v>
      </c>
      <c r="C1923" s="11" t="s">
        <v>253</v>
      </c>
      <c r="D1923" s="11" t="s">
        <v>254</v>
      </c>
      <c r="E1923" s="9" t="str">
        <f>+HYPERLINK("http://trademark.i-assist.jp/data/china/image_1903th/79434109.pdf", "79434109")</f>
        <v>79434109</v>
      </c>
      <c r="F1923" s="11" t="s">
        <v>5500</v>
      </c>
      <c r="G1923" s="11" t="s">
        <v>56</v>
      </c>
      <c r="H1923" s="11" t="s">
        <v>5501</v>
      </c>
      <c r="I1923" s="11" t="s">
        <v>5243</v>
      </c>
    </row>
    <row r="1924" spans="1:9" x14ac:dyDescent="0.15">
      <c r="A1924" s="10">
        <v>1923</v>
      </c>
      <c r="B1924" s="11" t="s">
        <v>9</v>
      </c>
      <c r="C1924" s="11" t="s">
        <v>253</v>
      </c>
      <c r="D1924" s="11" t="s">
        <v>254</v>
      </c>
      <c r="E1924" s="9" t="str">
        <f>+HYPERLINK("http://trademark.i-assist.jp/data/china/image_1903th/79434493.pdf", "79434493")</f>
        <v>79434493</v>
      </c>
      <c r="F1924" s="11" t="s">
        <v>5502</v>
      </c>
      <c r="G1924" s="11" t="s">
        <v>1918</v>
      </c>
      <c r="H1924" s="11" t="s">
        <v>5503</v>
      </c>
      <c r="I1924" s="11" t="s">
        <v>5243</v>
      </c>
    </row>
    <row r="1925" spans="1:9" x14ac:dyDescent="0.15">
      <c r="A1925" s="10">
        <v>1924</v>
      </c>
      <c r="B1925" s="11" t="s">
        <v>9</v>
      </c>
      <c r="C1925" s="11" t="s">
        <v>253</v>
      </c>
      <c r="D1925" s="11" t="s">
        <v>254</v>
      </c>
      <c r="E1925" s="9" t="str">
        <f>+HYPERLINK("http://trademark.i-assist.jp/data/china/image_1903th/79434572.pdf", "79434572")</f>
        <v>79434572</v>
      </c>
      <c r="F1925" s="11" t="s">
        <v>5504</v>
      </c>
      <c r="G1925" s="11" t="s">
        <v>5505</v>
      </c>
      <c r="H1925" s="11" t="s">
        <v>5506</v>
      </c>
      <c r="I1925" s="11" t="s">
        <v>5243</v>
      </c>
    </row>
    <row r="1926" spans="1:9" x14ac:dyDescent="0.15">
      <c r="A1926" s="10">
        <v>1925</v>
      </c>
      <c r="B1926" s="11" t="s">
        <v>9</v>
      </c>
      <c r="C1926" s="11" t="s">
        <v>253</v>
      </c>
      <c r="D1926" s="11" t="s">
        <v>254</v>
      </c>
      <c r="E1926" s="9" t="str">
        <f>+HYPERLINK("http://trademark.i-assist.jp/data/china/image_1903th/79434986.pdf", "79434986")</f>
        <v>79434986</v>
      </c>
      <c r="F1926" s="11" t="s">
        <v>5507</v>
      </c>
      <c r="G1926" s="11" t="s">
        <v>5508</v>
      </c>
      <c r="H1926" s="11" t="s">
        <v>5509</v>
      </c>
      <c r="I1926" s="11" t="s">
        <v>5243</v>
      </c>
    </row>
    <row r="1927" spans="1:9" x14ac:dyDescent="0.15">
      <c r="A1927" s="10">
        <v>1926</v>
      </c>
      <c r="B1927" s="11" t="s">
        <v>9</v>
      </c>
      <c r="C1927" s="11" t="s">
        <v>253</v>
      </c>
      <c r="D1927" s="11" t="s">
        <v>254</v>
      </c>
      <c r="E1927" s="9" t="str">
        <f>+HYPERLINK("http://trademark.i-assist.jp/data/china/image_1903th/79435142.pdf", "79435142")</f>
        <v>79435142</v>
      </c>
      <c r="F1927" s="11" t="s">
        <v>5510</v>
      </c>
      <c r="G1927" s="11" t="s">
        <v>5511</v>
      </c>
      <c r="H1927" s="11" t="s">
        <v>5512</v>
      </c>
      <c r="I1927" s="11" t="s">
        <v>5243</v>
      </c>
    </row>
    <row r="1928" spans="1:9" x14ac:dyDescent="0.15">
      <c r="A1928" s="10">
        <v>1927</v>
      </c>
      <c r="B1928" s="11" t="s">
        <v>9</v>
      </c>
      <c r="C1928" s="11" t="s">
        <v>253</v>
      </c>
      <c r="D1928" s="11" t="s">
        <v>254</v>
      </c>
      <c r="E1928" s="9" t="str">
        <f>+HYPERLINK("http://trademark.i-assist.jp/data/china/image_1903th/79435613.pdf", "79435613")</f>
        <v>79435613</v>
      </c>
      <c r="F1928" s="11" t="s">
        <v>5513</v>
      </c>
      <c r="G1928" s="11" t="s">
        <v>5514</v>
      </c>
      <c r="H1928" s="11" t="s">
        <v>5515</v>
      </c>
      <c r="I1928" s="11" t="s">
        <v>5243</v>
      </c>
    </row>
    <row r="1929" spans="1:9" x14ac:dyDescent="0.15">
      <c r="A1929" s="10">
        <v>1928</v>
      </c>
      <c r="B1929" s="11" t="s">
        <v>9</v>
      </c>
      <c r="C1929" s="11" t="s">
        <v>253</v>
      </c>
      <c r="D1929" s="11" t="s">
        <v>254</v>
      </c>
      <c r="E1929" s="9" t="str">
        <f>+HYPERLINK("http://trademark.i-assist.jp/data/china/image_1903th/79435620.pdf", "79435620")</f>
        <v>79435620</v>
      </c>
      <c r="F1929" s="11" t="s">
        <v>5516</v>
      </c>
      <c r="G1929" s="11" t="s">
        <v>5514</v>
      </c>
      <c r="H1929" s="11" t="s">
        <v>5517</v>
      </c>
      <c r="I1929" s="11" t="s">
        <v>5243</v>
      </c>
    </row>
    <row r="1930" spans="1:9" x14ac:dyDescent="0.15">
      <c r="A1930" s="10">
        <v>1929</v>
      </c>
      <c r="B1930" s="11" t="s">
        <v>9</v>
      </c>
      <c r="C1930" s="11" t="s">
        <v>253</v>
      </c>
      <c r="D1930" s="11" t="s">
        <v>254</v>
      </c>
      <c r="E1930" s="9" t="str">
        <f>+HYPERLINK("http://trademark.i-assist.jp/data/china/image_1903th/79435754.pdf", "79435754")</f>
        <v>79435754</v>
      </c>
      <c r="F1930" s="11" t="s">
        <v>5518</v>
      </c>
      <c r="G1930" s="11" t="s">
        <v>5519</v>
      </c>
      <c r="H1930" s="11" t="s">
        <v>5520</v>
      </c>
      <c r="I1930" s="11" t="s">
        <v>5243</v>
      </c>
    </row>
    <row r="1931" spans="1:9" x14ac:dyDescent="0.15">
      <c r="A1931" s="10">
        <v>1930</v>
      </c>
      <c r="B1931" s="11" t="s">
        <v>9</v>
      </c>
      <c r="C1931" s="11" t="s">
        <v>253</v>
      </c>
      <c r="D1931" s="11" t="s">
        <v>254</v>
      </c>
      <c r="E1931" s="9" t="str">
        <f>+HYPERLINK("http://trademark.i-assist.jp/data/china/image_1903th/79435778.pdf", "79435778")</f>
        <v>79435778</v>
      </c>
      <c r="F1931" s="11" t="s">
        <v>5521</v>
      </c>
      <c r="G1931" s="11" t="s">
        <v>5522</v>
      </c>
      <c r="H1931" s="11" t="s">
        <v>5523</v>
      </c>
      <c r="I1931" s="11" t="s">
        <v>5243</v>
      </c>
    </row>
    <row r="1932" spans="1:9" x14ac:dyDescent="0.15">
      <c r="A1932" s="10">
        <v>1931</v>
      </c>
      <c r="B1932" s="11" t="s">
        <v>9</v>
      </c>
      <c r="C1932" s="11" t="s">
        <v>253</v>
      </c>
      <c r="D1932" s="11" t="s">
        <v>254</v>
      </c>
      <c r="E1932" s="9" t="str">
        <f>+HYPERLINK("http://trademark.i-assist.jp/data/china/image_1903th/79436012.pdf", "79436012")</f>
        <v>79436012</v>
      </c>
      <c r="F1932" s="11" t="s">
        <v>5524</v>
      </c>
      <c r="G1932" s="11" t="s">
        <v>5305</v>
      </c>
      <c r="H1932" s="11" t="s">
        <v>5525</v>
      </c>
      <c r="I1932" s="11" t="s">
        <v>5243</v>
      </c>
    </row>
    <row r="1933" spans="1:9" x14ac:dyDescent="0.15">
      <c r="A1933" s="10">
        <v>1932</v>
      </c>
      <c r="B1933" s="11" t="s">
        <v>9</v>
      </c>
      <c r="C1933" s="11" t="s">
        <v>253</v>
      </c>
      <c r="D1933" s="11" t="s">
        <v>254</v>
      </c>
      <c r="E1933" s="9" t="str">
        <f>+HYPERLINK("http://trademark.i-assist.jp/data/china/image_1903th/79436470.pdf", "79436470")</f>
        <v>79436470</v>
      </c>
      <c r="F1933" s="11" t="s">
        <v>5526</v>
      </c>
      <c r="G1933" s="11" t="s">
        <v>5527</v>
      </c>
      <c r="H1933" s="11" t="s">
        <v>5528</v>
      </c>
      <c r="I1933" s="11" t="s">
        <v>5243</v>
      </c>
    </row>
    <row r="1934" spans="1:9" x14ac:dyDescent="0.15">
      <c r="A1934" s="10">
        <v>1933</v>
      </c>
      <c r="B1934" s="11" t="s">
        <v>9</v>
      </c>
      <c r="C1934" s="11" t="s">
        <v>253</v>
      </c>
      <c r="D1934" s="11" t="s">
        <v>254</v>
      </c>
      <c r="E1934" s="9" t="str">
        <f>+HYPERLINK("http://trademark.i-assist.jp/data/china/image_1903th/79436540.pdf", "79436540")</f>
        <v>79436540</v>
      </c>
      <c r="F1934" s="11" t="s">
        <v>5529</v>
      </c>
      <c r="G1934" s="11" t="s">
        <v>5404</v>
      </c>
      <c r="H1934" s="11" t="s">
        <v>5530</v>
      </c>
      <c r="I1934" s="11" t="s">
        <v>5243</v>
      </c>
    </row>
    <row r="1935" spans="1:9" x14ac:dyDescent="0.15">
      <c r="A1935" s="10">
        <v>1934</v>
      </c>
      <c r="B1935" s="11" t="s">
        <v>9</v>
      </c>
      <c r="C1935" s="11" t="s">
        <v>253</v>
      </c>
      <c r="D1935" s="11" t="s">
        <v>254</v>
      </c>
      <c r="E1935" s="9" t="str">
        <f>+HYPERLINK("http://trademark.i-assist.jp/data/china/image_1903th/79436711.pdf", "79436711")</f>
        <v>79436711</v>
      </c>
      <c r="F1935" s="11" t="s">
        <v>5531</v>
      </c>
      <c r="G1935" s="11" t="s">
        <v>5532</v>
      </c>
      <c r="H1935" s="11" t="s">
        <v>5533</v>
      </c>
      <c r="I1935" s="11" t="s">
        <v>5243</v>
      </c>
    </row>
    <row r="1936" spans="1:9" x14ac:dyDescent="0.15">
      <c r="A1936" s="10">
        <v>1935</v>
      </c>
      <c r="B1936" s="11" t="s">
        <v>9</v>
      </c>
      <c r="C1936" s="11" t="s">
        <v>253</v>
      </c>
      <c r="D1936" s="11" t="s">
        <v>254</v>
      </c>
      <c r="E1936" s="9" t="str">
        <f>+HYPERLINK("http://trademark.i-assist.jp/data/china/image_1903th/79437352.pdf", "79437352")</f>
        <v>79437352</v>
      </c>
      <c r="F1936" s="11" t="s">
        <v>5534</v>
      </c>
      <c r="G1936" s="11" t="s">
        <v>5535</v>
      </c>
      <c r="H1936" s="11" t="s">
        <v>5536</v>
      </c>
      <c r="I1936" s="11" t="s">
        <v>5243</v>
      </c>
    </row>
    <row r="1937" spans="1:9" x14ac:dyDescent="0.15">
      <c r="A1937" s="10">
        <v>1936</v>
      </c>
      <c r="B1937" s="11" t="s">
        <v>9</v>
      </c>
      <c r="C1937" s="11" t="s">
        <v>253</v>
      </c>
      <c r="D1937" s="11" t="s">
        <v>254</v>
      </c>
      <c r="E1937" s="9" t="str">
        <f>+HYPERLINK("http://trademark.i-assist.jp/data/china/image_1903th/79437396.pdf", "79437396")</f>
        <v>79437396</v>
      </c>
      <c r="F1937" s="11" t="s">
        <v>5537</v>
      </c>
      <c r="G1937" s="11" t="s">
        <v>5375</v>
      </c>
      <c r="H1937" s="11" t="s">
        <v>5538</v>
      </c>
      <c r="I1937" s="11" t="s">
        <v>5243</v>
      </c>
    </row>
    <row r="1938" spans="1:9" x14ac:dyDescent="0.15">
      <c r="A1938" s="10">
        <v>1937</v>
      </c>
      <c r="B1938" s="11" t="s">
        <v>9</v>
      </c>
      <c r="C1938" s="11" t="s">
        <v>253</v>
      </c>
      <c r="D1938" s="11" t="s">
        <v>254</v>
      </c>
      <c r="E1938" s="9" t="str">
        <f>+HYPERLINK("http://trademark.i-assist.jp/data/china/image_1903th/79437470.pdf", "79437470")</f>
        <v>79437470</v>
      </c>
      <c r="F1938" s="11" t="s">
        <v>5539</v>
      </c>
      <c r="G1938" s="11" t="s">
        <v>5539</v>
      </c>
      <c r="H1938" s="11" t="s">
        <v>5540</v>
      </c>
      <c r="I1938" s="11" t="s">
        <v>5243</v>
      </c>
    </row>
    <row r="1939" spans="1:9" x14ac:dyDescent="0.15">
      <c r="A1939" s="10">
        <v>1938</v>
      </c>
      <c r="B1939" s="11" t="s">
        <v>9</v>
      </c>
      <c r="C1939" s="11" t="s">
        <v>253</v>
      </c>
      <c r="D1939" s="11" t="s">
        <v>254</v>
      </c>
      <c r="E1939" s="9" t="str">
        <f>+HYPERLINK("http://trademark.i-assist.jp/data/china/image_1903th/79437520.pdf", "79437520")</f>
        <v>79437520</v>
      </c>
      <c r="F1939" s="11" t="s">
        <v>5541</v>
      </c>
      <c r="G1939" s="11" t="s">
        <v>5542</v>
      </c>
      <c r="H1939" s="11" t="s">
        <v>5543</v>
      </c>
      <c r="I1939" s="11" t="s">
        <v>5243</v>
      </c>
    </row>
    <row r="1940" spans="1:9" x14ac:dyDescent="0.15">
      <c r="A1940" s="10">
        <v>1939</v>
      </c>
      <c r="B1940" s="11" t="s">
        <v>9</v>
      </c>
      <c r="C1940" s="11" t="s">
        <v>253</v>
      </c>
      <c r="D1940" s="11" t="s">
        <v>254</v>
      </c>
      <c r="E1940" s="9" t="str">
        <f>+HYPERLINK("http://trademark.i-assist.jp/data/china/image_1903th/79437532.pdf", "79437532")</f>
        <v>79437532</v>
      </c>
      <c r="F1940" s="11" t="s">
        <v>5544</v>
      </c>
      <c r="G1940" s="11" t="s">
        <v>5545</v>
      </c>
      <c r="H1940" s="11" t="s">
        <v>5546</v>
      </c>
      <c r="I1940" s="11" t="s">
        <v>5243</v>
      </c>
    </row>
    <row r="1941" spans="1:9" x14ac:dyDescent="0.15">
      <c r="A1941" s="10">
        <v>1940</v>
      </c>
      <c r="B1941" s="11" t="s">
        <v>9</v>
      </c>
      <c r="C1941" s="11" t="s">
        <v>253</v>
      </c>
      <c r="D1941" s="11" t="s">
        <v>254</v>
      </c>
      <c r="E1941" s="9" t="str">
        <f>+HYPERLINK("http://trademark.i-assist.jp/data/china/image_1903th/79437537.pdf", "79437537")</f>
        <v>79437537</v>
      </c>
      <c r="F1941" s="11" t="s">
        <v>5547</v>
      </c>
      <c r="G1941" s="11" t="s">
        <v>154</v>
      </c>
      <c r="H1941" s="11" t="s">
        <v>5548</v>
      </c>
      <c r="I1941" s="11" t="s">
        <v>5243</v>
      </c>
    </row>
    <row r="1942" spans="1:9" x14ac:dyDescent="0.15">
      <c r="A1942" s="10">
        <v>1941</v>
      </c>
      <c r="B1942" s="11" t="s">
        <v>9</v>
      </c>
      <c r="C1942" s="11" t="s">
        <v>253</v>
      </c>
      <c r="D1942" s="11" t="s">
        <v>254</v>
      </c>
      <c r="E1942" s="9" t="str">
        <f>+HYPERLINK("http://trademark.i-assist.jp/data/china/image_1903th/79437807.pdf", "79437807")</f>
        <v>79437807</v>
      </c>
      <c r="F1942" s="11" t="s">
        <v>5549</v>
      </c>
      <c r="G1942" s="11" t="s">
        <v>5550</v>
      </c>
      <c r="H1942" s="11" t="s">
        <v>5551</v>
      </c>
      <c r="I1942" s="11" t="s">
        <v>5552</v>
      </c>
    </row>
    <row r="1943" spans="1:9" x14ac:dyDescent="0.15">
      <c r="A1943" s="10">
        <v>1942</v>
      </c>
      <c r="B1943" s="11" t="s">
        <v>9</v>
      </c>
      <c r="C1943" s="11" t="s">
        <v>253</v>
      </c>
      <c r="D1943" s="11" t="s">
        <v>254</v>
      </c>
      <c r="E1943" s="9" t="str">
        <f>+HYPERLINK("http://trademark.i-assist.jp/data/china/image_1903th/79437962.pdf", "79437962")</f>
        <v>79437962</v>
      </c>
      <c r="F1943" s="11" t="s">
        <v>5553</v>
      </c>
      <c r="G1943" s="11" t="s">
        <v>5554</v>
      </c>
      <c r="H1943" s="11" t="s">
        <v>5555</v>
      </c>
      <c r="I1943" s="11" t="s">
        <v>5552</v>
      </c>
    </row>
    <row r="1944" spans="1:9" x14ac:dyDescent="0.15">
      <c r="A1944" s="10">
        <v>1943</v>
      </c>
      <c r="B1944" s="11" t="s">
        <v>9</v>
      </c>
      <c r="C1944" s="11" t="s">
        <v>253</v>
      </c>
      <c r="D1944" s="11" t="s">
        <v>254</v>
      </c>
      <c r="E1944" s="9" t="str">
        <f>+HYPERLINK("http://trademark.i-assist.jp/data/china/image_1903th/79438089.pdf", "79438089")</f>
        <v>79438089</v>
      </c>
      <c r="F1944" s="11" t="s">
        <v>5556</v>
      </c>
      <c r="G1944" s="11" t="s">
        <v>5557</v>
      </c>
      <c r="H1944" s="11" t="s">
        <v>5558</v>
      </c>
      <c r="I1944" s="11" t="s">
        <v>5552</v>
      </c>
    </row>
    <row r="1945" spans="1:9" x14ac:dyDescent="0.15">
      <c r="A1945" s="10">
        <v>1944</v>
      </c>
      <c r="B1945" s="11" t="s">
        <v>9</v>
      </c>
      <c r="C1945" s="11" t="s">
        <v>253</v>
      </c>
      <c r="D1945" s="11" t="s">
        <v>254</v>
      </c>
      <c r="E1945" s="9" t="str">
        <f>+HYPERLINK("http://trademark.i-assist.jp/data/china/image_1903th/79438159.pdf", "79438159")</f>
        <v>79438159</v>
      </c>
      <c r="F1945" s="11" t="s">
        <v>5559</v>
      </c>
      <c r="G1945" s="11" t="s">
        <v>3353</v>
      </c>
      <c r="H1945" s="11" t="s">
        <v>5560</v>
      </c>
      <c r="I1945" s="11" t="s">
        <v>5552</v>
      </c>
    </row>
    <row r="1946" spans="1:9" x14ac:dyDescent="0.15">
      <c r="A1946" s="10">
        <v>1945</v>
      </c>
      <c r="B1946" s="11" t="s">
        <v>9</v>
      </c>
      <c r="C1946" s="11" t="s">
        <v>253</v>
      </c>
      <c r="D1946" s="11" t="s">
        <v>254</v>
      </c>
      <c r="E1946" s="9" t="str">
        <f>+HYPERLINK("http://trademark.i-assist.jp/data/china/image_1903th/79438296.pdf", "79438296")</f>
        <v>79438296</v>
      </c>
      <c r="F1946" s="11" t="s">
        <v>5561</v>
      </c>
      <c r="G1946" s="11" t="s">
        <v>5562</v>
      </c>
      <c r="H1946" s="11" t="s">
        <v>5563</v>
      </c>
      <c r="I1946" s="11" t="s">
        <v>5552</v>
      </c>
    </row>
    <row r="1947" spans="1:9" x14ac:dyDescent="0.15">
      <c r="A1947" s="10">
        <v>1946</v>
      </c>
      <c r="B1947" s="11" t="s">
        <v>9</v>
      </c>
      <c r="C1947" s="11" t="s">
        <v>253</v>
      </c>
      <c r="D1947" s="11" t="s">
        <v>254</v>
      </c>
      <c r="E1947" s="9" t="str">
        <f>+HYPERLINK("http://trademark.i-assist.jp/data/china/image_1903th/79438945.pdf", "79438945")</f>
        <v>79438945</v>
      </c>
      <c r="F1947" s="11" t="s">
        <v>5564</v>
      </c>
      <c r="G1947" s="11" t="s">
        <v>5565</v>
      </c>
      <c r="H1947" s="11" t="s">
        <v>5566</v>
      </c>
      <c r="I1947" s="11" t="s">
        <v>5552</v>
      </c>
    </row>
    <row r="1948" spans="1:9" x14ac:dyDescent="0.15">
      <c r="A1948" s="10">
        <v>1947</v>
      </c>
      <c r="B1948" s="11" t="s">
        <v>9</v>
      </c>
      <c r="C1948" s="11" t="s">
        <v>253</v>
      </c>
      <c r="D1948" s="11" t="s">
        <v>254</v>
      </c>
      <c r="E1948" s="9" t="str">
        <f>+HYPERLINK("http://trademark.i-assist.jp/data/china/image_1903th/79438977.pdf", "79438977")</f>
        <v>79438977</v>
      </c>
      <c r="F1948" s="11" t="s">
        <v>5567</v>
      </c>
      <c r="G1948" s="11" t="s">
        <v>5568</v>
      </c>
      <c r="H1948" s="11" t="s">
        <v>5569</v>
      </c>
      <c r="I1948" s="11" t="s">
        <v>5552</v>
      </c>
    </row>
    <row r="1949" spans="1:9" x14ac:dyDescent="0.15">
      <c r="A1949" s="10">
        <v>1948</v>
      </c>
      <c r="B1949" s="11" t="s">
        <v>9</v>
      </c>
      <c r="C1949" s="11" t="s">
        <v>253</v>
      </c>
      <c r="D1949" s="11" t="s">
        <v>254</v>
      </c>
      <c r="E1949" s="9" t="str">
        <f>+HYPERLINK("http://trademark.i-assist.jp/data/china/image_1903th/79439056.pdf", "79439056")</f>
        <v>79439056</v>
      </c>
      <c r="F1949" s="11" t="s">
        <v>5570</v>
      </c>
      <c r="G1949" s="11" t="s">
        <v>5571</v>
      </c>
      <c r="H1949" s="11" t="s">
        <v>5572</v>
      </c>
      <c r="I1949" s="11" t="s">
        <v>5552</v>
      </c>
    </row>
    <row r="1950" spans="1:9" x14ac:dyDescent="0.15">
      <c r="A1950" s="10">
        <v>1949</v>
      </c>
      <c r="B1950" s="11" t="s">
        <v>9</v>
      </c>
      <c r="C1950" s="11" t="s">
        <v>253</v>
      </c>
      <c r="D1950" s="11" t="s">
        <v>254</v>
      </c>
      <c r="E1950" s="9" t="str">
        <f>+HYPERLINK("http://trademark.i-assist.jp/data/china/image_1903th/79439387.pdf", "79439387")</f>
        <v>79439387</v>
      </c>
      <c r="F1950" s="11" t="s">
        <v>5573</v>
      </c>
      <c r="G1950" s="11" t="s">
        <v>5574</v>
      </c>
      <c r="H1950" s="11" t="s">
        <v>5575</v>
      </c>
      <c r="I1950" s="11" t="s">
        <v>5552</v>
      </c>
    </row>
    <row r="1951" spans="1:9" x14ac:dyDescent="0.15">
      <c r="A1951" s="10">
        <v>1950</v>
      </c>
      <c r="B1951" s="11" t="s">
        <v>9</v>
      </c>
      <c r="C1951" s="11" t="s">
        <v>253</v>
      </c>
      <c r="D1951" s="11" t="s">
        <v>254</v>
      </c>
      <c r="E1951" s="9" t="str">
        <f>+HYPERLINK("http://trademark.i-assist.jp/data/china/image_1903th/79439534.pdf", "79439534")</f>
        <v>79439534</v>
      </c>
      <c r="F1951" s="11" t="s">
        <v>5576</v>
      </c>
      <c r="G1951" s="11" t="s">
        <v>5577</v>
      </c>
      <c r="H1951" s="11" t="s">
        <v>5578</v>
      </c>
      <c r="I1951" s="11" t="s">
        <v>5552</v>
      </c>
    </row>
    <row r="1952" spans="1:9" x14ac:dyDescent="0.15">
      <c r="A1952" s="10">
        <v>1951</v>
      </c>
      <c r="B1952" s="11" t="s">
        <v>9</v>
      </c>
      <c r="C1952" s="11" t="s">
        <v>253</v>
      </c>
      <c r="D1952" s="11" t="s">
        <v>254</v>
      </c>
      <c r="E1952" s="9" t="str">
        <f>+HYPERLINK("http://trademark.i-assist.jp/data/china/image_1903th/79440147.pdf", "79440147")</f>
        <v>79440147</v>
      </c>
      <c r="F1952" s="11" t="s">
        <v>5579</v>
      </c>
      <c r="G1952" s="11" t="s">
        <v>5580</v>
      </c>
      <c r="H1952" s="11" t="s">
        <v>5581</v>
      </c>
      <c r="I1952" s="11" t="s">
        <v>5552</v>
      </c>
    </row>
    <row r="1953" spans="1:9" x14ac:dyDescent="0.15">
      <c r="A1953" s="10">
        <v>1952</v>
      </c>
      <c r="B1953" s="11" t="s">
        <v>9</v>
      </c>
      <c r="C1953" s="11" t="s">
        <v>253</v>
      </c>
      <c r="D1953" s="11" t="s">
        <v>254</v>
      </c>
      <c r="E1953" s="9" t="str">
        <f>+HYPERLINK("http://trademark.i-assist.jp/data/china/image_1903th/79440536.pdf", "79440536")</f>
        <v>79440536</v>
      </c>
      <c r="F1953" s="11" t="s">
        <v>5582</v>
      </c>
      <c r="G1953" s="11" t="s">
        <v>5583</v>
      </c>
      <c r="H1953" s="11" t="s">
        <v>5584</v>
      </c>
      <c r="I1953" s="11" t="s">
        <v>5552</v>
      </c>
    </row>
    <row r="1954" spans="1:9" x14ac:dyDescent="0.15">
      <c r="A1954" s="10">
        <v>1953</v>
      </c>
      <c r="B1954" s="11" t="s">
        <v>9</v>
      </c>
      <c r="C1954" s="11" t="s">
        <v>253</v>
      </c>
      <c r="D1954" s="11" t="s">
        <v>254</v>
      </c>
      <c r="E1954" s="9" t="str">
        <f>+HYPERLINK("http://trademark.i-assist.jp/data/china/image_1903th/79440800.pdf", "79440800")</f>
        <v>79440800</v>
      </c>
      <c r="F1954" s="11" t="s">
        <v>5585</v>
      </c>
      <c r="G1954" s="11" t="s">
        <v>5586</v>
      </c>
      <c r="H1954" s="11" t="s">
        <v>5587</v>
      </c>
      <c r="I1954" s="11" t="s">
        <v>5552</v>
      </c>
    </row>
    <row r="1955" spans="1:9" x14ac:dyDescent="0.15">
      <c r="A1955" s="10">
        <v>1954</v>
      </c>
      <c r="B1955" s="11" t="s">
        <v>9</v>
      </c>
      <c r="C1955" s="11" t="s">
        <v>253</v>
      </c>
      <c r="D1955" s="11" t="s">
        <v>254</v>
      </c>
      <c r="E1955" s="9" t="str">
        <f>+HYPERLINK("http://trademark.i-assist.jp/data/china/image_1903th/79441100.pdf", "79441100")</f>
        <v>79441100</v>
      </c>
      <c r="F1955" s="11" t="s">
        <v>5588</v>
      </c>
      <c r="G1955" s="11" t="s">
        <v>5589</v>
      </c>
      <c r="H1955" s="11" t="s">
        <v>5590</v>
      </c>
      <c r="I1955" s="11" t="s">
        <v>5552</v>
      </c>
    </row>
    <row r="1956" spans="1:9" x14ac:dyDescent="0.15">
      <c r="A1956" s="10">
        <v>1955</v>
      </c>
      <c r="B1956" s="11" t="s">
        <v>9</v>
      </c>
      <c r="C1956" s="11" t="s">
        <v>253</v>
      </c>
      <c r="D1956" s="11" t="s">
        <v>254</v>
      </c>
      <c r="E1956" s="9" t="str">
        <f>+HYPERLINK("http://trademark.i-assist.jp/data/china/image_1903th/79441106.pdf", "79441106")</f>
        <v>79441106</v>
      </c>
      <c r="F1956" s="11" t="s">
        <v>5591</v>
      </c>
      <c r="G1956" s="11" t="s">
        <v>5562</v>
      </c>
      <c r="H1956" s="11" t="s">
        <v>5592</v>
      </c>
      <c r="I1956" s="11" t="s">
        <v>5552</v>
      </c>
    </row>
    <row r="1957" spans="1:9" x14ac:dyDescent="0.15">
      <c r="A1957" s="10">
        <v>1956</v>
      </c>
      <c r="B1957" s="11" t="s">
        <v>9</v>
      </c>
      <c r="C1957" s="11" t="s">
        <v>253</v>
      </c>
      <c r="D1957" s="11" t="s">
        <v>254</v>
      </c>
      <c r="E1957" s="9" t="str">
        <f>+HYPERLINK("http://trademark.i-assist.jp/data/china/image_1903th/79441123.pdf", "79441123")</f>
        <v>79441123</v>
      </c>
      <c r="F1957" s="11" t="s">
        <v>5593</v>
      </c>
      <c r="G1957" s="11" t="s">
        <v>5594</v>
      </c>
      <c r="H1957" s="11" t="s">
        <v>5595</v>
      </c>
      <c r="I1957" s="11" t="s">
        <v>5552</v>
      </c>
    </row>
    <row r="1958" spans="1:9" x14ac:dyDescent="0.15">
      <c r="A1958" s="10">
        <v>1957</v>
      </c>
      <c r="B1958" s="11" t="s">
        <v>9</v>
      </c>
      <c r="C1958" s="11" t="s">
        <v>253</v>
      </c>
      <c r="D1958" s="11" t="s">
        <v>254</v>
      </c>
      <c r="E1958" s="9" t="str">
        <f>+HYPERLINK("http://trademark.i-assist.jp/data/china/image_1903th/79441471.pdf", "79441471")</f>
        <v>79441471</v>
      </c>
      <c r="F1958" s="11" t="s">
        <v>5596</v>
      </c>
      <c r="G1958" s="11" t="s">
        <v>5597</v>
      </c>
      <c r="H1958" s="11" t="s">
        <v>5598</v>
      </c>
      <c r="I1958" s="11" t="s">
        <v>5552</v>
      </c>
    </row>
    <row r="1959" spans="1:9" x14ac:dyDescent="0.15">
      <c r="A1959" s="10">
        <v>1958</v>
      </c>
      <c r="B1959" s="11" t="s">
        <v>9</v>
      </c>
      <c r="C1959" s="11" t="s">
        <v>253</v>
      </c>
      <c r="D1959" s="11" t="s">
        <v>254</v>
      </c>
      <c r="E1959" s="9" t="str">
        <f>+HYPERLINK("http://trademark.i-assist.jp/data/china/image_1903th/79442515.pdf", "79442515")</f>
        <v>79442515</v>
      </c>
      <c r="F1959" s="11" t="s">
        <v>5599</v>
      </c>
      <c r="G1959" s="11" t="s">
        <v>184</v>
      </c>
      <c r="H1959" s="11" t="s">
        <v>5600</v>
      </c>
      <c r="I1959" s="11" t="s">
        <v>5552</v>
      </c>
    </row>
    <row r="1960" spans="1:9" x14ac:dyDescent="0.15">
      <c r="A1960" s="10">
        <v>1959</v>
      </c>
      <c r="B1960" s="11" t="s">
        <v>9</v>
      </c>
      <c r="C1960" s="11" t="s">
        <v>253</v>
      </c>
      <c r="D1960" s="11" t="s">
        <v>254</v>
      </c>
      <c r="E1960" s="9" t="str">
        <f>+HYPERLINK("http://trademark.i-assist.jp/data/china/image_1903th/79442853.pdf", "79442853")</f>
        <v>79442853</v>
      </c>
      <c r="F1960" s="11" t="s">
        <v>5601</v>
      </c>
      <c r="G1960" s="11" t="s">
        <v>5602</v>
      </c>
      <c r="H1960" s="11" t="s">
        <v>5603</v>
      </c>
      <c r="I1960" s="11" t="s">
        <v>5552</v>
      </c>
    </row>
    <row r="1961" spans="1:9" x14ac:dyDescent="0.15">
      <c r="A1961" s="10">
        <v>1960</v>
      </c>
      <c r="B1961" s="11" t="s">
        <v>9</v>
      </c>
      <c r="C1961" s="11" t="s">
        <v>253</v>
      </c>
      <c r="D1961" s="11" t="s">
        <v>254</v>
      </c>
      <c r="E1961" s="9" t="str">
        <f>+HYPERLINK("http://trademark.i-assist.jp/data/china/image_1903th/79442928.pdf", "79442928")</f>
        <v>79442928</v>
      </c>
      <c r="F1961" s="11" t="s">
        <v>5604</v>
      </c>
      <c r="G1961" s="11" t="s">
        <v>5605</v>
      </c>
      <c r="H1961" s="11" t="s">
        <v>5606</v>
      </c>
      <c r="I1961" s="11" t="s">
        <v>5552</v>
      </c>
    </row>
    <row r="1962" spans="1:9" x14ac:dyDescent="0.15">
      <c r="A1962" s="10">
        <v>1961</v>
      </c>
      <c r="B1962" s="11" t="s">
        <v>9</v>
      </c>
      <c r="C1962" s="11" t="s">
        <v>253</v>
      </c>
      <c r="D1962" s="11" t="s">
        <v>254</v>
      </c>
      <c r="E1962" s="9" t="str">
        <f>+HYPERLINK("http://trademark.i-assist.jp/data/china/image_1903th/79443375.pdf", "79443375")</f>
        <v>79443375</v>
      </c>
      <c r="F1962" s="11" t="s">
        <v>5607</v>
      </c>
      <c r="G1962" s="11" t="s">
        <v>5586</v>
      </c>
      <c r="H1962" s="11" t="s">
        <v>5608</v>
      </c>
      <c r="I1962" s="11" t="s">
        <v>5552</v>
      </c>
    </row>
    <row r="1963" spans="1:9" x14ac:dyDescent="0.15">
      <c r="A1963" s="10">
        <v>1962</v>
      </c>
      <c r="B1963" s="11" t="s">
        <v>9</v>
      </c>
      <c r="C1963" s="11" t="s">
        <v>253</v>
      </c>
      <c r="D1963" s="11" t="s">
        <v>254</v>
      </c>
      <c r="E1963" s="9" t="str">
        <f>+HYPERLINK("http://trademark.i-assist.jp/data/china/image_1903th/79443577.pdf", "79443577")</f>
        <v>79443577</v>
      </c>
      <c r="F1963" s="11" t="s">
        <v>5609</v>
      </c>
      <c r="G1963" s="11" t="s">
        <v>5610</v>
      </c>
      <c r="H1963" s="11" t="s">
        <v>5611</v>
      </c>
      <c r="I1963" s="11" t="s">
        <v>5552</v>
      </c>
    </row>
    <row r="1964" spans="1:9" x14ac:dyDescent="0.15">
      <c r="A1964" s="10">
        <v>1963</v>
      </c>
      <c r="B1964" s="11" t="s">
        <v>9</v>
      </c>
      <c r="C1964" s="11" t="s">
        <v>253</v>
      </c>
      <c r="D1964" s="11" t="s">
        <v>254</v>
      </c>
      <c r="E1964" s="9" t="str">
        <f>+HYPERLINK("http://trademark.i-assist.jp/data/china/image_1903th/79443906.pdf", "79443906")</f>
        <v>79443906</v>
      </c>
      <c r="F1964" s="11" t="s">
        <v>5612</v>
      </c>
      <c r="G1964" s="11" t="s">
        <v>5613</v>
      </c>
      <c r="H1964" s="11" t="s">
        <v>5614</v>
      </c>
      <c r="I1964" s="11" t="s">
        <v>5552</v>
      </c>
    </row>
    <row r="1965" spans="1:9" x14ac:dyDescent="0.15">
      <c r="A1965" s="10">
        <v>1964</v>
      </c>
      <c r="B1965" s="11" t="s">
        <v>9</v>
      </c>
      <c r="C1965" s="11" t="s">
        <v>253</v>
      </c>
      <c r="D1965" s="11" t="s">
        <v>254</v>
      </c>
      <c r="E1965" s="9" t="str">
        <f>+HYPERLINK("http://trademark.i-assist.jp/data/china/image_1903th/79443958.pdf", "79443958")</f>
        <v>79443958</v>
      </c>
      <c r="F1965" s="11" t="s">
        <v>5615</v>
      </c>
      <c r="G1965" s="11" t="s">
        <v>5616</v>
      </c>
      <c r="H1965" s="11" t="s">
        <v>5617</v>
      </c>
      <c r="I1965" s="11" t="s">
        <v>5552</v>
      </c>
    </row>
    <row r="1966" spans="1:9" x14ac:dyDescent="0.15">
      <c r="A1966" s="10">
        <v>1965</v>
      </c>
      <c r="B1966" s="11" t="s">
        <v>9</v>
      </c>
      <c r="C1966" s="11" t="s">
        <v>253</v>
      </c>
      <c r="D1966" s="11" t="s">
        <v>254</v>
      </c>
      <c r="E1966" s="9" t="str">
        <f>+HYPERLINK("http://trademark.i-assist.jp/data/china/image_1903th/79444055.pdf", "79444055")</f>
        <v>79444055</v>
      </c>
      <c r="F1966" s="11" t="s">
        <v>12</v>
      </c>
      <c r="G1966" s="11" t="s">
        <v>5618</v>
      </c>
      <c r="H1966" s="11" t="s">
        <v>5619</v>
      </c>
      <c r="I1966" s="11" t="s">
        <v>5552</v>
      </c>
    </row>
    <row r="1967" spans="1:9" x14ac:dyDescent="0.15">
      <c r="A1967" s="10">
        <v>1966</v>
      </c>
      <c r="B1967" s="11" t="s">
        <v>9</v>
      </c>
      <c r="C1967" s="11" t="s">
        <v>253</v>
      </c>
      <c r="D1967" s="11" t="s">
        <v>254</v>
      </c>
      <c r="E1967" s="9" t="str">
        <f>+HYPERLINK("http://trademark.i-assist.jp/data/china/image_1903th/79444215.pdf", "79444215")</f>
        <v>79444215</v>
      </c>
      <c r="F1967" s="11" t="s">
        <v>5620</v>
      </c>
      <c r="G1967" s="11" t="s">
        <v>5621</v>
      </c>
      <c r="H1967" s="11" t="s">
        <v>5619</v>
      </c>
      <c r="I1967" s="11" t="s">
        <v>5552</v>
      </c>
    </row>
    <row r="1968" spans="1:9" x14ac:dyDescent="0.15">
      <c r="A1968" s="10">
        <v>1967</v>
      </c>
      <c r="B1968" s="11" t="s">
        <v>9</v>
      </c>
      <c r="C1968" s="11" t="s">
        <v>253</v>
      </c>
      <c r="D1968" s="11" t="s">
        <v>254</v>
      </c>
      <c r="E1968" s="9" t="str">
        <f>+HYPERLINK("http://trademark.i-assist.jp/data/china/image_1903th/79444693.pdf", "79444693")</f>
        <v>79444693</v>
      </c>
      <c r="F1968" s="11" t="s">
        <v>5622</v>
      </c>
      <c r="G1968" s="11" t="s">
        <v>234</v>
      </c>
      <c r="H1968" s="11" t="s">
        <v>5623</v>
      </c>
      <c r="I1968" s="11" t="s">
        <v>5552</v>
      </c>
    </row>
    <row r="1969" spans="1:9" x14ac:dyDescent="0.15">
      <c r="A1969" s="10">
        <v>1968</v>
      </c>
      <c r="B1969" s="11" t="s">
        <v>9</v>
      </c>
      <c r="C1969" s="11" t="s">
        <v>253</v>
      </c>
      <c r="D1969" s="11" t="s">
        <v>254</v>
      </c>
      <c r="E1969" s="9" t="str">
        <f>+HYPERLINK("http://trademark.i-assist.jp/data/china/image_1903th/79444897.pdf", "79444897")</f>
        <v>79444897</v>
      </c>
      <c r="F1969" s="11" t="s">
        <v>5624</v>
      </c>
      <c r="G1969" s="11" t="s">
        <v>5625</v>
      </c>
      <c r="H1969" s="11" t="s">
        <v>5626</v>
      </c>
      <c r="I1969" s="11" t="s">
        <v>5552</v>
      </c>
    </row>
    <row r="1970" spans="1:9" x14ac:dyDescent="0.15">
      <c r="A1970" s="10">
        <v>1969</v>
      </c>
      <c r="B1970" s="11" t="s">
        <v>9</v>
      </c>
      <c r="C1970" s="11" t="s">
        <v>253</v>
      </c>
      <c r="D1970" s="11" t="s">
        <v>254</v>
      </c>
      <c r="E1970" s="9" t="str">
        <f>+HYPERLINK("http://trademark.i-assist.jp/data/china/image_1903th/79445787.pdf", "79445787")</f>
        <v>79445787</v>
      </c>
      <c r="F1970" s="11" t="s">
        <v>5627</v>
      </c>
      <c r="G1970" s="11" t="s">
        <v>5628</v>
      </c>
      <c r="H1970" s="11" t="s">
        <v>5629</v>
      </c>
      <c r="I1970" s="11" t="s">
        <v>5552</v>
      </c>
    </row>
    <row r="1971" spans="1:9" x14ac:dyDescent="0.15">
      <c r="A1971" s="10">
        <v>1970</v>
      </c>
      <c r="B1971" s="11" t="s">
        <v>9</v>
      </c>
      <c r="C1971" s="11" t="s">
        <v>253</v>
      </c>
      <c r="D1971" s="11" t="s">
        <v>254</v>
      </c>
      <c r="E1971" s="9" t="str">
        <f>+HYPERLINK("http://trademark.i-assist.jp/data/china/image_1903th/79446730.pdf", "79446730")</f>
        <v>79446730</v>
      </c>
      <c r="F1971" s="11" t="s">
        <v>5630</v>
      </c>
      <c r="G1971" s="11" t="s">
        <v>5631</v>
      </c>
      <c r="H1971" s="11" t="s">
        <v>5632</v>
      </c>
      <c r="I1971" s="11" t="s">
        <v>5552</v>
      </c>
    </row>
    <row r="1972" spans="1:9" x14ac:dyDescent="0.15">
      <c r="A1972" s="10">
        <v>1971</v>
      </c>
      <c r="B1972" s="11" t="s">
        <v>9</v>
      </c>
      <c r="C1972" s="11" t="s">
        <v>253</v>
      </c>
      <c r="D1972" s="11" t="s">
        <v>254</v>
      </c>
      <c r="E1972" s="9" t="str">
        <f>+HYPERLINK("http://trademark.i-assist.jp/data/china/image_1903th/79446936.pdf", "79446936")</f>
        <v>79446936</v>
      </c>
      <c r="F1972" s="11" t="s">
        <v>5633</v>
      </c>
      <c r="G1972" s="11" t="s">
        <v>5625</v>
      </c>
      <c r="H1972" s="11" t="s">
        <v>5634</v>
      </c>
      <c r="I1972" s="11" t="s">
        <v>5552</v>
      </c>
    </row>
    <row r="1973" spans="1:9" x14ac:dyDescent="0.15">
      <c r="A1973" s="10">
        <v>1972</v>
      </c>
      <c r="B1973" s="11" t="s">
        <v>9</v>
      </c>
      <c r="C1973" s="11" t="s">
        <v>253</v>
      </c>
      <c r="D1973" s="11" t="s">
        <v>254</v>
      </c>
      <c r="E1973" s="9" t="str">
        <f>+HYPERLINK("http://trademark.i-assist.jp/data/china/image_1903th/79447028.pdf", "79447028")</f>
        <v>79447028</v>
      </c>
      <c r="F1973" s="11" t="s">
        <v>5635</v>
      </c>
      <c r="G1973" s="11" t="s">
        <v>5636</v>
      </c>
      <c r="H1973" s="11" t="s">
        <v>5637</v>
      </c>
      <c r="I1973" s="11" t="s">
        <v>5552</v>
      </c>
    </row>
    <row r="1974" spans="1:9" x14ac:dyDescent="0.15">
      <c r="A1974" s="10">
        <v>1973</v>
      </c>
      <c r="B1974" s="11" t="s">
        <v>9</v>
      </c>
      <c r="C1974" s="11" t="s">
        <v>253</v>
      </c>
      <c r="D1974" s="11" t="s">
        <v>254</v>
      </c>
      <c r="E1974" s="9" t="str">
        <f>+HYPERLINK("http://trademark.i-assist.jp/data/china/image_1903th/79447146.pdf", "79447146")</f>
        <v>79447146</v>
      </c>
      <c r="F1974" s="11" t="s">
        <v>5638</v>
      </c>
      <c r="G1974" s="11" t="s">
        <v>4890</v>
      </c>
      <c r="H1974" s="11" t="s">
        <v>5639</v>
      </c>
      <c r="I1974" s="11" t="s">
        <v>5552</v>
      </c>
    </row>
    <row r="1975" spans="1:9" x14ac:dyDescent="0.15">
      <c r="A1975" s="10">
        <v>1974</v>
      </c>
      <c r="B1975" s="11" t="s">
        <v>9</v>
      </c>
      <c r="C1975" s="11" t="s">
        <v>253</v>
      </c>
      <c r="D1975" s="11" t="s">
        <v>254</v>
      </c>
      <c r="E1975" s="9" t="str">
        <f>+HYPERLINK("http://trademark.i-assist.jp/data/china/image_1903th/79447391.pdf", "79447391")</f>
        <v>79447391</v>
      </c>
      <c r="F1975" s="11" t="s">
        <v>5640</v>
      </c>
      <c r="G1975" s="11" t="s">
        <v>5586</v>
      </c>
      <c r="H1975" s="11" t="s">
        <v>5641</v>
      </c>
      <c r="I1975" s="11" t="s">
        <v>5552</v>
      </c>
    </row>
    <row r="1976" spans="1:9" x14ac:dyDescent="0.15">
      <c r="A1976" s="10">
        <v>1975</v>
      </c>
      <c r="B1976" s="11" t="s">
        <v>9</v>
      </c>
      <c r="C1976" s="11" t="s">
        <v>253</v>
      </c>
      <c r="D1976" s="11" t="s">
        <v>254</v>
      </c>
      <c r="E1976" s="9" t="str">
        <f>+HYPERLINK("http://trademark.i-assist.jp/data/china/image_1903th/79447483.pdf", "79447483")</f>
        <v>79447483</v>
      </c>
      <c r="F1976" s="11" t="s">
        <v>5642</v>
      </c>
      <c r="G1976" s="11" t="s">
        <v>5643</v>
      </c>
      <c r="H1976" s="11" t="s">
        <v>5644</v>
      </c>
      <c r="I1976" s="11" t="s">
        <v>5552</v>
      </c>
    </row>
    <row r="1977" spans="1:9" x14ac:dyDescent="0.15">
      <c r="A1977" s="10">
        <v>1976</v>
      </c>
      <c r="B1977" s="11" t="s">
        <v>9</v>
      </c>
      <c r="C1977" s="11" t="s">
        <v>253</v>
      </c>
      <c r="D1977" s="11" t="s">
        <v>254</v>
      </c>
      <c r="E1977" s="9" t="str">
        <f>+HYPERLINK("http://trademark.i-assist.jp/data/china/image_1903th/79448016.pdf", "79448016")</f>
        <v>79448016</v>
      </c>
      <c r="F1977" s="11" t="s">
        <v>5645</v>
      </c>
      <c r="G1977" s="11" t="s">
        <v>5646</v>
      </c>
      <c r="H1977" s="11" t="s">
        <v>5647</v>
      </c>
      <c r="I1977" s="11" t="s">
        <v>5552</v>
      </c>
    </row>
    <row r="1978" spans="1:9" x14ac:dyDescent="0.15">
      <c r="A1978" s="10">
        <v>1977</v>
      </c>
      <c r="B1978" s="11" t="s">
        <v>9</v>
      </c>
      <c r="C1978" s="11" t="s">
        <v>253</v>
      </c>
      <c r="D1978" s="11" t="s">
        <v>254</v>
      </c>
      <c r="E1978" s="9" t="str">
        <f>+HYPERLINK("http://trademark.i-assist.jp/data/china/image_1903th/79448267.pdf", "79448267")</f>
        <v>79448267</v>
      </c>
      <c r="F1978" s="11" t="s">
        <v>5648</v>
      </c>
      <c r="G1978" s="11" t="s">
        <v>5646</v>
      </c>
      <c r="H1978" s="11" t="s">
        <v>5649</v>
      </c>
      <c r="I1978" s="11" t="s">
        <v>5552</v>
      </c>
    </row>
    <row r="1979" spans="1:9" x14ac:dyDescent="0.15">
      <c r="A1979" s="10">
        <v>1978</v>
      </c>
      <c r="B1979" s="11" t="s">
        <v>9</v>
      </c>
      <c r="C1979" s="11" t="s">
        <v>253</v>
      </c>
      <c r="D1979" s="11" t="s">
        <v>254</v>
      </c>
      <c r="E1979" s="9" t="str">
        <f>+HYPERLINK("http://trademark.i-assist.jp/data/china/image_1903th/79448331.pdf", "79448331")</f>
        <v>79448331</v>
      </c>
      <c r="F1979" s="11" t="s">
        <v>5650</v>
      </c>
      <c r="G1979" s="11" t="s">
        <v>5586</v>
      </c>
      <c r="H1979" s="11" t="s">
        <v>5651</v>
      </c>
      <c r="I1979" s="11" t="s">
        <v>5552</v>
      </c>
    </row>
    <row r="1980" spans="1:9" x14ac:dyDescent="0.15">
      <c r="A1980" s="10">
        <v>1979</v>
      </c>
      <c r="B1980" s="11" t="s">
        <v>9</v>
      </c>
      <c r="C1980" s="11" t="s">
        <v>253</v>
      </c>
      <c r="D1980" s="11" t="s">
        <v>254</v>
      </c>
      <c r="E1980" s="9" t="str">
        <f>+HYPERLINK("http://trademark.i-assist.jp/data/china/image_1903th/79448446.pdf", "79448446")</f>
        <v>79448446</v>
      </c>
      <c r="F1980" s="11" t="s">
        <v>5652</v>
      </c>
      <c r="G1980" s="11" t="s">
        <v>5653</v>
      </c>
      <c r="H1980" s="11" t="s">
        <v>5654</v>
      </c>
      <c r="I1980" s="11" t="s">
        <v>5552</v>
      </c>
    </row>
    <row r="1981" spans="1:9" x14ac:dyDescent="0.15">
      <c r="A1981" s="10">
        <v>1980</v>
      </c>
      <c r="B1981" s="11" t="s">
        <v>9</v>
      </c>
      <c r="C1981" s="11" t="s">
        <v>253</v>
      </c>
      <c r="D1981" s="11" t="s">
        <v>254</v>
      </c>
      <c r="E1981" s="9" t="str">
        <f>+HYPERLINK("http://trademark.i-assist.jp/data/china/image_1903th/79448638.pdf", "79448638")</f>
        <v>79448638</v>
      </c>
      <c r="F1981" s="11" t="s">
        <v>5655</v>
      </c>
      <c r="G1981" s="11" t="s">
        <v>5580</v>
      </c>
      <c r="H1981" s="11" t="s">
        <v>5656</v>
      </c>
      <c r="I1981" s="11" t="s">
        <v>5552</v>
      </c>
    </row>
    <row r="1982" spans="1:9" x14ac:dyDescent="0.15">
      <c r="A1982" s="10">
        <v>1981</v>
      </c>
      <c r="B1982" s="11" t="s">
        <v>9</v>
      </c>
      <c r="C1982" s="11" t="s">
        <v>253</v>
      </c>
      <c r="D1982" s="11" t="s">
        <v>254</v>
      </c>
      <c r="E1982" s="9" t="str">
        <f>+HYPERLINK("http://trademark.i-assist.jp/data/china/image_1903th/79448804.pdf", "79448804")</f>
        <v>79448804</v>
      </c>
      <c r="F1982" s="11" t="s">
        <v>5657</v>
      </c>
      <c r="G1982" s="11" t="s">
        <v>120</v>
      </c>
      <c r="H1982" s="11" t="s">
        <v>5658</v>
      </c>
      <c r="I1982" s="11" t="s">
        <v>5552</v>
      </c>
    </row>
    <row r="1983" spans="1:9" x14ac:dyDescent="0.15">
      <c r="A1983" s="10">
        <v>1982</v>
      </c>
      <c r="B1983" s="11" t="s">
        <v>9</v>
      </c>
      <c r="C1983" s="11" t="s">
        <v>253</v>
      </c>
      <c r="D1983" s="11" t="s">
        <v>254</v>
      </c>
      <c r="E1983" s="9" t="str">
        <f>+HYPERLINK("http://trademark.i-assist.jp/data/china/image_1903th/79448841.pdf", "79448841")</f>
        <v>79448841</v>
      </c>
      <c r="F1983" s="11" t="s">
        <v>5659</v>
      </c>
      <c r="G1983" s="11" t="s">
        <v>5660</v>
      </c>
      <c r="H1983" s="11" t="s">
        <v>5661</v>
      </c>
      <c r="I1983" s="11" t="s">
        <v>5552</v>
      </c>
    </row>
    <row r="1984" spans="1:9" x14ac:dyDescent="0.15">
      <c r="A1984" s="10">
        <v>1983</v>
      </c>
      <c r="B1984" s="11" t="s">
        <v>9</v>
      </c>
      <c r="C1984" s="11" t="s">
        <v>253</v>
      </c>
      <c r="D1984" s="11" t="s">
        <v>254</v>
      </c>
      <c r="E1984" s="9" t="str">
        <f>+HYPERLINK("http://trademark.i-assist.jp/data/china/image_1903th/79449717.pdf", "79449717")</f>
        <v>79449717</v>
      </c>
      <c r="F1984" s="11" t="s">
        <v>5662</v>
      </c>
      <c r="G1984" s="11" t="s">
        <v>5646</v>
      </c>
      <c r="H1984" s="11" t="s">
        <v>5663</v>
      </c>
      <c r="I1984" s="11" t="s">
        <v>5552</v>
      </c>
    </row>
    <row r="1985" spans="1:9" x14ac:dyDescent="0.15">
      <c r="A1985" s="10">
        <v>1984</v>
      </c>
      <c r="B1985" s="11" t="s">
        <v>9</v>
      </c>
      <c r="C1985" s="11" t="s">
        <v>253</v>
      </c>
      <c r="D1985" s="11" t="s">
        <v>254</v>
      </c>
      <c r="E1985" s="9" t="str">
        <f>+HYPERLINK("http://trademark.i-assist.jp/data/china/image_1903th/79449777.pdf", "79449777")</f>
        <v>79449777</v>
      </c>
      <c r="F1985" s="11" t="s">
        <v>5664</v>
      </c>
      <c r="G1985" s="11" t="s">
        <v>5665</v>
      </c>
      <c r="H1985" s="11" t="s">
        <v>5666</v>
      </c>
      <c r="I1985" s="11" t="s">
        <v>5552</v>
      </c>
    </row>
    <row r="1986" spans="1:9" x14ac:dyDescent="0.15">
      <c r="A1986" s="10">
        <v>1985</v>
      </c>
      <c r="B1986" s="11" t="s">
        <v>9</v>
      </c>
      <c r="C1986" s="11" t="s">
        <v>253</v>
      </c>
      <c r="D1986" s="11" t="s">
        <v>254</v>
      </c>
      <c r="E1986" s="9" t="str">
        <f>+HYPERLINK("http://trademark.i-assist.jp/data/china/image_1903th/79449943.pdf", "79449943")</f>
        <v>79449943</v>
      </c>
      <c r="F1986" s="11" t="s">
        <v>5667</v>
      </c>
      <c r="G1986" s="11" t="s">
        <v>5668</v>
      </c>
      <c r="H1986" s="11" t="s">
        <v>5669</v>
      </c>
      <c r="I1986" s="11" t="s">
        <v>5552</v>
      </c>
    </row>
    <row r="1987" spans="1:9" x14ac:dyDescent="0.15">
      <c r="A1987" s="10">
        <v>1986</v>
      </c>
      <c r="B1987" s="11" t="s">
        <v>9</v>
      </c>
      <c r="C1987" s="11" t="s">
        <v>253</v>
      </c>
      <c r="D1987" s="11" t="s">
        <v>254</v>
      </c>
      <c r="E1987" s="9" t="str">
        <f>+HYPERLINK("http://trademark.i-assist.jp/data/china/image_1903th/79450015.pdf", "79450015")</f>
        <v>79450015</v>
      </c>
      <c r="F1987" s="11" t="s">
        <v>5670</v>
      </c>
      <c r="G1987" s="11" t="s">
        <v>5671</v>
      </c>
      <c r="H1987" s="11" t="s">
        <v>5672</v>
      </c>
      <c r="I1987" s="11" t="s">
        <v>5552</v>
      </c>
    </row>
    <row r="1988" spans="1:9" x14ac:dyDescent="0.15">
      <c r="A1988" s="10">
        <v>1987</v>
      </c>
      <c r="B1988" s="11" t="s">
        <v>9</v>
      </c>
      <c r="C1988" s="11" t="s">
        <v>253</v>
      </c>
      <c r="D1988" s="11" t="s">
        <v>254</v>
      </c>
      <c r="E1988" s="9" t="str">
        <f>+HYPERLINK("http://trademark.i-assist.jp/data/china/image_1903th/79450107.pdf", "79450107")</f>
        <v>79450107</v>
      </c>
      <c r="F1988" s="11" t="s">
        <v>5673</v>
      </c>
      <c r="G1988" s="11" t="s">
        <v>5674</v>
      </c>
      <c r="H1988" s="11" t="s">
        <v>5675</v>
      </c>
      <c r="I1988" s="11" t="s">
        <v>5552</v>
      </c>
    </row>
    <row r="1989" spans="1:9" x14ac:dyDescent="0.15">
      <c r="A1989" s="10">
        <v>1988</v>
      </c>
      <c r="B1989" s="11" t="s">
        <v>9</v>
      </c>
      <c r="C1989" s="11" t="s">
        <v>253</v>
      </c>
      <c r="D1989" s="11" t="s">
        <v>254</v>
      </c>
      <c r="E1989" s="9" t="str">
        <f>+HYPERLINK("http://trademark.i-assist.jp/data/china/image_1903th/79450289.pdf", "79450289")</f>
        <v>79450289</v>
      </c>
      <c r="F1989" s="11" t="s">
        <v>5676</v>
      </c>
      <c r="G1989" s="11" t="s">
        <v>5677</v>
      </c>
      <c r="H1989" s="11" t="s">
        <v>5678</v>
      </c>
      <c r="I1989" s="11" t="s">
        <v>5552</v>
      </c>
    </row>
    <row r="1990" spans="1:9" x14ac:dyDescent="0.15">
      <c r="A1990" s="10">
        <v>1989</v>
      </c>
      <c r="B1990" s="11" t="s">
        <v>9</v>
      </c>
      <c r="C1990" s="11" t="s">
        <v>253</v>
      </c>
      <c r="D1990" s="11" t="s">
        <v>254</v>
      </c>
      <c r="E1990" s="9" t="str">
        <f>+HYPERLINK("http://trademark.i-assist.jp/data/china/image_1903th/79450599.pdf", "79450599")</f>
        <v>79450599</v>
      </c>
      <c r="F1990" s="11" t="s">
        <v>5679</v>
      </c>
      <c r="G1990" s="11" t="s">
        <v>4890</v>
      </c>
      <c r="H1990" s="11" t="s">
        <v>5680</v>
      </c>
      <c r="I1990" s="11" t="s">
        <v>5552</v>
      </c>
    </row>
    <row r="1991" spans="1:9" x14ac:dyDescent="0.15">
      <c r="A1991" s="10">
        <v>1990</v>
      </c>
      <c r="B1991" s="11" t="s">
        <v>9</v>
      </c>
      <c r="C1991" s="11" t="s">
        <v>253</v>
      </c>
      <c r="D1991" s="11" t="s">
        <v>254</v>
      </c>
      <c r="E1991" s="9" t="str">
        <f>+HYPERLINK("http://trademark.i-assist.jp/data/china/image_1903th/79450743.pdf", "79450743")</f>
        <v>79450743</v>
      </c>
      <c r="F1991" s="11" t="s">
        <v>5681</v>
      </c>
      <c r="G1991" s="11" t="s">
        <v>233</v>
      </c>
      <c r="H1991" s="11" t="s">
        <v>16</v>
      </c>
      <c r="I1991" s="11" t="s">
        <v>5552</v>
      </c>
    </row>
    <row r="1992" spans="1:9" x14ac:dyDescent="0.15">
      <c r="A1992" s="10">
        <v>1991</v>
      </c>
      <c r="B1992" s="11" t="s">
        <v>9</v>
      </c>
      <c r="C1992" s="11" t="s">
        <v>253</v>
      </c>
      <c r="D1992" s="11" t="s">
        <v>254</v>
      </c>
      <c r="E1992" s="9" t="str">
        <f>+HYPERLINK("http://trademark.i-assist.jp/data/china/image_1903th/79450766.pdf", "79450766")</f>
        <v>79450766</v>
      </c>
      <c r="F1992" s="11" t="s">
        <v>5682</v>
      </c>
      <c r="G1992" s="11" t="s">
        <v>5683</v>
      </c>
      <c r="H1992" s="11" t="s">
        <v>5684</v>
      </c>
      <c r="I1992" s="11" t="s">
        <v>5552</v>
      </c>
    </row>
    <row r="1993" spans="1:9" x14ac:dyDescent="0.15">
      <c r="A1993" s="10">
        <v>1992</v>
      </c>
      <c r="B1993" s="11" t="s">
        <v>9</v>
      </c>
      <c r="C1993" s="11" t="s">
        <v>253</v>
      </c>
      <c r="D1993" s="11" t="s">
        <v>254</v>
      </c>
      <c r="E1993" s="9" t="str">
        <f>+HYPERLINK("http://trademark.i-assist.jp/data/china/image_1903th/79450957.pdf", "79450957")</f>
        <v>79450957</v>
      </c>
      <c r="F1993" s="11" t="s">
        <v>5685</v>
      </c>
      <c r="G1993" s="11" t="s">
        <v>5686</v>
      </c>
      <c r="H1993" s="11" t="s">
        <v>5687</v>
      </c>
      <c r="I1993" s="11" t="s">
        <v>5552</v>
      </c>
    </row>
    <row r="1994" spans="1:9" x14ac:dyDescent="0.15">
      <c r="A1994" s="10">
        <v>1993</v>
      </c>
      <c r="B1994" s="11" t="s">
        <v>9</v>
      </c>
      <c r="C1994" s="11" t="s">
        <v>253</v>
      </c>
      <c r="D1994" s="11" t="s">
        <v>254</v>
      </c>
      <c r="E1994" s="9" t="str">
        <f>+HYPERLINK("http://trademark.i-assist.jp/data/china/image_1903th/79451469.pdf", "79451469")</f>
        <v>79451469</v>
      </c>
      <c r="F1994" s="11" t="s">
        <v>5688</v>
      </c>
      <c r="G1994" s="11" t="s">
        <v>5586</v>
      </c>
      <c r="H1994" s="11" t="s">
        <v>5689</v>
      </c>
      <c r="I1994" s="11" t="s">
        <v>5552</v>
      </c>
    </row>
    <row r="1995" spans="1:9" x14ac:dyDescent="0.15">
      <c r="A1995" s="10">
        <v>1994</v>
      </c>
      <c r="B1995" s="11" t="s">
        <v>9</v>
      </c>
      <c r="C1995" s="11" t="s">
        <v>253</v>
      </c>
      <c r="D1995" s="11" t="s">
        <v>254</v>
      </c>
      <c r="E1995" s="9" t="str">
        <f>+HYPERLINK("http://trademark.i-assist.jp/data/china/image_1903th/79452108.pdf", "79452108")</f>
        <v>79452108</v>
      </c>
      <c r="F1995" s="11" t="s">
        <v>5690</v>
      </c>
      <c r="G1995" s="11" t="s">
        <v>5691</v>
      </c>
      <c r="H1995" s="11" t="s">
        <v>5692</v>
      </c>
      <c r="I1995" s="11" t="s">
        <v>5552</v>
      </c>
    </row>
    <row r="1996" spans="1:9" x14ac:dyDescent="0.15">
      <c r="A1996" s="10">
        <v>1995</v>
      </c>
      <c r="B1996" s="11" t="s">
        <v>9</v>
      </c>
      <c r="C1996" s="11" t="s">
        <v>253</v>
      </c>
      <c r="D1996" s="11" t="s">
        <v>254</v>
      </c>
      <c r="E1996" s="9" t="str">
        <f>+HYPERLINK("http://trademark.i-assist.jp/data/china/image_1903th/79452196.pdf", "79452196")</f>
        <v>79452196</v>
      </c>
      <c r="F1996" s="11" t="s">
        <v>5693</v>
      </c>
      <c r="G1996" s="11" t="s">
        <v>5694</v>
      </c>
      <c r="H1996" s="11" t="s">
        <v>5695</v>
      </c>
      <c r="I1996" s="11" t="s">
        <v>5552</v>
      </c>
    </row>
    <row r="1997" spans="1:9" x14ac:dyDescent="0.15">
      <c r="A1997" s="10">
        <v>1996</v>
      </c>
      <c r="B1997" s="11" t="s">
        <v>9</v>
      </c>
      <c r="C1997" s="11" t="s">
        <v>253</v>
      </c>
      <c r="D1997" s="11" t="s">
        <v>254</v>
      </c>
      <c r="E1997" s="9" t="str">
        <f>+HYPERLINK("http://trademark.i-assist.jp/data/china/image_1903th/79452364.pdf", "79452364")</f>
        <v>79452364</v>
      </c>
      <c r="F1997" s="11" t="s">
        <v>5696</v>
      </c>
      <c r="G1997" s="11" t="s">
        <v>5697</v>
      </c>
      <c r="H1997" s="11" t="s">
        <v>5698</v>
      </c>
      <c r="I1997" s="11" t="s">
        <v>5552</v>
      </c>
    </row>
    <row r="1998" spans="1:9" x14ac:dyDescent="0.15">
      <c r="A1998" s="10">
        <v>1997</v>
      </c>
      <c r="B1998" s="11" t="s">
        <v>9</v>
      </c>
      <c r="C1998" s="11" t="s">
        <v>253</v>
      </c>
      <c r="D1998" s="11" t="s">
        <v>254</v>
      </c>
      <c r="E1998" s="9" t="str">
        <f>+HYPERLINK("http://trademark.i-assist.jp/data/china/image_1903th/79452686.pdf", "79452686")</f>
        <v>79452686</v>
      </c>
      <c r="F1998" s="11" t="s">
        <v>5699</v>
      </c>
      <c r="G1998" s="11" t="s">
        <v>5700</v>
      </c>
      <c r="H1998" s="11" t="s">
        <v>5701</v>
      </c>
      <c r="I1998" s="11" t="s">
        <v>5552</v>
      </c>
    </row>
    <row r="1999" spans="1:9" x14ac:dyDescent="0.15">
      <c r="A1999" s="10">
        <v>1998</v>
      </c>
      <c r="B1999" s="11" t="s">
        <v>9</v>
      </c>
      <c r="C1999" s="11" t="s">
        <v>253</v>
      </c>
      <c r="D1999" s="11" t="s">
        <v>254</v>
      </c>
      <c r="E1999" s="9" t="str">
        <f>+HYPERLINK("http://trademark.i-assist.jp/data/china/image_1903th/79452718.pdf", "79452718")</f>
        <v>79452718</v>
      </c>
      <c r="F1999" s="11" t="s">
        <v>5702</v>
      </c>
      <c r="G1999" s="11" t="s">
        <v>5703</v>
      </c>
      <c r="H1999" s="11" t="s">
        <v>5704</v>
      </c>
      <c r="I1999" s="11" t="s">
        <v>5552</v>
      </c>
    </row>
    <row r="2000" spans="1:9" x14ac:dyDescent="0.15">
      <c r="A2000" s="10">
        <v>1999</v>
      </c>
      <c r="B2000" s="11" t="s">
        <v>9</v>
      </c>
      <c r="C2000" s="11" t="s">
        <v>253</v>
      </c>
      <c r="D2000" s="11" t="s">
        <v>254</v>
      </c>
      <c r="E2000" s="9" t="str">
        <f>+HYPERLINK("http://trademark.i-assist.jp/data/china/image_1903th/79452912.pdf", "79452912")</f>
        <v>79452912</v>
      </c>
      <c r="F2000" s="11" t="s">
        <v>5705</v>
      </c>
      <c r="G2000" s="11" t="s">
        <v>5646</v>
      </c>
      <c r="H2000" s="11" t="s">
        <v>5706</v>
      </c>
      <c r="I2000" s="11" t="s">
        <v>5552</v>
      </c>
    </row>
    <row r="2001" spans="1:9" x14ac:dyDescent="0.15">
      <c r="A2001" s="10">
        <v>2000</v>
      </c>
      <c r="B2001" s="11" t="s">
        <v>9</v>
      </c>
      <c r="C2001" s="11" t="s">
        <v>253</v>
      </c>
      <c r="D2001" s="11" t="s">
        <v>254</v>
      </c>
      <c r="E2001" s="9" t="str">
        <f>+HYPERLINK("http://trademark.i-assist.jp/data/china/image_1903th/79453235.pdf", "79453235")</f>
        <v>79453235</v>
      </c>
      <c r="F2001" s="11" t="s">
        <v>5707</v>
      </c>
      <c r="G2001" s="11" t="s">
        <v>5708</v>
      </c>
      <c r="H2001" s="11" t="s">
        <v>5709</v>
      </c>
      <c r="I2001" s="11" t="s">
        <v>5552</v>
      </c>
    </row>
    <row r="2002" spans="1:9" x14ac:dyDescent="0.15">
      <c r="A2002" s="10">
        <v>2001</v>
      </c>
      <c r="B2002" s="11" t="s">
        <v>9</v>
      </c>
      <c r="C2002" s="11" t="s">
        <v>253</v>
      </c>
      <c r="D2002" s="11" t="s">
        <v>254</v>
      </c>
      <c r="E2002" s="9" t="str">
        <f>+HYPERLINK("http://trademark.i-assist.jp/data/china/image_1903th/79453248.pdf", "79453248")</f>
        <v>79453248</v>
      </c>
      <c r="F2002" s="11" t="s">
        <v>5710</v>
      </c>
      <c r="G2002" s="11" t="s">
        <v>222</v>
      </c>
      <c r="H2002" s="11" t="s">
        <v>5711</v>
      </c>
      <c r="I2002" s="11" t="s">
        <v>5552</v>
      </c>
    </row>
    <row r="2003" spans="1:9" x14ac:dyDescent="0.15">
      <c r="A2003" s="10">
        <v>2002</v>
      </c>
      <c r="B2003" s="11" t="s">
        <v>9</v>
      </c>
      <c r="C2003" s="11" t="s">
        <v>253</v>
      </c>
      <c r="D2003" s="11" t="s">
        <v>254</v>
      </c>
      <c r="E2003" s="9" t="str">
        <f>+HYPERLINK("http://trademark.i-assist.jp/data/china/image_1903th/79453450.pdf", "79453450")</f>
        <v>79453450</v>
      </c>
      <c r="F2003" s="11" t="s">
        <v>5712</v>
      </c>
      <c r="G2003" s="11" t="s">
        <v>5700</v>
      </c>
      <c r="H2003" s="11" t="s">
        <v>5713</v>
      </c>
      <c r="I2003" s="11" t="s">
        <v>5552</v>
      </c>
    </row>
    <row r="2004" spans="1:9" x14ac:dyDescent="0.15">
      <c r="A2004" s="10">
        <v>2003</v>
      </c>
      <c r="B2004" s="11" t="s">
        <v>9</v>
      </c>
      <c r="C2004" s="11" t="s">
        <v>253</v>
      </c>
      <c r="D2004" s="11" t="s">
        <v>254</v>
      </c>
      <c r="E2004" s="9" t="str">
        <f>+HYPERLINK("http://trademark.i-assist.jp/data/china/image_1903th/79453597.pdf", "79453597")</f>
        <v>79453597</v>
      </c>
      <c r="F2004" s="11" t="s">
        <v>5714</v>
      </c>
      <c r="G2004" s="11" t="s">
        <v>5715</v>
      </c>
      <c r="H2004" s="11" t="s">
        <v>5716</v>
      </c>
      <c r="I2004" s="11" t="s">
        <v>5552</v>
      </c>
    </row>
    <row r="2005" spans="1:9" x14ac:dyDescent="0.15">
      <c r="A2005" s="10">
        <v>2004</v>
      </c>
      <c r="B2005" s="11" t="s">
        <v>9</v>
      </c>
      <c r="C2005" s="11" t="s">
        <v>253</v>
      </c>
      <c r="D2005" s="11" t="s">
        <v>254</v>
      </c>
      <c r="E2005" s="9" t="str">
        <f>+HYPERLINK("http://trademark.i-assist.jp/data/china/image_1903th/79453605.pdf", "79453605")</f>
        <v>79453605</v>
      </c>
      <c r="F2005" s="11" t="s">
        <v>5717</v>
      </c>
      <c r="G2005" s="11" t="s">
        <v>5668</v>
      </c>
      <c r="H2005" s="11" t="s">
        <v>5718</v>
      </c>
      <c r="I2005" s="11" t="s">
        <v>5552</v>
      </c>
    </row>
    <row r="2006" spans="1:9" x14ac:dyDescent="0.15">
      <c r="A2006" s="10">
        <v>2005</v>
      </c>
      <c r="B2006" s="11" t="s">
        <v>9</v>
      </c>
      <c r="C2006" s="11" t="s">
        <v>253</v>
      </c>
      <c r="D2006" s="11" t="s">
        <v>254</v>
      </c>
      <c r="E2006" s="9" t="str">
        <f>+HYPERLINK("http://trademark.i-assist.jp/data/china/image_1903th/79453638.pdf", "79453638")</f>
        <v>79453638</v>
      </c>
      <c r="F2006" s="11" t="s">
        <v>5719</v>
      </c>
      <c r="G2006" s="11" t="s">
        <v>5720</v>
      </c>
      <c r="H2006" s="11" t="s">
        <v>5721</v>
      </c>
      <c r="I2006" s="11" t="s">
        <v>5552</v>
      </c>
    </row>
    <row r="2007" spans="1:9" x14ac:dyDescent="0.15">
      <c r="A2007" s="10">
        <v>2006</v>
      </c>
      <c r="B2007" s="11" t="s">
        <v>9</v>
      </c>
      <c r="C2007" s="11" t="s">
        <v>253</v>
      </c>
      <c r="D2007" s="11" t="s">
        <v>254</v>
      </c>
      <c r="E2007" s="9" t="str">
        <f>+HYPERLINK("http://trademark.i-assist.jp/data/china/image_1903th/79453760.pdf", "79453760")</f>
        <v>79453760</v>
      </c>
      <c r="F2007" s="11" t="s">
        <v>12</v>
      </c>
      <c r="G2007" s="11" t="s">
        <v>5722</v>
      </c>
      <c r="H2007" s="11" t="s">
        <v>5723</v>
      </c>
      <c r="I2007" s="11" t="s">
        <v>5552</v>
      </c>
    </row>
    <row r="2008" spans="1:9" x14ac:dyDescent="0.15">
      <c r="A2008" s="10">
        <v>2007</v>
      </c>
      <c r="B2008" s="11" t="s">
        <v>9</v>
      </c>
      <c r="C2008" s="11" t="s">
        <v>253</v>
      </c>
      <c r="D2008" s="11" t="s">
        <v>254</v>
      </c>
      <c r="E2008" s="9" t="str">
        <f>+HYPERLINK("http://trademark.i-assist.jp/data/china/image_1903th/79454077.pdf", "79454077")</f>
        <v>79454077</v>
      </c>
      <c r="F2008" s="11" t="s">
        <v>5724</v>
      </c>
      <c r="G2008" s="11" t="s">
        <v>5646</v>
      </c>
      <c r="H2008" s="11" t="s">
        <v>5725</v>
      </c>
      <c r="I2008" s="11" t="s">
        <v>5552</v>
      </c>
    </row>
    <row r="2009" spans="1:9" x14ac:dyDescent="0.15">
      <c r="A2009" s="10">
        <v>2008</v>
      </c>
      <c r="B2009" s="11" t="s">
        <v>9</v>
      </c>
      <c r="C2009" s="11" t="s">
        <v>253</v>
      </c>
      <c r="D2009" s="11" t="s">
        <v>254</v>
      </c>
      <c r="E2009" s="9" t="str">
        <f>+HYPERLINK("http://trademark.i-assist.jp/data/china/image_1903th/79454454.pdf", "79454454")</f>
        <v>79454454</v>
      </c>
      <c r="F2009" s="11" t="s">
        <v>5726</v>
      </c>
      <c r="G2009" s="11" t="s">
        <v>5727</v>
      </c>
      <c r="H2009" s="11" t="s">
        <v>5728</v>
      </c>
      <c r="I2009" s="11" t="s">
        <v>5552</v>
      </c>
    </row>
    <row r="2010" spans="1:9" x14ac:dyDescent="0.15">
      <c r="A2010" s="10">
        <v>2009</v>
      </c>
      <c r="B2010" s="11" t="s">
        <v>9</v>
      </c>
      <c r="C2010" s="11" t="s">
        <v>253</v>
      </c>
      <c r="D2010" s="11" t="s">
        <v>254</v>
      </c>
      <c r="E2010" s="9" t="str">
        <f>+HYPERLINK("http://trademark.i-assist.jp/data/china/image_1903th/79454985.pdf", "79454985")</f>
        <v>79454985</v>
      </c>
      <c r="F2010" s="11" t="s">
        <v>5729</v>
      </c>
      <c r="G2010" s="11" t="s">
        <v>5730</v>
      </c>
      <c r="H2010" s="11" t="s">
        <v>5731</v>
      </c>
      <c r="I2010" s="11" t="s">
        <v>5552</v>
      </c>
    </row>
    <row r="2011" spans="1:9" x14ac:dyDescent="0.15">
      <c r="A2011" s="10">
        <v>2010</v>
      </c>
      <c r="B2011" s="11" t="s">
        <v>9</v>
      </c>
      <c r="C2011" s="11" t="s">
        <v>253</v>
      </c>
      <c r="D2011" s="11" t="s">
        <v>254</v>
      </c>
      <c r="E2011" s="9" t="str">
        <f>+HYPERLINK("http://trademark.i-assist.jp/data/china/image_1903th/79455135.pdf", "79455135")</f>
        <v>79455135</v>
      </c>
      <c r="F2011" s="11" t="s">
        <v>5732</v>
      </c>
      <c r="G2011" s="11" t="s">
        <v>63</v>
      </c>
      <c r="H2011" s="11" t="s">
        <v>5733</v>
      </c>
      <c r="I2011" s="11" t="s">
        <v>5552</v>
      </c>
    </row>
    <row r="2012" spans="1:9" x14ac:dyDescent="0.15">
      <c r="A2012" s="10">
        <v>2011</v>
      </c>
      <c r="B2012" s="11" t="s">
        <v>9</v>
      </c>
      <c r="C2012" s="11" t="s">
        <v>253</v>
      </c>
      <c r="D2012" s="11" t="s">
        <v>254</v>
      </c>
      <c r="E2012" s="9" t="str">
        <f>+HYPERLINK("http://trademark.i-assist.jp/data/china/image_1903th/79455156.pdf", "79455156")</f>
        <v>79455156</v>
      </c>
      <c r="F2012" s="11" t="s">
        <v>5734</v>
      </c>
      <c r="G2012" s="11" t="s">
        <v>5735</v>
      </c>
      <c r="H2012" s="11" t="s">
        <v>5736</v>
      </c>
      <c r="I2012" s="11" t="s">
        <v>5552</v>
      </c>
    </row>
    <row r="2013" spans="1:9" x14ac:dyDescent="0.15">
      <c r="A2013" s="10">
        <v>2012</v>
      </c>
      <c r="B2013" s="11" t="s">
        <v>9</v>
      </c>
      <c r="C2013" s="11" t="s">
        <v>253</v>
      </c>
      <c r="D2013" s="11" t="s">
        <v>254</v>
      </c>
      <c r="E2013" s="9" t="str">
        <f>+HYPERLINK("http://trademark.i-assist.jp/data/china/image_1903th/79455272.pdf", "79455272")</f>
        <v>79455272</v>
      </c>
      <c r="F2013" s="11" t="s">
        <v>5737</v>
      </c>
      <c r="G2013" s="11" t="s">
        <v>5618</v>
      </c>
      <c r="H2013" s="11" t="s">
        <v>5738</v>
      </c>
      <c r="I2013" s="11" t="s">
        <v>5552</v>
      </c>
    </row>
    <row r="2014" spans="1:9" x14ac:dyDescent="0.15">
      <c r="A2014" s="10">
        <v>2013</v>
      </c>
      <c r="B2014" s="11" t="s">
        <v>9</v>
      </c>
      <c r="C2014" s="11" t="s">
        <v>253</v>
      </c>
      <c r="D2014" s="11" t="s">
        <v>254</v>
      </c>
      <c r="E2014" s="9" t="str">
        <f>+HYPERLINK("http://trademark.i-assist.jp/data/china/image_1903th/79455782.pdf", "79455782")</f>
        <v>79455782</v>
      </c>
      <c r="F2014" s="11" t="s">
        <v>5739</v>
      </c>
      <c r="G2014" s="11" t="s">
        <v>5740</v>
      </c>
      <c r="H2014" s="11" t="s">
        <v>5741</v>
      </c>
      <c r="I2014" s="11" t="s">
        <v>5552</v>
      </c>
    </row>
    <row r="2015" spans="1:9" x14ac:dyDescent="0.15">
      <c r="A2015" s="10">
        <v>2014</v>
      </c>
      <c r="B2015" s="11" t="s">
        <v>9</v>
      </c>
      <c r="C2015" s="11" t="s">
        <v>253</v>
      </c>
      <c r="D2015" s="11" t="s">
        <v>254</v>
      </c>
      <c r="E2015" s="9" t="str">
        <f>+HYPERLINK("http://trademark.i-assist.jp/data/china/image_1903th/79455853.pdf", "79455853")</f>
        <v>79455853</v>
      </c>
      <c r="F2015" s="11" t="s">
        <v>5742</v>
      </c>
      <c r="G2015" s="11" t="s">
        <v>5743</v>
      </c>
      <c r="H2015" s="11" t="s">
        <v>5744</v>
      </c>
      <c r="I2015" s="11" t="s">
        <v>5552</v>
      </c>
    </row>
    <row r="2016" spans="1:9" x14ac:dyDescent="0.15">
      <c r="A2016" s="10">
        <v>2015</v>
      </c>
      <c r="B2016" s="11" t="s">
        <v>9</v>
      </c>
      <c r="C2016" s="11" t="s">
        <v>253</v>
      </c>
      <c r="D2016" s="11" t="s">
        <v>254</v>
      </c>
      <c r="E2016" s="9" t="str">
        <f>+HYPERLINK("http://trademark.i-assist.jp/data/china/image_1903th/79455862.pdf", "79455862")</f>
        <v>79455862</v>
      </c>
      <c r="F2016" s="11" t="s">
        <v>5745</v>
      </c>
      <c r="G2016" s="11" t="s">
        <v>5743</v>
      </c>
      <c r="H2016" s="11" t="s">
        <v>5746</v>
      </c>
      <c r="I2016" s="11" t="s">
        <v>5552</v>
      </c>
    </row>
    <row r="2017" spans="1:9" x14ac:dyDescent="0.15">
      <c r="A2017" s="10">
        <v>2016</v>
      </c>
      <c r="B2017" s="11" t="s">
        <v>9</v>
      </c>
      <c r="C2017" s="11" t="s">
        <v>253</v>
      </c>
      <c r="D2017" s="11" t="s">
        <v>254</v>
      </c>
      <c r="E2017" s="9" t="str">
        <f>+HYPERLINK("http://trademark.i-assist.jp/data/china/image_1903th/79456028.pdf", "79456028")</f>
        <v>79456028</v>
      </c>
      <c r="F2017" s="11" t="s">
        <v>5747</v>
      </c>
      <c r="G2017" s="11" t="s">
        <v>5748</v>
      </c>
      <c r="H2017" s="11" t="s">
        <v>5749</v>
      </c>
      <c r="I2017" s="11" t="s">
        <v>5552</v>
      </c>
    </row>
    <row r="2018" spans="1:9" x14ac:dyDescent="0.15">
      <c r="A2018" s="10">
        <v>2017</v>
      </c>
      <c r="B2018" s="11" t="s">
        <v>9</v>
      </c>
      <c r="C2018" s="11" t="s">
        <v>253</v>
      </c>
      <c r="D2018" s="11" t="s">
        <v>254</v>
      </c>
      <c r="E2018" s="9" t="str">
        <f>+HYPERLINK("http://trademark.i-assist.jp/data/china/image_1903th/79456091.pdf", "79456091")</f>
        <v>79456091</v>
      </c>
      <c r="F2018" s="11" t="s">
        <v>5750</v>
      </c>
      <c r="G2018" s="11" t="s">
        <v>5751</v>
      </c>
      <c r="H2018" s="11" t="s">
        <v>5752</v>
      </c>
      <c r="I2018" s="11" t="s">
        <v>5552</v>
      </c>
    </row>
    <row r="2019" spans="1:9" x14ac:dyDescent="0.15">
      <c r="A2019" s="10">
        <v>2018</v>
      </c>
      <c r="B2019" s="11" t="s">
        <v>9</v>
      </c>
      <c r="C2019" s="11" t="s">
        <v>253</v>
      </c>
      <c r="D2019" s="11" t="s">
        <v>254</v>
      </c>
      <c r="E2019" s="9" t="str">
        <f>+HYPERLINK("http://trademark.i-assist.jp/data/china/image_1903th/79456460.pdf", "79456460")</f>
        <v>79456460</v>
      </c>
      <c r="F2019" s="11" t="s">
        <v>12</v>
      </c>
      <c r="G2019" s="11" t="s">
        <v>5753</v>
      </c>
      <c r="H2019" s="11" t="s">
        <v>5754</v>
      </c>
      <c r="I2019" s="11" t="s">
        <v>5552</v>
      </c>
    </row>
    <row r="2020" spans="1:9" x14ac:dyDescent="0.15">
      <c r="A2020" s="10">
        <v>2019</v>
      </c>
      <c r="B2020" s="11" t="s">
        <v>9</v>
      </c>
      <c r="C2020" s="11" t="s">
        <v>253</v>
      </c>
      <c r="D2020" s="11" t="s">
        <v>254</v>
      </c>
      <c r="E2020" s="9" t="str">
        <f>+HYPERLINK("http://trademark.i-assist.jp/data/china/image_1903th/79456564.pdf", "79456564")</f>
        <v>79456564</v>
      </c>
      <c r="F2020" s="11" t="s">
        <v>5755</v>
      </c>
      <c r="G2020" s="11" t="s">
        <v>5636</v>
      </c>
      <c r="H2020" s="11" t="s">
        <v>5756</v>
      </c>
      <c r="I2020" s="11" t="s">
        <v>5552</v>
      </c>
    </row>
    <row r="2021" spans="1:9" x14ac:dyDescent="0.15">
      <c r="A2021" s="10">
        <v>2020</v>
      </c>
      <c r="B2021" s="11" t="s">
        <v>9</v>
      </c>
      <c r="C2021" s="11" t="s">
        <v>253</v>
      </c>
      <c r="D2021" s="11" t="s">
        <v>254</v>
      </c>
      <c r="E2021" s="9" t="str">
        <f>+HYPERLINK("http://trademark.i-assist.jp/data/china/image_1903th/79456929.pdf", "79456929")</f>
        <v>79456929</v>
      </c>
      <c r="F2021" s="11" t="s">
        <v>5757</v>
      </c>
      <c r="G2021" s="11" t="s">
        <v>5758</v>
      </c>
      <c r="H2021" s="11" t="s">
        <v>5759</v>
      </c>
      <c r="I2021" s="11" t="s">
        <v>5552</v>
      </c>
    </row>
    <row r="2022" spans="1:9" x14ac:dyDescent="0.15">
      <c r="A2022" s="10">
        <v>2021</v>
      </c>
      <c r="B2022" s="11" t="s">
        <v>9</v>
      </c>
      <c r="C2022" s="11" t="s">
        <v>253</v>
      </c>
      <c r="D2022" s="11" t="s">
        <v>254</v>
      </c>
      <c r="E2022" s="9" t="str">
        <f>+HYPERLINK("http://trademark.i-assist.jp/data/china/image_1903th/79457235.pdf", "79457235")</f>
        <v>79457235</v>
      </c>
      <c r="F2022" s="11" t="s">
        <v>5760</v>
      </c>
      <c r="G2022" s="11" t="s">
        <v>4890</v>
      </c>
      <c r="H2022" s="11" t="s">
        <v>5761</v>
      </c>
      <c r="I2022" s="11" t="s">
        <v>5552</v>
      </c>
    </row>
    <row r="2023" spans="1:9" x14ac:dyDescent="0.15">
      <c r="A2023" s="10">
        <v>2022</v>
      </c>
      <c r="B2023" s="11" t="s">
        <v>9</v>
      </c>
      <c r="C2023" s="11" t="s">
        <v>253</v>
      </c>
      <c r="D2023" s="11" t="s">
        <v>254</v>
      </c>
      <c r="E2023" s="9" t="str">
        <f>+HYPERLINK("http://trademark.i-assist.jp/data/china/image_1903th/79457327.pdf", "79457327")</f>
        <v>79457327</v>
      </c>
      <c r="F2023" s="11" t="s">
        <v>5762</v>
      </c>
      <c r="G2023" s="11" t="s">
        <v>190</v>
      </c>
      <c r="H2023" s="11" t="s">
        <v>5763</v>
      </c>
      <c r="I2023" s="11" t="s">
        <v>5552</v>
      </c>
    </row>
    <row r="2024" spans="1:9" x14ac:dyDescent="0.15">
      <c r="A2024" s="10">
        <v>2023</v>
      </c>
      <c r="B2024" s="11" t="s">
        <v>9</v>
      </c>
      <c r="C2024" s="11" t="s">
        <v>253</v>
      </c>
      <c r="D2024" s="11" t="s">
        <v>254</v>
      </c>
      <c r="E2024" s="9" t="str">
        <f>+HYPERLINK("http://trademark.i-assist.jp/data/china/image_1903th/79457604.pdf", "79457604")</f>
        <v>79457604</v>
      </c>
      <c r="F2024" s="11" t="s">
        <v>5764</v>
      </c>
      <c r="G2024" s="11" t="s">
        <v>5765</v>
      </c>
      <c r="H2024" s="11" t="s">
        <v>5766</v>
      </c>
      <c r="I2024" s="11" t="s">
        <v>5552</v>
      </c>
    </row>
    <row r="2025" spans="1:9" x14ac:dyDescent="0.15">
      <c r="A2025" s="10">
        <v>2024</v>
      </c>
      <c r="B2025" s="11" t="s">
        <v>9</v>
      </c>
      <c r="C2025" s="11" t="s">
        <v>253</v>
      </c>
      <c r="D2025" s="11" t="s">
        <v>254</v>
      </c>
      <c r="E2025" s="9" t="str">
        <f>+HYPERLINK("http://trademark.i-assist.jp/data/china/image_1903th/79457768.pdf", "79457768")</f>
        <v>79457768</v>
      </c>
      <c r="F2025" s="11" t="s">
        <v>5767</v>
      </c>
      <c r="G2025" s="11" t="s">
        <v>109</v>
      </c>
      <c r="H2025" s="11" t="s">
        <v>5768</v>
      </c>
      <c r="I2025" s="11" t="s">
        <v>5552</v>
      </c>
    </row>
    <row r="2026" spans="1:9" x14ac:dyDescent="0.15">
      <c r="A2026" s="10">
        <v>2025</v>
      </c>
      <c r="B2026" s="11" t="s">
        <v>9</v>
      </c>
      <c r="C2026" s="11" t="s">
        <v>253</v>
      </c>
      <c r="D2026" s="11" t="s">
        <v>254</v>
      </c>
      <c r="E2026" s="9" t="str">
        <f>+HYPERLINK("http://trademark.i-assist.jp/data/china/image_1903th/79457848.pdf", "79457848")</f>
        <v>79457848</v>
      </c>
      <c r="F2026" s="11" t="s">
        <v>5769</v>
      </c>
      <c r="G2026" s="11" t="s">
        <v>5708</v>
      </c>
      <c r="H2026" s="11" t="s">
        <v>5770</v>
      </c>
      <c r="I2026" s="11" t="s">
        <v>5552</v>
      </c>
    </row>
    <row r="2027" spans="1:9" x14ac:dyDescent="0.15">
      <c r="A2027" s="10">
        <v>2026</v>
      </c>
      <c r="B2027" s="11" t="s">
        <v>9</v>
      </c>
      <c r="C2027" s="11" t="s">
        <v>253</v>
      </c>
      <c r="D2027" s="11" t="s">
        <v>254</v>
      </c>
      <c r="E2027" s="9" t="str">
        <f>+HYPERLINK("http://trademark.i-assist.jp/data/china/image_1903th/79458320.pdf", "79458320")</f>
        <v>79458320</v>
      </c>
      <c r="F2027" s="11" t="s">
        <v>5771</v>
      </c>
      <c r="G2027" s="11" t="s">
        <v>5772</v>
      </c>
      <c r="H2027" s="11" t="s">
        <v>5773</v>
      </c>
      <c r="I2027" s="11" t="s">
        <v>5552</v>
      </c>
    </row>
    <row r="2028" spans="1:9" x14ac:dyDescent="0.15">
      <c r="A2028" s="10">
        <v>2027</v>
      </c>
      <c r="B2028" s="11" t="s">
        <v>9</v>
      </c>
      <c r="C2028" s="11" t="s">
        <v>253</v>
      </c>
      <c r="D2028" s="11" t="s">
        <v>254</v>
      </c>
      <c r="E2028" s="9" t="str">
        <f>+HYPERLINK("http://trademark.i-assist.jp/data/china/image_1903th/79458336.pdf", "79458336")</f>
        <v>79458336</v>
      </c>
      <c r="F2028" s="11" t="s">
        <v>5774</v>
      </c>
      <c r="G2028" s="11" t="s">
        <v>5586</v>
      </c>
      <c r="H2028" s="11" t="s">
        <v>5775</v>
      </c>
      <c r="I2028" s="11" t="s">
        <v>5552</v>
      </c>
    </row>
    <row r="2029" spans="1:9" x14ac:dyDescent="0.15">
      <c r="A2029" s="10">
        <v>2028</v>
      </c>
      <c r="B2029" s="11" t="s">
        <v>9</v>
      </c>
      <c r="C2029" s="11" t="s">
        <v>253</v>
      </c>
      <c r="D2029" s="11" t="s">
        <v>254</v>
      </c>
      <c r="E2029" s="9" t="str">
        <f>+HYPERLINK("http://trademark.i-assist.jp/data/china/image_1903th/79458568.pdf", "79458568")</f>
        <v>79458568</v>
      </c>
      <c r="F2029" s="11" t="s">
        <v>12</v>
      </c>
      <c r="G2029" s="11" t="s">
        <v>5776</v>
      </c>
      <c r="H2029" s="11" t="s">
        <v>5777</v>
      </c>
      <c r="I2029" s="11" t="s">
        <v>5552</v>
      </c>
    </row>
    <row r="2030" spans="1:9" x14ac:dyDescent="0.15">
      <c r="A2030" s="10">
        <v>2029</v>
      </c>
      <c r="B2030" s="11" t="s">
        <v>9</v>
      </c>
      <c r="C2030" s="11" t="s">
        <v>253</v>
      </c>
      <c r="D2030" s="11" t="s">
        <v>254</v>
      </c>
      <c r="E2030" s="9" t="str">
        <f>+HYPERLINK("http://trademark.i-assist.jp/data/china/image_1903th/79458817.pdf", "79458817")</f>
        <v>79458817</v>
      </c>
      <c r="F2030" s="11" t="s">
        <v>5778</v>
      </c>
      <c r="G2030" s="11" t="s">
        <v>5779</v>
      </c>
      <c r="H2030" s="11" t="s">
        <v>5780</v>
      </c>
      <c r="I2030" s="11" t="s">
        <v>5552</v>
      </c>
    </row>
    <row r="2031" spans="1:9" x14ac:dyDescent="0.15">
      <c r="A2031" s="10">
        <v>2030</v>
      </c>
      <c r="B2031" s="11" t="s">
        <v>9</v>
      </c>
      <c r="C2031" s="11" t="s">
        <v>253</v>
      </c>
      <c r="D2031" s="11" t="s">
        <v>254</v>
      </c>
      <c r="E2031" s="9" t="str">
        <f>+HYPERLINK("http://trademark.i-assist.jp/data/china/image_1903th/79458876.pdf", "79458876")</f>
        <v>79458876</v>
      </c>
      <c r="F2031" s="11" t="s">
        <v>5781</v>
      </c>
      <c r="G2031" s="11" t="s">
        <v>4890</v>
      </c>
      <c r="H2031" s="11" t="s">
        <v>5782</v>
      </c>
      <c r="I2031" s="11" t="s">
        <v>5552</v>
      </c>
    </row>
    <row r="2032" spans="1:9" x14ac:dyDescent="0.15">
      <c r="A2032" s="10">
        <v>2031</v>
      </c>
      <c r="B2032" s="11" t="s">
        <v>9</v>
      </c>
      <c r="C2032" s="11" t="s">
        <v>253</v>
      </c>
      <c r="D2032" s="11" t="s">
        <v>254</v>
      </c>
      <c r="E2032" s="9" t="str">
        <f>+HYPERLINK("http://trademark.i-assist.jp/data/china/image_1903th/79459284.pdf", "79459284")</f>
        <v>79459284</v>
      </c>
      <c r="F2032" s="11" t="s">
        <v>5783</v>
      </c>
      <c r="G2032" s="11" t="s">
        <v>5784</v>
      </c>
      <c r="H2032" s="11" t="s">
        <v>5785</v>
      </c>
      <c r="I2032" s="11" t="s">
        <v>5552</v>
      </c>
    </row>
    <row r="2033" spans="1:9" x14ac:dyDescent="0.15">
      <c r="A2033" s="10">
        <v>2032</v>
      </c>
      <c r="B2033" s="11" t="s">
        <v>9</v>
      </c>
      <c r="C2033" s="11" t="s">
        <v>253</v>
      </c>
      <c r="D2033" s="11" t="s">
        <v>254</v>
      </c>
      <c r="E2033" s="9" t="str">
        <f>+HYPERLINK("http://trademark.i-assist.jp/data/china/image_1903th/79459573.pdf", "79459573")</f>
        <v>79459573</v>
      </c>
      <c r="F2033" s="11" t="s">
        <v>5786</v>
      </c>
      <c r="G2033" s="11" t="s">
        <v>5787</v>
      </c>
      <c r="H2033" s="11" t="s">
        <v>5788</v>
      </c>
      <c r="I2033" s="11" t="s">
        <v>5552</v>
      </c>
    </row>
    <row r="2034" spans="1:9" x14ac:dyDescent="0.15">
      <c r="A2034" s="10">
        <v>2033</v>
      </c>
      <c r="B2034" s="11" t="s">
        <v>9</v>
      </c>
      <c r="C2034" s="11" t="s">
        <v>253</v>
      </c>
      <c r="D2034" s="11" t="s">
        <v>254</v>
      </c>
      <c r="E2034" s="9" t="str">
        <f>+HYPERLINK("http://trademark.i-assist.jp/data/china/image_1903th/79459720.pdf", "79459720")</f>
        <v>79459720</v>
      </c>
      <c r="F2034" s="11" t="s">
        <v>5789</v>
      </c>
      <c r="G2034" s="11" t="s">
        <v>5790</v>
      </c>
      <c r="H2034" s="11" t="s">
        <v>5791</v>
      </c>
      <c r="I2034" s="11" t="s">
        <v>5552</v>
      </c>
    </row>
    <row r="2035" spans="1:9" x14ac:dyDescent="0.15">
      <c r="A2035" s="10">
        <v>2034</v>
      </c>
      <c r="B2035" s="11" t="s">
        <v>9</v>
      </c>
      <c r="C2035" s="11" t="s">
        <v>253</v>
      </c>
      <c r="D2035" s="11" t="s">
        <v>254</v>
      </c>
      <c r="E2035" s="9" t="str">
        <f>+HYPERLINK("http://trademark.i-assist.jp/data/china/image_1903th/79459919.pdf", "79459919")</f>
        <v>79459919</v>
      </c>
      <c r="F2035" s="11" t="s">
        <v>5792</v>
      </c>
      <c r="G2035" s="11" t="s">
        <v>5793</v>
      </c>
      <c r="H2035" s="11" t="s">
        <v>5794</v>
      </c>
      <c r="I2035" s="11" t="s">
        <v>5552</v>
      </c>
    </row>
    <row r="2036" spans="1:9" x14ac:dyDescent="0.15">
      <c r="A2036" s="10">
        <v>2035</v>
      </c>
      <c r="B2036" s="11" t="s">
        <v>9</v>
      </c>
      <c r="C2036" s="11" t="s">
        <v>253</v>
      </c>
      <c r="D2036" s="11" t="s">
        <v>254</v>
      </c>
      <c r="E2036" s="9" t="str">
        <f>+HYPERLINK("http://trademark.i-assist.jp/data/china/image_1903th/79460367.pdf", "79460367")</f>
        <v>79460367</v>
      </c>
      <c r="F2036" s="11" t="s">
        <v>5795</v>
      </c>
      <c r="G2036" s="11" t="s">
        <v>5796</v>
      </c>
      <c r="H2036" s="11" t="s">
        <v>5797</v>
      </c>
      <c r="I2036" s="11" t="s">
        <v>5552</v>
      </c>
    </row>
    <row r="2037" spans="1:9" x14ac:dyDescent="0.15">
      <c r="A2037" s="10">
        <v>2036</v>
      </c>
      <c r="B2037" s="11" t="s">
        <v>9</v>
      </c>
      <c r="C2037" s="11" t="s">
        <v>253</v>
      </c>
      <c r="D2037" s="11" t="s">
        <v>254</v>
      </c>
      <c r="E2037" s="9" t="str">
        <f>+HYPERLINK("http://trademark.i-assist.jp/data/china/image_1903th/79460541.pdf", "79460541")</f>
        <v>79460541</v>
      </c>
      <c r="F2037" s="11" t="s">
        <v>5798</v>
      </c>
      <c r="G2037" s="11" t="s">
        <v>5799</v>
      </c>
      <c r="H2037" s="11" t="s">
        <v>5800</v>
      </c>
      <c r="I2037" s="11" t="s">
        <v>5552</v>
      </c>
    </row>
    <row r="2038" spans="1:9" x14ac:dyDescent="0.15">
      <c r="A2038" s="10">
        <v>2037</v>
      </c>
      <c r="B2038" s="11" t="s">
        <v>9</v>
      </c>
      <c r="C2038" s="11" t="s">
        <v>253</v>
      </c>
      <c r="D2038" s="11" t="s">
        <v>254</v>
      </c>
      <c r="E2038" s="9" t="str">
        <f>+HYPERLINK("http://trademark.i-assist.jp/data/china/image_1903th/79461022.pdf", "79461022")</f>
        <v>79461022</v>
      </c>
      <c r="F2038" s="11" t="s">
        <v>5801</v>
      </c>
      <c r="G2038" s="11" t="s">
        <v>5802</v>
      </c>
      <c r="H2038" s="11" t="s">
        <v>5803</v>
      </c>
      <c r="I2038" s="11" t="s">
        <v>5552</v>
      </c>
    </row>
    <row r="2039" spans="1:9" x14ac:dyDescent="0.15">
      <c r="A2039" s="10">
        <v>2038</v>
      </c>
      <c r="B2039" s="11" t="s">
        <v>9</v>
      </c>
      <c r="C2039" s="11" t="s">
        <v>253</v>
      </c>
      <c r="D2039" s="11" t="s">
        <v>254</v>
      </c>
      <c r="E2039" s="9" t="str">
        <f>+HYPERLINK("http://trademark.i-assist.jp/data/china/image_1903th/79461109.pdf", "79461109")</f>
        <v>79461109</v>
      </c>
      <c r="F2039" s="11" t="s">
        <v>5804</v>
      </c>
      <c r="G2039" s="11" t="s">
        <v>5805</v>
      </c>
      <c r="H2039" s="11" t="s">
        <v>5806</v>
      </c>
      <c r="I2039" s="11" t="s">
        <v>5552</v>
      </c>
    </row>
    <row r="2040" spans="1:9" x14ac:dyDescent="0.15">
      <c r="A2040" s="10">
        <v>2039</v>
      </c>
      <c r="B2040" s="11" t="s">
        <v>9</v>
      </c>
      <c r="C2040" s="11" t="s">
        <v>253</v>
      </c>
      <c r="D2040" s="11" t="s">
        <v>254</v>
      </c>
      <c r="E2040" s="9" t="str">
        <f>+HYPERLINK("http://trademark.i-assist.jp/data/china/image_1903th/79461134.pdf", "79461134")</f>
        <v>79461134</v>
      </c>
      <c r="F2040" s="11" t="s">
        <v>5807</v>
      </c>
      <c r="G2040" s="11" t="s">
        <v>5708</v>
      </c>
      <c r="H2040" s="11" t="s">
        <v>5808</v>
      </c>
      <c r="I2040" s="11" t="s">
        <v>5552</v>
      </c>
    </row>
    <row r="2041" spans="1:9" x14ac:dyDescent="0.15">
      <c r="A2041" s="10">
        <v>2040</v>
      </c>
      <c r="B2041" s="11" t="s">
        <v>9</v>
      </c>
      <c r="C2041" s="11" t="s">
        <v>253</v>
      </c>
      <c r="D2041" s="11" t="s">
        <v>254</v>
      </c>
      <c r="E2041" s="9" t="str">
        <f>+HYPERLINK("http://trademark.i-assist.jp/data/china/image_1903th/79461436.pdf", "79461436")</f>
        <v>79461436</v>
      </c>
      <c r="F2041" s="11" t="s">
        <v>5809</v>
      </c>
      <c r="G2041" s="11" t="s">
        <v>5810</v>
      </c>
      <c r="H2041" s="11" t="s">
        <v>5811</v>
      </c>
      <c r="I2041" s="11" t="s">
        <v>5552</v>
      </c>
    </row>
    <row r="2042" spans="1:9" x14ac:dyDescent="0.15">
      <c r="A2042" s="10">
        <v>2041</v>
      </c>
      <c r="B2042" s="11" t="s">
        <v>9</v>
      </c>
      <c r="C2042" s="11" t="s">
        <v>253</v>
      </c>
      <c r="D2042" s="11" t="s">
        <v>254</v>
      </c>
      <c r="E2042" s="9" t="str">
        <f>+HYPERLINK("http://trademark.i-assist.jp/data/china/image_1903th/79461532.pdf", "79461532")</f>
        <v>79461532</v>
      </c>
      <c r="F2042" s="11" t="s">
        <v>5812</v>
      </c>
      <c r="G2042" s="11" t="s">
        <v>5703</v>
      </c>
      <c r="H2042" s="11" t="s">
        <v>5813</v>
      </c>
      <c r="I2042" s="11" t="s">
        <v>5552</v>
      </c>
    </row>
    <row r="2043" spans="1:9" x14ac:dyDescent="0.15">
      <c r="A2043" s="10">
        <v>2042</v>
      </c>
      <c r="B2043" s="11" t="s">
        <v>9</v>
      </c>
      <c r="C2043" s="11" t="s">
        <v>253</v>
      </c>
      <c r="D2043" s="11" t="s">
        <v>254</v>
      </c>
      <c r="E2043" s="9" t="str">
        <f>+HYPERLINK("http://trademark.i-assist.jp/data/china/image_1903th/79461599.pdf", "79461599")</f>
        <v>79461599</v>
      </c>
      <c r="F2043" s="11" t="s">
        <v>5814</v>
      </c>
      <c r="G2043" s="11" t="s">
        <v>5815</v>
      </c>
      <c r="H2043" s="11" t="s">
        <v>5816</v>
      </c>
      <c r="I2043" s="11" t="s">
        <v>5552</v>
      </c>
    </row>
    <row r="2044" spans="1:9" x14ac:dyDescent="0.15">
      <c r="A2044" s="10">
        <v>2043</v>
      </c>
      <c r="B2044" s="11" t="s">
        <v>9</v>
      </c>
      <c r="C2044" s="11" t="s">
        <v>253</v>
      </c>
      <c r="D2044" s="11" t="s">
        <v>254</v>
      </c>
      <c r="E2044" s="9" t="str">
        <f>+HYPERLINK("http://trademark.i-assist.jp/data/china/image_1903th/79461929.pdf", "79461929")</f>
        <v>79461929</v>
      </c>
      <c r="F2044" s="11" t="s">
        <v>5817</v>
      </c>
      <c r="G2044" s="11" t="s">
        <v>4890</v>
      </c>
      <c r="H2044" s="11" t="s">
        <v>5818</v>
      </c>
      <c r="I2044" s="11" t="s">
        <v>5552</v>
      </c>
    </row>
    <row r="2045" spans="1:9" x14ac:dyDescent="0.15">
      <c r="A2045" s="10">
        <v>2044</v>
      </c>
      <c r="B2045" s="11" t="s">
        <v>9</v>
      </c>
      <c r="C2045" s="11" t="s">
        <v>253</v>
      </c>
      <c r="D2045" s="11" t="s">
        <v>254</v>
      </c>
      <c r="E2045" s="9" t="str">
        <f>+HYPERLINK("http://trademark.i-assist.jp/data/china/image_1903th/79462154.pdf", "79462154")</f>
        <v>79462154</v>
      </c>
      <c r="F2045" s="11" t="s">
        <v>5819</v>
      </c>
      <c r="G2045" s="11" t="s">
        <v>5820</v>
      </c>
      <c r="H2045" s="11" t="s">
        <v>5821</v>
      </c>
      <c r="I2045" s="11" t="s">
        <v>5552</v>
      </c>
    </row>
    <row r="2046" spans="1:9" x14ac:dyDescent="0.15">
      <c r="A2046" s="10">
        <v>2045</v>
      </c>
      <c r="B2046" s="11" t="s">
        <v>9</v>
      </c>
      <c r="C2046" s="11" t="s">
        <v>253</v>
      </c>
      <c r="D2046" s="11" t="s">
        <v>254</v>
      </c>
      <c r="E2046" s="9" t="str">
        <f>+HYPERLINK("http://trademark.i-assist.jp/data/china/image_1903th/79462646.pdf", "79462646")</f>
        <v>79462646</v>
      </c>
      <c r="F2046" s="11" t="s">
        <v>5822</v>
      </c>
      <c r="G2046" s="11" t="s">
        <v>5605</v>
      </c>
      <c r="H2046" s="11" t="s">
        <v>5823</v>
      </c>
      <c r="I2046" s="11" t="s">
        <v>5552</v>
      </c>
    </row>
    <row r="2047" spans="1:9" x14ac:dyDescent="0.15">
      <c r="A2047" s="10">
        <v>2046</v>
      </c>
      <c r="B2047" s="11" t="s">
        <v>9</v>
      </c>
      <c r="C2047" s="11" t="s">
        <v>253</v>
      </c>
      <c r="D2047" s="11" t="s">
        <v>254</v>
      </c>
      <c r="E2047" s="9" t="str">
        <f>+HYPERLINK("http://trademark.i-assist.jp/data/china/image_1903th/79463235.pdf", "79463235")</f>
        <v>79463235</v>
      </c>
      <c r="F2047" s="11" t="s">
        <v>12</v>
      </c>
      <c r="G2047" s="11" t="s">
        <v>5824</v>
      </c>
      <c r="H2047" s="11" t="s">
        <v>5825</v>
      </c>
      <c r="I2047" s="11" t="s">
        <v>5552</v>
      </c>
    </row>
    <row r="2048" spans="1:9" x14ac:dyDescent="0.15">
      <c r="A2048" s="10">
        <v>2047</v>
      </c>
      <c r="B2048" s="11" t="s">
        <v>9</v>
      </c>
      <c r="C2048" s="11" t="s">
        <v>253</v>
      </c>
      <c r="D2048" s="11" t="s">
        <v>254</v>
      </c>
      <c r="E2048" s="9" t="str">
        <f>+HYPERLINK("http://trademark.i-assist.jp/data/china/image_1903th/79463474.pdf", "79463474")</f>
        <v>79463474</v>
      </c>
      <c r="F2048" s="11" t="s">
        <v>5826</v>
      </c>
      <c r="G2048" s="11" t="s">
        <v>5827</v>
      </c>
      <c r="H2048" s="11" t="s">
        <v>5828</v>
      </c>
      <c r="I2048" s="11" t="s">
        <v>5829</v>
      </c>
    </row>
    <row r="2049" spans="1:9" x14ac:dyDescent="0.15">
      <c r="A2049" s="10">
        <v>2048</v>
      </c>
      <c r="B2049" s="11" t="s">
        <v>9</v>
      </c>
      <c r="C2049" s="11" t="s">
        <v>253</v>
      </c>
      <c r="D2049" s="11" t="s">
        <v>254</v>
      </c>
      <c r="E2049" s="9" t="str">
        <f>+HYPERLINK("http://trademark.i-assist.jp/data/china/image_1903th/79463606.pdf", "79463606")</f>
        <v>79463606</v>
      </c>
      <c r="F2049" s="11" t="s">
        <v>5830</v>
      </c>
      <c r="G2049" s="11" t="s">
        <v>5831</v>
      </c>
      <c r="H2049" s="11" t="s">
        <v>5832</v>
      </c>
      <c r="I2049" s="11" t="s">
        <v>5829</v>
      </c>
    </row>
    <row r="2050" spans="1:9" x14ac:dyDescent="0.15">
      <c r="A2050" s="10">
        <v>2049</v>
      </c>
      <c r="B2050" s="11" t="s">
        <v>9</v>
      </c>
      <c r="C2050" s="11" t="s">
        <v>253</v>
      </c>
      <c r="D2050" s="11" t="s">
        <v>254</v>
      </c>
      <c r="E2050" s="9" t="str">
        <f>+HYPERLINK("http://trademark.i-assist.jp/data/china/image_1903th/79463659.pdf", "79463659")</f>
        <v>79463659</v>
      </c>
      <c r="F2050" s="11" t="s">
        <v>5833</v>
      </c>
      <c r="G2050" s="11" t="s">
        <v>2783</v>
      </c>
      <c r="H2050" s="11" t="s">
        <v>5834</v>
      </c>
      <c r="I2050" s="11" t="s">
        <v>5829</v>
      </c>
    </row>
    <row r="2051" spans="1:9" x14ac:dyDescent="0.15">
      <c r="A2051" s="10">
        <v>2050</v>
      </c>
      <c r="B2051" s="11" t="s">
        <v>9</v>
      </c>
      <c r="C2051" s="11" t="s">
        <v>253</v>
      </c>
      <c r="D2051" s="11" t="s">
        <v>254</v>
      </c>
      <c r="E2051" s="9" t="str">
        <f>+HYPERLINK("http://trademark.i-assist.jp/data/china/image_1903th/79463921.pdf", "79463921")</f>
        <v>79463921</v>
      </c>
      <c r="F2051" s="11" t="s">
        <v>5835</v>
      </c>
      <c r="G2051" s="11" t="s">
        <v>5836</v>
      </c>
      <c r="H2051" s="11" t="s">
        <v>5837</v>
      </c>
      <c r="I2051" s="11" t="s">
        <v>5829</v>
      </c>
    </row>
    <row r="2052" spans="1:9" x14ac:dyDescent="0.15">
      <c r="A2052" s="10">
        <v>2051</v>
      </c>
      <c r="B2052" s="11" t="s">
        <v>9</v>
      </c>
      <c r="C2052" s="11" t="s">
        <v>253</v>
      </c>
      <c r="D2052" s="11" t="s">
        <v>254</v>
      </c>
      <c r="E2052" s="9" t="str">
        <f>+HYPERLINK("http://trademark.i-assist.jp/data/china/image_1903th/79464050.pdf", "79464050")</f>
        <v>79464050</v>
      </c>
      <c r="F2052" s="11" t="s">
        <v>5838</v>
      </c>
      <c r="G2052" s="11" t="s">
        <v>5839</v>
      </c>
      <c r="H2052" s="11" t="s">
        <v>5840</v>
      </c>
      <c r="I2052" s="11" t="s">
        <v>5829</v>
      </c>
    </row>
    <row r="2053" spans="1:9" x14ac:dyDescent="0.15">
      <c r="A2053" s="10">
        <v>2052</v>
      </c>
      <c r="B2053" s="11" t="s">
        <v>9</v>
      </c>
      <c r="C2053" s="11" t="s">
        <v>253</v>
      </c>
      <c r="D2053" s="11" t="s">
        <v>254</v>
      </c>
      <c r="E2053" s="9" t="str">
        <f>+HYPERLINK("http://trademark.i-assist.jp/data/china/image_1903th/79464117.pdf", "79464117")</f>
        <v>79464117</v>
      </c>
      <c r="F2053" s="11" t="s">
        <v>5841</v>
      </c>
      <c r="G2053" s="11" t="s">
        <v>5842</v>
      </c>
      <c r="H2053" s="11" t="s">
        <v>5843</v>
      </c>
      <c r="I2053" s="11" t="s">
        <v>5829</v>
      </c>
    </row>
    <row r="2054" spans="1:9" x14ac:dyDescent="0.15">
      <c r="A2054" s="10">
        <v>2053</v>
      </c>
      <c r="B2054" s="11" t="s">
        <v>9</v>
      </c>
      <c r="C2054" s="11" t="s">
        <v>253</v>
      </c>
      <c r="D2054" s="11" t="s">
        <v>254</v>
      </c>
      <c r="E2054" s="9" t="str">
        <f>+HYPERLINK("http://trademark.i-assist.jp/data/china/image_1903th/79464182.pdf", "79464182")</f>
        <v>79464182</v>
      </c>
      <c r="F2054" s="11" t="s">
        <v>5844</v>
      </c>
      <c r="G2054" s="11" t="s">
        <v>5845</v>
      </c>
      <c r="H2054" s="11" t="s">
        <v>5846</v>
      </c>
      <c r="I2054" s="11" t="s">
        <v>5829</v>
      </c>
    </row>
    <row r="2055" spans="1:9" x14ac:dyDescent="0.15">
      <c r="A2055" s="10">
        <v>2054</v>
      </c>
      <c r="B2055" s="11" t="s">
        <v>9</v>
      </c>
      <c r="C2055" s="11" t="s">
        <v>253</v>
      </c>
      <c r="D2055" s="11" t="s">
        <v>254</v>
      </c>
      <c r="E2055" s="9" t="str">
        <f>+HYPERLINK("http://trademark.i-assist.jp/data/china/image_1903th/79464499.pdf", "79464499")</f>
        <v>79464499</v>
      </c>
      <c r="F2055" s="11" t="s">
        <v>5847</v>
      </c>
      <c r="G2055" s="11" t="s">
        <v>4519</v>
      </c>
      <c r="H2055" s="11" t="s">
        <v>5848</v>
      </c>
      <c r="I2055" s="11" t="s">
        <v>5829</v>
      </c>
    </row>
    <row r="2056" spans="1:9" x14ac:dyDescent="0.15">
      <c r="A2056" s="10">
        <v>2055</v>
      </c>
      <c r="B2056" s="11" t="s">
        <v>9</v>
      </c>
      <c r="C2056" s="11" t="s">
        <v>253</v>
      </c>
      <c r="D2056" s="11" t="s">
        <v>254</v>
      </c>
      <c r="E2056" s="9" t="str">
        <f>+HYPERLINK("http://trademark.i-assist.jp/data/china/image_1903th/79464510.pdf", "79464510")</f>
        <v>79464510</v>
      </c>
      <c r="F2056" s="11" t="s">
        <v>5849</v>
      </c>
      <c r="G2056" s="11" t="s">
        <v>5850</v>
      </c>
      <c r="H2056" s="11" t="s">
        <v>5851</v>
      </c>
      <c r="I2056" s="11" t="s">
        <v>5829</v>
      </c>
    </row>
    <row r="2057" spans="1:9" x14ac:dyDescent="0.15">
      <c r="A2057" s="10">
        <v>2056</v>
      </c>
      <c r="B2057" s="11" t="s">
        <v>9</v>
      </c>
      <c r="C2057" s="11" t="s">
        <v>253</v>
      </c>
      <c r="D2057" s="11" t="s">
        <v>254</v>
      </c>
      <c r="E2057" s="9" t="str">
        <f>+HYPERLINK("http://trademark.i-assist.jp/data/china/image_1903th/79464711.pdf", "79464711")</f>
        <v>79464711</v>
      </c>
      <c r="F2057" s="11" t="s">
        <v>5852</v>
      </c>
      <c r="G2057" s="11" t="s">
        <v>5233</v>
      </c>
      <c r="H2057" s="11" t="s">
        <v>5853</v>
      </c>
      <c r="I2057" s="11" t="s">
        <v>5829</v>
      </c>
    </row>
    <row r="2058" spans="1:9" x14ac:dyDescent="0.15">
      <c r="A2058" s="10">
        <v>2057</v>
      </c>
      <c r="B2058" s="11" t="s">
        <v>9</v>
      </c>
      <c r="C2058" s="11" t="s">
        <v>253</v>
      </c>
      <c r="D2058" s="11" t="s">
        <v>254</v>
      </c>
      <c r="E2058" s="9" t="str">
        <f>+HYPERLINK("http://trademark.i-assist.jp/data/china/image_1903th/79464721.pdf", "79464721")</f>
        <v>79464721</v>
      </c>
      <c r="F2058" s="11" t="s">
        <v>5854</v>
      </c>
      <c r="G2058" s="11" t="s">
        <v>5855</v>
      </c>
      <c r="H2058" s="11" t="s">
        <v>5856</v>
      </c>
      <c r="I2058" s="11" t="s">
        <v>5829</v>
      </c>
    </row>
    <row r="2059" spans="1:9" x14ac:dyDescent="0.15">
      <c r="A2059" s="10">
        <v>2058</v>
      </c>
      <c r="B2059" s="11" t="s">
        <v>9</v>
      </c>
      <c r="C2059" s="11" t="s">
        <v>253</v>
      </c>
      <c r="D2059" s="11" t="s">
        <v>254</v>
      </c>
      <c r="E2059" s="9" t="str">
        <f>+HYPERLINK("http://trademark.i-assist.jp/data/china/image_1903th/79464894.pdf", "79464894")</f>
        <v>79464894</v>
      </c>
      <c r="F2059" s="11" t="s">
        <v>5857</v>
      </c>
      <c r="G2059" s="11" t="s">
        <v>5858</v>
      </c>
      <c r="H2059" s="11" t="s">
        <v>5859</v>
      </c>
      <c r="I2059" s="11" t="s">
        <v>5829</v>
      </c>
    </row>
    <row r="2060" spans="1:9" x14ac:dyDescent="0.15">
      <c r="A2060" s="10">
        <v>2059</v>
      </c>
      <c r="B2060" s="11" t="s">
        <v>9</v>
      </c>
      <c r="C2060" s="11" t="s">
        <v>253</v>
      </c>
      <c r="D2060" s="11" t="s">
        <v>254</v>
      </c>
      <c r="E2060" s="9" t="str">
        <f>+HYPERLINK("http://trademark.i-assist.jp/data/china/image_1903th/79465014.pdf", "79465014")</f>
        <v>79465014</v>
      </c>
      <c r="F2060" s="11" t="s">
        <v>5860</v>
      </c>
      <c r="G2060" s="11" t="s">
        <v>5861</v>
      </c>
      <c r="H2060" s="11" t="s">
        <v>5862</v>
      </c>
      <c r="I2060" s="11" t="s">
        <v>5829</v>
      </c>
    </row>
    <row r="2061" spans="1:9" x14ac:dyDescent="0.15">
      <c r="A2061" s="10">
        <v>2060</v>
      </c>
      <c r="B2061" s="11" t="s">
        <v>9</v>
      </c>
      <c r="C2061" s="11" t="s">
        <v>253</v>
      </c>
      <c r="D2061" s="11" t="s">
        <v>254</v>
      </c>
      <c r="E2061" s="9" t="str">
        <f>+HYPERLINK("http://trademark.i-assist.jp/data/china/image_1903th/79465057.pdf", "79465057")</f>
        <v>79465057</v>
      </c>
      <c r="F2061" s="11" t="s">
        <v>5863</v>
      </c>
      <c r="G2061" s="11" t="s">
        <v>5864</v>
      </c>
      <c r="H2061" s="11" t="s">
        <v>5865</v>
      </c>
      <c r="I2061" s="11" t="s">
        <v>5829</v>
      </c>
    </row>
    <row r="2062" spans="1:9" x14ac:dyDescent="0.15">
      <c r="A2062" s="10">
        <v>2061</v>
      </c>
      <c r="B2062" s="11" t="s">
        <v>9</v>
      </c>
      <c r="C2062" s="11" t="s">
        <v>253</v>
      </c>
      <c r="D2062" s="11" t="s">
        <v>254</v>
      </c>
      <c r="E2062" s="9" t="str">
        <f>+HYPERLINK("http://trademark.i-assist.jp/data/china/image_1903th/79465407.pdf", "79465407")</f>
        <v>79465407</v>
      </c>
      <c r="F2062" s="11" t="s">
        <v>5866</v>
      </c>
      <c r="G2062" s="11" t="s">
        <v>5867</v>
      </c>
      <c r="H2062" s="11" t="s">
        <v>5868</v>
      </c>
      <c r="I2062" s="11" t="s">
        <v>5829</v>
      </c>
    </row>
    <row r="2063" spans="1:9" x14ac:dyDescent="0.15">
      <c r="A2063" s="10">
        <v>2062</v>
      </c>
      <c r="B2063" s="11" t="s">
        <v>9</v>
      </c>
      <c r="C2063" s="11" t="s">
        <v>253</v>
      </c>
      <c r="D2063" s="11" t="s">
        <v>254</v>
      </c>
      <c r="E2063" s="9" t="str">
        <f>+HYPERLINK("http://trademark.i-assist.jp/data/china/image_1903th/79465435.pdf", "79465435")</f>
        <v>79465435</v>
      </c>
      <c r="F2063" s="11" t="s">
        <v>5869</v>
      </c>
      <c r="G2063" s="11" t="s">
        <v>5870</v>
      </c>
      <c r="H2063" s="11" t="s">
        <v>5871</v>
      </c>
      <c r="I2063" s="11" t="s">
        <v>5829</v>
      </c>
    </row>
    <row r="2064" spans="1:9" x14ac:dyDescent="0.15">
      <c r="A2064" s="10">
        <v>2063</v>
      </c>
      <c r="B2064" s="11" t="s">
        <v>9</v>
      </c>
      <c r="C2064" s="11" t="s">
        <v>253</v>
      </c>
      <c r="D2064" s="11" t="s">
        <v>254</v>
      </c>
      <c r="E2064" s="9" t="str">
        <f>+HYPERLINK("http://trademark.i-assist.jp/data/china/image_1903th/79465514.pdf", "79465514")</f>
        <v>79465514</v>
      </c>
      <c r="F2064" s="11" t="s">
        <v>5872</v>
      </c>
      <c r="G2064" s="11" t="s">
        <v>5873</v>
      </c>
      <c r="H2064" s="11" t="s">
        <v>5874</v>
      </c>
      <c r="I2064" s="11" t="s">
        <v>5829</v>
      </c>
    </row>
    <row r="2065" spans="1:9" x14ac:dyDescent="0.15">
      <c r="A2065" s="10">
        <v>2064</v>
      </c>
      <c r="B2065" s="11" t="s">
        <v>9</v>
      </c>
      <c r="C2065" s="11" t="s">
        <v>253</v>
      </c>
      <c r="D2065" s="11" t="s">
        <v>254</v>
      </c>
      <c r="E2065" s="9" t="str">
        <f>+HYPERLINK("http://trademark.i-assist.jp/data/china/image_1903th/79465835.pdf", "79465835")</f>
        <v>79465835</v>
      </c>
      <c r="F2065" s="11" t="s">
        <v>5875</v>
      </c>
      <c r="G2065" s="11" t="s">
        <v>5876</v>
      </c>
      <c r="H2065" s="11" t="s">
        <v>5877</v>
      </c>
      <c r="I2065" s="11" t="s">
        <v>5829</v>
      </c>
    </row>
    <row r="2066" spans="1:9" x14ac:dyDescent="0.15">
      <c r="A2066" s="10">
        <v>2065</v>
      </c>
      <c r="B2066" s="11" t="s">
        <v>9</v>
      </c>
      <c r="C2066" s="11" t="s">
        <v>253</v>
      </c>
      <c r="D2066" s="11" t="s">
        <v>254</v>
      </c>
      <c r="E2066" s="9" t="str">
        <f>+HYPERLINK("http://trademark.i-assist.jp/data/china/image_1903th/79465837.pdf", "79465837")</f>
        <v>79465837</v>
      </c>
      <c r="F2066" s="11" t="s">
        <v>5878</v>
      </c>
      <c r="G2066" s="11" t="s">
        <v>1947</v>
      </c>
      <c r="H2066" s="11" t="s">
        <v>5879</v>
      </c>
      <c r="I2066" s="11" t="s">
        <v>5829</v>
      </c>
    </row>
    <row r="2067" spans="1:9" x14ac:dyDescent="0.15">
      <c r="A2067" s="10">
        <v>2066</v>
      </c>
      <c r="B2067" s="11" t="s">
        <v>9</v>
      </c>
      <c r="C2067" s="11" t="s">
        <v>253</v>
      </c>
      <c r="D2067" s="11" t="s">
        <v>254</v>
      </c>
      <c r="E2067" s="9" t="str">
        <f>+HYPERLINK("http://trademark.i-assist.jp/data/china/image_1903th/79465969.pdf", "79465969")</f>
        <v>79465969</v>
      </c>
      <c r="F2067" s="11" t="s">
        <v>5880</v>
      </c>
      <c r="G2067" s="11" t="s">
        <v>5002</v>
      </c>
      <c r="H2067" s="11" t="s">
        <v>5881</v>
      </c>
      <c r="I2067" s="11" t="s">
        <v>5829</v>
      </c>
    </row>
    <row r="2068" spans="1:9" x14ac:dyDescent="0.15">
      <c r="A2068" s="10">
        <v>2067</v>
      </c>
      <c r="B2068" s="11" t="s">
        <v>9</v>
      </c>
      <c r="C2068" s="11" t="s">
        <v>253</v>
      </c>
      <c r="D2068" s="11" t="s">
        <v>254</v>
      </c>
      <c r="E2068" s="9" t="str">
        <f>+HYPERLINK("http://trademark.i-assist.jp/data/china/image_1903th/79466232.pdf", "79466232")</f>
        <v>79466232</v>
      </c>
      <c r="F2068" s="11" t="s">
        <v>5882</v>
      </c>
      <c r="G2068" s="11" t="s">
        <v>5836</v>
      </c>
      <c r="H2068" s="11" t="s">
        <v>5883</v>
      </c>
      <c r="I2068" s="11" t="s">
        <v>5829</v>
      </c>
    </row>
    <row r="2069" spans="1:9" x14ac:dyDescent="0.15">
      <c r="A2069" s="10">
        <v>2068</v>
      </c>
      <c r="B2069" s="11" t="s">
        <v>9</v>
      </c>
      <c r="C2069" s="11" t="s">
        <v>253</v>
      </c>
      <c r="D2069" s="11" t="s">
        <v>254</v>
      </c>
      <c r="E2069" s="9" t="str">
        <f>+HYPERLINK("http://trademark.i-assist.jp/data/china/image_1903th/79466237.pdf", "79466237")</f>
        <v>79466237</v>
      </c>
      <c r="F2069" s="11" t="s">
        <v>5884</v>
      </c>
      <c r="G2069" s="11" t="s">
        <v>5580</v>
      </c>
      <c r="H2069" s="11" t="s">
        <v>5885</v>
      </c>
      <c r="I2069" s="11" t="s">
        <v>5829</v>
      </c>
    </row>
    <row r="2070" spans="1:9" x14ac:dyDescent="0.15">
      <c r="A2070" s="10">
        <v>2069</v>
      </c>
      <c r="B2070" s="11" t="s">
        <v>9</v>
      </c>
      <c r="C2070" s="11" t="s">
        <v>253</v>
      </c>
      <c r="D2070" s="11" t="s">
        <v>254</v>
      </c>
      <c r="E2070" s="9" t="str">
        <f>+HYPERLINK("http://trademark.i-assist.jp/data/china/image_1903th/79466312.pdf", "79466312")</f>
        <v>79466312</v>
      </c>
      <c r="F2070" s="11" t="s">
        <v>5886</v>
      </c>
      <c r="G2070" s="11" t="s">
        <v>5887</v>
      </c>
      <c r="H2070" s="11" t="s">
        <v>5888</v>
      </c>
      <c r="I2070" s="11" t="s">
        <v>5829</v>
      </c>
    </row>
    <row r="2071" spans="1:9" x14ac:dyDescent="0.15">
      <c r="A2071" s="10">
        <v>2070</v>
      </c>
      <c r="B2071" s="11" t="s">
        <v>9</v>
      </c>
      <c r="C2071" s="11" t="s">
        <v>253</v>
      </c>
      <c r="D2071" s="11" t="s">
        <v>254</v>
      </c>
      <c r="E2071" s="9" t="str">
        <f>+HYPERLINK("http://trademark.i-assist.jp/data/china/image_1903th/79466526.pdf", "79466526")</f>
        <v>79466526</v>
      </c>
      <c r="F2071" s="11" t="s">
        <v>5889</v>
      </c>
      <c r="G2071" s="11" t="s">
        <v>33</v>
      </c>
      <c r="H2071" s="11" t="s">
        <v>5890</v>
      </c>
      <c r="I2071" s="11" t="s">
        <v>5829</v>
      </c>
    </row>
    <row r="2072" spans="1:9" x14ac:dyDescent="0.15">
      <c r="A2072" s="10">
        <v>2071</v>
      </c>
      <c r="B2072" s="11" t="s">
        <v>9</v>
      </c>
      <c r="C2072" s="11" t="s">
        <v>253</v>
      </c>
      <c r="D2072" s="11" t="s">
        <v>254</v>
      </c>
      <c r="E2072" s="9" t="str">
        <f>+HYPERLINK("http://trademark.i-assist.jp/data/china/image_1903th/79467100.pdf", "79467100")</f>
        <v>79467100</v>
      </c>
      <c r="F2072" s="11" t="s">
        <v>5891</v>
      </c>
      <c r="G2072" s="11" t="s">
        <v>5892</v>
      </c>
      <c r="H2072" s="11" t="s">
        <v>5893</v>
      </c>
      <c r="I2072" s="11" t="s">
        <v>5829</v>
      </c>
    </row>
    <row r="2073" spans="1:9" x14ac:dyDescent="0.15">
      <c r="A2073" s="10">
        <v>2072</v>
      </c>
      <c r="B2073" s="11" t="s">
        <v>9</v>
      </c>
      <c r="C2073" s="11" t="s">
        <v>253</v>
      </c>
      <c r="D2073" s="11" t="s">
        <v>254</v>
      </c>
      <c r="E2073" s="9" t="str">
        <f>+HYPERLINK("http://trademark.i-assist.jp/data/china/image_1903th/79467502.pdf", "79467502")</f>
        <v>79467502</v>
      </c>
      <c r="F2073" s="11" t="s">
        <v>5894</v>
      </c>
      <c r="G2073" s="11" t="s">
        <v>5895</v>
      </c>
      <c r="H2073" s="11" t="s">
        <v>5896</v>
      </c>
      <c r="I2073" s="11" t="s">
        <v>5829</v>
      </c>
    </row>
    <row r="2074" spans="1:9" x14ac:dyDescent="0.15">
      <c r="A2074" s="10">
        <v>2073</v>
      </c>
      <c r="B2074" s="11" t="s">
        <v>9</v>
      </c>
      <c r="C2074" s="11" t="s">
        <v>253</v>
      </c>
      <c r="D2074" s="11" t="s">
        <v>254</v>
      </c>
      <c r="E2074" s="9" t="str">
        <f>+HYPERLINK("http://trademark.i-assist.jp/data/china/image_1903th/79468169.pdf", "79468169")</f>
        <v>79468169</v>
      </c>
      <c r="F2074" s="11" t="s">
        <v>5897</v>
      </c>
      <c r="G2074" s="11" t="s">
        <v>5898</v>
      </c>
      <c r="H2074" s="11" t="s">
        <v>5899</v>
      </c>
      <c r="I2074" s="11" t="s">
        <v>5829</v>
      </c>
    </row>
    <row r="2075" spans="1:9" x14ac:dyDescent="0.15">
      <c r="A2075" s="10">
        <v>2074</v>
      </c>
      <c r="B2075" s="11" t="s">
        <v>9</v>
      </c>
      <c r="C2075" s="11" t="s">
        <v>253</v>
      </c>
      <c r="D2075" s="11" t="s">
        <v>254</v>
      </c>
      <c r="E2075" s="9" t="str">
        <f>+HYPERLINK("http://trademark.i-assist.jp/data/china/image_1903th/79468174.pdf", "79468174")</f>
        <v>79468174</v>
      </c>
      <c r="F2075" s="11" t="s">
        <v>5900</v>
      </c>
      <c r="G2075" s="11" t="s">
        <v>5898</v>
      </c>
      <c r="H2075" s="11" t="s">
        <v>5901</v>
      </c>
      <c r="I2075" s="11" t="s">
        <v>5829</v>
      </c>
    </row>
    <row r="2076" spans="1:9" x14ac:dyDescent="0.15">
      <c r="A2076" s="10">
        <v>2075</v>
      </c>
      <c r="B2076" s="11" t="s">
        <v>9</v>
      </c>
      <c r="C2076" s="11" t="s">
        <v>253</v>
      </c>
      <c r="D2076" s="11" t="s">
        <v>254</v>
      </c>
      <c r="E2076" s="9" t="str">
        <f>+HYPERLINK("http://trademark.i-assist.jp/data/china/image_1903th/79468229.pdf", "79468229")</f>
        <v>79468229</v>
      </c>
      <c r="F2076" s="11" t="s">
        <v>12</v>
      </c>
      <c r="G2076" s="11" t="s">
        <v>5902</v>
      </c>
      <c r="H2076" s="11" t="s">
        <v>14</v>
      </c>
      <c r="I2076" s="11" t="s">
        <v>5829</v>
      </c>
    </row>
    <row r="2077" spans="1:9" x14ac:dyDescent="0.15">
      <c r="A2077" s="10">
        <v>2076</v>
      </c>
      <c r="B2077" s="11" t="s">
        <v>9</v>
      </c>
      <c r="C2077" s="11" t="s">
        <v>253</v>
      </c>
      <c r="D2077" s="11" t="s">
        <v>254</v>
      </c>
      <c r="E2077" s="9" t="str">
        <f>+HYPERLINK("http://trademark.i-assist.jp/data/china/image_1903th/79468614.pdf", "79468614")</f>
        <v>79468614</v>
      </c>
      <c r="F2077" s="11" t="s">
        <v>5903</v>
      </c>
      <c r="G2077" s="11" t="s">
        <v>130</v>
      </c>
      <c r="H2077" s="11" t="s">
        <v>5904</v>
      </c>
      <c r="I2077" s="11" t="s">
        <v>5829</v>
      </c>
    </row>
    <row r="2078" spans="1:9" x14ac:dyDescent="0.15">
      <c r="A2078" s="10">
        <v>2077</v>
      </c>
      <c r="B2078" s="11" t="s">
        <v>9</v>
      </c>
      <c r="C2078" s="11" t="s">
        <v>253</v>
      </c>
      <c r="D2078" s="11" t="s">
        <v>254</v>
      </c>
      <c r="E2078" s="9" t="str">
        <f>+HYPERLINK("http://trademark.i-assist.jp/data/china/image_1903th/79469367.pdf", "79469367")</f>
        <v>79469367</v>
      </c>
      <c r="F2078" s="11" t="s">
        <v>5905</v>
      </c>
      <c r="G2078" s="11" t="s">
        <v>5906</v>
      </c>
      <c r="H2078" s="11" t="s">
        <v>5907</v>
      </c>
      <c r="I2078" s="11" t="s">
        <v>5829</v>
      </c>
    </row>
    <row r="2079" spans="1:9" x14ac:dyDescent="0.15">
      <c r="A2079" s="10">
        <v>2078</v>
      </c>
      <c r="B2079" s="11" t="s">
        <v>9</v>
      </c>
      <c r="C2079" s="11" t="s">
        <v>253</v>
      </c>
      <c r="D2079" s="11" t="s">
        <v>254</v>
      </c>
      <c r="E2079" s="9" t="str">
        <f>+HYPERLINK("http://trademark.i-assist.jp/data/china/image_1903th/79469616.pdf", "79469616")</f>
        <v>79469616</v>
      </c>
      <c r="F2079" s="11" t="s">
        <v>5908</v>
      </c>
      <c r="G2079" s="11" t="s">
        <v>5909</v>
      </c>
      <c r="H2079" s="11" t="s">
        <v>5910</v>
      </c>
      <c r="I2079" s="11" t="s">
        <v>5829</v>
      </c>
    </row>
    <row r="2080" spans="1:9" x14ac:dyDescent="0.15">
      <c r="A2080" s="10">
        <v>2079</v>
      </c>
      <c r="B2080" s="11" t="s">
        <v>9</v>
      </c>
      <c r="C2080" s="11" t="s">
        <v>253</v>
      </c>
      <c r="D2080" s="11" t="s">
        <v>254</v>
      </c>
      <c r="E2080" s="9" t="str">
        <f>+HYPERLINK("http://trademark.i-assist.jp/data/china/image_1903th/79469679.pdf", "79469679")</f>
        <v>79469679</v>
      </c>
      <c r="F2080" s="11" t="s">
        <v>5911</v>
      </c>
      <c r="G2080" s="11" t="s">
        <v>5912</v>
      </c>
      <c r="H2080" s="11" t="s">
        <v>5913</v>
      </c>
      <c r="I2080" s="11" t="s">
        <v>5829</v>
      </c>
    </row>
    <row r="2081" spans="1:9" x14ac:dyDescent="0.15">
      <c r="A2081" s="10">
        <v>2080</v>
      </c>
      <c r="B2081" s="11" t="s">
        <v>9</v>
      </c>
      <c r="C2081" s="11" t="s">
        <v>253</v>
      </c>
      <c r="D2081" s="11" t="s">
        <v>254</v>
      </c>
      <c r="E2081" s="9" t="str">
        <f>+HYPERLINK("http://trademark.i-assist.jp/data/china/image_1903th/79469686.pdf", "79469686")</f>
        <v>79469686</v>
      </c>
      <c r="F2081" s="11" t="s">
        <v>5914</v>
      </c>
      <c r="G2081" s="11" t="s">
        <v>5915</v>
      </c>
      <c r="H2081" s="11" t="s">
        <v>5916</v>
      </c>
      <c r="I2081" s="11" t="s">
        <v>5829</v>
      </c>
    </row>
    <row r="2082" spans="1:9" x14ac:dyDescent="0.15">
      <c r="A2082" s="10">
        <v>2081</v>
      </c>
      <c r="B2082" s="11" t="s">
        <v>9</v>
      </c>
      <c r="C2082" s="11" t="s">
        <v>253</v>
      </c>
      <c r="D2082" s="11" t="s">
        <v>254</v>
      </c>
      <c r="E2082" s="9" t="str">
        <f>+HYPERLINK("http://trademark.i-assist.jp/data/china/image_1903th/79469983.pdf", "79469983")</f>
        <v>79469983</v>
      </c>
      <c r="F2082" s="11" t="s">
        <v>5917</v>
      </c>
      <c r="G2082" s="11" t="s">
        <v>5918</v>
      </c>
      <c r="H2082" s="11" t="s">
        <v>5919</v>
      </c>
      <c r="I2082" s="11" t="s">
        <v>5829</v>
      </c>
    </row>
    <row r="2083" spans="1:9" x14ac:dyDescent="0.15">
      <c r="A2083" s="10">
        <v>2082</v>
      </c>
      <c r="B2083" s="11" t="s">
        <v>9</v>
      </c>
      <c r="C2083" s="11" t="s">
        <v>253</v>
      </c>
      <c r="D2083" s="11" t="s">
        <v>254</v>
      </c>
      <c r="E2083" s="9" t="str">
        <f>+HYPERLINK("http://trademark.i-assist.jp/data/china/image_1903th/79470433.pdf", "79470433")</f>
        <v>79470433</v>
      </c>
      <c r="F2083" s="11" t="s">
        <v>5920</v>
      </c>
      <c r="G2083" s="11" t="s">
        <v>2095</v>
      </c>
      <c r="H2083" s="11" t="s">
        <v>5921</v>
      </c>
      <c r="I2083" s="11" t="s">
        <v>5829</v>
      </c>
    </row>
    <row r="2084" spans="1:9" x14ac:dyDescent="0.15">
      <c r="A2084" s="10">
        <v>2083</v>
      </c>
      <c r="B2084" s="11" t="s">
        <v>9</v>
      </c>
      <c r="C2084" s="11" t="s">
        <v>253</v>
      </c>
      <c r="D2084" s="11" t="s">
        <v>254</v>
      </c>
      <c r="E2084" s="9" t="str">
        <f>+HYPERLINK("http://trademark.i-assist.jp/data/china/image_1903th/79470478.pdf", "79470478")</f>
        <v>79470478</v>
      </c>
      <c r="F2084" s="11" t="s">
        <v>5922</v>
      </c>
      <c r="G2084" s="11" t="s">
        <v>5923</v>
      </c>
      <c r="H2084" s="11" t="s">
        <v>5924</v>
      </c>
      <c r="I2084" s="11" t="s">
        <v>5829</v>
      </c>
    </row>
    <row r="2085" spans="1:9" x14ac:dyDescent="0.15">
      <c r="A2085" s="10">
        <v>2084</v>
      </c>
      <c r="B2085" s="11" t="s">
        <v>9</v>
      </c>
      <c r="C2085" s="11" t="s">
        <v>253</v>
      </c>
      <c r="D2085" s="11" t="s">
        <v>254</v>
      </c>
      <c r="E2085" s="9" t="str">
        <f>+HYPERLINK("http://trademark.i-assist.jp/data/china/image_1903th/79470783.pdf", "79470783")</f>
        <v>79470783</v>
      </c>
      <c r="F2085" s="11" t="s">
        <v>5925</v>
      </c>
      <c r="G2085" s="11" t="s">
        <v>5836</v>
      </c>
      <c r="H2085" s="11" t="s">
        <v>5926</v>
      </c>
      <c r="I2085" s="11" t="s">
        <v>5829</v>
      </c>
    </row>
    <row r="2086" spans="1:9" x14ac:dyDescent="0.15">
      <c r="A2086" s="10">
        <v>2085</v>
      </c>
      <c r="B2086" s="11" t="s">
        <v>9</v>
      </c>
      <c r="C2086" s="11" t="s">
        <v>253</v>
      </c>
      <c r="D2086" s="11" t="s">
        <v>254</v>
      </c>
      <c r="E2086" s="9" t="str">
        <f>+HYPERLINK("http://trademark.i-assist.jp/data/china/image_1903th/79470823.pdf", "79470823")</f>
        <v>79470823</v>
      </c>
      <c r="F2086" s="11" t="s">
        <v>5927</v>
      </c>
      <c r="G2086" s="11" t="s">
        <v>5928</v>
      </c>
      <c r="H2086" s="11" t="s">
        <v>5929</v>
      </c>
      <c r="I2086" s="11" t="s">
        <v>5829</v>
      </c>
    </row>
    <row r="2087" spans="1:9" x14ac:dyDescent="0.15">
      <c r="A2087" s="10">
        <v>2086</v>
      </c>
      <c r="B2087" s="11" t="s">
        <v>9</v>
      </c>
      <c r="C2087" s="11" t="s">
        <v>253</v>
      </c>
      <c r="D2087" s="11" t="s">
        <v>254</v>
      </c>
      <c r="E2087" s="9" t="str">
        <f>+HYPERLINK("http://trademark.i-assist.jp/data/china/image_1903th/79471224.pdf", "79471224")</f>
        <v>79471224</v>
      </c>
      <c r="F2087" s="11" t="s">
        <v>5930</v>
      </c>
      <c r="G2087" s="11" t="s">
        <v>5931</v>
      </c>
      <c r="H2087" s="11" t="s">
        <v>5932</v>
      </c>
      <c r="I2087" s="11" t="s">
        <v>5829</v>
      </c>
    </row>
    <row r="2088" spans="1:9" x14ac:dyDescent="0.15">
      <c r="A2088" s="10">
        <v>2087</v>
      </c>
      <c r="B2088" s="11" t="s">
        <v>9</v>
      </c>
      <c r="C2088" s="11" t="s">
        <v>253</v>
      </c>
      <c r="D2088" s="11" t="s">
        <v>254</v>
      </c>
      <c r="E2088" s="9" t="str">
        <f>+HYPERLINK("http://trademark.i-assist.jp/data/china/image_1903th/79471238.pdf", "79471238")</f>
        <v>79471238</v>
      </c>
      <c r="F2088" s="11" t="s">
        <v>5933</v>
      </c>
      <c r="G2088" s="11" t="s">
        <v>5934</v>
      </c>
      <c r="H2088" s="11" t="s">
        <v>5935</v>
      </c>
      <c r="I2088" s="11" t="s">
        <v>5829</v>
      </c>
    </row>
    <row r="2089" spans="1:9" x14ac:dyDescent="0.15">
      <c r="A2089" s="10">
        <v>2088</v>
      </c>
      <c r="B2089" s="11" t="s">
        <v>9</v>
      </c>
      <c r="C2089" s="11" t="s">
        <v>253</v>
      </c>
      <c r="D2089" s="11" t="s">
        <v>254</v>
      </c>
      <c r="E2089" s="9" t="str">
        <f>+HYPERLINK("http://trademark.i-assist.jp/data/china/image_1903th/79471963.pdf", "79471963")</f>
        <v>79471963</v>
      </c>
      <c r="F2089" s="11" t="s">
        <v>5936</v>
      </c>
      <c r="G2089" s="11" t="s">
        <v>5937</v>
      </c>
      <c r="H2089" s="11" t="s">
        <v>5938</v>
      </c>
      <c r="I2089" s="11" t="s">
        <v>5829</v>
      </c>
    </row>
    <row r="2090" spans="1:9" x14ac:dyDescent="0.15">
      <c r="A2090" s="10">
        <v>2089</v>
      </c>
      <c r="B2090" s="11" t="s">
        <v>9</v>
      </c>
      <c r="C2090" s="11" t="s">
        <v>253</v>
      </c>
      <c r="D2090" s="11" t="s">
        <v>254</v>
      </c>
      <c r="E2090" s="9" t="str">
        <f>+HYPERLINK("http://trademark.i-assist.jp/data/china/image_1903th/79472040.pdf", "79472040")</f>
        <v>79472040</v>
      </c>
      <c r="F2090" s="11" t="s">
        <v>5939</v>
      </c>
      <c r="G2090" s="11" t="s">
        <v>5940</v>
      </c>
      <c r="H2090" s="11" t="s">
        <v>5941</v>
      </c>
      <c r="I2090" s="11" t="s">
        <v>5829</v>
      </c>
    </row>
    <row r="2091" spans="1:9" x14ac:dyDescent="0.15">
      <c r="A2091" s="10">
        <v>2090</v>
      </c>
      <c r="B2091" s="11" t="s">
        <v>9</v>
      </c>
      <c r="C2091" s="11" t="s">
        <v>253</v>
      </c>
      <c r="D2091" s="11" t="s">
        <v>254</v>
      </c>
      <c r="E2091" s="9" t="str">
        <f>+HYPERLINK("http://trademark.i-assist.jp/data/china/image_1903th/79472092.pdf", "79472092")</f>
        <v>79472092</v>
      </c>
      <c r="F2091" s="11" t="s">
        <v>5942</v>
      </c>
      <c r="G2091" s="11" t="s">
        <v>5867</v>
      </c>
      <c r="H2091" s="11" t="s">
        <v>5943</v>
      </c>
      <c r="I2091" s="11" t="s">
        <v>5829</v>
      </c>
    </row>
    <row r="2092" spans="1:9" x14ac:dyDescent="0.15">
      <c r="A2092" s="10">
        <v>2091</v>
      </c>
      <c r="B2092" s="11" t="s">
        <v>9</v>
      </c>
      <c r="C2092" s="11" t="s">
        <v>253</v>
      </c>
      <c r="D2092" s="11" t="s">
        <v>254</v>
      </c>
      <c r="E2092" s="9" t="str">
        <f>+HYPERLINK("http://trademark.i-assist.jp/data/china/image_1903th/79472187.pdf", "79472187")</f>
        <v>79472187</v>
      </c>
      <c r="F2092" s="11" t="s">
        <v>5944</v>
      </c>
      <c r="G2092" s="11" t="s">
        <v>5945</v>
      </c>
      <c r="H2092" s="11" t="s">
        <v>5946</v>
      </c>
      <c r="I2092" s="11" t="s">
        <v>5829</v>
      </c>
    </row>
    <row r="2093" spans="1:9" x14ac:dyDescent="0.15">
      <c r="A2093" s="10">
        <v>2092</v>
      </c>
      <c r="B2093" s="11" t="s">
        <v>9</v>
      </c>
      <c r="C2093" s="11" t="s">
        <v>253</v>
      </c>
      <c r="D2093" s="11" t="s">
        <v>254</v>
      </c>
      <c r="E2093" s="9" t="str">
        <f>+HYPERLINK("http://trademark.i-assist.jp/data/china/image_1903th/79472228.pdf", "79472228")</f>
        <v>79472228</v>
      </c>
      <c r="F2093" s="11" t="s">
        <v>5947</v>
      </c>
      <c r="G2093" s="11" t="s">
        <v>5948</v>
      </c>
      <c r="H2093" s="11" t="s">
        <v>5949</v>
      </c>
      <c r="I2093" s="11" t="s">
        <v>5829</v>
      </c>
    </row>
    <row r="2094" spans="1:9" x14ac:dyDescent="0.15">
      <c r="A2094" s="10">
        <v>2093</v>
      </c>
      <c r="B2094" s="11" t="s">
        <v>9</v>
      </c>
      <c r="C2094" s="11" t="s">
        <v>253</v>
      </c>
      <c r="D2094" s="11" t="s">
        <v>254</v>
      </c>
      <c r="E2094" s="9" t="str">
        <f>+HYPERLINK("http://trademark.i-assist.jp/data/china/image_1903th/79472437.pdf", "79472437")</f>
        <v>79472437</v>
      </c>
      <c r="F2094" s="11" t="s">
        <v>5950</v>
      </c>
      <c r="G2094" s="11" t="s">
        <v>4796</v>
      </c>
      <c r="H2094" s="11" t="s">
        <v>5951</v>
      </c>
      <c r="I2094" s="11" t="s">
        <v>5829</v>
      </c>
    </row>
    <row r="2095" spans="1:9" x14ac:dyDescent="0.15">
      <c r="A2095" s="10">
        <v>2094</v>
      </c>
      <c r="B2095" s="11" t="s">
        <v>9</v>
      </c>
      <c r="C2095" s="11" t="s">
        <v>253</v>
      </c>
      <c r="D2095" s="11" t="s">
        <v>254</v>
      </c>
      <c r="E2095" s="9" t="str">
        <f>+HYPERLINK("http://trademark.i-assist.jp/data/china/image_1903th/79472481.pdf", "79472481")</f>
        <v>79472481</v>
      </c>
      <c r="F2095" s="11" t="s">
        <v>5952</v>
      </c>
      <c r="G2095" s="11" t="s">
        <v>5953</v>
      </c>
      <c r="H2095" s="11" t="s">
        <v>5954</v>
      </c>
      <c r="I2095" s="11" t="s">
        <v>5829</v>
      </c>
    </row>
    <row r="2096" spans="1:9" x14ac:dyDescent="0.15">
      <c r="A2096" s="10">
        <v>2095</v>
      </c>
      <c r="B2096" s="11" t="s">
        <v>9</v>
      </c>
      <c r="C2096" s="11" t="s">
        <v>253</v>
      </c>
      <c r="D2096" s="11" t="s">
        <v>254</v>
      </c>
      <c r="E2096" s="9" t="str">
        <f>+HYPERLINK("http://trademark.i-assist.jp/data/china/image_1903th/79472483.pdf", "79472483")</f>
        <v>79472483</v>
      </c>
      <c r="F2096" s="11" t="s">
        <v>5955</v>
      </c>
      <c r="G2096" s="11" t="s">
        <v>5956</v>
      </c>
      <c r="H2096" s="11" t="s">
        <v>5957</v>
      </c>
      <c r="I2096" s="11" t="s">
        <v>5829</v>
      </c>
    </row>
    <row r="2097" spans="1:9" x14ac:dyDescent="0.15">
      <c r="A2097" s="10">
        <v>2096</v>
      </c>
      <c r="B2097" s="11" t="s">
        <v>9</v>
      </c>
      <c r="C2097" s="11" t="s">
        <v>253</v>
      </c>
      <c r="D2097" s="11" t="s">
        <v>254</v>
      </c>
      <c r="E2097" s="9" t="str">
        <f>+HYPERLINK("http://trademark.i-assist.jp/data/china/image_1903th/79472568.pdf", "79472568")</f>
        <v>79472568</v>
      </c>
      <c r="F2097" s="11" t="s">
        <v>5958</v>
      </c>
      <c r="G2097" s="11" t="s">
        <v>5959</v>
      </c>
      <c r="H2097" s="11" t="s">
        <v>5960</v>
      </c>
      <c r="I2097" s="11" t="s">
        <v>5829</v>
      </c>
    </row>
    <row r="2098" spans="1:9" x14ac:dyDescent="0.15">
      <c r="A2098" s="10">
        <v>2097</v>
      </c>
      <c r="B2098" s="11" t="s">
        <v>9</v>
      </c>
      <c r="C2098" s="11" t="s">
        <v>253</v>
      </c>
      <c r="D2098" s="11" t="s">
        <v>254</v>
      </c>
      <c r="E2098" s="9" t="str">
        <f>+HYPERLINK("http://trademark.i-assist.jp/data/china/image_1903th/79472729.pdf", "79472729")</f>
        <v>79472729</v>
      </c>
      <c r="F2098" s="11" t="s">
        <v>5961</v>
      </c>
      <c r="G2098" s="11" t="s">
        <v>5962</v>
      </c>
      <c r="H2098" s="11" t="s">
        <v>5963</v>
      </c>
      <c r="I2098" s="11" t="s">
        <v>5829</v>
      </c>
    </row>
    <row r="2099" spans="1:9" x14ac:dyDescent="0.15">
      <c r="A2099" s="10">
        <v>2098</v>
      </c>
      <c r="B2099" s="11" t="s">
        <v>9</v>
      </c>
      <c r="C2099" s="11" t="s">
        <v>253</v>
      </c>
      <c r="D2099" s="11" t="s">
        <v>254</v>
      </c>
      <c r="E2099" s="9" t="str">
        <f>+HYPERLINK("http://trademark.i-assist.jp/data/china/image_1903th/79472761.pdf", "79472761")</f>
        <v>79472761</v>
      </c>
      <c r="F2099" s="11" t="s">
        <v>5964</v>
      </c>
      <c r="G2099" s="11" t="s">
        <v>5962</v>
      </c>
      <c r="H2099" s="11" t="s">
        <v>5965</v>
      </c>
      <c r="I2099" s="11" t="s">
        <v>5829</v>
      </c>
    </row>
    <row r="2100" spans="1:9" x14ac:dyDescent="0.15">
      <c r="A2100" s="10">
        <v>2099</v>
      </c>
      <c r="B2100" s="11" t="s">
        <v>9</v>
      </c>
      <c r="C2100" s="11" t="s">
        <v>253</v>
      </c>
      <c r="D2100" s="11" t="s">
        <v>254</v>
      </c>
      <c r="E2100" s="9" t="str">
        <f>+HYPERLINK("http://trademark.i-assist.jp/data/china/image_1903th/79473060.pdf", "79473060")</f>
        <v>79473060</v>
      </c>
      <c r="F2100" s="11" t="s">
        <v>5966</v>
      </c>
      <c r="G2100" s="11" t="s">
        <v>5967</v>
      </c>
      <c r="H2100" s="11" t="s">
        <v>5968</v>
      </c>
      <c r="I2100" s="11" t="s">
        <v>5829</v>
      </c>
    </row>
    <row r="2101" spans="1:9" x14ac:dyDescent="0.15">
      <c r="A2101" s="10">
        <v>2100</v>
      </c>
      <c r="B2101" s="11" t="s">
        <v>9</v>
      </c>
      <c r="C2101" s="11" t="s">
        <v>253</v>
      </c>
      <c r="D2101" s="11" t="s">
        <v>254</v>
      </c>
      <c r="E2101" s="9" t="str">
        <f>+HYPERLINK("http://trademark.i-assist.jp/data/china/image_1903th/79473201.pdf", "79473201")</f>
        <v>79473201</v>
      </c>
      <c r="F2101" s="11" t="s">
        <v>5969</v>
      </c>
      <c r="G2101" s="11" t="s">
        <v>5970</v>
      </c>
      <c r="H2101" s="11" t="s">
        <v>5971</v>
      </c>
      <c r="I2101" s="11" t="s">
        <v>5829</v>
      </c>
    </row>
    <row r="2102" spans="1:9" x14ac:dyDescent="0.15">
      <c r="A2102" s="10">
        <v>2101</v>
      </c>
      <c r="B2102" s="11" t="s">
        <v>9</v>
      </c>
      <c r="C2102" s="11" t="s">
        <v>253</v>
      </c>
      <c r="D2102" s="11" t="s">
        <v>254</v>
      </c>
      <c r="E2102" s="9" t="str">
        <f>+HYPERLINK("http://trademark.i-assist.jp/data/china/image_1903th/79473307.pdf", "79473307")</f>
        <v>79473307</v>
      </c>
      <c r="F2102" s="11" t="s">
        <v>5972</v>
      </c>
      <c r="G2102" s="11" t="s">
        <v>5973</v>
      </c>
      <c r="H2102" s="11" t="s">
        <v>5974</v>
      </c>
      <c r="I2102" s="11" t="s">
        <v>5829</v>
      </c>
    </row>
    <row r="2103" spans="1:9" x14ac:dyDescent="0.15">
      <c r="A2103" s="10">
        <v>2102</v>
      </c>
      <c r="B2103" s="11" t="s">
        <v>9</v>
      </c>
      <c r="C2103" s="11" t="s">
        <v>253</v>
      </c>
      <c r="D2103" s="11" t="s">
        <v>254</v>
      </c>
      <c r="E2103" s="9" t="str">
        <f>+HYPERLINK("http://trademark.i-assist.jp/data/china/image_1903th/79473458.pdf", "79473458")</f>
        <v>79473458</v>
      </c>
      <c r="F2103" s="11" t="s">
        <v>5975</v>
      </c>
      <c r="G2103" s="11" t="s">
        <v>5976</v>
      </c>
      <c r="H2103" s="11" t="s">
        <v>5977</v>
      </c>
      <c r="I2103" s="11" t="s">
        <v>5829</v>
      </c>
    </row>
    <row r="2104" spans="1:9" x14ac:dyDescent="0.15">
      <c r="A2104" s="10">
        <v>2103</v>
      </c>
      <c r="B2104" s="11" t="s">
        <v>9</v>
      </c>
      <c r="C2104" s="11" t="s">
        <v>253</v>
      </c>
      <c r="D2104" s="11" t="s">
        <v>254</v>
      </c>
      <c r="E2104" s="9" t="str">
        <f>+HYPERLINK("http://trademark.i-assist.jp/data/china/image_1903th/79473693.pdf", "79473693")</f>
        <v>79473693</v>
      </c>
      <c r="F2104" s="11" t="s">
        <v>5978</v>
      </c>
      <c r="G2104" s="11" t="s">
        <v>5931</v>
      </c>
      <c r="H2104" s="11" t="s">
        <v>5979</v>
      </c>
      <c r="I2104" s="11" t="s">
        <v>5829</v>
      </c>
    </row>
    <row r="2105" spans="1:9" x14ac:dyDescent="0.15">
      <c r="A2105" s="10">
        <v>2104</v>
      </c>
      <c r="B2105" s="11" t="s">
        <v>9</v>
      </c>
      <c r="C2105" s="11" t="s">
        <v>253</v>
      </c>
      <c r="D2105" s="11" t="s">
        <v>254</v>
      </c>
      <c r="E2105" s="9" t="str">
        <f>+HYPERLINK("http://trademark.i-assist.jp/data/china/image_1903th/79473960.pdf", "79473960")</f>
        <v>79473960</v>
      </c>
      <c r="F2105" s="11" t="s">
        <v>5980</v>
      </c>
      <c r="G2105" s="11" t="s">
        <v>5981</v>
      </c>
      <c r="H2105" s="11" t="s">
        <v>5982</v>
      </c>
      <c r="I2105" s="11" t="s">
        <v>5829</v>
      </c>
    </row>
    <row r="2106" spans="1:9" x14ac:dyDescent="0.15">
      <c r="A2106" s="10">
        <v>2105</v>
      </c>
      <c r="B2106" s="11" t="s">
        <v>9</v>
      </c>
      <c r="C2106" s="11" t="s">
        <v>253</v>
      </c>
      <c r="D2106" s="11" t="s">
        <v>254</v>
      </c>
      <c r="E2106" s="9" t="str">
        <f>+HYPERLINK("http://trademark.i-assist.jp/data/china/image_1903th/79474200.pdf", "79474200")</f>
        <v>79474200</v>
      </c>
      <c r="F2106" s="11" t="s">
        <v>12</v>
      </c>
      <c r="G2106" s="11" t="s">
        <v>5983</v>
      </c>
      <c r="H2106" s="11" t="s">
        <v>5984</v>
      </c>
      <c r="I2106" s="11" t="s">
        <v>5829</v>
      </c>
    </row>
    <row r="2107" spans="1:9" x14ac:dyDescent="0.15">
      <c r="A2107" s="10">
        <v>2106</v>
      </c>
      <c r="B2107" s="11" t="s">
        <v>9</v>
      </c>
      <c r="C2107" s="11" t="s">
        <v>253</v>
      </c>
      <c r="D2107" s="11" t="s">
        <v>254</v>
      </c>
      <c r="E2107" s="9" t="str">
        <f>+HYPERLINK("http://trademark.i-assist.jp/data/china/image_1903th/79474311.pdf", "79474311")</f>
        <v>79474311</v>
      </c>
      <c r="F2107" s="11" t="s">
        <v>5985</v>
      </c>
      <c r="G2107" s="11" t="s">
        <v>5986</v>
      </c>
      <c r="H2107" s="11" t="s">
        <v>5987</v>
      </c>
      <c r="I2107" s="11" t="s">
        <v>5829</v>
      </c>
    </row>
    <row r="2108" spans="1:9" x14ac:dyDescent="0.15">
      <c r="A2108" s="10">
        <v>2107</v>
      </c>
      <c r="B2108" s="11" t="s">
        <v>9</v>
      </c>
      <c r="C2108" s="11" t="s">
        <v>253</v>
      </c>
      <c r="D2108" s="11" t="s">
        <v>254</v>
      </c>
      <c r="E2108" s="9" t="str">
        <f>+HYPERLINK("http://trademark.i-assist.jp/data/china/image_1903th/79474445.pdf", "79474445")</f>
        <v>79474445</v>
      </c>
      <c r="F2108" s="11" t="s">
        <v>5988</v>
      </c>
      <c r="G2108" s="11" t="s">
        <v>5989</v>
      </c>
      <c r="H2108" s="11" t="s">
        <v>5990</v>
      </c>
      <c r="I2108" s="11" t="s">
        <v>5829</v>
      </c>
    </row>
    <row r="2109" spans="1:9" x14ac:dyDescent="0.15">
      <c r="A2109" s="10">
        <v>2108</v>
      </c>
      <c r="B2109" s="11" t="s">
        <v>9</v>
      </c>
      <c r="C2109" s="11" t="s">
        <v>253</v>
      </c>
      <c r="D2109" s="11" t="s">
        <v>254</v>
      </c>
      <c r="E2109" s="9" t="str">
        <f>+HYPERLINK("http://trademark.i-assist.jp/data/china/image_1903th/79474490.pdf", "79474490")</f>
        <v>79474490</v>
      </c>
      <c r="F2109" s="11" t="s">
        <v>5991</v>
      </c>
      <c r="G2109" s="11" t="s">
        <v>5992</v>
      </c>
      <c r="H2109" s="11" t="s">
        <v>5993</v>
      </c>
      <c r="I2109" s="11" t="s">
        <v>5829</v>
      </c>
    </row>
    <row r="2110" spans="1:9" x14ac:dyDescent="0.15">
      <c r="A2110" s="10">
        <v>2109</v>
      </c>
      <c r="B2110" s="11" t="s">
        <v>9</v>
      </c>
      <c r="C2110" s="11" t="s">
        <v>253</v>
      </c>
      <c r="D2110" s="11" t="s">
        <v>254</v>
      </c>
      <c r="E2110" s="9" t="str">
        <f>+HYPERLINK("http://trademark.i-assist.jp/data/china/image_1903th/79474679.pdf", "79474679")</f>
        <v>79474679</v>
      </c>
      <c r="F2110" s="11" t="s">
        <v>5994</v>
      </c>
      <c r="G2110" s="11" t="s">
        <v>5995</v>
      </c>
      <c r="H2110" s="11" t="s">
        <v>5996</v>
      </c>
      <c r="I2110" s="11" t="s">
        <v>5829</v>
      </c>
    </row>
    <row r="2111" spans="1:9" x14ac:dyDescent="0.15">
      <c r="A2111" s="10">
        <v>2110</v>
      </c>
      <c r="B2111" s="11" t="s">
        <v>9</v>
      </c>
      <c r="C2111" s="11" t="s">
        <v>253</v>
      </c>
      <c r="D2111" s="11" t="s">
        <v>254</v>
      </c>
      <c r="E2111" s="9" t="str">
        <f>+HYPERLINK("http://trademark.i-assist.jp/data/china/image_1903th/79474722.pdf", "79474722")</f>
        <v>79474722</v>
      </c>
      <c r="F2111" s="11" t="s">
        <v>12</v>
      </c>
      <c r="G2111" s="11" t="s">
        <v>2482</v>
      </c>
      <c r="H2111" s="11" t="s">
        <v>5997</v>
      </c>
      <c r="I2111" s="11" t="s">
        <v>5829</v>
      </c>
    </row>
    <row r="2112" spans="1:9" x14ac:dyDescent="0.15">
      <c r="A2112" s="10">
        <v>2111</v>
      </c>
      <c r="B2112" s="11" t="s">
        <v>9</v>
      </c>
      <c r="C2112" s="11" t="s">
        <v>253</v>
      </c>
      <c r="D2112" s="11" t="s">
        <v>254</v>
      </c>
      <c r="E2112" s="9" t="str">
        <f>+HYPERLINK("http://trademark.i-assist.jp/data/china/image_1903th/79474769.pdf", "79474769")</f>
        <v>79474769</v>
      </c>
      <c r="F2112" s="11" t="s">
        <v>5998</v>
      </c>
      <c r="G2112" s="11" t="s">
        <v>1947</v>
      </c>
      <c r="H2112" s="11" t="s">
        <v>5999</v>
      </c>
      <c r="I2112" s="11" t="s">
        <v>5829</v>
      </c>
    </row>
    <row r="2113" spans="1:9" x14ac:dyDescent="0.15">
      <c r="A2113" s="10">
        <v>2112</v>
      </c>
      <c r="B2113" s="11" t="s">
        <v>9</v>
      </c>
      <c r="C2113" s="11" t="s">
        <v>253</v>
      </c>
      <c r="D2113" s="11" t="s">
        <v>254</v>
      </c>
      <c r="E2113" s="9" t="str">
        <f>+HYPERLINK("http://trademark.i-assist.jp/data/china/image_1903th/79474848.pdf", "79474848")</f>
        <v>79474848</v>
      </c>
      <c r="F2113" s="11" t="s">
        <v>6000</v>
      </c>
      <c r="G2113" s="11" t="s">
        <v>6001</v>
      </c>
      <c r="H2113" s="11" t="s">
        <v>6002</v>
      </c>
      <c r="I2113" s="11" t="s">
        <v>5829</v>
      </c>
    </row>
    <row r="2114" spans="1:9" x14ac:dyDescent="0.15">
      <c r="A2114" s="10">
        <v>2113</v>
      </c>
      <c r="B2114" s="11" t="s">
        <v>9</v>
      </c>
      <c r="C2114" s="11" t="s">
        <v>253</v>
      </c>
      <c r="D2114" s="11" t="s">
        <v>254</v>
      </c>
      <c r="E2114" s="9" t="str">
        <f>+HYPERLINK("http://trademark.i-assist.jp/data/china/image_1903th/79475119.pdf", "79475119")</f>
        <v>79475119</v>
      </c>
      <c r="F2114" s="11" t="s">
        <v>6003</v>
      </c>
      <c r="G2114" s="11" t="s">
        <v>6004</v>
      </c>
      <c r="H2114" s="11" t="s">
        <v>6005</v>
      </c>
      <c r="I2114" s="11" t="s">
        <v>5829</v>
      </c>
    </row>
    <row r="2115" spans="1:9" x14ac:dyDescent="0.15">
      <c r="A2115" s="10">
        <v>2114</v>
      </c>
      <c r="B2115" s="11" t="s">
        <v>9</v>
      </c>
      <c r="C2115" s="11" t="s">
        <v>253</v>
      </c>
      <c r="D2115" s="11" t="s">
        <v>254</v>
      </c>
      <c r="E2115" s="9" t="str">
        <f>+HYPERLINK("http://trademark.i-assist.jp/data/china/image_1903th/79475358.pdf", "79475358")</f>
        <v>79475358</v>
      </c>
      <c r="F2115" s="11" t="s">
        <v>6006</v>
      </c>
      <c r="G2115" s="11" t="s">
        <v>6007</v>
      </c>
      <c r="H2115" s="11" t="s">
        <v>6008</v>
      </c>
      <c r="I2115" s="11" t="s">
        <v>5829</v>
      </c>
    </row>
    <row r="2116" spans="1:9" x14ac:dyDescent="0.15">
      <c r="A2116" s="10">
        <v>2115</v>
      </c>
      <c r="B2116" s="11" t="s">
        <v>9</v>
      </c>
      <c r="C2116" s="11" t="s">
        <v>253</v>
      </c>
      <c r="D2116" s="11" t="s">
        <v>254</v>
      </c>
      <c r="E2116" s="9" t="str">
        <f>+HYPERLINK("http://trademark.i-assist.jp/data/china/image_1903th/79475399.pdf", "79475399")</f>
        <v>79475399</v>
      </c>
      <c r="F2116" s="11" t="s">
        <v>6009</v>
      </c>
      <c r="G2116" s="11" t="s">
        <v>6010</v>
      </c>
      <c r="H2116" s="11" t="s">
        <v>6011</v>
      </c>
      <c r="I2116" s="11" t="s">
        <v>5829</v>
      </c>
    </row>
    <row r="2117" spans="1:9" x14ac:dyDescent="0.15">
      <c r="A2117" s="10">
        <v>2116</v>
      </c>
      <c r="B2117" s="11" t="s">
        <v>9</v>
      </c>
      <c r="C2117" s="11" t="s">
        <v>253</v>
      </c>
      <c r="D2117" s="11" t="s">
        <v>254</v>
      </c>
      <c r="E2117" s="9" t="str">
        <f>+HYPERLINK("http://trademark.i-assist.jp/data/china/image_1903th/79475921.pdf", "79475921")</f>
        <v>79475921</v>
      </c>
      <c r="F2117" s="11" t="s">
        <v>6012</v>
      </c>
      <c r="G2117" s="11" t="s">
        <v>5836</v>
      </c>
      <c r="H2117" s="11" t="s">
        <v>6013</v>
      </c>
      <c r="I2117" s="11" t="s">
        <v>5829</v>
      </c>
    </row>
    <row r="2118" spans="1:9" x14ac:dyDescent="0.15">
      <c r="A2118" s="10">
        <v>2117</v>
      </c>
      <c r="B2118" s="11" t="s">
        <v>9</v>
      </c>
      <c r="C2118" s="11" t="s">
        <v>253</v>
      </c>
      <c r="D2118" s="11" t="s">
        <v>254</v>
      </c>
      <c r="E2118" s="9" t="str">
        <f>+HYPERLINK("http://trademark.i-assist.jp/data/china/image_1903th/79475986.pdf", "79475986")</f>
        <v>79475986</v>
      </c>
      <c r="F2118" s="11" t="s">
        <v>6014</v>
      </c>
      <c r="G2118" s="11" t="s">
        <v>6015</v>
      </c>
      <c r="H2118" s="11" t="s">
        <v>6016</v>
      </c>
      <c r="I2118" s="11" t="s">
        <v>5829</v>
      </c>
    </row>
    <row r="2119" spans="1:9" x14ac:dyDescent="0.15">
      <c r="A2119" s="10">
        <v>2118</v>
      </c>
      <c r="B2119" s="11" t="s">
        <v>9</v>
      </c>
      <c r="C2119" s="11" t="s">
        <v>253</v>
      </c>
      <c r="D2119" s="11" t="s">
        <v>254</v>
      </c>
      <c r="E2119" s="9" t="str">
        <f>+HYPERLINK("http://trademark.i-assist.jp/data/china/image_1903th/79476033.pdf", "79476033")</f>
        <v>79476033</v>
      </c>
      <c r="F2119" s="11" t="s">
        <v>6017</v>
      </c>
      <c r="G2119" s="11" t="s">
        <v>33</v>
      </c>
      <c r="H2119" s="11" t="s">
        <v>6018</v>
      </c>
      <c r="I2119" s="11" t="s">
        <v>5829</v>
      </c>
    </row>
    <row r="2120" spans="1:9" x14ac:dyDescent="0.15">
      <c r="A2120" s="10">
        <v>2119</v>
      </c>
      <c r="B2120" s="11" t="s">
        <v>9</v>
      </c>
      <c r="C2120" s="11" t="s">
        <v>253</v>
      </c>
      <c r="D2120" s="11" t="s">
        <v>254</v>
      </c>
      <c r="E2120" s="9" t="str">
        <f>+HYPERLINK("http://trademark.i-assist.jp/data/china/image_1903th/79476129.pdf", "79476129")</f>
        <v>79476129</v>
      </c>
      <c r="F2120" s="11" t="s">
        <v>6019</v>
      </c>
      <c r="G2120" s="11" t="s">
        <v>6020</v>
      </c>
      <c r="H2120" s="11" t="s">
        <v>6021</v>
      </c>
      <c r="I2120" s="11" t="s">
        <v>5829</v>
      </c>
    </row>
    <row r="2121" spans="1:9" x14ac:dyDescent="0.15">
      <c r="A2121" s="10">
        <v>2120</v>
      </c>
      <c r="B2121" s="11" t="s">
        <v>9</v>
      </c>
      <c r="C2121" s="11" t="s">
        <v>253</v>
      </c>
      <c r="D2121" s="11" t="s">
        <v>254</v>
      </c>
      <c r="E2121" s="9" t="str">
        <f>+HYPERLINK("http://trademark.i-assist.jp/data/china/image_1903th/79476339.pdf", "79476339")</f>
        <v>79476339</v>
      </c>
      <c r="F2121" s="11" t="s">
        <v>6022</v>
      </c>
      <c r="G2121" s="11" t="s">
        <v>6023</v>
      </c>
      <c r="H2121" s="11" t="s">
        <v>6024</v>
      </c>
      <c r="I2121" s="11" t="s">
        <v>5829</v>
      </c>
    </row>
    <row r="2122" spans="1:9" x14ac:dyDescent="0.15">
      <c r="A2122" s="10">
        <v>2121</v>
      </c>
      <c r="B2122" s="11" t="s">
        <v>9</v>
      </c>
      <c r="C2122" s="11" t="s">
        <v>253</v>
      </c>
      <c r="D2122" s="11" t="s">
        <v>254</v>
      </c>
      <c r="E2122" s="9" t="str">
        <f>+HYPERLINK("http://trademark.i-assist.jp/data/china/image_1903th/79476373.pdf", "79476373")</f>
        <v>79476373</v>
      </c>
      <c r="F2122" s="11" t="s">
        <v>6025</v>
      </c>
      <c r="G2122" s="11" t="s">
        <v>6026</v>
      </c>
      <c r="H2122" s="11" t="s">
        <v>6027</v>
      </c>
      <c r="I2122" s="11" t="s">
        <v>5829</v>
      </c>
    </row>
    <row r="2123" spans="1:9" x14ac:dyDescent="0.15">
      <c r="A2123" s="10">
        <v>2122</v>
      </c>
      <c r="B2123" s="11" t="s">
        <v>9</v>
      </c>
      <c r="C2123" s="11" t="s">
        <v>253</v>
      </c>
      <c r="D2123" s="11" t="s">
        <v>254</v>
      </c>
      <c r="E2123" s="9" t="str">
        <f>+HYPERLINK("http://trademark.i-assist.jp/data/china/image_1903th/79476377.pdf", "79476377")</f>
        <v>79476377</v>
      </c>
      <c r="F2123" s="11" t="s">
        <v>6028</v>
      </c>
      <c r="G2123" s="11" t="s">
        <v>5898</v>
      </c>
      <c r="H2123" s="11" t="s">
        <v>6029</v>
      </c>
      <c r="I2123" s="11" t="s">
        <v>5829</v>
      </c>
    </row>
    <row r="2124" spans="1:9" x14ac:dyDescent="0.15">
      <c r="A2124" s="10">
        <v>2123</v>
      </c>
      <c r="B2124" s="11" t="s">
        <v>9</v>
      </c>
      <c r="C2124" s="11" t="s">
        <v>253</v>
      </c>
      <c r="D2124" s="11" t="s">
        <v>254</v>
      </c>
      <c r="E2124" s="9" t="str">
        <f>+HYPERLINK("http://trademark.i-assist.jp/data/china/image_1903th/79476508.pdf", "79476508")</f>
        <v>79476508</v>
      </c>
      <c r="F2124" s="11" t="s">
        <v>6030</v>
      </c>
      <c r="G2124" s="11" t="s">
        <v>6031</v>
      </c>
      <c r="H2124" s="11" t="s">
        <v>6032</v>
      </c>
      <c r="I2124" s="11" t="s">
        <v>5829</v>
      </c>
    </row>
    <row r="2125" spans="1:9" x14ac:dyDescent="0.15">
      <c r="A2125" s="10">
        <v>2124</v>
      </c>
      <c r="B2125" s="11" t="s">
        <v>9</v>
      </c>
      <c r="C2125" s="11" t="s">
        <v>253</v>
      </c>
      <c r="D2125" s="11" t="s">
        <v>254</v>
      </c>
      <c r="E2125" s="9" t="str">
        <f>+HYPERLINK("http://trademark.i-assist.jp/data/china/image_1903th/79476567.pdf", "79476567")</f>
        <v>79476567</v>
      </c>
      <c r="F2125" s="11" t="s">
        <v>6033</v>
      </c>
      <c r="G2125" s="11" t="s">
        <v>6034</v>
      </c>
      <c r="H2125" s="11" t="s">
        <v>6035</v>
      </c>
      <c r="I2125" s="11" t="s">
        <v>5829</v>
      </c>
    </row>
    <row r="2126" spans="1:9" x14ac:dyDescent="0.15">
      <c r="A2126" s="10">
        <v>2125</v>
      </c>
      <c r="B2126" s="11" t="s">
        <v>9</v>
      </c>
      <c r="C2126" s="11" t="s">
        <v>253</v>
      </c>
      <c r="D2126" s="11" t="s">
        <v>254</v>
      </c>
      <c r="E2126" s="9" t="str">
        <f>+HYPERLINK("http://trademark.i-assist.jp/data/china/image_1903th/79476690.pdf", "79476690")</f>
        <v>79476690</v>
      </c>
      <c r="F2126" s="11" t="s">
        <v>6036</v>
      </c>
      <c r="G2126" s="11" t="s">
        <v>5973</v>
      </c>
      <c r="H2126" s="11" t="s">
        <v>6037</v>
      </c>
      <c r="I2126" s="11" t="s">
        <v>5829</v>
      </c>
    </row>
    <row r="2127" spans="1:9" x14ac:dyDescent="0.15">
      <c r="A2127" s="10">
        <v>2126</v>
      </c>
      <c r="B2127" s="11" t="s">
        <v>9</v>
      </c>
      <c r="C2127" s="11" t="s">
        <v>253</v>
      </c>
      <c r="D2127" s="11" t="s">
        <v>254</v>
      </c>
      <c r="E2127" s="9" t="str">
        <f>+HYPERLINK("http://trademark.i-assist.jp/data/china/image_1903th/79476695.pdf", "79476695")</f>
        <v>79476695</v>
      </c>
      <c r="F2127" s="11" t="s">
        <v>6038</v>
      </c>
      <c r="G2127" s="11" t="s">
        <v>5973</v>
      </c>
      <c r="H2127" s="11" t="s">
        <v>6039</v>
      </c>
      <c r="I2127" s="11" t="s">
        <v>5829</v>
      </c>
    </row>
    <row r="2128" spans="1:9" x14ac:dyDescent="0.15">
      <c r="A2128" s="10">
        <v>2127</v>
      </c>
      <c r="B2128" s="11" t="s">
        <v>9</v>
      </c>
      <c r="C2128" s="11" t="s">
        <v>253</v>
      </c>
      <c r="D2128" s="11" t="s">
        <v>254</v>
      </c>
      <c r="E2128" s="9" t="str">
        <f>+HYPERLINK("http://trademark.i-assist.jp/data/china/image_1903th/79476868.pdf", "79476868")</f>
        <v>79476868</v>
      </c>
      <c r="F2128" s="11" t="s">
        <v>6040</v>
      </c>
      <c r="G2128" s="11" t="s">
        <v>6041</v>
      </c>
      <c r="H2128" s="11" t="s">
        <v>6042</v>
      </c>
      <c r="I2128" s="11" t="s">
        <v>5829</v>
      </c>
    </row>
    <row r="2129" spans="1:9" x14ac:dyDescent="0.15">
      <c r="A2129" s="10">
        <v>2128</v>
      </c>
      <c r="B2129" s="11" t="s">
        <v>9</v>
      </c>
      <c r="C2129" s="11" t="s">
        <v>253</v>
      </c>
      <c r="D2129" s="11" t="s">
        <v>254</v>
      </c>
      <c r="E2129" s="9" t="str">
        <f>+HYPERLINK("http://trademark.i-assist.jp/data/china/image_1903th/79478155.pdf", "79478155")</f>
        <v>79478155</v>
      </c>
      <c r="F2129" s="11" t="s">
        <v>6043</v>
      </c>
      <c r="G2129" s="11" t="s">
        <v>6044</v>
      </c>
      <c r="H2129" s="11" t="s">
        <v>6045</v>
      </c>
      <c r="I2129" s="11" t="s">
        <v>5829</v>
      </c>
    </row>
    <row r="2130" spans="1:9" x14ac:dyDescent="0.15">
      <c r="A2130" s="10">
        <v>2129</v>
      </c>
      <c r="B2130" s="11" t="s">
        <v>9</v>
      </c>
      <c r="C2130" s="11" t="s">
        <v>253</v>
      </c>
      <c r="D2130" s="11" t="s">
        <v>254</v>
      </c>
      <c r="E2130" s="9" t="str">
        <f>+HYPERLINK("http://trademark.i-assist.jp/data/china/image_1903th/79478302.pdf", "79478302")</f>
        <v>79478302</v>
      </c>
      <c r="F2130" s="11" t="s">
        <v>6046</v>
      </c>
      <c r="G2130" s="11" t="s">
        <v>5918</v>
      </c>
      <c r="H2130" s="11" t="s">
        <v>6047</v>
      </c>
      <c r="I2130" s="11" t="s">
        <v>5829</v>
      </c>
    </row>
    <row r="2131" spans="1:9" x14ac:dyDescent="0.15">
      <c r="A2131" s="10">
        <v>2130</v>
      </c>
      <c r="B2131" s="11" t="s">
        <v>9</v>
      </c>
      <c r="C2131" s="11" t="s">
        <v>253</v>
      </c>
      <c r="D2131" s="11" t="s">
        <v>254</v>
      </c>
      <c r="E2131" s="9" t="str">
        <f>+HYPERLINK("http://trademark.i-assist.jp/data/china/image_1903th/79478436.pdf", "79478436")</f>
        <v>79478436</v>
      </c>
      <c r="F2131" s="11" t="s">
        <v>6048</v>
      </c>
      <c r="G2131" s="11" t="s">
        <v>6049</v>
      </c>
      <c r="H2131" s="11" t="s">
        <v>6050</v>
      </c>
      <c r="I2131" s="11" t="s">
        <v>5829</v>
      </c>
    </row>
    <row r="2132" spans="1:9" x14ac:dyDescent="0.15">
      <c r="A2132" s="10">
        <v>2131</v>
      </c>
      <c r="B2132" s="11" t="s">
        <v>9</v>
      </c>
      <c r="C2132" s="11" t="s">
        <v>253</v>
      </c>
      <c r="D2132" s="11" t="s">
        <v>254</v>
      </c>
      <c r="E2132" s="9" t="str">
        <f>+HYPERLINK("http://trademark.i-assist.jp/data/china/image_1903th/79478891.pdf", "79478891")</f>
        <v>79478891</v>
      </c>
      <c r="F2132" s="11" t="s">
        <v>6051</v>
      </c>
      <c r="G2132" s="11" t="s">
        <v>5233</v>
      </c>
      <c r="H2132" s="11" t="s">
        <v>6052</v>
      </c>
      <c r="I2132" s="11" t="s">
        <v>5829</v>
      </c>
    </row>
    <row r="2133" spans="1:9" x14ac:dyDescent="0.15">
      <c r="A2133" s="10">
        <v>2132</v>
      </c>
      <c r="B2133" s="11" t="s">
        <v>9</v>
      </c>
      <c r="C2133" s="11" t="s">
        <v>253</v>
      </c>
      <c r="D2133" s="11" t="s">
        <v>254</v>
      </c>
      <c r="E2133" s="9" t="str">
        <f>+HYPERLINK("http://trademark.i-assist.jp/data/china/image_1903th/79479264.pdf", "79479264")</f>
        <v>79479264</v>
      </c>
      <c r="F2133" s="11" t="s">
        <v>6053</v>
      </c>
      <c r="G2133" s="11" t="s">
        <v>5931</v>
      </c>
      <c r="H2133" s="11" t="s">
        <v>6054</v>
      </c>
      <c r="I2133" s="11" t="s">
        <v>5829</v>
      </c>
    </row>
    <row r="2134" spans="1:9" x14ac:dyDescent="0.15">
      <c r="A2134" s="10">
        <v>2133</v>
      </c>
      <c r="B2134" s="11" t="s">
        <v>9</v>
      </c>
      <c r="C2134" s="11" t="s">
        <v>253</v>
      </c>
      <c r="D2134" s="11" t="s">
        <v>254</v>
      </c>
      <c r="E2134" s="9" t="str">
        <f>+HYPERLINK("http://trademark.i-assist.jp/data/china/image_1903th/79479283.pdf", "79479283")</f>
        <v>79479283</v>
      </c>
      <c r="F2134" s="11" t="s">
        <v>6055</v>
      </c>
      <c r="G2134" s="11" t="s">
        <v>5605</v>
      </c>
      <c r="H2134" s="11" t="s">
        <v>6056</v>
      </c>
      <c r="I2134" s="11" t="s">
        <v>5829</v>
      </c>
    </row>
    <row r="2135" spans="1:9" x14ac:dyDescent="0.15">
      <c r="A2135" s="10">
        <v>2134</v>
      </c>
      <c r="B2135" s="11" t="s">
        <v>9</v>
      </c>
      <c r="C2135" s="11" t="s">
        <v>253</v>
      </c>
      <c r="D2135" s="11" t="s">
        <v>254</v>
      </c>
      <c r="E2135" s="9" t="str">
        <f>+HYPERLINK("http://trademark.i-assist.jp/data/china/image_1903th/79479506.pdf", "79479506")</f>
        <v>79479506</v>
      </c>
      <c r="F2135" s="11" t="s">
        <v>6057</v>
      </c>
      <c r="G2135" s="11" t="s">
        <v>6058</v>
      </c>
      <c r="H2135" s="11" t="s">
        <v>6059</v>
      </c>
      <c r="I2135" s="11" t="s">
        <v>5829</v>
      </c>
    </row>
    <row r="2136" spans="1:9" x14ac:dyDescent="0.15">
      <c r="A2136" s="10">
        <v>2135</v>
      </c>
      <c r="B2136" s="11" t="s">
        <v>9</v>
      </c>
      <c r="C2136" s="11" t="s">
        <v>253</v>
      </c>
      <c r="D2136" s="11" t="s">
        <v>254</v>
      </c>
      <c r="E2136" s="9" t="str">
        <f>+HYPERLINK("http://trademark.i-assist.jp/data/china/image_1903th/79479898.pdf", "79479898")</f>
        <v>79479898</v>
      </c>
      <c r="F2136" s="11" t="s">
        <v>6060</v>
      </c>
      <c r="G2136" s="11" t="s">
        <v>6061</v>
      </c>
      <c r="H2136" s="11" t="s">
        <v>6062</v>
      </c>
      <c r="I2136" s="11" t="s">
        <v>5829</v>
      </c>
    </row>
    <row r="2137" spans="1:9" x14ac:dyDescent="0.15">
      <c r="A2137" s="10">
        <v>2136</v>
      </c>
      <c r="B2137" s="11" t="s">
        <v>9</v>
      </c>
      <c r="C2137" s="11" t="s">
        <v>253</v>
      </c>
      <c r="D2137" s="11" t="s">
        <v>254</v>
      </c>
      <c r="E2137" s="9" t="str">
        <f>+HYPERLINK("http://trademark.i-assist.jp/data/china/image_1903th/79480325.pdf", "79480325")</f>
        <v>79480325</v>
      </c>
      <c r="F2137" s="11" t="s">
        <v>6063</v>
      </c>
      <c r="G2137" s="11" t="s">
        <v>6064</v>
      </c>
      <c r="H2137" s="11" t="s">
        <v>6065</v>
      </c>
      <c r="I2137" s="11" t="s">
        <v>5829</v>
      </c>
    </row>
    <row r="2138" spans="1:9" x14ac:dyDescent="0.15">
      <c r="A2138" s="10">
        <v>2137</v>
      </c>
      <c r="B2138" s="11" t="s">
        <v>9</v>
      </c>
      <c r="C2138" s="11" t="s">
        <v>253</v>
      </c>
      <c r="D2138" s="11" t="s">
        <v>254</v>
      </c>
      <c r="E2138" s="9" t="str">
        <f>+HYPERLINK("http://trademark.i-assist.jp/data/china/image_1903th/79480932.pdf", "79480932")</f>
        <v>79480932</v>
      </c>
      <c r="F2138" s="11" t="s">
        <v>6066</v>
      </c>
      <c r="G2138" s="11" t="s">
        <v>6067</v>
      </c>
      <c r="H2138" s="11" t="s">
        <v>6068</v>
      </c>
      <c r="I2138" s="11" t="s">
        <v>5829</v>
      </c>
    </row>
    <row r="2139" spans="1:9" x14ac:dyDescent="0.15">
      <c r="A2139" s="10">
        <v>2138</v>
      </c>
      <c r="B2139" s="11" t="s">
        <v>9</v>
      </c>
      <c r="C2139" s="11" t="s">
        <v>253</v>
      </c>
      <c r="D2139" s="11" t="s">
        <v>254</v>
      </c>
      <c r="E2139" s="9" t="str">
        <f>+HYPERLINK("http://trademark.i-assist.jp/data/china/image_1903th/79481003.pdf", "79481003")</f>
        <v>79481003</v>
      </c>
      <c r="F2139" s="11" t="s">
        <v>6069</v>
      </c>
      <c r="G2139" s="11" t="s">
        <v>6070</v>
      </c>
      <c r="H2139" s="11" t="s">
        <v>6071</v>
      </c>
      <c r="I2139" s="11" t="s">
        <v>5829</v>
      </c>
    </row>
    <row r="2140" spans="1:9" x14ac:dyDescent="0.15">
      <c r="A2140" s="10">
        <v>2139</v>
      </c>
      <c r="B2140" s="11" t="s">
        <v>9</v>
      </c>
      <c r="C2140" s="11" t="s">
        <v>253</v>
      </c>
      <c r="D2140" s="11" t="s">
        <v>254</v>
      </c>
      <c r="E2140" s="9" t="str">
        <f>+HYPERLINK("http://trademark.i-assist.jp/data/china/image_1903th/79481225.pdf", "79481225")</f>
        <v>79481225</v>
      </c>
      <c r="F2140" s="11" t="s">
        <v>6072</v>
      </c>
      <c r="G2140" s="11" t="s">
        <v>6073</v>
      </c>
      <c r="H2140" s="11" t="s">
        <v>6074</v>
      </c>
      <c r="I2140" s="11" t="s">
        <v>5829</v>
      </c>
    </row>
    <row r="2141" spans="1:9" x14ac:dyDescent="0.15">
      <c r="A2141" s="10">
        <v>2140</v>
      </c>
      <c r="B2141" s="11" t="s">
        <v>9</v>
      </c>
      <c r="C2141" s="11" t="s">
        <v>253</v>
      </c>
      <c r="D2141" s="11" t="s">
        <v>254</v>
      </c>
      <c r="E2141" s="9" t="str">
        <f>+HYPERLINK("http://trademark.i-assist.jp/data/china/image_1903th/79481348.pdf", "79481348")</f>
        <v>79481348</v>
      </c>
      <c r="F2141" s="11" t="s">
        <v>6075</v>
      </c>
      <c r="G2141" s="11" t="s">
        <v>6076</v>
      </c>
      <c r="H2141" s="11" t="s">
        <v>6077</v>
      </c>
      <c r="I2141" s="11" t="s">
        <v>5829</v>
      </c>
    </row>
    <row r="2142" spans="1:9" x14ac:dyDescent="0.15">
      <c r="A2142" s="10">
        <v>2141</v>
      </c>
      <c r="B2142" s="11" t="s">
        <v>9</v>
      </c>
      <c r="C2142" s="11" t="s">
        <v>253</v>
      </c>
      <c r="D2142" s="11" t="s">
        <v>254</v>
      </c>
      <c r="E2142" s="9" t="str">
        <f>+HYPERLINK("http://trademark.i-assist.jp/data/china/image_1903th/79481406.pdf", "79481406")</f>
        <v>79481406</v>
      </c>
      <c r="F2142" s="11" t="s">
        <v>6078</v>
      </c>
      <c r="G2142" s="11" t="s">
        <v>6079</v>
      </c>
      <c r="H2142" s="11" t="s">
        <v>6080</v>
      </c>
      <c r="I2142" s="11" t="s">
        <v>5829</v>
      </c>
    </row>
    <row r="2143" spans="1:9" x14ac:dyDescent="0.15">
      <c r="A2143" s="10">
        <v>2142</v>
      </c>
      <c r="B2143" s="11" t="s">
        <v>9</v>
      </c>
      <c r="C2143" s="11" t="s">
        <v>253</v>
      </c>
      <c r="D2143" s="11" t="s">
        <v>254</v>
      </c>
      <c r="E2143" s="9" t="str">
        <f>+HYPERLINK("http://trademark.i-assist.jp/data/china/image_1903th/79481427.pdf", "79481427")</f>
        <v>79481427</v>
      </c>
      <c r="F2143" s="11" t="s">
        <v>6081</v>
      </c>
      <c r="G2143" s="11" t="s">
        <v>6082</v>
      </c>
      <c r="H2143" s="11" t="s">
        <v>6083</v>
      </c>
      <c r="I2143" s="11" t="s">
        <v>5829</v>
      </c>
    </row>
    <row r="2144" spans="1:9" x14ac:dyDescent="0.15">
      <c r="A2144" s="10">
        <v>2143</v>
      </c>
      <c r="B2144" s="11" t="s">
        <v>9</v>
      </c>
      <c r="C2144" s="11" t="s">
        <v>253</v>
      </c>
      <c r="D2144" s="11" t="s">
        <v>254</v>
      </c>
      <c r="E2144" s="9" t="str">
        <f>+HYPERLINK("http://trademark.i-assist.jp/data/china/image_1903th/79481782.pdf", "79481782")</f>
        <v>79481782</v>
      </c>
      <c r="F2144" s="11" t="s">
        <v>6084</v>
      </c>
      <c r="G2144" s="11" t="s">
        <v>6085</v>
      </c>
      <c r="H2144" s="11" t="s">
        <v>6086</v>
      </c>
      <c r="I2144" s="11" t="s">
        <v>5829</v>
      </c>
    </row>
    <row r="2145" spans="1:9" x14ac:dyDescent="0.15">
      <c r="A2145" s="10">
        <v>2144</v>
      </c>
      <c r="B2145" s="11" t="s">
        <v>9</v>
      </c>
      <c r="C2145" s="11" t="s">
        <v>253</v>
      </c>
      <c r="D2145" s="11" t="s">
        <v>254</v>
      </c>
      <c r="E2145" s="9" t="str">
        <f>+HYPERLINK("http://trademark.i-assist.jp/data/china/image_1903th/79482453.pdf", "79482453")</f>
        <v>79482453</v>
      </c>
      <c r="F2145" s="11" t="s">
        <v>6087</v>
      </c>
      <c r="G2145" s="11" t="s">
        <v>222</v>
      </c>
      <c r="H2145" s="11" t="s">
        <v>6088</v>
      </c>
      <c r="I2145" s="11" t="s">
        <v>5829</v>
      </c>
    </row>
    <row r="2146" spans="1:9" x14ac:dyDescent="0.15">
      <c r="A2146" s="10">
        <v>2145</v>
      </c>
      <c r="B2146" s="11" t="s">
        <v>9</v>
      </c>
      <c r="C2146" s="11" t="s">
        <v>253</v>
      </c>
      <c r="D2146" s="11" t="s">
        <v>254</v>
      </c>
      <c r="E2146" s="9" t="str">
        <f>+HYPERLINK("http://trademark.i-assist.jp/data/china/image_1903th/79482583.pdf", "79482583")</f>
        <v>79482583</v>
      </c>
      <c r="F2146" s="11" t="s">
        <v>6089</v>
      </c>
      <c r="G2146" s="11" t="s">
        <v>5898</v>
      </c>
      <c r="H2146" s="11" t="s">
        <v>6090</v>
      </c>
      <c r="I2146" s="11" t="s">
        <v>5829</v>
      </c>
    </row>
    <row r="2147" spans="1:9" x14ac:dyDescent="0.15">
      <c r="A2147" s="10">
        <v>2146</v>
      </c>
      <c r="B2147" s="11" t="s">
        <v>9</v>
      </c>
      <c r="C2147" s="11" t="s">
        <v>253</v>
      </c>
      <c r="D2147" s="11" t="s">
        <v>254</v>
      </c>
      <c r="E2147" s="9" t="str">
        <f>+HYPERLINK("http://trademark.i-assist.jp/data/china/image_1903th/79482644.pdf", "79482644")</f>
        <v>79482644</v>
      </c>
      <c r="F2147" s="11" t="s">
        <v>6091</v>
      </c>
      <c r="G2147" s="11" t="s">
        <v>6092</v>
      </c>
      <c r="H2147" s="11" t="s">
        <v>6093</v>
      </c>
      <c r="I2147" s="11" t="s">
        <v>5829</v>
      </c>
    </row>
    <row r="2148" spans="1:9" x14ac:dyDescent="0.15">
      <c r="A2148" s="10">
        <v>2147</v>
      </c>
      <c r="B2148" s="11" t="s">
        <v>9</v>
      </c>
      <c r="C2148" s="11" t="s">
        <v>253</v>
      </c>
      <c r="D2148" s="11" t="s">
        <v>254</v>
      </c>
      <c r="E2148" s="9" t="str">
        <f>+HYPERLINK("http://trademark.i-assist.jp/data/china/image_1903th/79482718.pdf", "79482718")</f>
        <v>79482718</v>
      </c>
      <c r="F2148" s="11" t="s">
        <v>6094</v>
      </c>
      <c r="G2148" s="11" t="s">
        <v>6095</v>
      </c>
      <c r="H2148" s="11" t="s">
        <v>6096</v>
      </c>
      <c r="I2148" s="11" t="s">
        <v>5829</v>
      </c>
    </row>
    <row r="2149" spans="1:9" x14ac:dyDescent="0.15">
      <c r="A2149" s="10">
        <v>2148</v>
      </c>
      <c r="B2149" s="11" t="s">
        <v>9</v>
      </c>
      <c r="C2149" s="11" t="s">
        <v>253</v>
      </c>
      <c r="D2149" s="11" t="s">
        <v>254</v>
      </c>
      <c r="E2149" s="9" t="str">
        <f>+HYPERLINK("http://trademark.i-assist.jp/data/china/image_1903th/79482782.pdf", "79482782")</f>
        <v>79482782</v>
      </c>
      <c r="F2149" s="11" t="s">
        <v>6097</v>
      </c>
      <c r="G2149" s="11" t="s">
        <v>6098</v>
      </c>
      <c r="H2149" s="11" t="s">
        <v>6099</v>
      </c>
      <c r="I2149" s="11" t="s">
        <v>5829</v>
      </c>
    </row>
    <row r="2150" spans="1:9" x14ac:dyDescent="0.15">
      <c r="A2150" s="10">
        <v>2149</v>
      </c>
      <c r="B2150" s="11" t="s">
        <v>9</v>
      </c>
      <c r="C2150" s="11" t="s">
        <v>253</v>
      </c>
      <c r="D2150" s="11" t="s">
        <v>254</v>
      </c>
      <c r="E2150" s="9" t="str">
        <f>+HYPERLINK("http://trademark.i-assist.jp/data/china/image_1903th/79482857.pdf", "79482857")</f>
        <v>79482857</v>
      </c>
      <c r="F2150" s="11" t="s">
        <v>6100</v>
      </c>
      <c r="G2150" s="11" t="s">
        <v>6101</v>
      </c>
      <c r="H2150" s="11" t="s">
        <v>6102</v>
      </c>
      <c r="I2150" s="11" t="s">
        <v>5829</v>
      </c>
    </row>
    <row r="2151" spans="1:9" x14ac:dyDescent="0.15">
      <c r="A2151" s="10">
        <v>2150</v>
      </c>
      <c r="B2151" s="11" t="s">
        <v>9</v>
      </c>
      <c r="C2151" s="11" t="s">
        <v>253</v>
      </c>
      <c r="D2151" s="11" t="s">
        <v>254</v>
      </c>
      <c r="E2151" s="9" t="str">
        <f>+HYPERLINK("http://trademark.i-assist.jp/data/china/image_1903th/79483217.pdf", "79483217")</f>
        <v>79483217</v>
      </c>
      <c r="F2151" s="11" t="s">
        <v>6103</v>
      </c>
      <c r="G2151" s="11" t="s">
        <v>6104</v>
      </c>
      <c r="H2151" s="11" t="s">
        <v>6105</v>
      </c>
      <c r="I2151" s="11" t="s">
        <v>5829</v>
      </c>
    </row>
    <row r="2152" spans="1:9" x14ac:dyDescent="0.15">
      <c r="A2152" s="10">
        <v>2151</v>
      </c>
      <c r="B2152" s="11" t="s">
        <v>9</v>
      </c>
      <c r="C2152" s="11" t="s">
        <v>253</v>
      </c>
      <c r="D2152" s="11" t="s">
        <v>254</v>
      </c>
      <c r="E2152" s="9" t="str">
        <f>+HYPERLINK("http://trademark.i-assist.jp/data/china/image_1903th/79483596.pdf", "79483596")</f>
        <v>79483596</v>
      </c>
      <c r="F2152" s="11" t="s">
        <v>12</v>
      </c>
      <c r="G2152" s="11" t="s">
        <v>6106</v>
      </c>
      <c r="H2152" s="11" t="s">
        <v>6107</v>
      </c>
      <c r="I2152" s="11" t="s">
        <v>5829</v>
      </c>
    </row>
    <row r="2153" spans="1:9" x14ac:dyDescent="0.15">
      <c r="A2153" s="10">
        <v>2152</v>
      </c>
      <c r="B2153" s="11" t="s">
        <v>9</v>
      </c>
      <c r="C2153" s="11" t="s">
        <v>253</v>
      </c>
      <c r="D2153" s="11" t="s">
        <v>254</v>
      </c>
      <c r="E2153" s="9" t="str">
        <f>+HYPERLINK("http://trademark.i-assist.jp/data/china/image_1903th/79483856.pdf", "79483856")</f>
        <v>79483856</v>
      </c>
      <c r="F2153" s="11" t="s">
        <v>6108</v>
      </c>
      <c r="G2153" s="11" t="s">
        <v>6109</v>
      </c>
      <c r="H2153" s="11" t="s">
        <v>6110</v>
      </c>
      <c r="I2153" s="11" t="s">
        <v>5829</v>
      </c>
    </row>
    <row r="2154" spans="1:9" x14ac:dyDescent="0.15">
      <c r="A2154" s="10">
        <v>2153</v>
      </c>
      <c r="B2154" s="11" t="s">
        <v>9</v>
      </c>
      <c r="C2154" s="11" t="s">
        <v>253</v>
      </c>
      <c r="D2154" s="11" t="s">
        <v>254</v>
      </c>
      <c r="E2154" s="9" t="str">
        <f>+HYPERLINK("http://trademark.i-assist.jp/data/china/image_1903th/79483866.pdf", "79483866")</f>
        <v>79483866</v>
      </c>
      <c r="F2154" s="11" t="s">
        <v>12</v>
      </c>
      <c r="G2154" s="11" t="s">
        <v>6111</v>
      </c>
      <c r="H2154" s="11" t="s">
        <v>6112</v>
      </c>
      <c r="I2154" s="11" t="s">
        <v>5829</v>
      </c>
    </row>
    <row r="2155" spans="1:9" x14ac:dyDescent="0.15">
      <c r="A2155" s="10">
        <v>2154</v>
      </c>
      <c r="B2155" s="11" t="s">
        <v>9</v>
      </c>
      <c r="C2155" s="11" t="s">
        <v>253</v>
      </c>
      <c r="D2155" s="11" t="s">
        <v>254</v>
      </c>
      <c r="E2155" s="9" t="str">
        <f>+HYPERLINK("http://trademark.i-assist.jp/data/china/image_1903th/79483957.pdf", "79483957")</f>
        <v>79483957</v>
      </c>
      <c r="F2155" s="11" t="s">
        <v>6113</v>
      </c>
      <c r="G2155" s="11" t="s">
        <v>6114</v>
      </c>
      <c r="H2155" s="11" t="s">
        <v>6115</v>
      </c>
      <c r="I2155" s="11" t="s">
        <v>5829</v>
      </c>
    </row>
    <row r="2156" spans="1:9" x14ac:dyDescent="0.15">
      <c r="A2156" s="10">
        <v>2155</v>
      </c>
      <c r="B2156" s="11" t="s">
        <v>9</v>
      </c>
      <c r="C2156" s="11" t="s">
        <v>253</v>
      </c>
      <c r="D2156" s="11" t="s">
        <v>254</v>
      </c>
      <c r="E2156" s="9" t="str">
        <f>+HYPERLINK("http://trademark.i-assist.jp/data/china/image_1903th/79483978.pdf", "79483978")</f>
        <v>79483978</v>
      </c>
      <c r="F2156" s="11" t="s">
        <v>6116</v>
      </c>
      <c r="G2156" s="11" t="s">
        <v>6117</v>
      </c>
      <c r="H2156" s="11" t="s">
        <v>6118</v>
      </c>
      <c r="I2156" s="11" t="s">
        <v>5829</v>
      </c>
    </row>
    <row r="2157" spans="1:9" x14ac:dyDescent="0.15">
      <c r="A2157" s="10">
        <v>2156</v>
      </c>
      <c r="B2157" s="11" t="s">
        <v>9</v>
      </c>
      <c r="C2157" s="11" t="s">
        <v>253</v>
      </c>
      <c r="D2157" s="11" t="s">
        <v>254</v>
      </c>
      <c r="E2157" s="9" t="str">
        <f>+HYPERLINK("http://trademark.i-assist.jp/data/china/image_1903th/79483983.pdf", "79483983")</f>
        <v>79483983</v>
      </c>
      <c r="F2157" s="11" t="s">
        <v>6119</v>
      </c>
      <c r="G2157" s="11" t="s">
        <v>5898</v>
      </c>
      <c r="H2157" s="11" t="s">
        <v>6120</v>
      </c>
      <c r="I2157" s="11" t="s">
        <v>5829</v>
      </c>
    </row>
    <row r="2158" spans="1:9" x14ac:dyDescent="0.15">
      <c r="A2158" s="10">
        <v>2157</v>
      </c>
      <c r="B2158" s="11" t="s">
        <v>9</v>
      </c>
      <c r="C2158" s="11" t="s">
        <v>253</v>
      </c>
      <c r="D2158" s="11" t="s">
        <v>254</v>
      </c>
      <c r="E2158" s="9" t="str">
        <f>+HYPERLINK("http://trademark.i-assist.jp/data/china/image_1903th/79484026.pdf", "79484026")</f>
        <v>79484026</v>
      </c>
      <c r="F2158" s="11" t="s">
        <v>6121</v>
      </c>
      <c r="G2158" s="11" t="s">
        <v>6122</v>
      </c>
      <c r="H2158" s="11" t="s">
        <v>6123</v>
      </c>
      <c r="I2158" s="11" t="s">
        <v>5829</v>
      </c>
    </row>
    <row r="2159" spans="1:9" x14ac:dyDescent="0.15">
      <c r="A2159" s="10">
        <v>2158</v>
      </c>
      <c r="B2159" s="11" t="s">
        <v>9</v>
      </c>
      <c r="C2159" s="11" t="s">
        <v>253</v>
      </c>
      <c r="D2159" s="11" t="s">
        <v>254</v>
      </c>
      <c r="E2159" s="9" t="str">
        <f>+HYPERLINK("http://trademark.i-assist.jp/data/china/image_1903th/79484321.pdf", "79484321")</f>
        <v>79484321</v>
      </c>
      <c r="F2159" s="11" t="s">
        <v>6124</v>
      </c>
      <c r="G2159" s="11" t="s">
        <v>6125</v>
      </c>
      <c r="H2159" s="11" t="s">
        <v>6126</v>
      </c>
      <c r="I2159" s="11" t="s">
        <v>5829</v>
      </c>
    </row>
    <row r="2160" spans="1:9" x14ac:dyDescent="0.15">
      <c r="A2160" s="10">
        <v>2159</v>
      </c>
      <c r="B2160" s="11" t="s">
        <v>9</v>
      </c>
      <c r="C2160" s="11" t="s">
        <v>253</v>
      </c>
      <c r="D2160" s="11" t="s">
        <v>254</v>
      </c>
      <c r="E2160" s="9" t="str">
        <f>+HYPERLINK("http://trademark.i-assist.jp/data/china/image_1903th/79484407.pdf", "79484407")</f>
        <v>79484407</v>
      </c>
      <c r="F2160" s="11" t="s">
        <v>6127</v>
      </c>
      <c r="G2160" s="11" t="s">
        <v>5931</v>
      </c>
      <c r="H2160" s="11" t="s">
        <v>6128</v>
      </c>
      <c r="I2160" s="11" t="s">
        <v>5829</v>
      </c>
    </row>
    <row r="2161" spans="1:9" x14ac:dyDescent="0.15">
      <c r="A2161" s="10">
        <v>2160</v>
      </c>
      <c r="B2161" s="11" t="s">
        <v>9</v>
      </c>
      <c r="C2161" s="11" t="s">
        <v>253</v>
      </c>
      <c r="D2161" s="11" t="s">
        <v>254</v>
      </c>
      <c r="E2161" s="9" t="str">
        <f>+HYPERLINK("http://trademark.i-assist.jp/data/china/image_1903th/79484819.pdf", "79484819")</f>
        <v>79484819</v>
      </c>
      <c r="F2161" s="11" t="s">
        <v>6129</v>
      </c>
      <c r="G2161" s="11" t="s">
        <v>6130</v>
      </c>
      <c r="H2161" s="11" t="s">
        <v>6131</v>
      </c>
      <c r="I2161" s="11" t="s">
        <v>5829</v>
      </c>
    </row>
    <row r="2162" spans="1:9" x14ac:dyDescent="0.15">
      <c r="A2162" s="10">
        <v>2161</v>
      </c>
      <c r="B2162" s="11" t="s">
        <v>9</v>
      </c>
      <c r="C2162" s="11" t="s">
        <v>253</v>
      </c>
      <c r="D2162" s="11" t="s">
        <v>254</v>
      </c>
      <c r="E2162" s="9" t="str">
        <f>+HYPERLINK("http://trademark.i-assist.jp/data/china/image_1903th/79484933.pdf", "79484933")</f>
        <v>79484933</v>
      </c>
      <c r="F2162" s="11" t="s">
        <v>6132</v>
      </c>
      <c r="G2162" s="11" t="s">
        <v>6133</v>
      </c>
      <c r="H2162" s="11" t="s">
        <v>6134</v>
      </c>
      <c r="I2162" s="11" t="s">
        <v>5829</v>
      </c>
    </row>
    <row r="2163" spans="1:9" x14ac:dyDescent="0.15">
      <c r="A2163" s="10">
        <v>2162</v>
      </c>
      <c r="B2163" s="11" t="s">
        <v>9</v>
      </c>
      <c r="C2163" s="11" t="s">
        <v>253</v>
      </c>
      <c r="D2163" s="11" t="s">
        <v>254</v>
      </c>
      <c r="E2163" s="9" t="str">
        <f>+HYPERLINK("http://trademark.i-assist.jp/data/china/image_1903th/79484993.pdf", "79484993")</f>
        <v>79484993</v>
      </c>
      <c r="F2163" s="11" t="s">
        <v>6135</v>
      </c>
      <c r="G2163" s="11" t="s">
        <v>6136</v>
      </c>
      <c r="H2163" s="11" t="s">
        <v>6137</v>
      </c>
      <c r="I2163" s="11" t="s">
        <v>5829</v>
      </c>
    </row>
    <row r="2164" spans="1:9" x14ac:dyDescent="0.15">
      <c r="A2164" s="10">
        <v>2163</v>
      </c>
      <c r="B2164" s="11" t="s">
        <v>9</v>
      </c>
      <c r="C2164" s="11" t="s">
        <v>253</v>
      </c>
      <c r="D2164" s="11" t="s">
        <v>254</v>
      </c>
      <c r="E2164" s="9" t="str">
        <f>+HYPERLINK("http://trademark.i-assist.jp/data/china/image_1903th/79485041.pdf", "79485041")</f>
        <v>79485041</v>
      </c>
      <c r="F2164" s="11" t="s">
        <v>6138</v>
      </c>
      <c r="G2164" s="11" t="s">
        <v>6139</v>
      </c>
      <c r="H2164" s="11" t="s">
        <v>6140</v>
      </c>
      <c r="I2164" s="11" t="s">
        <v>5829</v>
      </c>
    </row>
    <row r="2165" spans="1:9" x14ac:dyDescent="0.15">
      <c r="A2165" s="10">
        <v>2164</v>
      </c>
      <c r="B2165" s="11" t="s">
        <v>9</v>
      </c>
      <c r="C2165" s="11" t="s">
        <v>253</v>
      </c>
      <c r="D2165" s="11" t="s">
        <v>254</v>
      </c>
      <c r="E2165" s="9" t="str">
        <f>+HYPERLINK("http://trademark.i-assist.jp/data/china/image_1903th/79485431.pdf", "79485431")</f>
        <v>79485431</v>
      </c>
      <c r="F2165" s="11" t="s">
        <v>6141</v>
      </c>
      <c r="G2165" s="11" t="s">
        <v>6142</v>
      </c>
      <c r="H2165" s="11" t="s">
        <v>6143</v>
      </c>
      <c r="I2165" s="11" t="s">
        <v>5829</v>
      </c>
    </row>
    <row r="2166" spans="1:9" x14ac:dyDescent="0.15">
      <c r="A2166" s="10">
        <v>2165</v>
      </c>
      <c r="B2166" s="11" t="s">
        <v>9</v>
      </c>
      <c r="C2166" s="11" t="s">
        <v>253</v>
      </c>
      <c r="D2166" s="11" t="s">
        <v>254</v>
      </c>
      <c r="E2166" s="9" t="str">
        <f>+HYPERLINK("http://trademark.i-assist.jp/data/china/image_1903th/79485446.pdf", "79485446")</f>
        <v>79485446</v>
      </c>
      <c r="F2166" s="11" t="s">
        <v>6144</v>
      </c>
      <c r="G2166" s="11" t="s">
        <v>6145</v>
      </c>
      <c r="H2166" s="11" t="s">
        <v>6146</v>
      </c>
      <c r="I2166" s="11" t="s">
        <v>5829</v>
      </c>
    </row>
    <row r="2167" spans="1:9" x14ac:dyDescent="0.15">
      <c r="A2167" s="10">
        <v>2166</v>
      </c>
      <c r="B2167" s="11" t="s">
        <v>9</v>
      </c>
      <c r="C2167" s="11" t="s">
        <v>253</v>
      </c>
      <c r="D2167" s="11" t="s">
        <v>254</v>
      </c>
      <c r="E2167" s="9" t="str">
        <f>+HYPERLINK("http://trademark.i-assist.jp/data/china/image_1903th/79485494.pdf", "79485494")</f>
        <v>79485494</v>
      </c>
      <c r="F2167" s="11" t="s">
        <v>6147</v>
      </c>
      <c r="G2167" s="11" t="s">
        <v>6148</v>
      </c>
      <c r="H2167" s="11" t="s">
        <v>6149</v>
      </c>
      <c r="I2167" s="11" t="s">
        <v>5829</v>
      </c>
    </row>
    <row r="2168" spans="1:9" x14ac:dyDescent="0.15">
      <c r="A2168" s="10">
        <v>2167</v>
      </c>
      <c r="B2168" s="11" t="s">
        <v>9</v>
      </c>
      <c r="C2168" s="11" t="s">
        <v>253</v>
      </c>
      <c r="D2168" s="11" t="s">
        <v>254</v>
      </c>
      <c r="E2168" s="9" t="str">
        <f>+HYPERLINK("http://trademark.i-assist.jp/data/china/image_1903th/79485630.pdf", "79485630")</f>
        <v>79485630</v>
      </c>
      <c r="F2168" s="11" t="s">
        <v>6150</v>
      </c>
      <c r="G2168" s="11" t="s">
        <v>5931</v>
      </c>
      <c r="H2168" s="11" t="s">
        <v>6151</v>
      </c>
      <c r="I2168" s="11" t="s">
        <v>5829</v>
      </c>
    </row>
    <row r="2169" spans="1:9" x14ac:dyDescent="0.15">
      <c r="A2169" s="10">
        <v>2168</v>
      </c>
      <c r="B2169" s="11" t="s">
        <v>9</v>
      </c>
      <c r="C2169" s="11" t="s">
        <v>253</v>
      </c>
      <c r="D2169" s="11" t="s">
        <v>254</v>
      </c>
      <c r="E2169" s="9" t="str">
        <f>+HYPERLINK("http://trademark.i-assist.jp/data/china/image_1903th/79485702.pdf", "79485702")</f>
        <v>79485702</v>
      </c>
      <c r="F2169" s="11" t="s">
        <v>6152</v>
      </c>
      <c r="G2169" s="11" t="s">
        <v>6153</v>
      </c>
      <c r="H2169" s="11" t="s">
        <v>6154</v>
      </c>
      <c r="I2169" s="11" t="s">
        <v>5829</v>
      </c>
    </row>
    <row r="2170" spans="1:9" x14ac:dyDescent="0.15">
      <c r="A2170" s="10">
        <v>2169</v>
      </c>
      <c r="B2170" s="11" t="s">
        <v>9</v>
      </c>
      <c r="C2170" s="11" t="s">
        <v>253</v>
      </c>
      <c r="D2170" s="11" t="s">
        <v>254</v>
      </c>
      <c r="E2170" s="9" t="str">
        <f>+HYPERLINK("http://trademark.i-assist.jp/data/china/image_1903th/79486066.pdf", "79486066")</f>
        <v>79486066</v>
      </c>
      <c r="F2170" s="11" t="s">
        <v>6155</v>
      </c>
      <c r="G2170" s="11" t="s">
        <v>5233</v>
      </c>
      <c r="H2170" s="11" t="s">
        <v>6156</v>
      </c>
      <c r="I2170" s="11" t="s">
        <v>5829</v>
      </c>
    </row>
    <row r="2171" spans="1:9" x14ac:dyDescent="0.15">
      <c r="A2171" s="10">
        <v>2170</v>
      </c>
      <c r="B2171" s="11" t="s">
        <v>9</v>
      </c>
      <c r="C2171" s="11" t="s">
        <v>253</v>
      </c>
      <c r="D2171" s="11" t="s">
        <v>254</v>
      </c>
      <c r="E2171" s="9" t="str">
        <f>+HYPERLINK("http://trademark.i-assist.jp/data/china/image_1903th/79486245.pdf", "79486245")</f>
        <v>79486245</v>
      </c>
      <c r="F2171" s="11" t="s">
        <v>6157</v>
      </c>
      <c r="G2171" s="11" t="s">
        <v>6158</v>
      </c>
      <c r="H2171" s="11" t="s">
        <v>6159</v>
      </c>
      <c r="I2171" s="11" t="s">
        <v>5829</v>
      </c>
    </row>
    <row r="2172" spans="1:9" x14ac:dyDescent="0.15">
      <c r="A2172" s="10">
        <v>2171</v>
      </c>
      <c r="B2172" s="11" t="s">
        <v>9</v>
      </c>
      <c r="C2172" s="11" t="s">
        <v>253</v>
      </c>
      <c r="D2172" s="11" t="s">
        <v>254</v>
      </c>
      <c r="E2172" s="9" t="str">
        <f>+HYPERLINK("http://trademark.i-assist.jp/data/china/image_1903th/79486266.pdf", "79486266")</f>
        <v>79486266</v>
      </c>
      <c r="F2172" s="11" t="s">
        <v>6160</v>
      </c>
      <c r="G2172" s="11" t="s">
        <v>6161</v>
      </c>
      <c r="H2172" s="11" t="s">
        <v>6162</v>
      </c>
      <c r="I2172" s="11" t="s">
        <v>5829</v>
      </c>
    </row>
    <row r="2173" spans="1:9" x14ac:dyDescent="0.15">
      <c r="A2173" s="10">
        <v>2172</v>
      </c>
      <c r="B2173" s="11" t="s">
        <v>9</v>
      </c>
      <c r="C2173" s="11" t="s">
        <v>253</v>
      </c>
      <c r="D2173" s="11" t="s">
        <v>254</v>
      </c>
      <c r="E2173" s="9" t="str">
        <f>+HYPERLINK("http://trademark.i-assist.jp/data/china/image_1903th/79486408.pdf", "79486408")</f>
        <v>79486408</v>
      </c>
      <c r="F2173" s="11" t="s">
        <v>6163</v>
      </c>
      <c r="G2173" s="11" t="s">
        <v>5953</v>
      </c>
      <c r="H2173" s="11" t="s">
        <v>6164</v>
      </c>
      <c r="I2173" s="11" t="s">
        <v>5829</v>
      </c>
    </row>
    <row r="2174" spans="1:9" x14ac:dyDescent="0.15">
      <c r="A2174" s="10">
        <v>2173</v>
      </c>
      <c r="B2174" s="11" t="s">
        <v>9</v>
      </c>
      <c r="C2174" s="11" t="s">
        <v>253</v>
      </c>
      <c r="D2174" s="11" t="s">
        <v>254</v>
      </c>
      <c r="E2174" s="9" t="str">
        <f>+HYPERLINK("http://trademark.i-assist.jp/data/china/image_1903th/79486521.pdf", "79486521")</f>
        <v>79486521</v>
      </c>
      <c r="F2174" s="11" t="s">
        <v>6165</v>
      </c>
      <c r="G2174" s="11" t="s">
        <v>6166</v>
      </c>
      <c r="H2174" s="11" t="s">
        <v>6167</v>
      </c>
      <c r="I2174" s="11" t="s">
        <v>5829</v>
      </c>
    </row>
    <row r="2175" spans="1:9" x14ac:dyDescent="0.15">
      <c r="A2175" s="10">
        <v>2174</v>
      </c>
      <c r="B2175" s="11" t="s">
        <v>9</v>
      </c>
      <c r="C2175" s="11" t="s">
        <v>253</v>
      </c>
      <c r="D2175" s="11" t="s">
        <v>254</v>
      </c>
      <c r="E2175" s="9" t="str">
        <f>+HYPERLINK("http://trademark.i-assist.jp/data/china/image_1903th/79486550.pdf", "79486550")</f>
        <v>79486550</v>
      </c>
      <c r="F2175" s="11" t="s">
        <v>6168</v>
      </c>
      <c r="G2175" s="11" t="s">
        <v>6169</v>
      </c>
      <c r="H2175" s="11" t="s">
        <v>6170</v>
      </c>
      <c r="I2175" s="11" t="s">
        <v>5829</v>
      </c>
    </row>
    <row r="2176" spans="1:9" x14ac:dyDescent="0.15">
      <c r="A2176" s="10">
        <v>2175</v>
      </c>
      <c r="B2176" s="11" t="s">
        <v>9</v>
      </c>
      <c r="C2176" s="11" t="s">
        <v>253</v>
      </c>
      <c r="D2176" s="11" t="s">
        <v>254</v>
      </c>
      <c r="E2176" s="9" t="str">
        <f>+HYPERLINK("http://trademark.i-assist.jp/data/china/image_1903th/79486689.pdf", "79486689")</f>
        <v>79486689</v>
      </c>
      <c r="F2176" s="11" t="s">
        <v>6171</v>
      </c>
      <c r="G2176" s="11" t="s">
        <v>6172</v>
      </c>
      <c r="H2176" s="11" t="s">
        <v>6173</v>
      </c>
      <c r="I2176" s="11" t="s">
        <v>5829</v>
      </c>
    </row>
    <row r="2177" spans="1:9" x14ac:dyDescent="0.15">
      <c r="A2177" s="10">
        <v>2176</v>
      </c>
      <c r="B2177" s="11" t="s">
        <v>9</v>
      </c>
      <c r="C2177" s="11" t="s">
        <v>253</v>
      </c>
      <c r="D2177" s="11" t="s">
        <v>254</v>
      </c>
      <c r="E2177" s="9" t="str">
        <f>+HYPERLINK("http://trademark.i-assist.jp/data/china/image_1903th/79486780.pdf", "79486780")</f>
        <v>79486780</v>
      </c>
      <c r="F2177" s="11" t="s">
        <v>6174</v>
      </c>
      <c r="G2177" s="11" t="s">
        <v>5918</v>
      </c>
      <c r="H2177" s="11" t="s">
        <v>6175</v>
      </c>
      <c r="I2177" s="11" t="s">
        <v>5829</v>
      </c>
    </row>
    <row r="2178" spans="1:9" x14ac:dyDescent="0.15">
      <c r="A2178" s="10">
        <v>2177</v>
      </c>
      <c r="B2178" s="11" t="s">
        <v>9</v>
      </c>
      <c r="C2178" s="11" t="s">
        <v>253</v>
      </c>
      <c r="D2178" s="11" t="s">
        <v>254</v>
      </c>
      <c r="E2178" s="9" t="str">
        <f>+HYPERLINK("http://trademark.i-assist.jp/data/china/image_1903th/79487034.pdf", "79487034")</f>
        <v>79487034</v>
      </c>
      <c r="F2178" s="11" t="s">
        <v>12</v>
      </c>
      <c r="G2178" s="11" t="s">
        <v>206</v>
      </c>
      <c r="H2178" s="11" t="s">
        <v>6176</v>
      </c>
      <c r="I2178" s="11" t="s">
        <v>5829</v>
      </c>
    </row>
    <row r="2179" spans="1:9" x14ac:dyDescent="0.15">
      <c r="A2179" s="10">
        <v>2178</v>
      </c>
      <c r="B2179" s="11" t="s">
        <v>9</v>
      </c>
      <c r="C2179" s="11" t="s">
        <v>253</v>
      </c>
      <c r="D2179" s="11" t="s">
        <v>254</v>
      </c>
      <c r="E2179" s="9" t="str">
        <f>+HYPERLINK("http://trademark.i-assist.jp/data/china/image_1903th/79487346.pdf", "79487346")</f>
        <v>79487346</v>
      </c>
      <c r="F2179" s="11" t="s">
        <v>6177</v>
      </c>
      <c r="G2179" s="11" t="s">
        <v>6178</v>
      </c>
      <c r="H2179" s="11" t="s">
        <v>6179</v>
      </c>
      <c r="I2179" s="11" t="s">
        <v>5829</v>
      </c>
    </row>
    <row r="2180" spans="1:9" x14ac:dyDescent="0.15">
      <c r="A2180" s="10">
        <v>2179</v>
      </c>
      <c r="B2180" s="11" t="s">
        <v>9</v>
      </c>
      <c r="C2180" s="11" t="s">
        <v>253</v>
      </c>
      <c r="D2180" s="11" t="s">
        <v>254</v>
      </c>
      <c r="E2180" s="9" t="str">
        <f>+HYPERLINK("http://trademark.i-assist.jp/data/china/image_1903th/79487355.pdf", "79487355")</f>
        <v>79487355</v>
      </c>
      <c r="F2180" s="11" t="s">
        <v>6180</v>
      </c>
      <c r="G2180" s="11" t="s">
        <v>6181</v>
      </c>
      <c r="H2180" s="11" t="s">
        <v>6182</v>
      </c>
      <c r="I2180" s="11" t="s">
        <v>5829</v>
      </c>
    </row>
    <row r="2181" spans="1:9" x14ac:dyDescent="0.15">
      <c r="A2181" s="10">
        <v>2180</v>
      </c>
      <c r="B2181" s="11" t="s">
        <v>9</v>
      </c>
      <c r="C2181" s="11" t="s">
        <v>253</v>
      </c>
      <c r="D2181" s="11" t="s">
        <v>254</v>
      </c>
      <c r="E2181" s="9" t="str">
        <f>+HYPERLINK("http://trademark.i-assist.jp/data/china/image_1903th/79487774.pdf", "79487774")</f>
        <v>79487774</v>
      </c>
      <c r="F2181" s="11" t="s">
        <v>6183</v>
      </c>
      <c r="G2181" s="11" t="s">
        <v>6184</v>
      </c>
      <c r="H2181" s="11" t="s">
        <v>6185</v>
      </c>
      <c r="I2181" s="11" t="s">
        <v>5829</v>
      </c>
    </row>
    <row r="2182" spans="1:9" x14ac:dyDescent="0.15">
      <c r="A2182" s="10">
        <v>2181</v>
      </c>
      <c r="B2182" s="11" t="s">
        <v>9</v>
      </c>
      <c r="C2182" s="11" t="s">
        <v>253</v>
      </c>
      <c r="D2182" s="11" t="s">
        <v>254</v>
      </c>
      <c r="E2182" s="9" t="str">
        <f>+HYPERLINK("http://trademark.i-assist.jp/data/china/image_1903th/79487787.pdf", "79487787")</f>
        <v>79487787</v>
      </c>
      <c r="F2182" s="11" t="s">
        <v>6186</v>
      </c>
      <c r="G2182" s="11" t="s">
        <v>6187</v>
      </c>
      <c r="H2182" s="11" t="s">
        <v>6188</v>
      </c>
      <c r="I2182" s="11" t="s">
        <v>5829</v>
      </c>
    </row>
    <row r="2183" spans="1:9" x14ac:dyDescent="0.15">
      <c r="A2183" s="10">
        <v>2182</v>
      </c>
      <c r="B2183" s="11" t="s">
        <v>9</v>
      </c>
      <c r="C2183" s="11" t="s">
        <v>253</v>
      </c>
      <c r="D2183" s="11" t="s">
        <v>254</v>
      </c>
      <c r="E2183" s="9" t="str">
        <f>+HYPERLINK("http://trademark.i-assist.jp/data/china/image_1903th/79487818.pdf", "79487818")</f>
        <v>79487818</v>
      </c>
      <c r="F2183" s="11" t="s">
        <v>6189</v>
      </c>
      <c r="G2183" s="11" t="s">
        <v>6190</v>
      </c>
      <c r="H2183" s="11" t="s">
        <v>6191</v>
      </c>
      <c r="I2183" s="11" t="s">
        <v>5829</v>
      </c>
    </row>
    <row r="2184" spans="1:9" x14ac:dyDescent="0.15">
      <c r="A2184" s="10">
        <v>2183</v>
      </c>
      <c r="B2184" s="11" t="s">
        <v>9</v>
      </c>
      <c r="C2184" s="11" t="s">
        <v>253</v>
      </c>
      <c r="D2184" s="11" t="s">
        <v>254</v>
      </c>
      <c r="E2184" s="9" t="str">
        <f>+HYPERLINK("http://trademark.i-assist.jp/data/china/image_1903th/79488319.pdf", "79488319")</f>
        <v>79488319</v>
      </c>
      <c r="F2184" s="11" t="s">
        <v>6192</v>
      </c>
      <c r="G2184" s="11" t="s">
        <v>6193</v>
      </c>
      <c r="H2184" s="11" t="s">
        <v>20</v>
      </c>
      <c r="I2184" s="11" t="s">
        <v>6194</v>
      </c>
    </row>
    <row r="2185" spans="1:9" x14ac:dyDescent="0.15">
      <c r="A2185" s="10">
        <v>2184</v>
      </c>
      <c r="B2185" s="11" t="s">
        <v>9</v>
      </c>
      <c r="C2185" s="11" t="s">
        <v>253</v>
      </c>
      <c r="D2185" s="11" t="s">
        <v>254</v>
      </c>
      <c r="E2185" s="9" t="str">
        <f>+HYPERLINK("http://trademark.i-assist.jp/data/china/image_1903th/79488393.pdf", "79488393")</f>
        <v>79488393</v>
      </c>
      <c r="F2185" s="11" t="s">
        <v>6195</v>
      </c>
      <c r="G2185" s="11" t="s">
        <v>6196</v>
      </c>
      <c r="H2185" s="11" t="s">
        <v>6197</v>
      </c>
      <c r="I2185" s="11" t="s">
        <v>6194</v>
      </c>
    </row>
    <row r="2186" spans="1:9" x14ac:dyDescent="0.15">
      <c r="A2186" s="10">
        <v>2185</v>
      </c>
      <c r="B2186" s="11" t="s">
        <v>9</v>
      </c>
      <c r="C2186" s="11" t="s">
        <v>253</v>
      </c>
      <c r="D2186" s="11" t="s">
        <v>254</v>
      </c>
      <c r="E2186" s="9" t="str">
        <f>+HYPERLINK("http://trademark.i-assist.jp/data/china/image_1903th/79488553.pdf", "79488553")</f>
        <v>79488553</v>
      </c>
      <c r="F2186" s="11" t="s">
        <v>6198</v>
      </c>
      <c r="G2186" s="11" t="s">
        <v>6199</v>
      </c>
      <c r="H2186" s="11" t="s">
        <v>6200</v>
      </c>
      <c r="I2186" s="11" t="s">
        <v>6194</v>
      </c>
    </row>
    <row r="2187" spans="1:9" x14ac:dyDescent="0.15">
      <c r="A2187" s="10">
        <v>2186</v>
      </c>
      <c r="B2187" s="11" t="s">
        <v>9</v>
      </c>
      <c r="C2187" s="11" t="s">
        <v>253</v>
      </c>
      <c r="D2187" s="11" t="s">
        <v>254</v>
      </c>
      <c r="E2187" s="9" t="str">
        <f>+HYPERLINK("http://trademark.i-assist.jp/data/china/image_1903th/79488581.pdf", "79488581")</f>
        <v>79488581</v>
      </c>
      <c r="F2187" s="11" t="s">
        <v>12</v>
      </c>
      <c r="G2187" s="11" t="s">
        <v>6201</v>
      </c>
      <c r="H2187" s="11" t="s">
        <v>6202</v>
      </c>
      <c r="I2187" s="11" t="s">
        <v>6194</v>
      </c>
    </row>
    <row r="2188" spans="1:9" x14ac:dyDescent="0.15">
      <c r="A2188" s="10">
        <v>2187</v>
      </c>
      <c r="B2188" s="11" t="s">
        <v>9</v>
      </c>
      <c r="C2188" s="11" t="s">
        <v>253</v>
      </c>
      <c r="D2188" s="11" t="s">
        <v>254</v>
      </c>
      <c r="E2188" s="9" t="str">
        <f>+HYPERLINK("http://trademark.i-assist.jp/data/china/image_1903th/79488870.pdf", "79488870")</f>
        <v>79488870</v>
      </c>
      <c r="F2188" s="11" t="s">
        <v>6203</v>
      </c>
      <c r="G2188" s="11" t="s">
        <v>6204</v>
      </c>
      <c r="H2188" s="11" t="s">
        <v>6205</v>
      </c>
      <c r="I2188" s="11" t="s">
        <v>6194</v>
      </c>
    </row>
    <row r="2189" spans="1:9" x14ac:dyDescent="0.15">
      <c r="A2189" s="10">
        <v>2188</v>
      </c>
      <c r="B2189" s="11" t="s">
        <v>9</v>
      </c>
      <c r="C2189" s="11" t="s">
        <v>253</v>
      </c>
      <c r="D2189" s="11" t="s">
        <v>254</v>
      </c>
      <c r="E2189" s="9" t="str">
        <f>+HYPERLINK("http://trademark.i-assist.jp/data/china/image_1903th/79488928.pdf", "79488928")</f>
        <v>79488928</v>
      </c>
      <c r="F2189" s="11" t="s">
        <v>6206</v>
      </c>
      <c r="G2189" s="11" t="s">
        <v>6207</v>
      </c>
      <c r="H2189" s="11" t="s">
        <v>6208</v>
      </c>
      <c r="I2189" s="11" t="s">
        <v>6194</v>
      </c>
    </row>
    <row r="2190" spans="1:9" x14ac:dyDescent="0.15">
      <c r="A2190" s="10">
        <v>2189</v>
      </c>
      <c r="B2190" s="11" t="s">
        <v>9</v>
      </c>
      <c r="C2190" s="11" t="s">
        <v>253</v>
      </c>
      <c r="D2190" s="11" t="s">
        <v>254</v>
      </c>
      <c r="E2190" s="9" t="str">
        <f>+HYPERLINK("http://trademark.i-assist.jp/data/china/image_1903th/79489657.pdf", "79489657")</f>
        <v>79489657</v>
      </c>
      <c r="F2190" s="11" t="s">
        <v>6209</v>
      </c>
      <c r="G2190" s="11" t="s">
        <v>6210</v>
      </c>
      <c r="H2190" s="11" t="s">
        <v>6211</v>
      </c>
      <c r="I2190" s="11" t="s">
        <v>6194</v>
      </c>
    </row>
    <row r="2191" spans="1:9" x14ac:dyDescent="0.15">
      <c r="A2191" s="10">
        <v>2190</v>
      </c>
      <c r="B2191" s="11" t="s">
        <v>9</v>
      </c>
      <c r="C2191" s="11" t="s">
        <v>253</v>
      </c>
      <c r="D2191" s="11" t="s">
        <v>254</v>
      </c>
      <c r="E2191" s="9" t="str">
        <f>+HYPERLINK("http://trademark.i-assist.jp/data/china/image_1903th/79489885.pdf", "79489885")</f>
        <v>79489885</v>
      </c>
      <c r="F2191" s="11" t="s">
        <v>6212</v>
      </c>
      <c r="G2191" s="11" t="s">
        <v>212</v>
      </c>
      <c r="H2191" s="11" t="s">
        <v>16</v>
      </c>
      <c r="I2191" s="11" t="s">
        <v>6194</v>
      </c>
    </row>
    <row r="2192" spans="1:9" x14ac:dyDescent="0.15">
      <c r="A2192" s="10">
        <v>2191</v>
      </c>
      <c r="B2192" s="11" t="s">
        <v>9</v>
      </c>
      <c r="C2192" s="11" t="s">
        <v>253</v>
      </c>
      <c r="D2192" s="11" t="s">
        <v>254</v>
      </c>
      <c r="E2192" s="9" t="str">
        <f>+HYPERLINK("http://trademark.i-assist.jp/data/china/image_1903th/79490606.pdf", "79490606")</f>
        <v>79490606</v>
      </c>
      <c r="F2192" s="11" t="s">
        <v>6213</v>
      </c>
      <c r="G2192" s="11" t="s">
        <v>6214</v>
      </c>
      <c r="H2192" s="11" t="s">
        <v>6215</v>
      </c>
      <c r="I2192" s="11" t="s">
        <v>6194</v>
      </c>
    </row>
    <row r="2193" spans="1:9" x14ac:dyDescent="0.15">
      <c r="A2193" s="10">
        <v>2192</v>
      </c>
      <c r="B2193" s="11" t="s">
        <v>9</v>
      </c>
      <c r="C2193" s="11" t="s">
        <v>253</v>
      </c>
      <c r="D2193" s="11" t="s">
        <v>254</v>
      </c>
      <c r="E2193" s="9" t="str">
        <f>+HYPERLINK("http://trademark.i-assist.jp/data/china/image_1903th/79490756.pdf", "79490756")</f>
        <v>79490756</v>
      </c>
      <c r="F2193" s="11" t="s">
        <v>6216</v>
      </c>
      <c r="G2193" s="11" t="s">
        <v>6217</v>
      </c>
      <c r="H2193" s="11" t="s">
        <v>6218</v>
      </c>
      <c r="I2193" s="11" t="s">
        <v>6194</v>
      </c>
    </row>
    <row r="2194" spans="1:9" x14ac:dyDescent="0.15">
      <c r="A2194" s="10">
        <v>2193</v>
      </c>
      <c r="B2194" s="11" t="s">
        <v>9</v>
      </c>
      <c r="C2194" s="11" t="s">
        <v>253</v>
      </c>
      <c r="D2194" s="11" t="s">
        <v>254</v>
      </c>
      <c r="E2194" s="9" t="str">
        <f>+HYPERLINK("http://trademark.i-assist.jp/data/china/image_1903th/79491074.pdf", "79491074")</f>
        <v>79491074</v>
      </c>
      <c r="F2194" s="11" t="s">
        <v>6219</v>
      </c>
      <c r="G2194" s="11" t="s">
        <v>6220</v>
      </c>
      <c r="H2194" s="11" t="s">
        <v>6221</v>
      </c>
      <c r="I2194" s="11" t="s">
        <v>6194</v>
      </c>
    </row>
    <row r="2195" spans="1:9" x14ac:dyDescent="0.15">
      <c r="A2195" s="10">
        <v>2194</v>
      </c>
      <c r="B2195" s="11" t="s">
        <v>9</v>
      </c>
      <c r="C2195" s="11" t="s">
        <v>253</v>
      </c>
      <c r="D2195" s="11" t="s">
        <v>254</v>
      </c>
      <c r="E2195" s="9" t="str">
        <f>+HYPERLINK("http://trademark.i-assist.jp/data/china/image_1903th/79491245.pdf", "79491245")</f>
        <v>79491245</v>
      </c>
      <c r="F2195" s="11" t="s">
        <v>6222</v>
      </c>
      <c r="G2195" s="11" t="s">
        <v>6223</v>
      </c>
      <c r="H2195" s="11" t="s">
        <v>6224</v>
      </c>
      <c r="I2195" s="11" t="s">
        <v>6194</v>
      </c>
    </row>
    <row r="2196" spans="1:9" x14ac:dyDescent="0.15">
      <c r="A2196" s="10">
        <v>2195</v>
      </c>
      <c r="B2196" s="11" t="s">
        <v>9</v>
      </c>
      <c r="C2196" s="11" t="s">
        <v>253</v>
      </c>
      <c r="D2196" s="11" t="s">
        <v>254</v>
      </c>
      <c r="E2196" s="9" t="str">
        <f>+HYPERLINK("http://trademark.i-assist.jp/data/china/image_1903th/79491297.pdf", "79491297")</f>
        <v>79491297</v>
      </c>
      <c r="F2196" s="11" t="s">
        <v>6225</v>
      </c>
      <c r="G2196" s="11" t="s">
        <v>6161</v>
      </c>
      <c r="H2196" s="11" t="s">
        <v>6226</v>
      </c>
      <c r="I2196" s="11" t="s">
        <v>6194</v>
      </c>
    </row>
    <row r="2197" spans="1:9" x14ac:dyDescent="0.15">
      <c r="A2197" s="10">
        <v>2196</v>
      </c>
      <c r="B2197" s="11" t="s">
        <v>9</v>
      </c>
      <c r="C2197" s="11" t="s">
        <v>253</v>
      </c>
      <c r="D2197" s="11" t="s">
        <v>254</v>
      </c>
      <c r="E2197" s="9" t="str">
        <f>+HYPERLINK("http://trademark.i-assist.jp/data/china/image_1903th/79491399.pdf", "79491399")</f>
        <v>79491399</v>
      </c>
      <c r="F2197" s="11" t="s">
        <v>6227</v>
      </c>
      <c r="G2197" s="11" t="s">
        <v>6228</v>
      </c>
      <c r="H2197" s="11" t="s">
        <v>6229</v>
      </c>
      <c r="I2197" s="11" t="s">
        <v>6194</v>
      </c>
    </row>
    <row r="2198" spans="1:9" x14ac:dyDescent="0.15">
      <c r="A2198" s="10">
        <v>2197</v>
      </c>
      <c r="B2198" s="11" t="s">
        <v>9</v>
      </c>
      <c r="C2198" s="11" t="s">
        <v>253</v>
      </c>
      <c r="D2198" s="11" t="s">
        <v>254</v>
      </c>
      <c r="E2198" s="9" t="str">
        <f>+HYPERLINK("http://trademark.i-assist.jp/data/china/image_1903th/79491819.pdf", "79491819")</f>
        <v>79491819</v>
      </c>
      <c r="F2198" s="11" t="s">
        <v>6230</v>
      </c>
      <c r="G2198" s="11" t="s">
        <v>6231</v>
      </c>
      <c r="H2198" s="11" t="s">
        <v>6232</v>
      </c>
      <c r="I2198" s="11" t="s">
        <v>6194</v>
      </c>
    </row>
    <row r="2199" spans="1:9" x14ac:dyDescent="0.15">
      <c r="A2199" s="10">
        <v>2198</v>
      </c>
      <c r="B2199" s="11" t="s">
        <v>9</v>
      </c>
      <c r="C2199" s="11" t="s">
        <v>253</v>
      </c>
      <c r="D2199" s="11" t="s">
        <v>254</v>
      </c>
      <c r="E2199" s="9" t="str">
        <f>+HYPERLINK("http://trademark.i-assist.jp/data/china/image_1903th/79491849.pdf", "79491849")</f>
        <v>79491849</v>
      </c>
      <c r="F2199" s="11" t="s">
        <v>6233</v>
      </c>
      <c r="G2199" s="11" t="s">
        <v>6234</v>
      </c>
      <c r="H2199" s="11" t="s">
        <v>6235</v>
      </c>
      <c r="I2199" s="11" t="s">
        <v>6194</v>
      </c>
    </row>
    <row r="2200" spans="1:9" x14ac:dyDescent="0.15">
      <c r="A2200" s="10">
        <v>2199</v>
      </c>
      <c r="B2200" s="11" t="s">
        <v>9</v>
      </c>
      <c r="C2200" s="11" t="s">
        <v>253</v>
      </c>
      <c r="D2200" s="11" t="s">
        <v>254</v>
      </c>
      <c r="E2200" s="9" t="str">
        <f>+HYPERLINK("http://trademark.i-assist.jp/data/china/image_1903th/79492019.pdf", "79492019")</f>
        <v>79492019</v>
      </c>
      <c r="F2200" s="11" t="s">
        <v>6236</v>
      </c>
      <c r="G2200" s="11" t="s">
        <v>6237</v>
      </c>
      <c r="H2200" s="11" t="s">
        <v>6238</v>
      </c>
      <c r="I2200" s="11" t="s">
        <v>6194</v>
      </c>
    </row>
    <row r="2201" spans="1:9" x14ac:dyDescent="0.15">
      <c r="A2201" s="10">
        <v>2200</v>
      </c>
      <c r="B2201" s="11" t="s">
        <v>9</v>
      </c>
      <c r="C2201" s="11" t="s">
        <v>253</v>
      </c>
      <c r="D2201" s="11" t="s">
        <v>254</v>
      </c>
      <c r="E2201" s="9" t="str">
        <f>+HYPERLINK("http://trademark.i-assist.jp/data/china/image_1903th/79492022.pdf", "79492022")</f>
        <v>79492022</v>
      </c>
      <c r="F2201" s="11" t="s">
        <v>6239</v>
      </c>
      <c r="G2201" s="11" t="s">
        <v>2347</v>
      </c>
      <c r="H2201" s="11" t="s">
        <v>6240</v>
      </c>
      <c r="I2201" s="11" t="s">
        <v>6194</v>
      </c>
    </row>
    <row r="2202" spans="1:9" x14ac:dyDescent="0.15">
      <c r="A2202" s="10">
        <v>2201</v>
      </c>
      <c r="B2202" s="11" t="s">
        <v>9</v>
      </c>
      <c r="C2202" s="11" t="s">
        <v>253</v>
      </c>
      <c r="D2202" s="11" t="s">
        <v>254</v>
      </c>
      <c r="E2202" s="9" t="str">
        <f>+HYPERLINK("http://trademark.i-assist.jp/data/china/image_1903th/79492058.pdf", "79492058")</f>
        <v>79492058</v>
      </c>
      <c r="F2202" s="11" t="s">
        <v>6241</v>
      </c>
      <c r="G2202" s="11" t="s">
        <v>6242</v>
      </c>
      <c r="H2202" s="11" t="s">
        <v>6243</v>
      </c>
      <c r="I2202" s="11" t="s">
        <v>6194</v>
      </c>
    </row>
    <row r="2203" spans="1:9" x14ac:dyDescent="0.15">
      <c r="A2203" s="10">
        <v>2202</v>
      </c>
      <c r="B2203" s="11" t="s">
        <v>9</v>
      </c>
      <c r="C2203" s="11" t="s">
        <v>253</v>
      </c>
      <c r="D2203" s="11" t="s">
        <v>254</v>
      </c>
      <c r="E2203" s="9" t="str">
        <f>+HYPERLINK("http://trademark.i-assist.jp/data/china/image_1903th/79492327.pdf", "79492327")</f>
        <v>79492327</v>
      </c>
      <c r="F2203" s="11" t="s">
        <v>6244</v>
      </c>
      <c r="G2203" s="11" t="s">
        <v>6245</v>
      </c>
      <c r="H2203" s="11" t="s">
        <v>6246</v>
      </c>
      <c r="I2203" s="11" t="s">
        <v>6194</v>
      </c>
    </row>
    <row r="2204" spans="1:9" x14ac:dyDescent="0.15">
      <c r="A2204" s="10">
        <v>2203</v>
      </c>
      <c r="B2204" s="11" t="s">
        <v>9</v>
      </c>
      <c r="C2204" s="11" t="s">
        <v>253</v>
      </c>
      <c r="D2204" s="11" t="s">
        <v>254</v>
      </c>
      <c r="E2204" s="9" t="str">
        <f>+HYPERLINK("http://trademark.i-assist.jp/data/china/image_1903th/79492368.pdf", "79492368")</f>
        <v>79492368</v>
      </c>
      <c r="F2204" s="11" t="s">
        <v>6247</v>
      </c>
      <c r="G2204" s="11" t="s">
        <v>6248</v>
      </c>
      <c r="H2204" s="11" t="s">
        <v>6249</v>
      </c>
      <c r="I2204" s="11" t="s">
        <v>6194</v>
      </c>
    </row>
    <row r="2205" spans="1:9" x14ac:dyDescent="0.15">
      <c r="A2205" s="10">
        <v>2204</v>
      </c>
      <c r="B2205" s="11" t="s">
        <v>9</v>
      </c>
      <c r="C2205" s="11" t="s">
        <v>253</v>
      </c>
      <c r="D2205" s="11" t="s">
        <v>254</v>
      </c>
      <c r="E2205" s="9" t="str">
        <f>+HYPERLINK("http://trademark.i-assist.jp/data/china/image_1903th/79492660.pdf", "79492660")</f>
        <v>79492660</v>
      </c>
      <c r="F2205" s="11" t="s">
        <v>6250</v>
      </c>
      <c r="G2205" s="11" t="s">
        <v>6251</v>
      </c>
      <c r="H2205" s="11" t="s">
        <v>6252</v>
      </c>
      <c r="I2205" s="11" t="s">
        <v>6194</v>
      </c>
    </row>
    <row r="2206" spans="1:9" x14ac:dyDescent="0.15">
      <c r="A2206" s="10">
        <v>2205</v>
      </c>
      <c r="B2206" s="11" t="s">
        <v>9</v>
      </c>
      <c r="C2206" s="11" t="s">
        <v>253</v>
      </c>
      <c r="D2206" s="11" t="s">
        <v>254</v>
      </c>
      <c r="E2206" s="9" t="str">
        <f>+HYPERLINK("http://trademark.i-assist.jp/data/china/image_1903th/79492886.pdf", "79492886")</f>
        <v>79492886</v>
      </c>
      <c r="F2206" s="11" t="s">
        <v>6253</v>
      </c>
      <c r="G2206" s="11" t="s">
        <v>6254</v>
      </c>
      <c r="H2206" s="11" t="s">
        <v>6255</v>
      </c>
      <c r="I2206" s="11" t="s">
        <v>6194</v>
      </c>
    </row>
    <row r="2207" spans="1:9" x14ac:dyDescent="0.15">
      <c r="A2207" s="10">
        <v>2206</v>
      </c>
      <c r="B2207" s="11" t="s">
        <v>9</v>
      </c>
      <c r="C2207" s="11" t="s">
        <v>253</v>
      </c>
      <c r="D2207" s="11" t="s">
        <v>254</v>
      </c>
      <c r="E2207" s="9" t="str">
        <f>+HYPERLINK("http://trademark.i-assist.jp/data/china/image_1903th/79493017.pdf", "79493017")</f>
        <v>79493017</v>
      </c>
      <c r="F2207" s="11" t="s">
        <v>6256</v>
      </c>
      <c r="G2207" s="11" t="s">
        <v>54</v>
      </c>
      <c r="H2207" s="11" t="s">
        <v>6257</v>
      </c>
      <c r="I2207" s="11" t="s">
        <v>6194</v>
      </c>
    </row>
    <row r="2208" spans="1:9" x14ac:dyDescent="0.15">
      <c r="A2208" s="10">
        <v>2207</v>
      </c>
      <c r="B2208" s="11" t="s">
        <v>9</v>
      </c>
      <c r="C2208" s="11" t="s">
        <v>253</v>
      </c>
      <c r="D2208" s="11" t="s">
        <v>254</v>
      </c>
      <c r="E2208" s="9" t="str">
        <f>+HYPERLINK("http://trademark.i-assist.jp/data/china/image_1903th/79493259.pdf", "79493259")</f>
        <v>79493259</v>
      </c>
      <c r="F2208" s="11" t="s">
        <v>6258</v>
      </c>
      <c r="G2208" s="11" t="s">
        <v>6259</v>
      </c>
      <c r="H2208" s="11" t="s">
        <v>6260</v>
      </c>
      <c r="I2208" s="11" t="s">
        <v>6194</v>
      </c>
    </row>
    <row r="2209" spans="1:9" x14ac:dyDescent="0.15">
      <c r="A2209" s="10">
        <v>2208</v>
      </c>
      <c r="B2209" s="11" t="s">
        <v>9</v>
      </c>
      <c r="C2209" s="11" t="s">
        <v>253</v>
      </c>
      <c r="D2209" s="11" t="s">
        <v>254</v>
      </c>
      <c r="E2209" s="9" t="str">
        <f>+HYPERLINK("http://trademark.i-assist.jp/data/china/image_1903th/79493269.pdf", "79493269")</f>
        <v>79493269</v>
      </c>
      <c r="F2209" s="11" t="s">
        <v>6261</v>
      </c>
      <c r="G2209" s="11" t="s">
        <v>6259</v>
      </c>
      <c r="H2209" s="11" t="s">
        <v>6262</v>
      </c>
      <c r="I2209" s="11" t="s">
        <v>6194</v>
      </c>
    </row>
    <row r="2210" spans="1:9" x14ac:dyDescent="0.15">
      <c r="A2210" s="10">
        <v>2209</v>
      </c>
      <c r="B2210" s="11" t="s">
        <v>9</v>
      </c>
      <c r="C2210" s="11" t="s">
        <v>253</v>
      </c>
      <c r="D2210" s="11" t="s">
        <v>254</v>
      </c>
      <c r="E2210" s="9" t="str">
        <f>+HYPERLINK("http://trademark.i-assist.jp/data/china/image_1903th/79493943.pdf", "79493943")</f>
        <v>79493943</v>
      </c>
      <c r="F2210" s="11" t="s">
        <v>6263</v>
      </c>
      <c r="G2210" s="11" t="s">
        <v>6264</v>
      </c>
      <c r="H2210" s="11" t="s">
        <v>6265</v>
      </c>
      <c r="I2210" s="11" t="s">
        <v>6194</v>
      </c>
    </row>
    <row r="2211" spans="1:9" x14ac:dyDescent="0.15">
      <c r="A2211" s="10">
        <v>2210</v>
      </c>
      <c r="B2211" s="11" t="s">
        <v>9</v>
      </c>
      <c r="C2211" s="11" t="s">
        <v>253</v>
      </c>
      <c r="D2211" s="11" t="s">
        <v>254</v>
      </c>
      <c r="E2211" s="9" t="str">
        <f>+HYPERLINK("http://trademark.i-assist.jp/data/china/image_1903th/79493976.pdf", "79493976")</f>
        <v>79493976</v>
      </c>
      <c r="F2211" s="11" t="s">
        <v>6266</v>
      </c>
      <c r="G2211" s="11" t="s">
        <v>6217</v>
      </c>
      <c r="H2211" s="11" t="s">
        <v>6267</v>
      </c>
      <c r="I2211" s="11" t="s">
        <v>6194</v>
      </c>
    </row>
    <row r="2212" spans="1:9" x14ac:dyDescent="0.15">
      <c r="A2212" s="10">
        <v>2211</v>
      </c>
      <c r="B2212" s="11" t="s">
        <v>9</v>
      </c>
      <c r="C2212" s="11" t="s">
        <v>253</v>
      </c>
      <c r="D2212" s="11" t="s">
        <v>254</v>
      </c>
      <c r="E2212" s="9" t="str">
        <f>+HYPERLINK("http://trademark.i-assist.jp/data/china/image_1903th/79494035.pdf", "79494035")</f>
        <v>79494035</v>
      </c>
      <c r="F2212" s="11" t="s">
        <v>6268</v>
      </c>
      <c r="G2212" s="11" t="s">
        <v>6269</v>
      </c>
      <c r="H2212" s="11" t="s">
        <v>6270</v>
      </c>
      <c r="I2212" s="11" t="s">
        <v>6194</v>
      </c>
    </row>
    <row r="2213" spans="1:9" x14ac:dyDescent="0.15">
      <c r="A2213" s="10">
        <v>2212</v>
      </c>
      <c r="B2213" s="11" t="s">
        <v>9</v>
      </c>
      <c r="C2213" s="11" t="s">
        <v>253</v>
      </c>
      <c r="D2213" s="11" t="s">
        <v>254</v>
      </c>
      <c r="E2213" s="9" t="str">
        <f>+HYPERLINK("http://trademark.i-assist.jp/data/china/image_1903th/79494125.pdf", "79494125")</f>
        <v>79494125</v>
      </c>
      <c r="F2213" s="11" t="s">
        <v>6271</v>
      </c>
      <c r="G2213" s="11" t="s">
        <v>151</v>
      </c>
      <c r="H2213" s="11" t="s">
        <v>6272</v>
      </c>
      <c r="I2213" s="11" t="s">
        <v>6194</v>
      </c>
    </row>
    <row r="2214" spans="1:9" x14ac:dyDescent="0.15">
      <c r="A2214" s="10">
        <v>2213</v>
      </c>
      <c r="B2214" s="11" t="s">
        <v>9</v>
      </c>
      <c r="C2214" s="11" t="s">
        <v>253</v>
      </c>
      <c r="D2214" s="11" t="s">
        <v>254</v>
      </c>
      <c r="E2214" s="9" t="str">
        <f>+HYPERLINK("http://trademark.i-assist.jp/data/china/image_1903th/79494530.pdf", "79494530")</f>
        <v>79494530</v>
      </c>
      <c r="F2214" s="11" t="s">
        <v>6273</v>
      </c>
      <c r="G2214" s="11" t="s">
        <v>5928</v>
      </c>
      <c r="H2214" s="11" t="s">
        <v>6274</v>
      </c>
      <c r="I2214" s="11" t="s">
        <v>6194</v>
      </c>
    </row>
    <row r="2215" spans="1:9" x14ac:dyDescent="0.15">
      <c r="A2215" s="10">
        <v>2214</v>
      </c>
      <c r="B2215" s="11" t="s">
        <v>9</v>
      </c>
      <c r="C2215" s="11" t="s">
        <v>253</v>
      </c>
      <c r="D2215" s="11" t="s">
        <v>254</v>
      </c>
      <c r="E2215" s="9" t="str">
        <f>+HYPERLINK("http://trademark.i-assist.jp/data/china/image_1903th/79494777.pdf", "79494777")</f>
        <v>79494777</v>
      </c>
      <c r="F2215" s="11" t="s">
        <v>6275</v>
      </c>
      <c r="G2215" s="11" t="s">
        <v>6237</v>
      </c>
      <c r="H2215" s="11" t="s">
        <v>6276</v>
      </c>
      <c r="I2215" s="11" t="s">
        <v>6194</v>
      </c>
    </row>
    <row r="2216" spans="1:9" x14ac:dyDescent="0.15">
      <c r="A2216" s="10">
        <v>2215</v>
      </c>
      <c r="B2216" s="11" t="s">
        <v>9</v>
      </c>
      <c r="C2216" s="11" t="s">
        <v>253</v>
      </c>
      <c r="D2216" s="11" t="s">
        <v>254</v>
      </c>
      <c r="E2216" s="9" t="str">
        <f>+HYPERLINK("http://trademark.i-assist.jp/data/china/image_1903th/79495192.pdf", "79495192")</f>
        <v>79495192</v>
      </c>
      <c r="F2216" s="11" t="s">
        <v>6277</v>
      </c>
      <c r="G2216" s="11" t="s">
        <v>6278</v>
      </c>
      <c r="H2216" s="11" t="s">
        <v>6279</v>
      </c>
      <c r="I2216" s="11" t="s">
        <v>6194</v>
      </c>
    </row>
    <row r="2217" spans="1:9" x14ac:dyDescent="0.15">
      <c r="A2217" s="10">
        <v>2216</v>
      </c>
      <c r="B2217" s="11" t="s">
        <v>9</v>
      </c>
      <c r="C2217" s="11" t="s">
        <v>253</v>
      </c>
      <c r="D2217" s="11" t="s">
        <v>254</v>
      </c>
      <c r="E2217" s="9" t="str">
        <f>+HYPERLINK("http://trademark.i-assist.jp/data/china/image_1903th/79495500.pdf", "79495500")</f>
        <v>79495500</v>
      </c>
      <c r="F2217" s="11" t="s">
        <v>6280</v>
      </c>
      <c r="G2217" s="11" t="s">
        <v>6281</v>
      </c>
      <c r="H2217" s="11" t="s">
        <v>6282</v>
      </c>
      <c r="I2217" s="11" t="s">
        <v>6194</v>
      </c>
    </row>
    <row r="2218" spans="1:9" x14ac:dyDescent="0.15">
      <c r="A2218" s="10">
        <v>2217</v>
      </c>
      <c r="B2218" s="11" t="s">
        <v>9</v>
      </c>
      <c r="C2218" s="11" t="s">
        <v>253</v>
      </c>
      <c r="D2218" s="11" t="s">
        <v>254</v>
      </c>
      <c r="E2218" s="9" t="str">
        <f>+HYPERLINK("http://trademark.i-assist.jp/data/china/image_1903th/79495718.pdf", "79495718")</f>
        <v>79495718</v>
      </c>
      <c r="F2218" s="11" t="s">
        <v>6283</v>
      </c>
      <c r="G2218" s="11" t="s">
        <v>6284</v>
      </c>
      <c r="H2218" s="11" t="s">
        <v>6285</v>
      </c>
      <c r="I2218" s="11" t="s">
        <v>6194</v>
      </c>
    </row>
    <row r="2219" spans="1:9" x14ac:dyDescent="0.15">
      <c r="A2219" s="10">
        <v>2218</v>
      </c>
      <c r="B2219" s="11" t="s">
        <v>9</v>
      </c>
      <c r="C2219" s="11" t="s">
        <v>253</v>
      </c>
      <c r="D2219" s="11" t="s">
        <v>254</v>
      </c>
      <c r="E2219" s="9" t="str">
        <f>+HYPERLINK("http://trademark.i-assist.jp/data/china/image_1903th/79495742.pdf", "79495742")</f>
        <v>79495742</v>
      </c>
      <c r="F2219" s="11" t="s">
        <v>6286</v>
      </c>
      <c r="G2219" s="11" t="s">
        <v>6287</v>
      </c>
      <c r="H2219" s="11" t="s">
        <v>6288</v>
      </c>
      <c r="I2219" s="11" t="s">
        <v>6194</v>
      </c>
    </row>
    <row r="2220" spans="1:9" x14ac:dyDescent="0.15">
      <c r="A2220" s="10">
        <v>2219</v>
      </c>
      <c r="B2220" s="11" t="s">
        <v>9</v>
      </c>
      <c r="C2220" s="11" t="s">
        <v>253</v>
      </c>
      <c r="D2220" s="11" t="s">
        <v>254</v>
      </c>
      <c r="E2220" s="9" t="str">
        <f>+HYPERLINK("http://trademark.i-assist.jp/data/china/image_1903th/79495952.pdf", "79495952")</f>
        <v>79495952</v>
      </c>
      <c r="F2220" s="11" t="s">
        <v>6289</v>
      </c>
      <c r="G2220" s="11" t="s">
        <v>6290</v>
      </c>
      <c r="H2220" s="11" t="s">
        <v>6291</v>
      </c>
      <c r="I2220" s="11" t="s">
        <v>6194</v>
      </c>
    </row>
    <row r="2221" spans="1:9" x14ac:dyDescent="0.15">
      <c r="A2221" s="10">
        <v>2220</v>
      </c>
      <c r="B2221" s="11" t="s">
        <v>9</v>
      </c>
      <c r="C2221" s="11" t="s">
        <v>253</v>
      </c>
      <c r="D2221" s="11" t="s">
        <v>254</v>
      </c>
      <c r="E2221" s="9" t="str">
        <f>+HYPERLINK("http://trademark.i-assist.jp/data/china/image_1903th/79495961.pdf", "79495961")</f>
        <v>79495961</v>
      </c>
      <c r="F2221" s="11" t="s">
        <v>6292</v>
      </c>
      <c r="G2221" s="11" t="s">
        <v>6290</v>
      </c>
      <c r="H2221" s="11" t="s">
        <v>6293</v>
      </c>
      <c r="I2221" s="11" t="s">
        <v>6194</v>
      </c>
    </row>
    <row r="2222" spans="1:9" x14ac:dyDescent="0.15">
      <c r="A2222" s="10">
        <v>2221</v>
      </c>
      <c r="B2222" s="11" t="s">
        <v>9</v>
      </c>
      <c r="C2222" s="11" t="s">
        <v>253</v>
      </c>
      <c r="D2222" s="11" t="s">
        <v>254</v>
      </c>
      <c r="E2222" s="9" t="str">
        <f>+HYPERLINK("http://trademark.i-assist.jp/data/china/image_1903th/79496191.pdf", "79496191")</f>
        <v>79496191</v>
      </c>
      <c r="F2222" s="11" t="s">
        <v>6294</v>
      </c>
      <c r="G2222" s="11" t="s">
        <v>6295</v>
      </c>
      <c r="H2222" s="11" t="s">
        <v>6296</v>
      </c>
      <c r="I2222" s="11" t="s">
        <v>6194</v>
      </c>
    </row>
    <row r="2223" spans="1:9" x14ac:dyDescent="0.15">
      <c r="A2223" s="10">
        <v>2222</v>
      </c>
      <c r="B2223" s="11" t="s">
        <v>9</v>
      </c>
      <c r="C2223" s="11" t="s">
        <v>253</v>
      </c>
      <c r="D2223" s="11" t="s">
        <v>254</v>
      </c>
      <c r="E2223" s="9" t="str">
        <f>+HYPERLINK("http://trademark.i-assist.jp/data/china/image_1903th/79496798.pdf", "79496798")</f>
        <v>79496798</v>
      </c>
      <c r="F2223" s="11" t="s">
        <v>6297</v>
      </c>
      <c r="G2223" s="11" t="s">
        <v>6298</v>
      </c>
      <c r="H2223" s="11" t="s">
        <v>6299</v>
      </c>
      <c r="I2223" s="11" t="s">
        <v>6194</v>
      </c>
    </row>
    <row r="2224" spans="1:9" x14ac:dyDescent="0.15">
      <c r="A2224" s="10">
        <v>2223</v>
      </c>
      <c r="B2224" s="11" t="s">
        <v>9</v>
      </c>
      <c r="C2224" s="11" t="s">
        <v>253</v>
      </c>
      <c r="D2224" s="11" t="s">
        <v>254</v>
      </c>
      <c r="E2224" s="9" t="str">
        <f>+HYPERLINK("http://trademark.i-assist.jp/data/china/image_1903th/79497479.pdf", "79497479")</f>
        <v>79497479</v>
      </c>
      <c r="F2224" s="11" t="s">
        <v>6300</v>
      </c>
      <c r="G2224" s="11" t="s">
        <v>6301</v>
      </c>
      <c r="H2224" s="11" t="s">
        <v>6302</v>
      </c>
      <c r="I2224" s="11" t="s">
        <v>6194</v>
      </c>
    </row>
    <row r="2225" spans="1:9" x14ac:dyDescent="0.15">
      <c r="A2225" s="10">
        <v>2224</v>
      </c>
      <c r="B2225" s="11" t="s">
        <v>9</v>
      </c>
      <c r="C2225" s="11" t="s">
        <v>253</v>
      </c>
      <c r="D2225" s="11" t="s">
        <v>254</v>
      </c>
      <c r="E2225" s="9" t="str">
        <f>+HYPERLINK("http://trademark.i-assist.jp/data/china/image_1903th/79498043.pdf", "79498043")</f>
        <v>79498043</v>
      </c>
      <c r="F2225" s="11" t="s">
        <v>6303</v>
      </c>
      <c r="G2225" s="11" t="s">
        <v>6304</v>
      </c>
      <c r="H2225" s="11" t="s">
        <v>6305</v>
      </c>
      <c r="I2225" s="11" t="s">
        <v>6194</v>
      </c>
    </row>
    <row r="2226" spans="1:9" x14ac:dyDescent="0.15">
      <c r="A2226" s="10">
        <v>2225</v>
      </c>
      <c r="B2226" s="11" t="s">
        <v>9</v>
      </c>
      <c r="C2226" s="11" t="s">
        <v>253</v>
      </c>
      <c r="D2226" s="11" t="s">
        <v>254</v>
      </c>
      <c r="E2226" s="9" t="str">
        <f>+HYPERLINK("http://trademark.i-assist.jp/data/china/image_1903th/79498431.pdf", "79498431")</f>
        <v>79498431</v>
      </c>
      <c r="F2226" s="11" t="s">
        <v>6306</v>
      </c>
      <c r="G2226" s="11" t="s">
        <v>225</v>
      </c>
      <c r="H2226" s="11" t="s">
        <v>6307</v>
      </c>
      <c r="I2226" s="11" t="s">
        <v>6194</v>
      </c>
    </row>
    <row r="2227" spans="1:9" x14ac:dyDescent="0.15">
      <c r="A2227" s="10">
        <v>2226</v>
      </c>
      <c r="B2227" s="11" t="s">
        <v>9</v>
      </c>
      <c r="C2227" s="11" t="s">
        <v>253</v>
      </c>
      <c r="D2227" s="11" t="s">
        <v>254</v>
      </c>
      <c r="E2227" s="9" t="str">
        <f>+HYPERLINK("http://trademark.i-assist.jp/data/china/image_1903th/79500064.pdf", "79500064")</f>
        <v>79500064</v>
      </c>
      <c r="F2227" s="11" t="s">
        <v>6308</v>
      </c>
      <c r="G2227" s="11" t="s">
        <v>6309</v>
      </c>
      <c r="H2227" s="11" t="s">
        <v>6310</v>
      </c>
      <c r="I2227" s="11" t="s">
        <v>6194</v>
      </c>
    </row>
    <row r="2228" spans="1:9" x14ac:dyDescent="0.15">
      <c r="A2228" s="10">
        <v>2227</v>
      </c>
      <c r="B2228" s="11" t="s">
        <v>9</v>
      </c>
      <c r="C2228" s="11" t="s">
        <v>253</v>
      </c>
      <c r="D2228" s="11" t="s">
        <v>254</v>
      </c>
      <c r="E2228" s="9" t="str">
        <f>+HYPERLINK("http://trademark.i-assist.jp/data/china/image_1903th/79500164.pdf", "79500164")</f>
        <v>79500164</v>
      </c>
      <c r="F2228" s="11" t="s">
        <v>6311</v>
      </c>
      <c r="G2228" s="11" t="s">
        <v>6312</v>
      </c>
      <c r="H2228" s="11" t="s">
        <v>6313</v>
      </c>
      <c r="I2228" s="11" t="s">
        <v>6194</v>
      </c>
    </row>
    <row r="2229" spans="1:9" x14ac:dyDescent="0.15">
      <c r="A2229" s="10">
        <v>2228</v>
      </c>
      <c r="B2229" s="11" t="s">
        <v>9</v>
      </c>
      <c r="C2229" s="11" t="s">
        <v>253</v>
      </c>
      <c r="D2229" s="11" t="s">
        <v>254</v>
      </c>
      <c r="E2229" s="9" t="str">
        <f>+HYPERLINK("http://trademark.i-assist.jp/data/china/image_1903th/79500377.pdf", "79500377")</f>
        <v>79500377</v>
      </c>
      <c r="F2229" s="11" t="s">
        <v>6314</v>
      </c>
      <c r="G2229" s="11" t="s">
        <v>6315</v>
      </c>
      <c r="H2229" s="11" t="s">
        <v>6316</v>
      </c>
      <c r="I2229" s="11" t="s">
        <v>6194</v>
      </c>
    </row>
    <row r="2230" spans="1:9" x14ac:dyDescent="0.15">
      <c r="A2230" s="10">
        <v>2229</v>
      </c>
      <c r="B2230" s="11" t="s">
        <v>9</v>
      </c>
      <c r="C2230" s="11" t="s">
        <v>253</v>
      </c>
      <c r="D2230" s="11" t="s">
        <v>254</v>
      </c>
      <c r="E2230" s="9" t="str">
        <f>+HYPERLINK("http://trademark.i-assist.jp/data/china/image_1903th/79500398.pdf", "79500398")</f>
        <v>79500398</v>
      </c>
      <c r="F2230" s="11" t="s">
        <v>6317</v>
      </c>
      <c r="G2230" s="11" t="s">
        <v>6318</v>
      </c>
      <c r="H2230" s="11" t="s">
        <v>6319</v>
      </c>
      <c r="I2230" s="11" t="s">
        <v>6194</v>
      </c>
    </row>
    <row r="2231" spans="1:9" x14ac:dyDescent="0.15">
      <c r="A2231" s="10">
        <v>2230</v>
      </c>
      <c r="B2231" s="11" t="s">
        <v>9</v>
      </c>
      <c r="C2231" s="11" t="s">
        <v>253</v>
      </c>
      <c r="D2231" s="11" t="s">
        <v>254</v>
      </c>
      <c r="E2231" s="9" t="str">
        <f>+HYPERLINK("http://trademark.i-assist.jp/data/china/image_1903th/79500406.pdf", "79500406")</f>
        <v>79500406</v>
      </c>
      <c r="F2231" s="11" t="s">
        <v>6320</v>
      </c>
      <c r="G2231" s="11" t="s">
        <v>6321</v>
      </c>
      <c r="H2231" s="11" t="s">
        <v>6322</v>
      </c>
      <c r="I2231" s="11" t="s">
        <v>6194</v>
      </c>
    </row>
    <row r="2232" spans="1:9" x14ac:dyDescent="0.15">
      <c r="A2232" s="10">
        <v>2231</v>
      </c>
      <c r="B2232" s="11" t="s">
        <v>9</v>
      </c>
      <c r="C2232" s="11" t="s">
        <v>253</v>
      </c>
      <c r="D2232" s="11" t="s">
        <v>254</v>
      </c>
      <c r="E2232" s="9" t="str">
        <f>+HYPERLINK("http://trademark.i-assist.jp/data/china/image_1903th/79500505.pdf", "79500505")</f>
        <v>79500505</v>
      </c>
      <c r="F2232" s="11" t="s">
        <v>6323</v>
      </c>
      <c r="G2232" s="11" t="s">
        <v>6324</v>
      </c>
      <c r="H2232" s="11" t="s">
        <v>6325</v>
      </c>
      <c r="I2232" s="11" t="s">
        <v>6194</v>
      </c>
    </row>
    <row r="2233" spans="1:9" x14ac:dyDescent="0.15">
      <c r="A2233" s="10">
        <v>2232</v>
      </c>
      <c r="B2233" s="11" t="s">
        <v>9</v>
      </c>
      <c r="C2233" s="11" t="s">
        <v>253</v>
      </c>
      <c r="D2233" s="11" t="s">
        <v>254</v>
      </c>
      <c r="E2233" s="9" t="str">
        <f>+HYPERLINK("http://trademark.i-assist.jp/data/china/image_1903th/79500841.pdf", "79500841")</f>
        <v>79500841</v>
      </c>
      <c r="F2233" s="11" t="s">
        <v>6326</v>
      </c>
      <c r="G2233" s="11" t="s">
        <v>6327</v>
      </c>
      <c r="H2233" s="11" t="s">
        <v>6328</v>
      </c>
      <c r="I2233" s="11" t="s">
        <v>6194</v>
      </c>
    </row>
    <row r="2234" spans="1:9" x14ac:dyDescent="0.15">
      <c r="A2234" s="10">
        <v>2233</v>
      </c>
      <c r="B2234" s="11" t="s">
        <v>9</v>
      </c>
      <c r="C2234" s="11" t="s">
        <v>253</v>
      </c>
      <c r="D2234" s="11" t="s">
        <v>254</v>
      </c>
      <c r="E2234" s="9" t="str">
        <f>+HYPERLINK("http://trademark.i-assist.jp/data/china/image_1903th/79500966.pdf", "79500966")</f>
        <v>79500966</v>
      </c>
      <c r="F2234" s="11" t="s">
        <v>6329</v>
      </c>
      <c r="G2234" s="11" t="s">
        <v>6330</v>
      </c>
      <c r="H2234" s="11" t="s">
        <v>6331</v>
      </c>
      <c r="I2234" s="11" t="s">
        <v>6194</v>
      </c>
    </row>
    <row r="2235" spans="1:9" x14ac:dyDescent="0.15">
      <c r="A2235" s="10">
        <v>2234</v>
      </c>
      <c r="B2235" s="11" t="s">
        <v>9</v>
      </c>
      <c r="C2235" s="11" t="s">
        <v>253</v>
      </c>
      <c r="D2235" s="11" t="s">
        <v>254</v>
      </c>
      <c r="E2235" s="9" t="str">
        <f>+HYPERLINK("http://trademark.i-assist.jp/data/china/image_1903th/79501034.pdf", "79501034")</f>
        <v>79501034</v>
      </c>
      <c r="F2235" s="11" t="s">
        <v>6332</v>
      </c>
      <c r="G2235" s="11" t="s">
        <v>6333</v>
      </c>
      <c r="H2235" s="11" t="s">
        <v>6334</v>
      </c>
      <c r="I2235" s="11" t="s">
        <v>6194</v>
      </c>
    </row>
    <row r="2236" spans="1:9" x14ac:dyDescent="0.15">
      <c r="A2236" s="10">
        <v>2235</v>
      </c>
      <c r="B2236" s="11" t="s">
        <v>9</v>
      </c>
      <c r="C2236" s="11" t="s">
        <v>253</v>
      </c>
      <c r="D2236" s="11" t="s">
        <v>254</v>
      </c>
      <c r="E2236" s="9" t="str">
        <f>+HYPERLINK("http://trademark.i-assist.jp/data/china/image_1903th/79501147.pdf", "79501147")</f>
        <v>79501147</v>
      </c>
      <c r="F2236" s="11" t="s">
        <v>6335</v>
      </c>
      <c r="G2236" s="11" t="s">
        <v>6336</v>
      </c>
      <c r="H2236" s="11" t="s">
        <v>6337</v>
      </c>
      <c r="I2236" s="11" t="s">
        <v>6194</v>
      </c>
    </row>
    <row r="2237" spans="1:9" x14ac:dyDescent="0.15">
      <c r="A2237" s="10">
        <v>2236</v>
      </c>
      <c r="B2237" s="11" t="s">
        <v>9</v>
      </c>
      <c r="C2237" s="11" t="s">
        <v>253</v>
      </c>
      <c r="D2237" s="11" t="s">
        <v>254</v>
      </c>
      <c r="E2237" s="9" t="str">
        <f>+HYPERLINK("http://trademark.i-assist.jp/data/china/image_1903th/79501736.pdf", "79501736")</f>
        <v>79501736</v>
      </c>
      <c r="F2237" s="11" t="s">
        <v>6338</v>
      </c>
      <c r="G2237" s="11" t="s">
        <v>6327</v>
      </c>
      <c r="H2237" s="11" t="s">
        <v>6339</v>
      </c>
      <c r="I2237" s="11" t="s">
        <v>6194</v>
      </c>
    </row>
    <row r="2238" spans="1:9" x14ac:dyDescent="0.15">
      <c r="A2238" s="10">
        <v>2237</v>
      </c>
      <c r="B2238" s="11" t="s">
        <v>9</v>
      </c>
      <c r="C2238" s="11" t="s">
        <v>253</v>
      </c>
      <c r="D2238" s="11" t="s">
        <v>254</v>
      </c>
      <c r="E2238" s="9" t="str">
        <f>+HYPERLINK("http://trademark.i-assist.jp/data/china/image_1903th/79501854.pdf", "79501854")</f>
        <v>79501854</v>
      </c>
      <c r="F2238" s="11" t="s">
        <v>6340</v>
      </c>
      <c r="G2238" s="11" t="s">
        <v>6341</v>
      </c>
      <c r="H2238" s="11" t="s">
        <v>6342</v>
      </c>
      <c r="I2238" s="11" t="s">
        <v>6194</v>
      </c>
    </row>
    <row r="2239" spans="1:9" x14ac:dyDescent="0.15">
      <c r="A2239" s="10">
        <v>2238</v>
      </c>
      <c r="B2239" s="11" t="s">
        <v>9</v>
      </c>
      <c r="C2239" s="11" t="s">
        <v>253</v>
      </c>
      <c r="D2239" s="11" t="s">
        <v>254</v>
      </c>
      <c r="E2239" s="9" t="str">
        <f>+HYPERLINK("http://trademark.i-assist.jp/data/china/image_1903th/79502426.pdf", "79502426")</f>
        <v>79502426</v>
      </c>
      <c r="F2239" s="11" t="s">
        <v>6343</v>
      </c>
      <c r="G2239" s="11" t="s">
        <v>6344</v>
      </c>
      <c r="H2239" s="11" t="s">
        <v>6345</v>
      </c>
      <c r="I2239" s="11" t="s">
        <v>6194</v>
      </c>
    </row>
    <row r="2240" spans="1:9" x14ac:dyDescent="0.15">
      <c r="A2240" s="10">
        <v>2239</v>
      </c>
      <c r="B2240" s="11" t="s">
        <v>9</v>
      </c>
      <c r="C2240" s="11" t="s">
        <v>253</v>
      </c>
      <c r="D2240" s="11" t="s">
        <v>254</v>
      </c>
      <c r="E2240" s="9" t="str">
        <f>+HYPERLINK("http://trademark.i-assist.jp/data/china/image_1903th/79502752.pdf", "79502752")</f>
        <v>79502752</v>
      </c>
      <c r="F2240" s="11" t="s">
        <v>6346</v>
      </c>
      <c r="G2240" s="11" t="s">
        <v>6347</v>
      </c>
      <c r="H2240" s="11" t="s">
        <v>6348</v>
      </c>
      <c r="I2240" s="11" t="s">
        <v>6194</v>
      </c>
    </row>
    <row r="2241" spans="1:9" x14ac:dyDescent="0.15">
      <c r="A2241" s="10">
        <v>2240</v>
      </c>
      <c r="B2241" s="11" t="s">
        <v>9</v>
      </c>
      <c r="C2241" s="11" t="s">
        <v>253</v>
      </c>
      <c r="D2241" s="11" t="s">
        <v>254</v>
      </c>
      <c r="E2241" s="9" t="str">
        <f>+HYPERLINK("http://trademark.i-assist.jp/data/china/image_1903th/79502757.pdf", "79502757")</f>
        <v>79502757</v>
      </c>
      <c r="F2241" s="11" t="s">
        <v>6349</v>
      </c>
      <c r="G2241" s="11" t="s">
        <v>6347</v>
      </c>
      <c r="H2241" s="11" t="s">
        <v>6350</v>
      </c>
      <c r="I2241" s="11" t="s">
        <v>6194</v>
      </c>
    </row>
    <row r="2242" spans="1:9" x14ac:dyDescent="0.15">
      <c r="A2242" s="10">
        <v>2241</v>
      </c>
      <c r="B2242" s="11" t="s">
        <v>9</v>
      </c>
      <c r="C2242" s="11" t="s">
        <v>253</v>
      </c>
      <c r="D2242" s="11" t="s">
        <v>254</v>
      </c>
      <c r="E2242" s="9" t="str">
        <f>+HYPERLINK("http://trademark.i-assist.jp/data/china/image_1903th/79502950.pdf", "79502950")</f>
        <v>79502950</v>
      </c>
      <c r="F2242" s="11" t="s">
        <v>6351</v>
      </c>
      <c r="G2242" s="11" t="s">
        <v>6352</v>
      </c>
      <c r="H2242" s="11" t="s">
        <v>6353</v>
      </c>
      <c r="I2242" s="11" t="s">
        <v>6194</v>
      </c>
    </row>
    <row r="2243" spans="1:9" x14ac:dyDescent="0.15">
      <c r="A2243" s="10">
        <v>2242</v>
      </c>
      <c r="B2243" s="11" t="s">
        <v>9</v>
      </c>
      <c r="C2243" s="11" t="s">
        <v>253</v>
      </c>
      <c r="D2243" s="11" t="s">
        <v>254</v>
      </c>
      <c r="E2243" s="9" t="str">
        <f>+HYPERLINK("http://trademark.i-assist.jp/data/china/image_1903th/79503073.pdf", "79503073")</f>
        <v>79503073</v>
      </c>
      <c r="F2243" s="11" t="s">
        <v>6354</v>
      </c>
      <c r="G2243" s="11" t="s">
        <v>6355</v>
      </c>
      <c r="H2243" s="11" t="s">
        <v>6356</v>
      </c>
      <c r="I2243" s="11" t="s">
        <v>6194</v>
      </c>
    </row>
    <row r="2244" spans="1:9" x14ac:dyDescent="0.15">
      <c r="A2244" s="10">
        <v>2243</v>
      </c>
      <c r="B2244" s="11" t="s">
        <v>9</v>
      </c>
      <c r="C2244" s="11" t="s">
        <v>253</v>
      </c>
      <c r="D2244" s="11" t="s">
        <v>254</v>
      </c>
      <c r="E2244" s="9" t="str">
        <f>+HYPERLINK("http://trademark.i-assist.jp/data/china/image_1903th/79503290.pdf", "79503290")</f>
        <v>79503290</v>
      </c>
      <c r="F2244" s="11" t="s">
        <v>6357</v>
      </c>
      <c r="G2244" s="11" t="s">
        <v>6358</v>
      </c>
      <c r="H2244" s="11" t="s">
        <v>6359</v>
      </c>
      <c r="I2244" s="11" t="s">
        <v>6194</v>
      </c>
    </row>
    <row r="2245" spans="1:9" x14ac:dyDescent="0.15">
      <c r="A2245" s="10">
        <v>2244</v>
      </c>
      <c r="B2245" s="11" t="s">
        <v>9</v>
      </c>
      <c r="C2245" s="11" t="s">
        <v>253</v>
      </c>
      <c r="D2245" s="11" t="s">
        <v>254</v>
      </c>
      <c r="E2245" s="9" t="str">
        <f>+HYPERLINK("http://trademark.i-assist.jp/data/china/image_1903th/79504493.pdf", "79504493")</f>
        <v>79504493</v>
      </c>
      <c r="F2245" s="11" t="s">
        <v>6360</v>
      </c>
      <c r="G2245" s="11" t="s">
        <v>6361</v>
      </c>
      <c r="H2245" s="11" t="s">
        <v>6362</v>
      </c>
      <c r="I2245" s="11" t="s">
        <v>6194</v>
      </c>
    </row>
    <row r="2246" spans="1:9" x14ac:dyDescent="0.15">
      <c r="A2246" s="10">
        <v>2245</v>
      </c>
      <c r="B2246" s="11" t="s">
        <v>9</v>
      </c>
      <c r="C2246" s="11" t="s">
        <v>253</v>
      </c>
      <c r="D2246" s="11" t="s">
        <v>254</v>
      </c>
      <c r="E2246" s="9" t="str">
        <f>+HYPERLINK("http://trademark.i-assist.jp/data/china/image_1903th/79505455.pdf", "79505455")</f>
        <v>79505455</v>
      </c>
      <c r="F2246" s="11" t="s">
        <v>6363</v>
      </c>
      <c r="G2246" s="11" t="s">
        <v>6364</v>
      </c>
      <c r="H2246" s="11" t="s">
        <v>6365</v>
      </c>
      <c r="I2246" s="11" t="s">
        <v>6194</v>
      </c>
    </row>
    <row r="2247" spans="1:9" x14ac:dyDescent="0.15">
      <c r="A2247" s="10">
        <v>2246</v>
      </c>
      <c r="B2247" s="11" t="s">
        <v>9</v>
      </c>
      <c r="C2247" s="11" t="s">
        <v>253</v>
      </c>
      <c r="D2247" s="11" t="s">
        <v>254</v>
      </c>
      <c r="E2247" s="9" t="str">
        <f>+HYPERLINK("http://trademark.i-assist.jp/data/china/image_1903th/79505728.pdf", "79505728")</f>
        <v>79505728</v>
      </c>
      <c r="F2247" s="11" t="s">
        <v>6366</v>
      </c>
      <c r="G2247" s="11" t="s">
        <v>6367</v>
      </c>
      <c r="H2247" s="11" t="s">
        <v>6368</v>
      </c>
      <c r="I2247" s="11" t="s">
        <v>6194</v>
      </c>
    </row>
    <row r="2248" spans="1:9" x14ac:dyDescent="0.15">
      <c r="A2248" s="10">
        <v>2247</v>
      </c>
      <c r="B2248" s="11" t="s">
        <v>9</v>
      </c>
      <c r="C2248" s="11" t="s">
        <v>253</v>
      </c>
      <c r="D2248" s="11" t="s">
        <v>254</v>
      </c>
      <c r="E2248" s="9" t="str">
        <f>+HYPERLINK("http://trademark.i-assist.jp/data/china/image_1903th/79506381.pdf", "79506381")</f>
        <v>79506381</v>
      </c>
      <c r="F2248" s="11" t="s">
        <v>6369</v>
      </c>
      <c r="G2248" s="11" t="s">
        <v>212</v>
      </c>
      <c r="H2248" s="11" t="s">
        <v>6370</v>
      </c>
      <c r="I2248" s="11" t="s">
        <v>6194</v>
      </c>
    </row>
    <row r="2249" spans="1:9" x14ac:dyDescent="0.15">
      <c r="A2249" s="10">
        <v>2248</v>
      </c>
      <c r="B2249" s="11" t="s">
        <v>9</v>
      </c>
      <c r="C2249" s="11" t="s">
        <v>253</v>
      </c>
      <c r="D2249" s="11" t="s">
        <v>254</v>
      </c>
      <c r="E2249" s="9" t="str">
        <f>+HYPERLINK("http://trademark.i-assist.jp/data/china/image_1903th/79506601.pdf", "79506601")</f>
        <v>79506601</v>
      </c>
      <c r="F2249" s="11" t="s">
        <v>6371</v>
      </c>
      <c r="G2249" s="11" t="s">
        <v>6372</v>
      </c>
      <c r="H2249" s="11" t="s">
        <v>6373</v>
      </c>
      <c r="I2249" s="11" t="s">
        <v>6194</v>
      </c>
    </row>
    <row r="2250" spans="1:9" x14ac:dyDescent="0.15">
      <c r="A2250" s="10">
        <v>2249</v>
      </c>
      <c r="B2250" s="11" t="s">
        <v>9</v>
      </c>
      <c r="C2250" s="11" t="s">
        <v>253</v>
      </c>
      <c r="D2250" s="11" t="s">
        <v>254</v>
      </c>
      <c r="E2250" s="9" t="str">
        <f>+HYPERLINK("http://trademark.i-assist.jp/data/china/image_1903th/79506711.pdf", "79506711")</f>
        <v>79506711</v>
      </c>
      <c r="F2250" s="11" t="s">
        <v>6374</v>
      </c>
      <c r="G2250" s="11" t="s">
        <v>6375</v>
      </c>
      <c r="H2250" s="11" t="s">
        <v>6376</v>
      </c>
      <c r="I2250" s="11" t="s">
        <v>6194</v>
      </c>
    </row>
    <row r="2251" spans="1:9" x14ac:dyDescent="0.15">
      <c r="A2251" s="10">
        <v>2250</v>
      </c>
      <c r="B2251" s="11" t="s">
        <v>9</v>
      </c>
      <c r="C2251" s="11" t="s">
        <v>253</v>
      </c>
      <c r="D2251" s="11" t="s">
        <v>254</v>
      </c>
      <c r="E2251" s="9" t="str">
        <f>+HYPERLINK("http://trademark.i-assist.jp/data/china/image_1903th/79506809.pdf", "79506809")</f>
        <v>79506809</v>
      </c>
      <c r="F2251" s="11" t="s">
        <v>6377</v>
      </c>
      <c r="G2251" s="11" t="s">
        <v>6378</v>
      </c>
      <c r="H2251" s="11" t="s">
        <v>6379</v>
      </c>
      <c r="I2251" s="11" t="s">
        <v>6194</v>
      </c>
    </row>
    <row r="2252" spans="1:9" x14ac:dyDescent="0.15">
      <c r="A2252" s="10">
        <v>2251</v>
      </c>
      <c r="B2252" s="11" t="s">
        <v>9</v>
      </c>
      <c r="C2252" s="11" t="s">
        <v>253</v>
      </c>
      <c r="D2252" s="11" t="s">
        <v>254</v>
      </c>
      <c r="E2252" s="9" t="str">
        <f>+HYPERLINK("http://trademark.i-assist.jp/data/china/image_1903th/79507338.pdf", "79507338")</f>
        <v>79507338</v>
      </c>
      <c r="F2252" s="11" t="s">
        <v>6380</v>
      </c>
      <c r="G2252" s="11" t="s">
        <v>4513</v>
      </c>
      <c r="H2252" s="11" t="s">
        <v>6381</v>
      </c>
      <c r="I2252" s="11" t="s">
        <v>6194</v>
      </c>
    </row>
    <row r="2253" spans="1:9" x14ac:dyDescent="0.15">
      <c r="A2253" s="10">
        <v>2252</v>
      </c>
      <c r="B2253" s="11" t="s">
        <v>9</v>
      </c>
      <c r="C2253" s="11" t="s">
        <v>253</v>
      </c>
      <c r="D2253" s="11" t="s">
        <v>254</v>
      </c>
      <c r="E2253" s="9" t="str">
        <f>+HYPERLINK("http://trademark.i-assist.jp/data/china/image_1903th/79507597.pdf", "79507597")</f>
        <v>79507597</v>
      </c>
      <c r="F2253" s="11" t="s">
        <v>6382</v>
      </c>
      <c r="G2253" s="11" t="s">
        <v>5892</v>
      </c>
      <c r="H2253" s="11" t="s">
        <v>6383</v>
      </c>
      <c r="I2253" s="11" t="s">
        <v>6194</v>
      </c>
    </row>
    <row r="2254" spans="1:9" x14ac:dyDescent="0.15">
      <c r="A2254" s="10">
        <v>2253</v>
      </c>
      <c r="B2254" s="11" t="s">
        <v>9</v>
      </c>
      <c r="C2254" s="11" t="s">
        <v>253</v>
      </c>
      <c r="D2254" s="11" t="s">
        <v>254</v>
      </c>
      <c r="E2254" s="9" t="str">
        <f>+HYPERLINK("http://trademark.i-assist.jp/data/china/image_1903th/79507984.pdf", "79507984")</f>
        <v>79507984</v>
      </c>
      <c r="F2254" s="11" t="s">
        <v>6384</v>
      </c>
      <c r="G2254" s="11" t="s">
        <v>210</v>
      </c>
      <c r="H2254" s="11" t="s">
        <v>6385</v>
      </c>
      <c r="I2254" s="11" t="s">
        <v>6194</v>
      </c>
    </row>
    <row r="2255" spans="1:9" x14ac:dyDescent="0.15">
      <c r="A2255" s="10">
        <v>2254</v>
      </c>
      <c r="B2255" s="11" t="s">
        <v>9</v>
      </c>
      <c r="C2255" s="11" t="s">
        <v>253</v>
      </c>
      <c r="D2255" s="11" t="s">
        <v>254</v>
      </c>
      <c r="E2255" s="9" t="str">
        <f>+HYPERLINK("http://trademark.i-assist.jp/data/china/image_1903th/79508341.pdf", "79508341")</f>
        <v>79508341</v>
      </c>
      <c r="F2255" s="11" t="s">
        <v>6386</v>
      </c>
      <c r="G2255" s="11" t="s">
        <v>6387</v>
      </c>
      <c r="H2255" s="11" t="s">
        <v>6388</v>
      </c>
      <c r="I2255" s="11" t="s">
        <v>6194</v>
      </c>
    </row>
    <row r="2256" spans="1:9" x14ac:dyDescent="0.15">
      <c r="A2256" s="10">
        <v>2255</v>
      </c>
      <c r="B2256" s="11" t="s">
        <v>9</v>
      </c>
      <c r="C2256" s="11" t="s">
        <v>253</v>
      </c>
      <c r="D2256" s="11" t="s">
        <v>254</v>
      </c>
      <c r="E2256" s="9" t="str">
        <f>+HYPERLINK("http://trademark.i-assist.jp/data/china/image_1903th/79508393.pdf", "79508393")</f>
        <v>79508393</v>
      </c>
      <c r="F2256" s="11" t="s">
        <v>6389</v>
      </c>
      <c r="G2256" s="11" t="s">
        <v>6390</v>
      </c>
      <c r="H2256" s="11" t="s">
        <v>6391</v>
      </c>
      <c r="I2256" s="11" t="s">
        <v>6194</v>
      </c>
    </row>
    <row r="2257" spans="1:9" x14ac:dyDescent="0.15">
      <c r="A2257" s="10">
        <v>2256</v>
      </c>
      <c r="B2257" s="11" t="s">
        <v>9</v>
      </c>
      <c r="C2257" s="11" t="s">
        <v>253</v>
      </c>
      <c r="D2257" s="11" t="s">
        <v>254</v>
      </c>
      <c r="E2257" s="9" t="str">
        <f>+HYPERLINK("http://trademark.i-assist.jp/data/china/image_1903th/79508771.pdf", "79508771")</f>
        <v>79508771</v>
      </c>
      <c r="F2257" s="11" t="s">
        <v>6392</v>
      </c>
      <c r="G2257" s="11" t="s">
        <v>212</v>
      </c>
      <c r="H2257" s="11" t="s">
        <v>6393</v>
      </c>
      <c r="I2257" s="11" t="s">
        <v>6194</v>
      </c>
    </row>
    <row r="2258" spans="1:9" x14ac:dyDescent="0.15">
      <c r="A2258" s="10">
        <v>2257</v>
      </c>
      <c r="B2258" s="11" t="s">
        <v>9</v>
      </c>
      <c r="C2258" s="11" t="s">
        <v>253</v>
      </c>
      <c r="D2258" s="11" t="s">
        <v>254</v>
      </c>
      <c r="E2258" s="9" t="str">
        <f>+HYPERLINK("http://trademark.i-assist.jp/data/china/image_1903th/79508778.pdf", "79508778")</f>
        <v>79508778</v>
      </c>
      <c r="F2258" s="11" t="s">
        <v>6394</v>
      </c>
      <c r="G2258" s="11" t="s">
        <v>6395</v>
      </c>
      <c r="H2258" s="11" t="s">
        <v>6396</v>
      </c>
      <c r="I2258" s="11" t="s">
        <v>6194</v>
      </c>
    </row>
    <row r="2259" spans="1:9" x14ac:dyDescent="0.15">
      <c r="A2259" s="10">
        <v>2258</v>
      </c>
      <c r="B2259" s="11" t="s">
        <v>9</v>
      </c>
      <c r="C2259" s="11" t="s">
        <v>253</v>
      </c>
      <c r="D2259" s="11" t="s">
        <v>254</v>
      </c>
      <c r="E2259" s="9" t="str">
        <f>+HYPERLINK("http://trademark.i-assist.jp/data/china/image_1903th/79508779.pdf", "79508779")</f>
        <v>79508779</v>
      </c>
      <c r="F2259" s="11" t="s">
        <v>6397</v>
      </c>
      <c r="G2259" s="11" t="s">
        <v>6398</v>
      </c>
      <c r="H2259" s="11" t="s">
        <v>6399</v>
      </c>
      <c r="I2259" s="11" t="s">
        <v>6194</v>
      </c>
    </row>
    <row r="2260" spans="1:9" x14ac:dyDescent="0.15">
      <c r="A2260" s="10">
        <v>2259</v>
      </c>
      <c r="B2260" s="11" t="s">
        <v>9</v>
      </c>
      <c r="C2260" s="11" t="s">
        <v>253</v>
      </c>
      <c r="D2260" s="11" t="s">
        <v>254</v>
      </c>
      <c r="E2260" s="9" t="str">
        <f>+HYPERLINK("http://trademark.i-assist.jp/data/china/image_1903th/79509522.pdf", "79509522")</f>
        <v>79509522</v>
      </c>
      <c r="F2260" s="11" t="s">
        <v>6400</v>
      </c>
      <c r="G2260" s="11" t="s">
        <v>223</v>
      </c>
      <c r="H2260" s="11" t="s">
        <v>6401</v>
      </c>
      <c r="I2260" s="11" t="s">
        <v>6194</v>
      </c>
    </row>
    <row r="2261" spans="1:9" x14ac:dyDescent="0.15">
      <c r="A2261" s="10">
        <v>2260</v>
      </c>
      <c r="B2261" s="11" t="s">
        <v>9</v>
      </c>
      <c r="C2261" s="11" t="s">
        <v>253</v>
      </c>
      <c r="D2261" s="11" t="s">
        <v>254</v>
      </c>
      <c r="E2261" s="9" t="str">
        <f>+HYPERLINK("http://trademark.i-assist.jp/data/china/image_1903th/79510024.pdf", "79510024")</f>
        <v>79510024</v>
      </c>
      <c r="F2261" s="11" t="s">
        <v>6402</v>
      </c>
      <c r="G2261" s="11" t="s">
        <v>6403</v>
      </c>
      <c r="H2261" s="11" t="s">
        <v>6404</v>
      </c>
      <c r="I2261" s="11" t="s">
        <v>6194</v>
      </c>
    </row>
    <row r="2262" spans="1:9" x14ac:dyDescent="0.15">
      <c r="A2262" s="10">
        <v>2261</v>
      </c>
      <c r="B2262" s="11" t="s">
        <v>9</v>
      </c>
      <c r="C2262" s="11" t="s">
        <v>253</v>
      </c>
      <c r="D2262" s="11" t="s">
        <v>254</v>
      </c>
      <c r="E2262" s="9" t="str">
        <f>+HYPERLINK("http://trademark.i-assist.jp/data/china/image_1903th/79510164.pdf", "79510164")</f>
        <v>79510164</v>
      </c>
      <c r="F2262" s="11" t="s">
        <v>6405</v>
      </c>
      <c r="G2262" s="11" t="s">
        <v>6406</v>
      </c>
      <c r="H2262" s="11" t="s">
        <v>6407</v>
      </c>
      <c r="I2262" s="11" t="s">
        <v>6194</v>
      </c>
    </row>
    <row r="2263" spans="1:9" x14ac:dyDescent="0.15">
      <c r="A2263" s="10">
        <v>2262</v>
      </c>
      <c r="B2263" s="11" t="s">
        <v>9</v>
      </c>
      <c r="C2263" s="11" t="s">
        <v>253</v>
      </c>
      <c r="D2263" s="11" t="s">
        <v>254</v>
      </c>
      <c r="E2263" s="9" t="str">
        <f>+HYPERLINK("http://trademark.i-assist.jp/data/china/image_1903th/79510443.pdf", "79510443")</f>
        <v>79510443</v>
      </c>
      <c r="F2263" s="11" t="s">
        <v>6408</v>
      </c>
      <c r="G2263" s="11" t="s">
        <v>6409</v>
      </c>
      <c r="H2263" s="11" t="s">
        <v>6410</v>
      </c>
      <c r="I2263" s="11" t="s">
        <v>6194</v>
      </c>
    </row>
    <row r="2264" spans="1:9" x14ac:dyDescent="0.15">
      <c r="A2264" s="10">
        <v>2263</v>
      </c>
      <c r="B2264" s="11" t="s">
        <v>9</v>
      </c>
      <c r="C2264" s="11" t="s">
        <v>253</v>
      </c>
      <c r="D2264" s="11" t="s">
        <v>254</v>
      </c>
      <c r="E2264" s="9" t="str">
        <f>+HYPERLINK("http://trademark.i-assist.jp/data/china/image_1903th/79510672.pdf", "79510672")</f>
        <v>79510672</v>
      </c>
      <c r="F2264" s="11" t="s">
        <v>6411</v>
      </c>
      <c r="G2264" s="11" t="s">
        <v>6199</v>
      </c>
      <c r="H2264" s="11" t="s">
        <v>6412</v>
      </c>
      <c r="I2264" s="11" t="s">
        <v>6194</v>
      </c>
    </row>
    <row r="2265" spans="1:9" x14ac:dyDescent="0.15">
      <c r="A2265" s="10">
        <v>2264</v>
      </c>
      <c r="B2265" s="11" t="s">
        <v>9</v>
      </c>
      <c r="C2265" s="11" t="s">
        <v>253</v>
      </c>
      <c r="D2265" s="11" t="s">
        <v>254</v>
      </c>
      <c r="E2265" s="9" t="str">
        <f>+HYPERLINK("http://trademark.i-assist.jp/data/china/image_1903th/79510825.pdf", "79510825")</f>
        <v>79510825</v>
      </c>
      <c r="F2265" s="11" t="s">
        <v>6413</v>
      </c>
      <c r="G2265" s="11" t="s">
        <v>6414</v>
      </c>
      <c r="H2265" s="11" t="s">
        <v>6415</v>
      </c>
      <c r="I2265" s="11" t="s">
        <v>6194</v>
      </c>
    </row>
    <row r="2266" spans="1:9" x14ac:dyDescent="0.15">
      <c r="A2266" s="10">
        <v>2265</v>
      </c>
      <c r="B2266" s="11" t="s">
        <v>9</v>
      </c>
      <c r="C2266" s="11" t="s">
        <v>253</v>
      </c>
      <c r="D2266" s="11" t="s">
        <v>254</v>
      </c>
      <c r="E2266" s="9" t="str">
        <f>+HYPERLINK("http://trademark.i-assist.jp/data/china/image_1903th/79510979.pdf", "79510979")</f>
        <v>79510979</v>
      </c>
      <c r="F2266" s="11" t="s">
        <v>6416</v>
      </c>
      <c r="G2266" s="11" t="s">
        <v>6417</v>
      </c>
      <c r="H2266" s="11" t="s">
        <v>6418</v>
      </c>
      <c r="I2266" s="11" t="s">
        <v>6194</v>
      </c>
    </row>
    <row r="2267" spans="1:9" x14ac:dyDescent="0.15">
      <c r="A2267" s="10">
        <v>2266</v>
      </c>
      <c r="B2267" s="11" t="s">
        <v>9</v>
      </c>
      <c r="C2267" s="11" t="s">
        <v>253</v>
      </c>
      <c r="D2267" s="11" t="s">
        <v>254</v>
      </c>
      <c r="E2267" s="9" t="str">
        <f>+HYPERLINK("http://trademark.i-assist.jp/data/china/image_1903th/79511939.pdf", "79511939")</f>
        <v>79511939</v>
      </c>
      <c r="F2267" s="11" t="s">
        <v>6419</v>
      </c>
      <c r="G2267" s="11" t="s">
        <v>5378</v>
      </c>
      <c r="H2267" s="11" t="s">
        <v>6420</v>
      </c>
      <c r="I2267" s="11" t="s">
        <v>6194</v>
      </c>
    </row>
    <row r="2268" spans="1:9" x14ac:dyDescent="0.15">
      <c r="A2268" s="10">
        <v>2267</v>
      </c>
      <c r="B2268" s="11" t="s">
        <v>9</v>
      </c>
      <c r="C2268" s="11" t="s">
        <v>253</v>
      </c>
      <c r="D2268" s="11" t="s">
        <v>254</v>
      </c>
      <c r="E2268" s="9" t="str">
        <f>+HYPERLINK("http://trademark.i-assist.jp/data/china/image_1903th/79512407.pdf", "79512407")</f>
        <v>79512407</v>
      </c>
      <c r="F2268" s="11" t="s">
        <v>6421</v>
      </c>
      <c r="G2268" s="11" t="s">
        <v>6422</v>
      </c>
      <c r="H2268" s="11" t="s">
        <v>6423</v>
      </c>
      <c r="I2268" s="11" t="s">
        <v>6194</v>
      </c>
    </row>
    <row r="2269" spans="1:9" x14ac:dyDescent="0.15">
      <c r="A2269" s="10">
        <v>2268</v>
      </c>
      <c r="B2269" s="11" t="s">
        <v>9</v>
      </c>
      <c r="C2269" s="11" t="s">
        <v>253</v>
      </c>
      <c r="D2269" s="11" t="s">
        <v>254</v>
      </c>
      <c r="E2269" s="9" t="str">
        <f>+HYPERLINK("http://trademark.i-assist.jp/data/china/image_1903th/79512973.pdf", "79512973")</f>
        <v>79512973</v>
      </c>
      <c r="F2269" s="11" t="s">
        <v>6424</v>
      </c>
      <c r="G2269" s="11" t="s">
        <v>6425</v>
      </c>
      <c r="H2269" s="11" t="s">
        <v>6426</v>
      </c>
      <c r="I2269" s="11" t="s">
        <v>6194</v>
      </c>
    </row>
    <row r="2270" spans="1:9" x14ac:dyDescent="0.15">
      <c r="A2270" s="10">
        <v>2269</v>
      </c>
      <c r="B2270" s="11" t="s">
        <v>9</v>
      </c>
      <c r="C2270" s="11" t="s">
        <v>253</v>
      </c>
      <c r="D2270" s="11" t="s">
        <v>254</v>
      </c>
      <c r="E2270" s="9" t="str">
        <f>+HYPERLINK("http://trademark.i-assist.jp/data/china/image_1903th/79512996.pdf", "79512996")</f>
        <v>79512996</v>
      </c>
      <c r="F2270" s="11" t="s">
        <v>6427</v>
      </c>
      <c r="G2270" s="11" t="s">
        <v>6428</v>
      </c>
      <c r="H2270" s="11" t="s">
        <v>6429</v>
      </c>
      <c r="I2270" s="11" t="s">
        <v>6194</v>
      </c>
    </row>
    <row r="2271" spans="1:9" x14ac:dyDescent="0.15">
      <c r="A2271" s="10">
        <v>2270</v>
      </c>
      <c r="B2271" s="11" t="s">
        <v>9</v>
      </c>
      <c r="C2271" s="11" t="s">
        <v>253</v>
      </c>
      <c r="D2271" s="11" t="s">
        <v>254</v>
      </c>
      <c r="E2271" s="9" t="str">
        <f>+HYPERLINK("http://trademark.i-assist.jp/data/china/image_1903th/79513267.pdf", "79513267")</f>
        <v>79513267</v>
      </c>
      <c r="F2271" s="11" t="s">
        <v>6430</v>
      </c>
      <c r="G2271" s="11" t="s">
        <v>6431</v>
      </c>
      <c r="H2271" s="11" t="s">
        <v>6432</v>
      </c>
      <c r="I2271" s="11" t="s">
        <v>6194</v>
      </c>
    </row>
    <row r="2272" spans="1:9" x14ac:dyDescent="0.15">
      <c r="A2272" s="10">
        <v>2271</v>
      </c>
      <c r="B2272" s="11" t="s">
        <v>9</v>
      </c>
      <c r="C2272" s="11" t="s">
        <v>253</v>
      </c>
      <c r="D2272" s="11" t="s">
        <v>254</v>
      </c>
      <c r="E2272" s="9" t="str">
        <f>+HYPERLINK("http://trademark.i-assist.jp/data/china/image_1903th/79513273.pdf", "79513273")</f>
        <v>79513273</v>
      </c>
      <c r="F2272" s="11" t="s">
        <v>6433</v>
      </c>
      <c r="G2272" s="11" t="s">
        <v>6434</v>
      </c>
      <c r="H2272" s="11" t="s">
        <v>6435</v>
      </c>
      <c r="I2272" s="11" t="s">
        <v>6194</v>
      </c>
    </row>
    <row r="2273" spans="1:9" x14ac:dyDescent="0.15">
      <c r="A2273" s="10">
        <v>2272</v>
      </c>
      <c r="B2273" s="11" t="s">
        <v>9</v>
      </c>
      <c r="C2273" s="11" t="s">
        <v>253</v>
      </c>
      <c r="D2273" s="11" t="s">
        <v>254</v>
      </c>
      <c r="E2273" s="9" t="str">
        <f>+HYPERLINK("http://trademark.i-assist.jp/data/china/image_1903th/79513541.pdf", "79513541")</f>
        <v>79513541</v>
      </c>
      <c r="F2273" s="11" t="s">
        <v>6436</v>
      </c>
      <c r="G2273" s="11" t="s">
        <v>6437</v>
      </c>
      <c r="H2273" s="11" t="s">
        <v>6438</v>
      </c>
      <c r="I2273" s="11" t="s">
        <v>6194</v>
      </c>
    </row>
    <row r="2274" spans="1:9" x14ac:dyDescent="0.15">
      <c r="A2274" s="10">
        <v>2273</v>
      </c>
      <c r="B2274" s="11" t="s">
        <v>9</v>
      </c>
      <c r="C2274" s="11" t="s">
        <v>253</v>
      </c>
      <c r="D2274" s="11" t="s">
        <v>254</v>
      </c>
      <c r="E2274" s="9" t="str">
        <f>+HYPERLINK("http://trademark.i-assist.jp/data/china/image_1903th/79514059.pdf", "79514059")</f>
        <v>79514059</v>
      </c>
      <c r="F2274" s="11" t="s">
        <v>6439</v>
      </c>
      <c r="G2274" s="11" t="s">
        <v>6327</v>
      </c>
      <c r="H2274" s="11" t="s">
        <v>6440</v>
      </c>
      <c r="I2274" s="11" t="s">
        <v>6194</v>
      </c>
    </row>
    <row r="2275" spans="1:9" x14ac:dyDescent="0.15">
      <c r="A2275" s="10">
        <v>2274</v>
      </c>
      <c r="B2275" s="11" t="s">
        <v>9</v>
      </c>
      <c r="C2275" s="11" t="s">
        <v>253</v>
      </c>
      <c r="D2275" s="11" t="s">
        <v>254</v>
      </c>
      <c r="E2275" s="9" t="str">
        <f>+HYPERLINK("http://trademark.i-assist.jp/data/china/image_1903th/79514310.pdf", "79514310")</f>
        <v>79514310</v>
      </c>
      <c r="F2275" s="11" t="s">
        <v>6317</v>
      </c>
      <c r="G2275" s="11" t="s">
        <v>6318</v>
      </c>
      <c r="H2275" s="11" t="s">
        <v>6441</v>
      </c>
      <c r="I2275" s="11" t="s">
        <v>6194</v>
      </c>
    </row>
    <row r="2276" spans="1:9" x14ac:dyDescent="0.15">
      <c r="A2276" s="10">
        <v>2275</v>
      </c>
      <c r="B2276" s="11" t="s">
        <v>9</v>
      </c>
      <c r="C2276" s="11" t="s">
        <v>253</v>
      </c>
      <c r="D2276" s="11" t="s">
        <v>254</v>
      </c>
      <c r="E2276" s="9" t="str">
        <f>+HYPERLINK("http://trademark.i-assist.jp/data/china/image_1903th/79514656.pdf", "79514656")</f>
        <v>79514656</v>
      </c>
      <c r="F2276" s="11" t="s">
        <v>6442</v>
      </c>
      <c r="G2276" s="11" t="s">
        <v>6443</v>
      </c>
      <c r="H2276" s="11" t="s">
        <v>6444</v>
      </c>
      <c r="I2276" s="11" t="s">
        <v>6194</v>
      </c>
    </row>
    <row r="2277" spans="1:9" x14ac:dyDescent="0.15">
      <c r="A2277" s="10">
        <v>2276</v>
      </c>
      <c r="B2277" s="11" t="s">
        <v>9</v>
      </c>
      <c r="C2277" s="11" t="s">
        <v>253</v>
      </c>
      <c r="D2277" s="11" t="s">
        <v>254</v>
      </c>
      <c r="E2277" s="9" t="str">
        <f>+HYPERLINK("http://trademark.i-assist.jp/data/china/image_1903th/79514746.pdf", "79514746")</f>
        <v>79514746</v>
      </c>
      <c r="F2277" s="11" t="s">
        <v>6445</v>
      </c>
      <c r="G2277" s="11" t="s">
        <v>6361</v>
      </c>
      <c r="H2277" s="11" t="s">
        <v>6446</v>
      </c>
      <c r="I2277" s="11" t="s">
        <v>6194</v>
      </c>
    </row>
    <row r="2278" spans="1:9" x14ac:dyDescent="0.15">
      <c r="A2278" s="10">
        <v>2277</v>
      </c>
      <c r="B2278" s="11" t="s">
        <v>9</v>
      </c>
      <c r="C2278" s="11" t="s">
        <v>253</v>
      </c>
      <c r="D2278" s="11" t="s">
        <v>254</v>
      </c>
      <c r="E2278" s="9" t="str">
        <f>+HYPERLINK("http://trademark.i-assist.jp/data/china/image_1903th/79514952.pdf", "79514952")</f>
        <v>79514952</v>
      </c>
      <c r="F2278" s="11" t="s">
        <v>6447</v>
      </c>
      <c r="G2278" s="11" t="s">
        <v>6448</v>
      </c>
      <c r="H2278" s="11" t="s">
        <v>6449</v>
      </c>
      <c r="I2278" s="11" t="s">
        <v>6194</v>
      </c>
    </row>
    <row r="2279" spans="1:9" x14ac:dyDescent="0.15">
      <c r="A2279" s="10">
        <v>2278</v>
      </c>
      <c r="B2279" s="11" t="s">
        <v>9</v>
      </c>
      <c r="C2279" s="11" t="s">
        <v>253</v>
      </c>
      <c r="D2279" s="11" t="s">
        <v>254</v>
      </c>
      <c r="E2279" s="9" t="str">
        <f>+HYPERLINK("http://trademark.i-assist.jp/data/china/image_1903th/79515885.pdf", "79515885")</f>
        <v>79515885</v>
      </c>
      <c r="F2279" s="11" t="s">
        <v>6450</v>
      </c>
      <c r="G2279" s="11" t="s">
        <v>6451</v>
      </c>
      <c r="H2279" s="11" t="s">
        <v>6452</v>
      </c>
      <c r="I2279" s="11" t="s">
        <v>6453</v>
      </c>
    </row>
    <row r="2280" spans="1:9" x14ac:dyDescent="0.15">
      <c r="A2280" s="10">
        <v>2279</v>
      </c>
      <c r="B2280" s="11" t="s">
        <v>9</v>
      </c>
      <c r="C2280" s="11" t="s">
        <v>253</v>
      </c>
      <c r="D2280" s="11" t="s">
        <v>254</v>
      </c>
      <c r="E2280" s="9" t="str">
        <f>+HYPERLINK("http://trademark.i-assist.jp/data/china/image_1903th/79515925.pdf", "79515925")</f>
        <v>79515925</v>
      </c>
      <c r="F2280" s="11" t="s">
        <v>6454</v>
      </c>
      <c r="G2280" s="11" t="s">
        <v>48</v>
      </c>
      <c r="H2280" s="11" t="s">
        <v>6455</v>
      </c>
      <c r="I2280" s="11" t="s">
        <v>6453</v>
      </c>
    </row>
    <row r="2281" spans="1:9" x14ac:dyDescent="0.15">
      <c r="A2281" s="10">
        <v>2280</v>
      </c>
      <c r="B2281" s="11" t="s">
        <v>9</v>
      </c>
      <c r="C2281" s="11" t="s">
        <v>253</v>
      </c>
      <c r="D2281" s="11" t="s">
        <v>254</v>
      </c>
      <c r="E2281" s="9" t="str">
        <f>+HYPERLINK("http://trademark.i-assist.jp/data/china/image_1903th/79516078.pdf", "79516078")</f>
        <v>79516078</v>
      </c>
      <c r="F2281" s="11" t="s">
        <v>6456</v>
      </c>
      <c r="G2281" s="11" t="s">
        <v>6457</v>
      </c>
      <c r="H2281" s="11" t="s">
        <v>6458</v>
      </c>
      <c r="I2281" s="11" t="s">
        <v>6453</v>
      </c>
    </row>
    <row r="2282" spans="1:9" x14ac:dyDescent="0.15">
      <c r="A2282" s="10">
        <v>2281</v>
      </c>
      <c r="B2282" s="11" t="s">
        <v>9</v>
      </c>
      <c r="C2282" s="11" t="s">
        <v>253</v>
      </c>
      <c r="D2282" s="11" t="s">
        <v>254</v>
      </c>
      <c r="E2282" s="9" t="str">
        <f>+HYPERLINK("http://trademark.i-assist.jp/data/china/image_1903th/79516144.pdf", "79516144")</f>
        <v>79516144</v>
      </c>
      <c r="F2282" s="11" t="s">
        <v>6459</v>
      </c>
      <c r="G2282" s="11" t="s">
        <v>6460</v>
      </c>
      <c r="H2282" s="11" t="s">
        <v>6461</v>
      </c>
      <c r="I2282" s="11" t="s">
        <v>6453</v>
      </c>
    </row>
    <row r="2283" spans="1:9" x14ac:dyDescent="0.15">
      <c r="A2283" s="10">
        <v>2282</v>
      </c>
      <c r="B2283" s="11" t="s">
        <v>9</v>
      </c>
      <c r="C2283" s="11" t="s">
        <v>253</v>
      </c>
      <c r="D2283" s="11" t="s">
        <v>254</v>
      </c>
      <c r="E2283" s="9" t="str">
        <f>+HYPERLINK("http://trademark.i-assist.jp/data/china/image_1903th/79516464.pdf", "79516464")</f>
        <v>79516464</v>
      </c>
      <c r="F2283" s="11" t="s">
        <v>6462</v>
      </c>
      <c r="G2283" s="11" t="s">
        <v>6463</v>
      </c>
      <c r="H2283" s="11" t="s">
        <v>6464</v>
      </c>
      <c r="I2283" s="11" t="s">
        <v>6453</v>
      </c>
    </row>
    <row r="2284" spans="1:9" x14ac:dyDescent="0.15">
      <c r="A2284" s="10">
        <v>2283</v>
      </c>
      <c r="B2284" s="11" t="s">
        <v>9</v>
      </c>
      <c r="C2284" s="11" t="s">
        <v>253</v>
      </c>
      <c r="D2284" s="11" t="s">
        <v>254</v>
      </c>
      <c r="E2284" s="9" t="str">
        <f>+HYPERLINK("http://trademark.i-assist.jp/data/china/image_1903th/79516568.pdf", "79516568")</f>
        <v>79516568</v>
      </c>
      <c r="F2284" s="11" t="s">
        <v>6465</v>
      </c>
      <c r="G2284" s="11" t="s">
        <v>6466</v>
      </c>
      <c r="H2284" s="11" t="s">
        <v>6467</v>
      </c>
      <c r="I2284" s="11" t="s">
        <v>6453</v>
      </c>
    </row>
    <row r="2285" spans="1:9" x14ac:dyDescent="0.15">
      <c r="A2285" s="10">
        <v>2284</v>
      </c>
      <c r="B2285" s="11" t="s">
        <v>9</v>
      </c>
      <c r="C2285" s="11" t="s">
        <v>253</v>
      </c>
      <c r="D2285" s="11" t="s">
        <v>254</v>
      </c>
      <c r="E2285" s="9" t="str">
        <f>+HYPERLINK("http://trademark.i-assist.jp/data/china/image_1903th/79517145.pdf", "79517145")</f>
        <v>79517145</v>
      </c>
      <c r="F2285" s="11" t="s">
        <v>6468</v>
      </c>
      <c r="G2285" s="11" t="s">
        <v>6469</v>
      </c>
      <c r="H2285" s="11" t="s">
        <v>6470</v>
      </c>
      <c r="I2285" s="11" t="s">
        <v>6453</v>
      </c>
    </row>
    <row r="2286" spans="1:9" x14ac:dyDescent="0.15">
      <c r="A2286" s="10">
        <v>2285</v>
      </c>
      <c r="B2286" s="11" t="s">
        <v>9</v>
      </c>
      <c r="C2286" s="11" t="s">
        <v>253</v>
      </c>
      <c r="D2286" s="11" t="s">
        <v>254</v>
      </c>
      <c r="E2286" s="9" t="str">
        <f>+HYPERLINK("http://trademark.i-assist.jp/data/china/image_1903th/79517224.pdf", "79517224")</f>
        <v>79517224</v>
      </c>
      <c r="F2286" s="11" t="s">
        <v>6471</v>
      </c>
      <c r="G2286" s="11" t="s">
        <v>6472</v>
      </c>
      <c r="H2286" s="11" t="s">
        <v>6473</v>
      </c>
      <c r="I2286" s="11" t="s">
        <v>6453</v>
      </c>
    </row>
    <row r="2287" spans="1:9" x14ac:dyDescent="0.15">
      <c r="A2287" s="10">
        <v>2286</v>
      </c>
      <c r="B2287" s="11" t="s">
        <v>9</v>
      </c>
      <c r="C2287" s="11" t="s">
        <v>253</v>
      </c>
      <c r="D2287" s="11" t="s">
        <v>254</v>
      </c>
      <c r="E2287" s="9" t="str">
        <f>+HYPERLINK("http://trademark.i-assist.jp/data/china/image_1903th/79517580.pdf", "79517580")</f>
        <v>79517580</v>
      </c>
      <c r="F2287" s="11" t="s">
        <v>6474</v>
      </c>
      <c r="G2287" s="11" t="s">
        <v>6472</v>
      </c>
      <c r="H2287" s="11" t="s">
        <v>6475</v>
      </c>
      <c r="I2287" s="11" t="s">
        <v>6453</v>
      </c>
    </row>
    <row r="2288" spans="1:9" x14ac:dyDescent="0.15">
      <c r="A2288" s="10">
        <v>2287</v>
      </c>
      <c r="B2288" s="11" t="s">
        <v>9</v>
      </c>
      <c r="C2288" s="11" t="s">
        <v>253</v>
      </c>
      <c r="D2288" s="11" t="s">
        <v>254</v>
      </c>
      <c r="E2288" s="9" t="str">
        <f>+HYPERLINK("http://trademark.i-assist.jp/data/china/image_1903th/79517585.pdf", "79517585")</f>
        <v>79517585</v>
      </c>
      <c r="F2288" s="11" t="s">
        <v>6476</v>
      </c>
      <c r="G2288" s="11" t="s">
        <v>6472</v>
      </c>
      <c r="H2288" s="11" t="s">
        <v>6477</v>
      </c>
      <c r="I2288" s="11" t="s">
        <v>6453</v>
      </c>
    </row>
    <row r="2289" spans="1:9" x14ac:dyDescent="0.15">
      <c r="A2289" s="10">
        <v>2288</v>
      </c>
      <c r="B2289" s="11" t="s">
        <v>9</v>
      </c>
      <c r="C2289" s="11" t="s">
        <v>253</v>
      </c>
      <c r="D2289" s="11" t="s">
        <v>254</v>
      </c>
      <c r="E2289" s="9" t="str">
        <f>+HYPERLINK("http://trademark.i-assist.jp/data/china/image_1903th/79517620.pdf", "79517620")</f>
        <v>79517620</v>
      </c>
      <c r="F2289" s="11" t="s">
        <v>6478</v>
      </c>
      <c r="G2289" s="11" t="s">
        <v>6479</v>
      </c>
      <c r="H2289" s="11" t="s">
        <v>6480</v>
      </c>
      <c r="I2289" s="11" t="s">
        <v>6453</v>
      </c>
    </row>
    <row r="2290" spans="1:9" x14ac:dyDescent="0.15">
      <c r="A2290" s="10">
        <v>2289</v>
      </c>
      <c r="B2290" s="11" t="s">
        <v>9</v>
      </c>
      <c r="C2290" s="11" t="s">
        <v>253</v>
      </c>
      <c r="D2290" s="11" t="s">
        <v>254</v>
      </c>
      <c r="E2290" s="9" t="str">
        <f>+HYPERLINK("http://trademark.i-assist.jp/data/china/image_1903th/79518477.pdf", "79518477")</f>
        <v>79518477</v>
      </c>
      <c r="F2290" s="11" t="s">
        <v>6481</v>
      </c>
      <c r="G2290" s="11" t="s">
        <v>5348</v>
      </c>
      <c r="H2290" s="11" t="s">
        <v>6482</v>
      </c>
      <c r="I2290" s="11" t="s">
        <v>6453</v>
      </c>
    </row>
    <row r="2291" spans="1:9" x14ac:dyDescent="0.15">
      <c r="A2291" s="10">
        <v>2290</v>
      </c>
      <c r="B2291" s="11" t="s">
        <v>9</v>
      </c>
      <c r="C2291" s="11" t="s">
        <v>253</v>
      </c>
      <c r="D2291" s="11" t="s">
        <v>254</v>
      </c>
      <c r="E2291" s="9" t="str">
        <f>+HYPERLINK("http://trademark.i-assist.jp/data/china/image_1903th/79518822.pdf", "79518822")</f>
        <v>79518822</v>
      </c>
      <c r="F2291" s="11" t="s">
        <v>6483</v>
      </c>
      <c r="G2291" s="11" t="s">
        <v>6484</v>
      </c>
      <c r="H2291" s="11" t="s">
        <v>6485</v>
      </c>
      <c r="I2291" s="11" t="s">
        <v>6453</v>
      </c>
    </row>
    <row r="2292" spans="1:9" x14ac:dyDescent="0.15">
      <c r="A2292" s="10">
        <v>2291</v>
      </c>
      <c r="B2292" s="11" t="s">
        <v>9</v>
      </c>
      <c r="C2292" s="11" t="s">
        <v>253</v>
      </c>
      <c r="D2292" s="11" t="s">
        <v>254</v>
      </c>
      <c r="E2292" s="9" t="str">
        <f>+HYPERLINK("http://trademark.i-assist.jp/data/china/image_1903th/79519053.pdf", "79519053")</f>
        <v>79519053</v>
      </c>
      <c r="F2292" s="11" t="s">
        <v>6486</v>
      </c>
      <c r="G2292" s="11" t="s">
        <v>6463</v>
      </c>
      <c r="H2292" s="11" t="s">
        <v>6487</v>
      </c>
      <c r="I2292" s="11" t="s">
        <v>6453</v>
      </c>
    </row>
    <row r="2293" spans="1:9" x14ac:dyDescent="0.15">
      <c r="A2293" s="10">
        <v>2292</v>
      </c>
      <c r="B2293" s="11" t="s">
        <v>9</v>
      </c>
      <c r="C2293" s="11" t="s">
        <v>253</v>
      </c>
      <c r="D2293" s="11" t="s">
        <v>254</v>
      </c>
      <c r="E2293" s="9" t="str">
        <f>+HYPERLINK("http://trademark.i-assist.jp/data/china/image_1903th/79519057.pdf", "79519057")</f>
        <v>79519057</v>
      </c>
      <c r="F2293" s="11" t="s">
        <v>6488</v>
      </c>
      <c r="G2293" s="11" t="s">
        <v>6463</v>
      </c>
      <c r="H2293" s="11" t="s">
        <v>6489</v>
      </c>
      <c r="I2293" s="11" t="s">
        <v>6453</v>
      </c>
    </row>
    <row r="2294" spans="1:9" x14ac:dyDescent="0.15">
      <c r="A2294" s="10">
        <v>2293</v>
      </c>
      <c r="B2294" s="11" t="s">
        <v>9</v>
      </c>
      <c r="C2294" s="11" t="s">
        <v>253</v>
      </c>
      <c r="D2294" s="11" t="s">
        <v>254</v>
      </c>
      <c r="E2294" s="9" t="str">
        <f>+HYPERLINK("http://trademark.i-assist.jp/data/china/image_1903th/79519792.pdf", "79519792")</f>
        <v>79519792</v>
      </c>
      <c r="F2294" s="11" t="s">
        <v>6490</v>
      </c>
      <c r="G2294" s="11" t="s">
        <v>6491</v>
      </c>
      <c r="H2294" s="11" t="s">
        <v>6492</v>
      </c>
      <c r="I2294" s="11" t="s">
        <v>6453</v>
      </c>
    </row>
    <row r="2295" spans="1:9" x14ac:dyDescent="0.15">
      <c r="A2295" s="10">
        <v>2294</v>
      </c>
      <c r="B2295" s="11" t="s">
        <v>9</v>
      </c>
      <c r="C2295" s="11" t="s">
        <v>253</v>
      </c>
      <c r="D2295" s="11" t="s">
        <v>254</v>
      </c>
      <c r="E2295" s="9" t="str">
        <f>+HYPERLINK("http://trademark.i-assist.jp/data/china/image_1903th/79519805.pdf", "79519805")</f>
        <v>79519805</v>
      </c>
      <c r="F2295" s="11" t="s">
        <v>6493</v>
      </c>
      <c r="G2295" s="11" t="s">
        <v>6466</v>
      </c>
      <c r="H2295" s="11" t="s">
        <v>6494</v>
      </c>
      <c r="I2295" s="11" t="s">
        <v>6453</v>
      </c>
    </row>
    <row r="2296" spans="1:9" x14ac:dyDescent="0.15">
      <c r="A2296" s="10">
        <v>2295</v>
      </c>
      <c r="B2296" s="11" t="s">
        <v>9</v>
      </c>
      <c r="C2296" s="11" t="s">
        <v>253</v>
      </c>
      <c r="D2296" s="11" t="s">
        <v>254</v>
      </c>
      <c r="E2296" s="9" t="str">
        <f>+HYPERLINK("http://trademark.i-assist.jp/data/china/image_1903th/79520059.pdf", "79520059")</f>
        <v>79520059</v>
      </c>
      <c r="F2296" s="11" t="s">
        <v>6495</v>
      </c>
      <c r="G2296" s="11" t="s">
        <v>6495</v>
      </c>
      <c r="H2296" s="11" t="s">
        <v>6496</v>
      </c>
      <c r="I2296" s="11" t="s">
        <v>6453</v>
      </c>
    </row>
    <row r="2297" spans="1:9" x14ac:dyDescent="0.15">
      <c r="A2297" s="10">
        <v>2296</v>
      </c>
      <c r="B2297" s="11" t="s">
        <v>9</v>
      </c>
      <c r="C2297" s="11" t="s">
        <v>253</v>
      </c>
      <c r="D2297" s="11" t="s">
        <v>254</v>
      </c>
      <c r="E2297" s="9" t="str">
        <f>+HYPERLINK("http://trademark.i-assist.jp/data/china/image_1903th/79520442.pdf", "79520442")</f>
        <v>79520442</v>
      </c>
      <c r="F2297" s="11" t="s">
        <v>6497</v>
      </c>
      <c r="G2297" s="11" t="s">
        <v>6498</v>
      </c>
      <c r="H2297" s="11" t="s">
        <v>6499</v>
      </c>
      <c r="I2297" s="11" t="s">
        <v>6453</v>
      </c>
    </row>
    <row r="2298" spans="1:9" x14ac:dyDescent="0.15">
      <c r="A2298" s="10">
        <v>2297</v>
      </c>
      <c r="B2298" s="11" t="s">
        <v>9</v>
      </c>
      <c r="C2298" s="11" t="s">
        <v>253</v>
      </c>
      <c r="D2298" s="11" t="s">
        <v>254</v>
      </c>
      <c r="E2298" s="9" t="str">
        <f>+HYPERLINK("http://trademark.i-assist.jp/data/china/image_1903th/79520497.pdf", "79520497")</f>
        <v>79520497</v>
      </c>
      <c r="F2298" s="11" t="s">
        <v>6500</v>
      </c>
      <c r="G2298" s="11" t="s">
        <v>6501</v>
      </c>
      <c r="H2298" s="11" t="s">
        <v>6502</v>
      </c>
      <c r="I2298" s="11" t="s">
        <v>6453</v>
      </c>
    </row>
    <row r="2299" spans="1:9" x14ac:dyDescent="0.15">
      <c r="A2299" s="10">
        <v>2298</v>
      </c>
      <c r="B2299" s="11" t="s">
        <v>9</v>
      </c>
      <c r="C2299" s="11" t="s">
        <v>253</v>
      </c>
      <c r="D2299" s="11" t="s">
        <v>254</v>
      </c>
      <c r="E2299" s="9" t="str">
        <f>+HYPERLINK("http://trademark.i-assist.jp/data/china/image_1903th/79520546.pdf", "79520546")</f>
        <v>79520546</v>
      </c>
      <c r="F2299" s="11" t="s">
        <v>6503</v>
      </c>
      <c r="G2299" s="11" t="s">
        <v>6472</v>
      </c>
      <c r="H2299" s="11" t="s">
        <v>6504</v>
      </c>
      <c r="I2299" s="11" t="s">
        <v>6453</v>
      </c>
    </row>
    <row r="2300" spans="1:9" x14ac:dyDescent="0.15">
      <c r="A2300" s="10">
        <v>2299</v>
      </c>
      <c r="B2300" s="11" t="s">
        <v>9</v>
      </c>
      <c r="C2300" s="11" t="s">
        <v>253</v>
      </c>
      <c r="D2300" s="11" t="s">
        <v>254</v>
      </c>
      <c r="E2300" s="9" t="str">
        <f>+HYPERLINK("http://trademark.i-assist.jp/data/china/image_1903th/79520607.pdf", "79520607")</f>
        <v>79520607</v>
      </c>
      <c r="F2300" s="11" t="s">
        <v>6505</v>
      </c>
      <c r="G2300" s="11" t="s">
        <v>6506</v>
      </c>
      <c r="H2300" s="11" t="s">
        <v>6507</v>
      </c>
      <c r="I2300" s="11" t="s">
        <v>6453</v>
      </c>
    </row>
    <row r="2301" spans="1:9" x14ac:dyDescent="0.15">
      <c r="A2301" s="10">
        <v>2300</v>
      </c>
      <c r="B2301" s="11" t="s">
        <v>9</v>
      </c>
      <c r="C2301" s="11" t="s">
        <v>253</v>
      </c>
      <c r="D2301" s="11" t="s">
        <v>254</v>
      </c>
      <c r="E2301" s="9" t="str">
        <f>+HYPERLINK("http://trademark.i-assist.jp/data/china/image_1903th/79520616.pdf", "79520616")</f>
        <v>79520616</v>
      </c>
      <c r="F2301" s="11" t="s">
        <v>6508</v>
      </c>
      <c r="G2301" s="11" t="s">
        <v>6509</v>
      </c>
      <c r="H2301" s="11" t="s">
        <v>6510</v>
      </c>
      <c r="I2301" s="11" t="s">
        <v>6453</v>
      </c>
    </row>
    <row r="2302" spans="1:9" x14ac:dyDescent="0.15">
      <c r="A2302" s="10">
        <v>2301</v>
      </c>
      <c r="B2302" s="11" t="s">
        <v>9</v>
      </c>
      <c r="C2302" s="11" t="s">
        <v>253</v>
      </c>
      <c r="D2302" s="11" t="s">
        <v>254</v>
      </c>
      <c r="E2302" s="9" t="str">
        <f>+HYPERLINK("http://trademark.i-assist.jp/data/china/image_1903th/79521265.pdf", "79521265")</f>
        <v>79521265</v>
      </c>
      <c r="F2302" s="11" t="s">
        <v>6511</v>
      </c>
      <c r="G2302" s="11" t="s">
        <v>6509</v>
      </c>
      <c r="H2302" s="11" t="s">
        <v>6512</v>
      </c>
      <c r="I2302" s="11" t="s">
        <v>6453</v>
      </c>
    </row>
    <row r="2303" spans="1:9" x14ac:dyDescent="0.15">
      <c r="A2303" s="10">
        <v>2302</v>
      </c>
      <c r="B2303" s="11" t="s">
        <v>9</v>
      </c>
      <c r="C2303" s="11" t="s">
        <v>253</v>
      </c>
      <c r="D2303" s="11" t="s">
        <v>254</v>
      </c>
      <c r="E2303" s="9" t="str">
        <f>+HYPERLINK("http://trademark.i-assist.jp/data/china/image_1903th/79521425.pdf", "79521425")</f>
        <v>79521425</v>
      </c>
      <c r="F2303" s="11" t="s">
        <v>6513</v>
      </c>
      <c r="G2303" s="11" t="s">
        <v>6514</v>
      </c>
      <c r="H2303" s="11" t="s">
        <v>6515</v>
      </c>
      <c r="I2303" s="11" t="s">
        <v>6453</v>
      </c>
    </row>
    <row r="2304" spans="1:9" x14ac:dyDescent="0.15">
      <c r="A2304" s="10">
        <v>2303</v>
      </c>
      <c r="B2304" s="11" t="s">
        <v>9</v>
      </c>
      <c r="C2304" s="11" t="s">
        <v>253</v>
      </c>
      <c r="D2304" s="11" t="s">
        <v>254</v>
      </c>
      <c r="E2304" s="9" t="str">
        <f>+HYPERLINK("http://trademark.i-assist.jp/data/china/image_1903th/79521430.pdf", "79521430")</f>
        <v>79521430</v>
      </c>
      <c r="F2304" s="11" t="s">
        <v>6516</v>
      </c>
      <c r="G2304" s="11" t="s">
        <v>6472</v>
      </c>
      <c r="H2304" s="11" t="s">
        <v>6517</v>
      </c>
      <c r="I2304" s="11" t="s">
        <v>6453</v>
      </c>
    </row>
    <row r="2305" spans="1:9" x14ac:dyDescent="0.15">
      <c r="A2305" s="10">
        <v>2304</v>
      </c>
      <c r="B2305" s="11" t="s">
        <v>9</v>
      </c>
      <c r="C2305" s="11" t="s">
        <v>253</v>
      </c>
      <c r="D2305" s="11" t="s">
        <v>254</v>
      </c>
      <c r="E2305" s="9" t="str">
        <f>+HYPERLINK("http://trademark.i-assist.jp/data/china/image_1903th/79521600.pdf", "79521600")</f>
        <v>79521600</v>
      </c>
      <c r="F2305" s="11" t="s">
        <v>6518</v>
      </c>
      <c r="G2305" s="11" t="s">
        <v>6519</v>
      </c>
      <c r="H2305" s="11" t="s">
        <v>6520</v>
      </c>
      <c r="I2305" s="11" t="s">
        <v>6453</v>
      </c>
    </row>
    <row r="2306" spans="1:9" x14ac:dyDescent="0.15">
      <c r="A2306" s="10">
        <v>2305</v>
      </c>
      <c r="B2306" s="11" t="s">
        <v>9</v>
      </c>
      <c r="C2306" s="11" t="s">
        <v>253</v>
      </c>
      <c r="D2306" s="11" t="s">
        <v>254</v>
      </c>
      <c r="E2306" s="9" t="str">
        <f>+HYPERLINK("http://trademark.i-assist.jp/data/china/image_1903th/79521708.pdf", "79521708")</f>
        <v>79521708</v>
      </c>
      <c r="F2306" s="11" t="s">
        <v>6521</v>
      </c>
      <c r="G2306" s="11" t="s">
        <v>6522</v>
      </c>
      <c r="H2306" s="11" t="s">
        <v>6523</v>
      </c>
      <c r="I2306" s="11" t="s">
        <v>6453</v>
      </c>
    </row>
    <row r="2307" spans="1:9" x14ac:dyDescent="0.15">
      <c r="A2307" s="10">
        <v>2306</v>
      </c>
      <c r="B2307" s="11" t="s">
        <v>9</v>
      </c>
      <c r="C2307" s="11" t="s">
        <v>253</v>
      </c>
      <c r="D2307" s="11" t="s">
        <v>254</v>
      </c>
      <c r="E2307" s="9" t="str">
        <f>+HYPERLINK("http://trademark.i-assist.jp/data/china/image_1903th/79522013.pdf", "79522013")</f>
        <v>79522013</v>
      </c>
      <c r="F2307" s="11" t="s">
        <v>6524</v>
      </c>
      <c r="G2307" s="11" t="s">
        <v>6463</v>
      </c>
      <c r="H2307" s="11" t="s">
        <v>6525</v>
      </c>
      <c r="I2307" s="11" t="s">
        <v>6453</v>
      </c>
    </row>
    <row r="2308" spans="1:9" x14ac:dyDescent="0.15">
      <c r="A2308" s="10">
        <v>2307</v>
      </c>
      <c r="B2308" s="11" t="s">
        <v>9</v>
      </c>
      <c r="C2308" s="11" t="s">
        <v>253</v>
      </c>
      <c r="D2308" s="11" t="s">
        <v>254</v>
      </c>
      <c r="E2308" s="9" t="str">
        <f>+HYPERLINK("http://trademark.i-assist.jp/data/china/image_1903th/79522372.pdf", "79522372")</f>
        <v>79522372</v>
      </c>
      <c r="F2308" s="11" t="s">
        <v>6526</v>
      </c>
      <c r="G2308" s="11" t="s">
        <v>6527</v>
      </c>
      <c r="H2308" s="11" t="s">
        <v>6528</v>
      </c>
      <c r="I2308" s="11" t="s">
        <v>6529</v>
      </c>
    </row>
    <row r="2309" spans="1:9" x14ac:dyDescent="0.15">
      <c r="A2309" s="10">
        <v>2308</v>
      </c>
      <c r="B2309" s="11" t="s">
        <v>9</v>
      </c>
      <c r="C2309" s="11" t="s">
        <v>253</v>
      </c>
      <c r="D2309" s="11" t="s">
        <v>254</v>
      </c>
      <c r="E2309" s="9" t="str">
        <f>+HYPERLINK("http://trademark.i-assist.jp/data/china/image_1903th/79522409.pdf", "79522409")</f>
        <v>79522409</v>
      </c>
      <c r="F2309" s="11" t="s">
        <v>6530</v>
      </c>
      <c r="G2309" s="11" t="s">
        <v>6531</v>
      </c>
      <c r="H2309" s="11" t="s">
        <v>6532</v>
      </c>
      <c r="I2309" s="11" t="s">
        <v>6529</v>
      </c>
    </row>
    <row r="2310" spans="1:9" x14ac:dyDescent="0.15">
      <c r="A2310" s="10">
        <v>2309</v>
      </c>
      <c r="B2310" s="11" t="s">
        <v>9</v>
      </c>
      <c r="C2310" s="11" t="s">
        <v>253</v>
      </c>
      <c r="D2310" s="11" t="s">
        <v>254</v>
      </c>
      <c r="E2310" s="9" t="str">
        <f>+HYPERLINK("http://trademark.i-assist.jp/data/china/image_1903th/79523066.pdf", "79523066")</f>
        <v>79523066</v>
      </c>
      <c r="F2310" s="11" t="s">
        <v>6533</v>
      </c>
      <c r="G2310" s="11" t="s">
        <v>6534</v>
      </c>
      <c r="H2310" s="11" t="s">
        <v>6535</v>
      </c>
      <c r="I2310" s="11" t="s">
        <v>6529</v>
      </c>
    </row>
    <row r="2311" spans="1:9" x14ac:dyDescent="0.15">
      <c r="A2311" s="10">
        <v>2310</v>
      </c>
      <c r="B2311" s="11" t="s">
        <v>9</v>
      </c>
      <c r="C2311" s="11" t="s">
        <v>253</v>
      </c>
      <c r="D2311" s="11" t="s">
        <v>254</v>
      </c>
      <c r="E2311" s="9" t="str">
        <f>+HYPERLINK("http://trademark.i-assist.jp/data/china/image_1903th/79523378.pdf", "79523378")</f>
        <v>79523378</v>
      </c>
      <c r="F2311" s="11" t="s">
        <v>12</v>
      </c>
      <c r="G2311" s="11" t="s">
        <v>6536</v>
      </c>
      <c r="H2311" s="11" t="s">
        <v>6537</v>
      </c>
      <c r="I2311" s="11" t="s">
        <v>6529</v>
      </c>
    </row>
    <row r="2312" spans="1:9" x14ac:dyDescent="0.15">
      <c r="A2312" s="10">
        <v>2311</v>
      </c>
      <c r="B2312" s="11" t="s">
        <v>9</v>
      </c>
      <c r="C2312" s="11" t="s">
        <v>253</v>
      </c>
      <c r="D2312" s="11" t="s">
        <v>254</v>
      </c>
      <c r="E2312" s="9" t="str">
        <f>+HYPERLINK("http://trademark.i-assist.jp/data/china/image_1903th/79523714.pdf", "79523714")</f>
        <v>79523714</v>
      </c>
      <c r="F2312" s="11" t="s">
        <v>6538</v>
      </c>
      <c r="G2312" s="11" t="s">
        <v>6539</v>
      </c>
      <c r="H2312" s="11" t="s">
        <v>6540</v>
      </c>
      <c r="I2312" s="11" t="s">
        <v>6529</v>
      </c>
    </row>
    <row r="2313" spans="1:9" x14ac:dyDescent="0.15">
      <c r="A2313" s="10">
        <v>2312</v>
      </c>
      <c r="B2313" s="11" t="s">
        <v>9</v>
      </c>
      <c r="C2313" s="11" t="s">
        <v>253</v>
      </c>
      <c r="D2313" s="11" t="s">
        <v>254</v>
      </c>
      <c r="E2313" s="9" t="str">
        <f>+HYPERLINK("http://trademark.i-assist.jp/data/china/image_1903th/79524071.pdf", "79524071")</f>
        <v>79524071</v>
      </c>
      <c r="F2313" s="11" t="s">
        <v>6541</v>
      </c>
      <c r="G2313" s="11" t="s">
        <v>6536</v>
      </c>
      <c r="H2313" s="11" t="s">
        <v>6542</v>
      </c>
      <c r="I2313" s="11" t="s">
        <v>6529</v>
      </c>
    </row>
    <row r="2314" spans="1:9" x14ac:dyDescent="0.15">
      <c r="A2314" s="10">
        <v>2313</v>
      </c>
      <c r="B2314" s="11" t="s">
        <v>9</v>
      </c>
      <c r="C2314" s="11" t="s">
        <v>253</v>
      </c>
      <c r="D2314" s="11" t="s">
        <v>254</v>
      </c>
      <c r="E2314" s="9" t="str">
        <f>+HYPERLINK("http://trademark.i-assist.jp/data/china/image_1903th/79524825.pdf", "79524825")</f>
        <v>79524825</v>
      </c>
      <c r="F2314" s="11" t="s">
        <v>6543</v>
      </c>
      <c r="G2314" s="11" t="s">
        <v>6544</v>
      </c>
      <c r="H2314" s="11" t="s">
        <v>6545</v>
      </c>
      <c r="I2314" s="11" t="s">
        <v>6529</v>
      </c>
    </row>
    <row r="2315" spans="1:9" x14ac:dyDescent="0.15">
      <c r="A2315" s="10">
        <v>2314</v>
      </c>
      <c r="B2315" s="11" t="s">
        <v>9</v>
      </c>
      <c r="C2315" s="11" t="s">
        <v>253</v>
      </c>
      <c r="D2315" s="11" t="s">
        <v>254</v>
      </c>
      <c r="E2315" s="9" t="str">
        <f>+HYPERLINK("http://trademark.i-assist.jp/data/china/image_1903th/79524846.pdf", "79524846")</f>
        <v>79524846</v>
      </c>
      <c r="F2315" s="11" t="s">
        <v>6546</v>
      </c>
      <c r="G2315" s="11" t="s">
        <v>6547</v>
      </c>
      <c r="H2315" s="11" t="s">
        <v>6548</v>
      </c>
      <c r="I2315" s="11" t="s">
        <v>6529</v>
      </c>
    </row>
    <row r="2316" spans="1:9" x14ac:dyDescent="0.15">
      <c r="A2316" s="10">
        <v>2315</v>
      </c>
      <c r="B2316" s="11" t="s">
        <v>9</v>
      </c>
      <c r="C2316" s="11" t="s">
        <v>253</v>
      </c>
      <c r="D2316" s="11" t="s">
        <v>254</v>
      </c>
      <c r="E2316" s="9" t="str">
        <f>+HYPERLINK("http://trademark.i-assist.jp/data/china/image_1903th/79525400.pdf", "79525400")</f>
        <v>79525400</v>
      </c>
      <c r="F2316" s="11" t="s">
        <v>6549</v>
      </c>
      <c r="G2316" s="11" t="s">
        <v>6550</v>
      </c>
      <c r="H2316" s="11" t="s">
        <v>6551</v>
      </c>
      <c r="I2316" s="11" t="s">
        <v>6529</v>
      </c>
    </row>
    <row r="2317" spans="1:9" x14ac:dyDescent="0.15">
      <c r="A2317" s="10">
        <v>2316</v>
      </c>
      <c r="B2317" s="11" t="s">
        <v>9</v>
      </c>
      <c r="C2317" s="11" t="s">
        <v>253</v>
      </c>
      <c r="D2317" s="11" t="s">
        <v>254</v>
      </c>
      <c r="E2317" s="9" t="str">
        <f>+HYPERLINK("http://trademark.i-assist.jp/data/china/image_1903th/79525550.pdf", "79525550")</f>
        <v>79525550</v>
      </c>
      <c r="F2317" s="11" t="s">
        <v>6552</v>
      </c>
      <c r="G2317" s="11" t="s">
        <v>6553</v>
      </c>
      <c r="H2317" s="11" t="s">
        <v>6554</v>
      </c>
      <c r="I2317" s="11" t="s">
        <v>6529</v>
      </c>
    </row>
    <row r="2318" spans="1:9" x14ac:dyDescent="0.15">
      <c r="A2318" s="10">
        <v>2317</v>
      </c>
      <c r="B2318" s="11" t="s">
        <v>9</v>
      </c>
      <c r="C2318" s="11" t="s">
        <v>253</v>
      </c>
      <c r="D2318" s="11" t="s">
        <v>254</v>
      </c>
      <c r="E2318" s="9" t="str">
        <f>+HYPERLINK("http://trademark.i-assist.jp/data/china/image_1903th/79525876.pdf", "79525876")</f>
        <v>79525876</v>
      </c>
      <c r="F2318" s="11" t="s">
        <v>6555</v>
      </c>
      <c r="G2318" s="11" t="s">
        <v>6556</v>
      </c>
      <c r="H2318" s="11" t="s">
        <v>6557</v>
      </c>
      <c r="I2318" s="11" t="s">
        <v>6558</v>
      </c>
    </row>
    <row r="2319" spans="1:9" x14ac:dyDescent="0.15">
      <c r="A2319" s="10">
        <v>2318</v>
      </c>
      <c r="B2319" s="11" t="s">
        <v>9</v>
      </c>
      <c r="C2319" s="11" t="s">
        <v>253</v>
      </c>
      <c r="D2319" s="11" t="s">
        <v>254</v>
      </c>
      <c r="E2319" s="9" t="str">
        <f>+HYPERLINK("http://trademark.i-assist.jp/data/china/image_1903th/79526024.pdf", "79526024")</f>
        <v>79526024</v>
      </c>
      <c r="F2319" s="11" t="s">
        <v>6559</v>
      </c>
      <c r="G2319" s="11" t="s">
        <v>6560</v>
      </c>
      <c r="H2319" s="11" t="s">
        <v>6561</v>
      </c>
      <c r="I2319" s="11" t="s">
        <v>6558</v>
      </c>
    </row>
    <row r="2320" spans="1:9" x14ac:dyDescent="0.15">
      <c r="A2320" s="10">
        <v>2319</v>
      </c>
      <c r="B2320" s="11" t="s">
        <v>9</v>
      </c>
      <c r="C2320" s="11" t="s">
        <v>253</v>
      </c>
      <c r="D2320" s="11" t="s">
        <v>254</v>
      </c>
      <c r="E2320" s="9" t="str">
        <f>+HYPERLINK("http://trademark.i-assist.jp/data/china/image_1903th/79526299.pdf", "79526299")</f>
        <v>79526299</v>
      </c>
      <c r="F2320" s="11" t="s">
        <v>6562</v>
      </c>
      <c r="G2320" s="11" t="s">
        <v>6563</v>
      </c>
      <c r="H2320" s="11" t="s">
        <v>6564</v>
      </c>
      <c r="I2320" s="11" t="s">
        <v>6558</v>
      </c>
    </row>
    <row r="2321" spans="1:9" x14ac:dyDescent="0.15">
      <c r="A2321" s="10">
        <v>2320</v>
      </c>
      <c r="B2321" s="11" t="s">
        <v>9</v>
      </c>
      <c r="C2321" s="11" t="s">
        <v>253</v>
      </c>
      <c r="D2321" s="11" t="s">
        <v>254</v>
      </c>
      <c r="E2321" s="9" t="str">
        <f>+HYPERLINK("http://trademark.i-assist.jp/data/china/image_1903th/79526301.pdf", "79526301")</f>
        <v>79526301</v>
      </c>
      <c r="F2321" s="11" t="s">
        <v>6565</v>
      </c>
      <c r="G2321" s="11" t="s">
        <v>6566</v>
      </c>
      <c r="H2321" s="11" t="s">
        <v>6567</v>
      </c>
      <c r="I2321" s="11" t="s">
        <v>6558</v>
      </c>
    </row>
    <row r="2322" spans="1:9" x14ac:dyDescent="0.15">
      <c r="A2322" s="10">
        <v>2321</v>
      </c>
      <c r="B2322" s="11" t="s">
        <v>9</v>
      </c>
      <c r="C2322" s="11" t="s">
        <v>253</v>
      </c>
      <c r="D2322" s="11" t="s">
        <v>254</v>
      </c>
      <c r="E2322" s="9" t="str">
        <f>+HYPERLINK("http://trademark.i-assist.jp/data/china/image_1903th/79526384.pdf", "79526384")</f>
        <v>79526384</v>
      </c>
      <c r="F2322" s="11" t="s">
        <v>6568</v>
      </c>
      <c r="G2322" s="11" t="s">
        <v>6569</v>
      </c>
      <c r="H2322" s="11" t="s">
        <v>6570</v>
      </c>
      <c r="I2322" s="11" t="s">
        <v>6558</v>
      </c>
    </row>
    <row r="2323" spans="1:9" x14ac:dyDescent="0.15">
      <c r="A2323" s="10">
        <v>2322</v>
      </c>
      <c r="B2323" s="11" t="s">
        <v>9</v>
      </c>
      <c r="C2323" s="11" t="s">
        <v>253</v>
      </c>
      <c r="D2323" s="11" t="s">
        <v>254</v>
      </c>
      <c r="E2323" s="9" t="str">
        <f>+HYPERLINK("http://trademark.i-assist.jp/data/china/image_1903th/79526445.pdf", "79526445")</f>
        <v>79526445</v>
      </c>
      <c r="F2323" s="11" t="s">
        <v>6571</v>
      </c>
      <c r="G2323" s="11" t="s">
        <v>6572</v>
      </c>
      <c r="H2323" s="11" t="s">
        <v>6573</v>
      </c>
      <c r="I2323" s="11" t="s">
        <v>6558</v>
      </c>
    </row>
    <row r="2324" spans="1:9" x14ac:dyDescent="0.15">
      <c r="A2324" s="10">
        <v>2323</v>
      </c>
      <c r="B2324" s="11" t="s">
        <v>9</v>
      </c>
      <c r="C2324" s="11" t="s">
        <v>253</v>
      </c>
      <c r="D2324" s="11" t="s">
        <v>254</v>
      </c>
      <c r="E2324" s="9" t="str">
        <f>+HYPERLINK("http://trademark.i-assist.jp/data/china/image_1903th/79526508.pdf", "79526508")</f>
        <v>79526508</v>
      </c>
      <c r="F2324" s="11" t="s">
        <v>6574</v>
      </c>
      <c r="G2324" s="11" t="s">
        <v>6575</v>
      </c>
      <c r="H2324" s="11" t="s">
        <v>6576</v>
      </c>
      <c r="I2324" s="11" t="s">
        <v>6558</v>
      </c>
    </row>
    <row r="2325" spans="1:9" x14ac:dyDescent="0.15">
      <c r="A2325" s="10">
        <v>2324</v>
      </c>
      <c r="B2325" s="11" t="s">
        <v>9</v>
      </c>
      <c r="C2325" s="11" t="s">
        <v>253</v>
      </c>
      <c r="D2325" s="11" t="s">
        <v>254</v>
      </c>
      <c r="E2325" s="9" t="str">
        <f>+HYPERLINK("http://trademark.i-assist.jp/data/china/image_1903th/79526607.pdf", "79526607")</f>
        <v>79526607</v>
      </c>
      <c r="F2325" s="11" t="s">
        <v>6577</v>
      </c>
      <c r="G2325" s="11" t="s">
        <v>6578</v>
      </c>
      <c r="H2325" s="11" t="s">
        <v>6579</v>
      </c>
      <c r="I2325" s="11" t="s">
        <v>6558</v>
      </c>
    </row>
    <row r="2326" spans="1:9" x14ac:dyDescent="0.15">
      <c r="A2326" s="10">
        <v>2325</v>
      </c>
      <c r="B2326" s="11" t="s">
        <v>9</v>
      </c>
      <c r="C2326" s="11" t="s">
        <v>253</v>
      </c>
      <c r="D2326" s="11" t="s">
        <v>254</v>
      </c>
      <c r="E2326" s="9" t="str">
        <f>+HYPERLINK("http://trademark.i-assist.jp/data/china/image_1903th/79526806.pdf", "79526806")</f>
        <v>79526806</v>
      </c>
      <c r="F2326" s="11" t="s">
        <v>6580</v>
      </c>
      <c r="G2326" s="11" t="s">
        <v>6581</v>
      </c>
      <c r="H2326" s="11" t="s">
        <v>6582</v>
      </c>
      <c r="I2326" s="11" t="s">
        <v>6558</v>
      </c>
    </row>
    <row r="2327" spans="1:9" x14ac:dyDescent="0.15">
      <c r="A2327" s="10">
        <v>2326</v>
      </c>
      <c r="B2327" s="11" t="s">
        <v>9</v>
      </c>
      <c r="C2327" s="11" t="s">
        <v>253</v>
      </c>
      <c r="D2327" s="11" t="s">
        <v>254</v>
      </c>
      <c r="E2327" s="9" t="str">
        <f>+HYPERLINK("http://trademark.i-assist.jp/data/china/image_1903th/79527203.pdf", "79527203")</f>
        <v>79527203</v>
      </c>
      <c r="F2327" s="11" t="s">
        <v>6583</v>
      </c>
      <c r="G2327" s="11" t="s">
        <v>6584</v>
      </c>
      <c r="H2327" s="11" t="s">
        <v>6585</v>
      </c>
      <c r="I2327" s="11" t="s">
        <v>6558</v>
      </c>
    </row>
    <row r="2328" spans="1:9" x14ac:dyDescent="0.15">
      <c r="A2328" s="10">
        <v>2327</v>
      </c>
      <c r="B2328" s="11" t="s">
        <v>9</v>
      </c>
      <c r="C2328" s="11" t="s">
        <v>253</v>
      </c>
      <c r="D2328" s="11" t="s">
        <v>254</v>
      </c>
      <c r="E2328" s="9" t="str">
        <f>+HYPERLINK("http://trademark.i-assist.jp/data/china/image_1903th/79527742.pdf", "79527742")</f>
        <v>79527742</v>
      </c>
      <c r="F2328" s="11" t="s">
        <v>6586</v>
      </c>
      <c r="G2328" s="11" t="s">
        <v>6587</v>
      </c>
      <c r="H2328" s="11" t="s">
        <v>6588</v>
      </c>
      <c r="I2328" s="11" t="s">
        <v>6558</v>
      </c>
    </row>
    <row r="2329" spans="1:9" x14ac:dyDescent="0.15">
      <c r="A2329" s="10">
        <v>2328</v>
      </c>
      <c r="B2329" s="11" t="s">
        <v>9</v>
      </c>
      <c r="C2329" s="11" t="s">
        <v>253</v>
      </c>
      <c r="D2329" s="11" t="s">
        <v>254</v>
      </c>
      <c r="E2329" s="9" t="str">
        <f>+HYPERLINK("http://trademark.i-assist.jp/data/china/image_1903th/79528658.pdf", "79528658")</f>
        <v>79528658</v>
      </c>
      <c r="F2329" s="11" t="s">
        <v>6589</v>
      </c>
      <c r="G2329" s="11" t="s">
        <v>6590</v>
      </c>
      <c r="H2329" s="11" t="s">
        <v>6591</v>
      </c>
      <c r="I2329" s="11" t="s">
        <v>6558</v>
      </c>
    </row>
    <row r="2330" spans="1:9" x14ac:dyDescent="0.15">
      <c r="A2330" s="10">
        <v>2329</v>
      </c>
      <c r="B2330" s="11" t="s">
        <v>9</v>
      </c>
      <c r="C2330" s="11" t="s">
        <v>253</v>
      </c>
      <c r="D2330" s="11" t="s">
        <v>254</v>
      </c>
      <c r="E2330" s="9" t="str">
        <f>+HYPERLINK("http://trademark.i-assist.jp/data/china/image_1903th/79528682.pdf", "79528682")</f>
        <v>79528682</v>
      </c>
      <c r="F2330" s="11" t="s">
        <v>6592</v>
      </c>
      <c r="G2330" s="11" t="s">
        <v>6593</v>
      </c>
      <c r="H2330" s="11" t="s">
        <v>6594</v>
      </c>
      <c r="I2330" s="11" t="s">
        <v>6558</v>
      </c>
    </row>
    <row r="2331" spans="1:9" x14ac:dyDescent="0.15">
      <c r="A2331" s="10">
        <v>2330</v>
      </c>
      <c r="B2331" s="11" t="s">
        <v>9</v>
      </c>
      <c r="C2331" s="11" t="s">
        <v>253</v>
      </c>
      <c r="D2331" s="11" t="s">
        <v>254</v>
      </c>
      <c r="E2331" s="9" t="str">
        <f>+HYPERLINK("http://trademark.i-assist.jp/data/china/image_1903th/79528783.pdf", "79528783")</f>
        <v>79528783</v>
      </c>
      <c r="F2331" s="11" t="s">
        <v>6595</v>
      </c>
      <c r="G2331" s="11" t="s">
        <v>6596</v>
      </c>
      <c r="H2331" s="11" t="s">
        <v>6597</v>
      </c>
      <c r="I2331" s="11" t="s">
        <v>6558</v>
      </c>
    </row>
    <row r="2332" spans="1:9" x14ac:dyDescent="0.15">
      <c r="A2332" s="10">
        <v>2331</v>
      </c>
      <c r="B2332" s="11" t="s">
        <v>9</v>
      </c>
      <c r="C2332" s="11" t="s">
        <v>253</v>
      </c>
      <c r="D2332" s="11" t="s">
        <v>254</v>
      </c>
      <c r="E2332" s="9" t="str">
        <f>+HYPERLINK("http://trademark.i-assist.jp/data/china/image_1903th/79528880.pdf", "79528880")</f>
        <v>79528880</v>
      </c>
      <c r="F2332" s="11" t="s">
        <v>6598</v>
      </c>
      <c r="G2332" s="11" t="s">
        <v>5931</v>
      </c>
      <c r="H2332" s="11" t="s">
        <v>6599</v>
      </c>
      <c r="I2332" s="11" t="s">
        <v>6558</v>
      </c>
    </row>
    <row r="2333" spans="1:9" x14ac:dyDescent="0.15">
      <c r="A2333" s="10">
        <v>2332</v>
      </c>
      <c r="B2333" s="11" t="s">
        <v>9</v>
      </c>
      <c r="C2333" s="11" t="s">
        <v>253</v>
      </c>
      <c r="D2333" s="11" t="s">
        <v>254</v>
      </c>
      <c r="E2333" s="9" t="str">
        <f>+HYPERLINK("http://trademark.i-assist.jp/data/china/image_1903th/79529044.pdf", "79529044")</f>
        <v>79529044</v>
      </c>
      <c r="F2333" s="11" t="s">
        <v>6600</v>
      </c>
      <c r="G2333" s="11" t="s">
        <v>6601</v>
      </c>
      <c r="H2333" s="11" t="s">
        <v>6602</v>
      </c>
      <c r="I2333" s="11" t="s">
        <v>6558</v>
      </c>
    </row>
    <row r="2334" spans="1:9" x14ac:dyDescent="0.15">
      <c r="A2334" s="10">
        <v>2333</v>
      </c>
      <c r="B2334" s="11" t="s">
        <v>9</v>
      </c>
      <c r="C2334" s="11" t="s">
        <v>253</v>
      </c>
      <c r="D2334" s="11" t="s">
        <v>254</v>
      </c>
      <c r="E2334" s="9" t="str">
        <f>+HYPERLINK("http://trademark.i-assist.jp/data/china/image_1903th/79529463.pdf", "79529463")</f>
        <v>79529463</v>
      </c>
      <c r="F2334" s="11" t="s">
        <v>6603</v>
      </c>
      <c r="G2334" s="11" t="s">
        <v>6604</v>
      </c>
      <c r="H2334" s="11" t="s">
        <v>6605</v>
      </c>
      <c r="I2334" s="11" t="s">
        <v>6558</v>
      </c>
    </row>
    <row r="2335" spans="1:9" x14ac:dyDescent="0.15">
      <c r="A2335" s="10">
        <v>2334</v>
      </c>
      <c r="B2335" s="11" t="s">
        <v>9</v>
      </c>
      <c r="C2335" s="11" t="s">
        <v>253</v>
      </c>
      <c r="D2335" s="11" t="s">
        <v>254</v>
      </c>
      <c r="E2335" s="9" t="str">
        <f>+HYPERLINK("http://trademark.i-assist.jp/data/china/image_1903th/79529860.pdf", "79529860")</f>
        <v>79529860</v>
      </c>
      <c r="F2335" s="11" t="s">
        <v>6606</v>
      </c>
      <c r="G2335" s="11" t="s">
        <v>6607</v>
      </c>
      <c r="H2335" s="11" t="s">
        <v>6608</v>
      </c>
      <c r="I2335" s="11" t="s">
        <v>6558</v>
      </c>
    </row>
    <row r="2336" spans="1:9" x14ac:dyDescent="0.15">
      <c r="A2336" s="10">
        <v>2335</v>
      </c>
      <c r="B2336" s="11" t="s">
        <v>9</v>
      </c>
      <c r="C2336" s="11" t="s">
        <v>253</v>
      </c>
      <c r="D2336" s="11" t="s">
        <v>254</v>
      </c>
      <c r="E2336" s="9" t="str">
        <f>+HYPERLINK("http://trademark.i-assist.jp/data/china/image_1903th/79530152.pdf", "79530152")</f>
        <v>79530152</v>
      </c>
      <c r="F2336" s="11" t="s">
        <v>6609</v>
      </c>
      <c r="G2336" s="11" t="s">
        <v>6584</v>
      </c>
      <c r="H2336" s="11" t="s">
        <v>6610</v>
      </c>
      <c r="I2336" s="11" t="s">
        <v>6558</v>
      </c>
    </row>
    <row r="2337" spans="1:9" x14ac:dyDescent="0.15">
      <c r="A2337" s="10">
        <v>2336</v>
      </c>
      <c r="B2337" s="11" t="s">
        <v>9</v>
      </c>
      <c r="C2337" s="11" t="s">
        <v>253</v>
      </c>
      <c r="D2337" s="11" t="s">
        <v>254</v>
      </c>
      <c r="E2337" s="9" t="str">
        <f>+HYPERLINK("http://trademark.i-assist.jp/data/china/image_1903th/79530176.pdf", "79530176")</f>
        <v>79530176</v>
      </c>
      <c r="F2337" s="11" t="s">
        <v>6611</v>
      </c>
      <c r="G2337" s="11" t="s">
        <v>6584</v>
      </c>
      <c r="H2337" s="11" t="s">
        <v>6612</v>
      </c>
      <c r="I2337" s="11" t="s">
        <v>6558</v>
      </c>
    </row>
    <row r="2338" spans="1:9" x14ac:dyDescent="0.15">
      <c r="A2338" s="10">
        <v>2337</v>
      </c>
      <c r="B2338" s="11" t="s">
        <v>9</v>
      </c>
      <c r="C2338" s="11" t="s">
        <v>253</v>
      </c>
      <c r="D2338" s="11" t="s">
        <v>254</v>
      </c>
      <c r="E2338" s="9" t="str">
        <f>+HYPERLINK("http://trademark.i-assist.jp/data/china/image_1903th/79530294.pdf", "79530294")</f>
        <v>79530294</v>
      </c>
      <c r="F2338" s="11" t="s">
        <v>6613</v>
      </c>
      <c r="G2338" s="11" t="s">
        <v>6614</v>
      </c>
      <c r="H2338" s="11" t="s">
        <v>6615</v>
      </c>
      <c r="I2338" s="11" t="s">
        <v>6558</v>
      </c>
    </row>
    <row r="2339" spans="1:9" x14ac:dyDescent="0.15">
      <c r="A2339" s="10">
        <v>2338</v>
      </c>
      <c r="B2339" s="11" t="s">
        <v>9</v>
      </c>
      <c r="C2339" s="11" t="s">
        <v>253</v>
      </c>
      <c r="D2339" s="11" t="s">
        <v>254</v>
      </c>
      <c r="E2339" s="9" t="str">
        <f>+HYPERLINK("http://trademark.i-assist.jp/data/china/image_1903th/79530743.pdf", "79530743")</f>
        <v>79530743</v>
      </c>
      <c r="F2339" s="11" t="s">
        <v>6616</v>
      </c>
      <c r="G2339" s="11" t="s">
        <v>6617</v>
      </c>
      <c r="H2339" s="11" t="s">
        <v>6618</v>
      </c>
      <c r="I2339" s="11" t="s">
        <v>6558</v>
      </c>
    </row>
    <row r="2340" spans="1:9" x14ac:dyDescent="0.15">
      <c r="A2340" s="10">
        <v>2339</v>
      </c>
      <c r="B2340" s="11" t="s">
        <v>9</v>
      </c>
      <c r="C2340" s="11" t="s">
        <v>253</v>
      </c>
      <c r="D2340" s="11" t="s">
        <v>254</v>
      </c>
      <c r="E2340" s="9" t="str">
        <f>+HYPERLINK("http://trademark.i-assist.jp/data/china/image_1903th/79530889.pdf", "79530889")</f>
        <v>79530889</v>
      </c>
      <c r="F2340" s="11" t="s">
        <v>6619</v>
      </c>
      <c r="G2340" s="11" t="s">
        <v>6620</v>
      </c>
      <c r="H2340" s="11" t="s">
        <v>6621</v>
      </c>
      <c r="I2340" s="11" t="s">
        <v>6558</v>
      </c>
    </row>
    <row r="2341" spans="1:9" x14ac:dyDescent="0.15">
      <c r="A2341" s="10">
        <v>2340</v>
      </c>
      <c r="B2341" s="11" t="s">
        <v>9</v>
      </c>
      <c r="C2341" s="11" t="s">
        <v>253</v>
      </c>
      <c r="D2341" s="11" t="s">
        <v>254</v>
      </c>
      <c r="E2341" s="9" t="str">
        <f>+HYPERLINK("http://trademark.i-assist.jp/data/china/image_1903th/79530987.pdf", "79530987")</f>
        <v>79530987</v>
      </c>
      <c r="F2341" s="11" t="s">
        <v>6622</v>
      </c>
      <c r="G2341" s="11" t="s">
        <v>6623</v>
      </c>
      <c r="H2341" s="11" t="s">
        <v>6624</v>
      </c>
      <c r="I2341" s="11" t="s">
        <v>6558</v>
      </c>
    </row>
    <row r="2342" spans="1:9" x14ac:dyDescent="0.15">
      <c r="A2342" s="10">
        <v>2341</v>
      </c>
      <c r="B2342" s="11" t="s">
        <v>9</v>
      </c>
      <c r="C2342" s="11" t="s">
        <v>253</v>
      </c>
      <c r="D2342" s="11" t="s">
        <v>254</v>
      </c>
      <c r="E2342" s="9" t="str">
        <f>+HYPERLINK("http://trademark.i-assist.jp/data/china/image_1903th/79531242.pdf", "79531242")</f>
        <v>79531242</v>
      </c>
      <c r="F2342" s="11" t="s">
        <v>6625</v>
      </c>
      <c r="G2342" s="11" t="s">
        <v>6626</v>
      </c>
      <c r="H2342" s="11" t="s">
        <v>6627</v>
      </c>
      <c r="I2342" s="11" t="s">
        <v>6558</v>
      </c>
    </row>
    <row r="2343" spans="1:9" x14ac:dyDescent="0.15">
      <c r="A2343" s="10">
        <v>2342</v>
      </c>
      <c r="B2343" s="11" t="s">
        <v>9</v>
      </c>
      <c r="C2343" s="11" t="s">
        <v>253</v>
      </c>
      <c r="D2343" s="11" t="s">
        <v>254</v>
      </c>
      <c r="E2343" s="9" t="str">
        <f>+HYPERLINK("http://trademark.i-assist.jp/data/china/image_1903th/79531475.pdf", "79531475")</f>
        <v>79531475</v>
      </c>
      <c r="F2343" s="11" t="s">
        <v>6628</v>
      </c>
      <c r="G2343" s="11" t="s">
        <v>6629</v>
      </c>
      <c r="H2343" s="11" t="s">
        <v>6630</v>
      </c>
      <c r="I2343" s="11" t="s">
        <v>6558</v>
      </c>
    </row>
    <row r="2344" spans="1:9" x14ac:dyDescent="0.15">
      <c r="A2344" s="10">
        <v>2343</v>
      </c>
      <c r="B2344" s="11" t="s">
        <v>9</v>
      </c>
      <c r="C2344" s="11" t="s">
        <v>253</v>
      </c>
      <c r="D2344" s="11" t="s">
        <v>254</v>
      </c>
      <c r="E2344" s="9" t="str">
        <f>+HYPERLINK("http://trademark.i-assist.jp/data/china/image_1903th/79531477.pdf", "79531477")</f>
        <v>79531477</v>
      </c>
      <c r="F2344" s="11" t="s">
        <v>6631</v>
      </c>
      <c r="G2344" s="11" t="s">
        <v>6632</v>
      </c>
      <c r="H2344" s="11" t="s">
        <v>6633</v>
      </c>
      <c r="I2344" s="11" t="s">
        <v>6558</v>
      </c>
    </row>
    <row r="2345" spans="1:9" x14ac:dyDescent="0.15">
      <c r="A2345" s="10">
        <v>2344</v>
      </c>
      <c r="B2345" s="11" t="s">
        <v>9</v>
      </c>
      <c r="C2345" s="11" t="s">
        <v>253</v>
      </c>
      <c r="D2345" s="11" t="s">
        <v>254</v>
      </c>
      <c r="E2345" s="9" t="str">
        <f>+HYPERLINK("http://trademark.i-assist.jp/data/china/image_1903th/79532391.pdf", "79532391")</f>
        <v>79532391</v>
      </c>
      <c r="F2345" s="11" t="s">
        <v>6634</v>
      </c>
      <c r="G2345" s="11" t="s">
        <v>6635</v>
      </c>
      <c r="H2345" s="11" t="s">
        <v>6636</v>
      </c>
      <c r="I2345" s="11" t="s">
        <v>6558</v>
      </c>
    </row>
    <row r="2346" spans="1:9" x14ac:dyDescent="0.15">
      <c r="A2346" s="10">
        <v>2345</v>
      </c>
      <c r="B2346" s="11" t="s">
        <v>9</v>
      </c>
      <c r="C2346" s="11" t="s">
        <v>253</v>
      </c>
      <c r="D2346" s="11" t="s">
        <v>254</v>
      </c>
      <c r="E2346" s="9" t="str">
        <f>+HYPERLINK("http://trademark.i-assist.jp/data/china/image_1903th/79532452.pdf", "79532452")</f>
        <v>79532452</v>
      </c>
      <c r="F2346" s="11" t="s">
        <v>6637</v>
      </c>
      <c r="G2346" s="11" t="s">
        <v>6064</v>
      </c>
      <c r="H2346" s="11" t="s">
        <v>6638</v>
      </c>
      <c r="I2346" s="11" t="s">
        <v>6558</v>
      </c>
    </row>
    <row r="2347" spans="1:9" x14ac:dyDescent="0.15">
      <c r="A2347" s="10">
        <v>2346</v>
      </c>
      <c r="B2347" s="11" t="s">
        <v>9</v>
      </c>
      <c r="C2347" s="11" t="s">
        <v>253</v>
      </c>
      <c r="D2347" s="11" t="s">
        <v>254</v>
      </c>
      <c r="E2347" s="9" t="str">
        <f>+HYPERLINK("http://trademark.i-assist.jp/data/china/image_1903th/79532756.pdf", "79532756")</f>
        <v>79532756</v>
      </c>
      <c r="F2347" s="11" t="s">
        <v>6639</v>
      </c>
      <c r="G2347" s="11" t="s">
        <v>6640</v>
      </c>
      <c r="H2347" s="11" t="s">
        <v>6641</v>
      </c>
      <c r="I2347" s="11" t="s">
        <v>6558</v>
      </c>
    </row>
    <row r="2348" spans="1:9" x14ac:dyDescent="0.15">
      <c r="A2348" s="10">
        <v>2347</v>
      </c>
      <c r="B2348" s="11" t="s">
        <v>9</v>
      </c>
      <c r="C2348" s="11" t="s">
        <v>253</v>
      </c>
      <c r="D2348" s="11" t="s">
        <v>254</v>
      </c>
      <c r="E2348" s="9" t="str">
        <f>+HYPERLINK("http://trademark.i-assist.jp/data/china/image_1903th/79533117.pdf", "79533117")</f>
        <v>79533117</v>
      </c>
      <c r="F2348" s="11" t="s">
        <v>6642</v>
      </c>
      <c r="G2348" s="11" t="s">
        <v>4435</v>
      </c>
      <c r="H2348" s="11" t="s">
        <v>6643</v>
      </c>
      <c r="I2348" s="11" t="s">
        <v>6558</v>
      </c>
    </row>
    <row r="2349" spans="1:9" x14ac:dyDescent="0.15">
      <c r="A2349" s="10">
        <v>2348</v>
      </c>
      <c r="B2349" s="11" t="s">
        <v>9</v>
      </c>
      <c r="C2349" s="11" t="s">
        <v>253</v>
      </c>
      <c r="D2349" s="11" t="s">
        <v>254</v>
      </c>
      <c r="E2349" s="9" t="str">
        <f>+HYPERLINK("http://trademark.i-assist.jp/data/china/image_1903th/79533480.pdf", "79533480")</f>
        <v>79533480</v>
      </c>
      <c r="F2349" s="11" t="s">
        <v>6644</v>
      </c>
      <c r="G2349" s="11" t="s">
        <v>6645</v>
      </c>
      <c r="H2349" s="11" t="s">
        <v>6646</v>
      </c>
      <c r="I2349" s="11" t="s">
        <v>6558</v>
      </c>
    </row>
    <row r="2350" spans="1:9" x14ac:dyDescent="0.15">
      <c r="A2350" s="10">
        <v>2349</v>
      </c>
      <c r="B2350" s="11" t="s">
        <v>9</v>
      </c>
      <c r="C2350" s="11" t="s">
        <v>253</v>
      </c>
      <c r="D2350" s="11" t="s">
        <v>254</v>
      </c>
      <c r="E2350" s="9" t="str">
        <f>+HYPERLINK("http://trademark.i-assist.jp/data/china/image_1903th/79533554.pdf", "79533554")</f>
        <v>79533554</v>
      </c>
      <c r="F2350" s="11" t="s">
        <v>6647</v>
      </c>
      <c r="G2350" s="11" t="s">
        <v>6648</v>
      </c>
      <c r="H2350" s="11" t="s">
        <v>6649</v>
      </c>
      <c r="I2350" s="11" t="s">
        <v>6558</v>
      </c>
    </row>
    <row r="2351" spans="1:9" x14ac:dyDescent="0.15">
      <c r="A2351" s="10">
        <v>2350</v>
      </c>
      <c r="B2351" s="11" t="s">
        <v>9</v>
      </c>
      <c r="C2351" s="11" t="s">
        <v>253</v>
      </c>
      <c r="D2351" s="11" t="s">
        <v>254</v>
      </c>
      <c r="E2351" s="9" t="str">
        <f>+HYPERLINK("http://trademark.i-assist.jp/data/china/image_1903th/79533658.pdf", "79533658")</f>
        <v>79533658</v>
      </c>
      <c r="F2351" s="11" t="s">
        <v>6650</v>
      </c>
      <c r="G2351" s="11" t="s">
        <v>6651</v>
      </c>
      <c r="H2351" s="11" t="s">
        <v>6652</v>
      </c>
      <c r="I2351" s="11" t="s">
        <v>6558</v>
      </c>
    </row>
    <row r="2352" spans="1:9" x14ac:dyDescent="0.15">
      <c r="A2352" s="10">
        <v>2351</v>
      </c>
      <c r="B2352" s="11" t="s">
        <v>9</v>
      </c>
      <c r="C2352" s="11" t="s">
        <v>253</v>
      </c>
      <c r="D2352" s="11" t="s">
        <v>254</v>
      </c>
      <c r="E2352" s="9" t="str">
        <f>+HYPERLINK("http://trademark.i-assist.jp/data/china/image_1903th/79533788.pdf", "79533788")</f>
        <v>79533788</v>
      </c>
      <c r="F2352" s="11" t="s">
        <v>6653</v>
      </c>
      <c r="G2352" s="11" t="s">
        <v>6654</v>
      </c>
      <c r="H2352" s="11" t="s">
        <v>6655</v>
      </c>
      <c r="I2352" s="11" t="s">
        <v>6558</v>
      </c>
    </row>
    <row r="2353" spans="1:9" x14ac:dyDescent="0.15">
      <c r="A2353" s="10">
        <v>2352</v>
      </c>
      <c r="B2353" s="11" t="s">
        <v>9</v>
      </c>
      <c r="C2353" s="11" t="s">
        <v>253</v>
      </c>
      <c r="D2353" s="11" t="s">
        <v>254</v>
      </c>
      <c r="E2353" s="9" t="str">
        <f>+HYPERLINK("http://trademark.i-assist.jp/data/china/image_1903th/79533927.pdf", "79533927")</f>
        <v>79533927</v>
      </c>
      <c r="F2353" s="11" t="s">
        <v>6656</v>
      </c>
      <c r="G2353" s="11" t="s">
        <v>252</v>
      </c>
      <c r="H2353" s="11" t="s">
        <v>6657</v>
      </c>
      <c r="I2353" s="11" t="s">
        <v>6558</v>
      </c>
    </row>
    <row r="2354" spans="1:9" x14ac:dyDescent="0.15">
      <c r="A2354" s="10">
        <v>2353</v>
      </c>
      <c r="B2354" s="11" t="s">
        <v>9</v>
      </c>
      <c r="C2354" s="11" t="s">
        <v>253</v>
      </c>
      <c r="D2354" s="11" t="s">
        <v>254</v>
      </c>
      <c r="E2354" s="9" t="str">
        <f>+HYPERLINK("http://trademark.i-assist.jp/data/china/image_1903th/79533970.pdf", "79533970")</f>
        <v>79533970</v>
      </c>
      <c r="F2354" s="11" t="s">
        <v>6658</v>
      </c>
      <c r="G2354" s="11" t="s">
        <v>6659</v>
      </c>
      <c r="H2354" s="11" t="s">
        <v>6660</v>
      </c>
      <c r="I2354" s="11" t="s">
        <v>6558</v>
      </c>
    </row>
    <row r="2355" spans="1:9" x14ac:dyDescent="0.15">
      <c r="A2355" s="10">
        <v>2354</v>
      </c>
      <c r="B2355" s="11" t="s">
        <v>9</v>
      </c>
      <c r="C2355" s="11" t="s">
        <v>253</v>
      </c>
      <c r="D2355" s="11" t="s">
        <v>254</v>
      </c>
      <c r="E2355" s="9" t="str">
        <f>+HYPERLINK("http://trademark.i-assist.jp/data/china/image_1903th/79534103.pdf", "79534103")</f>
        <v>79534103</v>
      </c>
      <c r="F2355" s="11" t="s">
        <v>6661</v>
      </c>
      <c r="G2355" s="11" t="s">
        <v>6626</v>
      </c>
      <c r="H2355" s="11" t="s">
        <v>6662</v>
      </c>
      <c r="I2355" s="11" t="s">
        <v>6558</v>
      </c>
    </row>
    <row r="2356" spans="1:9" x14ac:dyDescent="0.15">
      <c r="A2356" s="10">
        <v>2355</v>
      </c>
      <c r="B2356" s="11" t="s">
        <v>9</v>
      </c>
      <c r="C2356" s="11" t="s">
        <v>253</v>
      </c>
      <c r="D2356" s="11" t="s">
        <v>254</v>
      </c>
      <c r="E2356" s="9" t="str">
        <f>+HYPERLINK("http://trademark.i-assist.jp/data/china/image_1903th/79534314.pdf", "79534314")</f>
        <v>79534314</v>
      </c>
      <c r="F2356" s="11" t="s">
        <v>6663</v>
      </c>
      <c r="G2356" s="11" t="s">
        <v>5646</v>
      </c>
      <c r="H2356" s="11" t="s">
        <v>6664</v>
      </c>
      <c r="I2356" s="11" t="s">
        <v>6558</v>
      </c>
    </row>
    <row r="2357" spans="1:9" x14ac:dyDescent="0.15">
      <c r="A2357" s="10">
        <v>2356</v>
      </c>
      <c r="B2357" s="11" t="s">
        <v>9</v>
      </c>
      <c r="C2357" s="11" t="s">
        <v>253</v>
      </c>
      <c r="D2357" s="11" t="s">
        <v>254</v>
      </c>
      <c r="E2357" s="9" t="str">
        <f>+HYPERLINK("http://trademark.i-assist.jp/data/china/image_1903th/79534324.pdf", "79534324")</f>
        <v>79534324</v>
      </c>
      <c r="F2357" s="11" t="s">
        <v>6665</v>
      </c>
      <c r="G2357" s="11" t="s">
        <v>6604</v>
      </c>
      <c r="H2357" s="11" t="s">
        <v>6666</v>
      </c>
      <c r="I2357" s="11" t="s">
        <v>6558</v>
      </c>
    </row>
    <row r="2358" spans="1:9" x14ac:dyDescent="0.15">
      <c r="A2358" s="10">
        <v>2357</v>
      </c>
      <c r="B2358" s="11" t="s">
        <v>9</v>
      </c>
      <c r="C2358" s="11" t="s">
        <v>253</v>
      </c>
      <c r="D2358" s="11" t="s">
        <v>254</v>
      </c>
      <c r="E2358" s="9" t="str">
        <f>+HYPERLINK("http://trademark.i-assist.jp/data/china/image_1903th/79534398.pdf", "79534398")</f>
        <v>79534398</v>
      </c>
      <c r="F2358" s="11" t="s">
        <v>6667</v>
      </c>
      <c r="G2358" s="11" t="s">
        <v>6668</v>
      </c>
      <c r="H2358" s="11" t="s">
        <v>6669</v>
      </c>
      <c r="I2358" s="11" t="s">
        <v>6558</v>
      </c>
    </row>
    <row r="2359" spans="1:9" x14ac:dyDescent="0.15">
      <c r="A2359" s="10">
        <v>2358</v>
      </c>
      <c r="B2359" s="11" t="s">
        <v>9</v>
      </c>
      <c r="C2359" s="11" t="s">
        <v>253</v>
      </c>
      <c r="D2359" s="11" t="s">
        <v>254</v>
      </c>
      <c r="E2359" s="9" t="str">
        <f>+HYPERLINK("http://trademark.i-assist.jp/data/china/image_1903th/79534456.pdf", "79534456")</f>
        <v>79534456</v>
      </c>
      <c r="F2359" s="11" t="s">
        <v>6670</v>
      </c>
      <c r="G2359" s="11" t="s">
        <v>6671</v>
      </c>
      <c r="H2359" s="11" t="s">
        <v>6672</v>
      </c>
      <c r="I2359" s="11" t="s">
        <v>6558</v>
      </c>
    </row>
    <row r="2360" spans="1:9" x14ac:dyDescent="0.15">
      <c r="A2360" s="10">
        <v>2359</v>
      </c>
      <c r="B2360" s="11" t="s">
        <v>9</v>
      </c>
      <c r="C2360" s="11" t="s">
        <v>253</v>
      </c>
      <c r="D2360" s="11" t="s">
        <v>254</v>
      </c>
      <c r="E2360" s="9" t="str">
        <f>+HYPERLINK("http://trademark.i-assist.jp/data/china/image_1903th/79534608.pdf", "79534608")</f>
        <v>79534608</v>
      </c>
      <c r="F2360" s="11" t="s">
        <v>6673</v>
      </c>
      <c r="G2360" s="11" t="s">
        <v>6674</v>
      </c>
      <c r="H2360" s="11" t="s">
        <v>6675</v>
      </c>
      <c r="I2360" s="11" t="s">
        <v>6558</v>
      </c>
    </row>
    <row r="2361" spans="1:9" x14ac:dyDescent="0.15">
      <c r="A2361" s="10">
        <v>2360</v>
      </c>
      <c r="B2361" s="11" t="s">
        <v>9</v>
      </c>
      <c r="C2361" s="11" t="s">
        <v>253</v>
      </c>
      <c r="D2361" s="11" t="s">
        <v>254</v>
      </c>
      <c r="E2361" s="9" t="str">
        <f>+HYPERLINK("http://trademark.i-assist.jp/data/china/image_1903th/79534650.pdf", "79534650")</f>
        <v>79534650</v>
      </c>
      <c r="F2361" s="11" t="s">
        <v>6676</v>
      </c>
      <c r="G2361" s="11" t="s">
        <v>6064</v>
      </c>
      <c r="H2361" s="11" t="s">
        <v>6677</v>
      </c>
      <c r="I2361" s="11" t="s">
        <v>6558</v>
      </c>
    </row>
    <row r="2362" spans="1:9" x14ac:dyDescent="0.15">
      <c r="A2362" s="10">
        <v>2361</v>
      </c>
      <c r="B2362" s="11" t="s">
        <v>9</v>
      </c>
      <c r="C2362" s="11" t="s">
        <v>253</v>
      </c>
      <c r="D2362" s="11" t="s">
        <v>254</v>
      </c>
      <c r="E2362" s="9" t="str">
        <f>+HYPERLINK("http://trademark.i-assist.jp/data/china/image_1903th/79534695.pdf", "79534695")</f>
        <v>79534695</v>
      </c>
      <c r="F2362" s="11" t="s">
        <v>6678</v>
      </c>
      <c r="G2362" s="11" t="s">
        <v>6679</v>
      </c>
      <c r="H2362" s="11" t="s">
        <v>6680</v>
      </c>
      <c r="I2362" s="11" t="s">
        <v>6558</v>
      </c>
    </row>
    <row r="2363" spans="1:9" x14ac:dyDescent="0.15">
      <c r="A2363" s="10">
        <v>2362</v>
      </c>
      <c r="B2363" s="11" t="s">
        <v>9</v>
      </c>
      <c r="C2363" s="11" t="s">
        <v>253</v>
      </c>
      <c r="D2363" s="11" t="s">
        <v>254</v>
      </c>
      <c r="E2363" s="9" t="str">
        <f>+HYPERLINK("http://trademark.i-assist.jp/data/china/image_1903th/79534822.pdf", "79534822")</f>
        <v>79534822</v>
      </c>
      <c r="F2363" s="11" t="s">
        <v>6681</v>
      </c>
      <c r="G2363" s="11" t="s">
        <v>6682</v>
      </c>
      <c r="H2363" s="11" t="s">
        <v>6683</v>
      </c>
      <c r="I2363" s="11" t="s">
        <v>6558</v>
      </c>
    </row>
    <row r="2364" spans="1:9" x14ac:dyDescent="0.15">
      <c r="A2364" s="10">
        <v>2363</v>
      </c>
      <c r="B2364" s="11" t="s">
        <v>9</v>
      </c>
      <c r="C2364" s="11" t="s">
        <v>253</v>
      </c>
      <c r="D2364" s="11" t="s">
        <v>254</v>
      </c>
      <c r="E2364" s="9" t="str">
        <f>+HYPERLINK("http://trademark.i-assist.jp/data/china/image_1903th/79535277.pdf", "79535277")</f>
        <v>79535277</v>
      </c>
      <c r="F2364" s="11" t="s">
        <v>6684</v>
      </c>
      <c r="G2364" s="11" t="s">
        <v>6685</v>
      </c>
      <c r="H2364" s="11" t="s">
        <v>6686</v>
      </c>
      <c r="I2364" s="11" t="s">
        <v>6558</v>
      </c>
    </row>
    <row r="2365" spans="1:9" x14ac:dyDescent="0.15">
      <c r="A2365" s="10">
        <v>2364</v>
      </c>
      <c r="B2365" s="11" t="s">
        <v>9</v>
      </c>
      <c r="C2365" s="11" t="s">
        <v>253</v>
      </c>
      <c r="D2365" s="11" t="s">
        <v>254</v>
      </c>
      <c r="E2365" s="9" t="str">
        <f>+HYPERLINK("http://trademark.i-assist.jp/data/china/image_1903th/79535481.pdf", "79535481")</f>
        <v>79535481</v>
      </c>
      <c r="F2365" s="11" t="s">
        <v>6687</v>
      </c>
      <c r="G2365" s="11" t="s">
        <v>6688</v>
      </c>
      <c r="H2365" s="11" t="s">
        <v>6689</v>
      </c>
      <c r="I2365" s="11" t="s">
        <v>6558</v>
      </c>
    </row>
    <row r="2366" spans="1:9" x14ac:dyDescent="0.15">
      <c r="A2366" s="10">
        <v>2365</v>
      </c>
      <c r="B2366" s="11" t="s">
        <v>9</v>
      </c>
      <c r="C2366" s="11" t="s">
        <v>253</v>
      </c>
      <c r="D2366" s="11" t="s">
        <v>254</v>
      </c>
      <c r="E2366" s="9" t="str">
        <f>+HYPERLINK("http://trademark.i-assist.jp/data/china/image_1903th/79535620.pdf", "79535620")</f>
        <v>79535620</v>
      </c>
      <c r="F2366" s="11" t="s">
        <v>6690</v>
      </c>
      <c r="G2366" s="11" t="s">
        <v>6691</v>
      </c>
      <c r="H2366" s="11" t="s">
        <v>6692</v>
      </c>
      <c r="I2366" s="11" t="s">
        <v>6558</v>
      </c>
    </row>
    <row r="2367" spans="1:9" x14ac:dyDescent="0.15">
      <c r="A2367" s="10">
        <v>2366</v>
      </c>
      <c r="B2367" s="11" t="s">
        <v>9</v>
      </c>
      <c r="C2367" s="11" t="s">
        <v>253</v>
      </c>
      <c r="D2367" s="11" t="s">
        <v>254</v>
      </c>
      <c r="E2367" s="9" t="str">
        <f>+HYPERLINK("http://trademark.i-assist.jp/data/china/image_1903th/79535902.pdf", "79535902")</f>
        <v>79535902</v>
      </c>
      <c r="F2367" s="11" t="s">
        <v>6693</v>
      </c>
      <c r="G2367" s="11" t="s">
        <v>6694</v>
      </c>
      <c r="H2367" s="11" t="s">
        <v>6695</v>
      </c>
      <c r="I2367" s="11" t="s">
        <v>6558</v>
      </c>
    </row>
    <row r="2368" spans="1:9" x14ac:dyDescent="0.15">
      <c r="A2368" s="10">
        <v>2367</v>
      </c>
      <c r="B2368" s="11" t="s">
        <v>9</v>
      </c>
      <c r="C2368" s="11" t="s">
        <v>253</v>
      </c>
      <c r="D2368" s="11" t="s">
        <v>254</v>
      </c>
      <c r="E2368" s="9" t="str">
        <f>+HYPERLINK("http://trademark.i-assist.jp/data/china/image_1903th/79536164.pdf", "79536164")</f>
        <v>79536164</v>
      </c>
      <c r="F2368" s="11" t="s">
        <v>6696</v>
      </c>
      <c r="G2368" s="11" t="s">
        <v>6697</v>
      </c>
      <c r="H2368" s="11" t="s">
        <v>6698</v>
      </c>
      <c r="I2368" s="11" t="s">
        <v>6558</v>
      </c>
    </row>
    <row r="2369" spans="1:9" x14ac:dyDescent="0.15">
      <c r="A2369" s="10">
        <v>2368</v>
      </c>
      <c r="B2369" s="11" t="s">
        <v>9</v>
      </c>
      <c r="C2369" s="11" t="s">
        <v>253</v>
      </c>
      <c r="D2369" s="11" t="s">
        <v>254</v>
      </c>
      <c r="E2369" s="9" t="str">
        <f>+HYPERLINK("http://trademark.i-assist.jp/data/china/image_1903th/79536595.pdf", "79536595")</f>
        <v>79536595</v>
      </c>
      <c r="F2369" s="11" t="s">
        <v>6699</v>
      </c>
      <c r="G2369" s="11" t="s">
        <v>6700</v>
      </c>
      <c r="H2369" s="11" t="s">
        <v>6701</v>
      </c>
      <c r="I2369" s="11" t="s">
        <v>6558</v>
      </c>
    </row>
    <row r="2370" spans="1:9" x14ac:dyDescent="0.15">
      <c r="A2370" s="10">
        <v>2369</v>
      </c>
      <c r="B2370" s="11" t="s">
        <v>9</v>
      </c>
      <c r="C2370" s="11" t="s">
        <v>253</v>
      </c>
      <c r="D2370" s="11" t="s">
        <v>254</v>
      </c>
      <c r="E2370" s="9" t="str">
        <f>+HYPERLINK("http://trademark.i-assist.jp/data/china/image_1903th/79536994.pdf", "79536994")</f>
        <v>79536994</v>
      </c>
      <c r="F2370" s="11" t="s">
        <v>6702</v>
      </c>
      <c r="G2370" s="11" t="s">
        <v>6703</v>
      </c>
      <c r="H2370" s="11" t="s">
        <v>6704</v>
      </c>
      <c r="I2370" s="11" t="s">
        <v>6558</v>
      </c>
    </row>
    <row r="2371" spans="1:9" x14ac:dyDescent="0.15">
      <c r="A2371" s="10">
        <v>2370</v>
      </c>
      <c r="B2371" s="11" t="s">
        <v>9</v>
      </c>
      <c r="C2371" s="11" t="s">
        <v>253</v>
      </c>
      <c r="D2371" s="11" t="s">
        <v>254</v>
      </c>
      <c r="E2371" s="9" t="str">
        <f>+HYPERLINK("http://trademark.i-assist.jp/data/china/image_1903th/79537331.pdf", "79537331")</f>
        <v>79537331</v>
      </c>
      <c r="F2371" s="11" t="s">
        <v>12</v>
      </c>
      <c r="G2371" s="11" t="s">
        <v>6705</v>
      </c>
      <c r="H2371" s="11" t="s">
        <v>6706</v>
      </c>
      <c r="I2371" s="11" t="s">
        <v>6558</v>
      </c>
    </row>
    <row r="2372" spans="1:9" x14ac:dyDescent="0.15">
      <c r="A2372" s="10">
        <v>2371</v>
      </c>
      <c r="B2372" s="11" t="s">
        <v>9</v>
      </c>
      <c r="C2372" s="11" t="s">
        <v>253</v>
      </c>
      <c r="D2372" s="11" t="s">
        <v>254</v>
      </c>
      <c r="E2372" s="9" t="str">
        <f>+HYPERLINK("http://trademark.i-assist.jp/data/china/image_1903th/79537367.pdf", "79537367")</f>
        <v>79537367</v>
      </c>
      <c r="F2372" s="11" t="s">
        <v>6707</v>
      </c>
      <c r="G2372" s="11" t="s">
        <v>6626</v>
      </c>
      <c r="H2372" s="11" t="s">
        <v>6708</v>
      </c>
      <c r="I2372" s="11" t="s">
        <v>6558</v>
      </c>
    </row>
    <row r="2373" spans="1:9" x14ac:dyDescent="0.15">
      <c r="A2373" s="10">
        <v>2372</v>
      </c>
      <c r="B2373" s="11" t="s">
        <v>9</v>
      </c>
      <c r="C2373" s="11" t="s">
        <v>253</v>
      </c>
      <c r="D2373" s="11" t="s">
        <v>254</v>
      </c>
      <c r="E2373" s="9" t="str">
        <f>+HYPERLINK("http://trademark.i-assist.jp/data/china/image_1903th/79537671.pdf", "79537671")</f>
        <v>79537671</v>
      </c>
      <c r="F2373" s="11" t="s">
        <v>6709</v>
      </c>
      <c r="G2373" s="11" t="s">
        <v>6710</v>
      </c>
      <c r="H2373" s="11" t="s">
        <v>6711</v>
      </c>
      <c r="I2373" s="11" t="s">
        <v>6558</v>
      </c>
    </row>
    <row r="2374" spans="1:9" x14ac:dyDescent="0.15">
      <c r="A2374" s="10">
        <v>2373</v>
      </c>
      <c r="B2374" s="11" t="s">
        <v>9</v>
      </c>
      <c r="C2374" s="11" t="s">
        <v>253</v>
      </c>
      <c r="D2374" s="11" t="s">
        <v>254</v>
      </c>
      <c r="E2374" s="9" t="str">
        <f>+HYPERLINK("http://trademark.i-assist.jp/data/china/image_1903th/79537979.pdf", "79537979")</f>
        <v>79537979</v>
      </c>
      <c r="F2374" s="11" t="s">
        <v>6712</v>
      </c>
      <c r="G2374" s="11" t="s">
        <v>6713</v>
      </c>
      <c r="H2374" s="11" t="s">
        <v>6714</v>
      </c>
      <c r="I2374" s="11" t="s">
        <v>6558</v>
      </c>
    </row>
    <row r="2375" spans="1:9" x14ac:dyDescent="0.15">
      <c r="A2375" s="10">
        <v>2374</v>
      </c>
      <c r="B2375" s="11" t="s">
        <v>9</v>
      </c>
      <c r="C2375" s="11" t="s">
        <v>253</v>
      </c>
      <c r="D2375" s="11" t="s">
        <v>254</v>
      </c>
      <c r="E2375" s="9" t="str">
        <f>+HYPERLINK("http://trademark.i-assist.jp/data/china/image_1903th/79539324.pdf", "79539324")</f>
        <v>79539324</v>
      </c>
      <c r="F2375" s="11" t="s">
        <v>6715</v>
      </c>
      <c r="G2375" s="11" t="s">
        <v>6716</v>
      </c>
      <c r="H2375" s="11" t="s">
        <v>6717</v>
      </c>
      <c r="I2375" s="11" t="s">
        <v>6558</v>
      </c>
    </row>
    <row r="2376" spans="1:9" x14ac:dyDescent="0.15">
      <c r="A2376" s="10">
        <v>2375</v>
      </c>
      <c r="B2376" s="11" t="s">
        <v>9</v>
      </c>
      <c r="C2376" s="11" t="s">
        <v>253</v>
      </c>
      <c r="D2376" s="11" t="s">
        <v>254</v>
      </c>
      <c r="E2376" s="9" t="str">
        <f>+HYPERLINK("http://trademark.i-assist.jp/data/china/image_1903th/79539826.pdf", "79539826")</f>
        <v>79539826</v>
      </c>
      <c r="F2376" s="11" t="s">
        <v>6718</v>
      </c>
      <c r="G2376" s="11" t="s">
        <v>6719</v>
      </c>
      <c r="H2376" s="11" t="s">
        <v>6720</v>
      </c>
      <c r="I2376" s="11" t="s">
        <v>6558</v>
      </c>
    </row>
    <row r="2377" spans="1:9" x14ac:dyDescent="0.15">
      <c r="A2377" s="10">
        <v>2376</v>
      </c>
      <c r="B2377" s="11" t="s">
        <v>9</v>
      </c>
      <c r="C2377" s="11" t="s">
        <v>253</v>
      </c>
      <c r="D2377" s="11" t="s">
        <v>254</v>
      </c>
      <c r="E2377" s="9" t="str">
        <f>+HYPERLINK("http://trademark.i-assist.jp/data/china/image_1903th/79539962.pdf", "79539962")</f>
        <v>79539962</v>
      </c>
      <c r="F2377" s="11" t="s">
        <v>6721</v>
      </c>
      <c r="G2377" s="11" t="s">
        <v>4782</v>
      </c>
      <c r="H2377" s="11" t="s">
        <v>6722</v>
      </c>
      <c r="I2377" s="11" t="s">
        <v>6558</v>
      </c>
    </row>
    <row r="2378" spans="1:9" x14ac:dyDescent="0.15">
      <c r="A2378" s="10">
        <v>2377</v>
      </c>
      <c r="B2378" s="11" t="s">
        <v>9</v>
      </c>
      <c r="C2378" s="11" t="s">
        <v>253</v>
      </c>
      <c r="D2378" s="11" t="s">
        <v>254</v>
      </c>
      <c r="E2378" s="9" t="str">
        <f>+HYPERLINK("http://trademark.i-assist.jp/data/china/image_1903th/79539975.pdf", "79539975")</f>
        <v>79539975</v>
      </c>
      <c r="F2378" s="11" t="s">
        <v>6723</v>
      </c>
      <c r="G2378" s="11" t="s">
        <v>6724</v>
      </c>
      <c r="H2378" s="11" t="s">
        <v>6725</v>
      </c>
      <c r="I2378" s="11" t="s">
        <v>6558</v>
      </c>
    </row>
    <row r="2379" spans="1:9" x14ac:dyDescent="0.15">
      <c r="A2379" s="10">
        <v>2378</v>
      </c>
      <c r="B2379" s="11" t="s">
        <v>9</v>
      </c>
      <c r="C2379" s="11" t="s">
        <v>253</v>
      </c>
      <c r="D2379" s="11" t="s">
        <v>254</v>
      </c>
      <c r="E2379" s="9" t="str">
        <f>+HYPERLINK("http://trademark.i-assist.jp/data/china/image_1903th/79540654.pdf", "79540654")</f>
        <v>79540654</v>
      </c>
      <c r="F2379" s="11" t="s">
        <v>6726</v>
      </c>
      <c r="G2379" s="11" t="s">
        <v>6727</v>
      </c>
      <c r="H2379" s="11" t="s">
        <v>6728</v>
      </c>
      <c r="I2379" s="11" t="s">
        <v>6558</v>
      </c>
    </row>
    <row r="2380" spans="1:9" x14ac:dyDescent="0.15">
      <c r="A2380" s="10">
        <v>2379</v>
      </c>
      <c r="B2380" s="11" t="s">
        <v>9</v>
      </c>
      <c r="C2380" s="11" t="s">
        <v>253</v>
      </c>
      <c r="D2380" s="11" t="s">
        <v>254</v>
      </c>
      <c r="E2380" s="9" t="str">
        <f>+HYPERLINK("http://trademark.i-assist.jp/data/china/image_1903th/79540901.pdf", "79540901")</f>
        <v>79540901</v>
      </c>
      <c r="F2380" s="11" t="s">
        <v>6729</v>
      </c>
      <c r="G2380" s="11" t="s">
        <v>6575</v>
      </c>
      <c r="H2380" s="11" t="s">
        <v>6730</v>
      </c>
      <c r="I2380" s="11" t="s">
        <v>6558</v>
      </c>
    </row>
    <row r="2381" spans="1:9" x14ac:dyDescent="0.15">
      <c r="A2381" s="10">
        <v>2380</v>
      </c>
      <c r="B2381" s="11" t="s">
        <v>9</v>
      </c>
      <c r="C2381" s="11" t="s">
        <v>253</v>
      </c>
      <c r="D2381" s="11" t="s">
        <v>254</v>
      </c>
      <c r="E2381" s="9" t="str">
        <f>+HYPERLINK("http://trademark.i-assist.jp/data/china/image_1903th/79540909.pdf", "79540909")</f>
        <v>79540909</v>
      </c>
      <c r="F2381" s="11" t="s">
        <v>6731</v>
      </c>
      <c r="G2381" s="11" t="s">
        <v>6732</v>
      </c>
      <c r="H2381" s="11" t="s">
        <v>6733</v>
      </c>
      <c r="I2381" s="11" t="s">
        <v>6558</v>
      </c>
    </row>
    <row r="2382" spans="1:9" x14ac:dyDescent="0.15">
      <c r="A2382" s="10">
        <v>2381</v>
      </c>
      <c r="B2382" s="11" t="s">
        <v>9</v>
      </c>
      <c r="C2382" s="11" t="s">
        <v>253</v>
      </c>
      <c r="D2382" s="11" t="s">
        <v>254</v>
      </c>
      <c r="E2382" s="9" t="str">
        <f>+HYPERLINK("http://trademark.i-assist.jp/data/china/image_1903th/79541072.pdf", "79541072")</f>
        <v>79541072</v>
      </c>
      <c r="F2382" s="11" t="s">
        <v>6734</v>
      </c>
      <c r="G2382" s="11" t="s">
        <v>6563</v>
      </c>
      <c r="H2382" s="11" t="s">
        <v>6735</v>
      </c>
      <c r="I2382" s="11" t="s">
        <v>6558</v>
      </c>
    </row>
    <row r="2383" spans="1:9" x14ac:dyDescent="0.15">
      <c r="A2383" s="10">
        <v>2382</v>
      </c>
      <c r="B2383" s="11" t="s">
        <v>9</v>
      </c>
      <c r="C2383" s="11" t="s">
        <v>253</v>
      </c>
      <c r="D2383" s="11" t="s">
        <v>254</v>
      </c>
      <c r="E2383" s="9" t="str">
        <f>+HYPERLINK("http://trademark.i-assist.jp/data/china/image_1903th/79541808.pdf", "79541808")</f>
        <v>79541808</v>
      </c>
      <c r="F2383" s="11" t="s">
        <v>6736</v>
      </c>
      <c r="G2383" s="11" t="s">
        <v>6737</v>
      </c>
      <c r="H2383" s="11" t="s">
        <v>6738</v>
      </c>
      <c r="I2383" s="11" t="s">
        <v>6558</v>
      </c>
    </row>
    <row r="2384" spans="1:9" x14ac:dyDescent="0.15">
      <c r="A2384" s="10">
        <v>2383</v>
      </c>
      <c r="B2384" s="11" t="s">
        <v>9</v>
      </c>
      <c r="C2384" s="11" t="s">
        <v>253</v>
      </c>
      <c r="D2384" s="11" t="s">
        <v>254</v>
      </c>
      <c r="E2384" s="9" t="str">
        <f>+HYPERLINK("http://trademark.i-assist.jp/data/china/image_1903th/79541809.pdf", "79541809")</f>
        <v>79541809</v>
      </c>
      <c r="F2384" s="11" t="s">
        <v>6739</v>
      </c>
      <c r="G2384" s="11" t="s">
        <v>6740</v>
      </c>
      <c r="H2384" s="11" t="s">
        <v>6741</v>
      </c>
      <c r="I2384" s="11" t="s">
        <v>6558</v>
      </c>
    </row>
    <row r="2385" spans="1:9" x14ac:dyDescent="0.15">
      <c r="A2385" s="10">
        <v>2384</v>
      </c>
      <c r="B2385" s="11" t="s">
        <v>9</v>
      </c>
      <c r="C2385" s="11" t="s">
        <v>253</v>
      </c>
      <c r="D2385" s="11" t="s">
        <v>254</v>
      </c>
      <c r="E2385" s="9" t="str">
        <f>+HYPERLINK("http://trademark.i-assist.jp/data/china/image_1903th/79542121.pdf", "79542121")</f>
        <v>79542121</v>
      </c>
      <c r="F2385" s="11" t="s">
        <v>6742</v>
      </c>
      <c r="G2385" s="11" t="s">
        <v>6623</v>
      </c>
      <c r="H2385" s="11" t="s">
        <v>6743</v>
      </c>
      <c r="I2385" s="11" t="s">
        <v>6558</v>
      </c>
    </row>
    <row r="2386" spans="1:9" x14ac:dyDescent="0.15">
      <c r="A2386" s="10">
        <v>2385</v>
      </c>
      <c r="B2386" s="11" t="s">
        <v>9</v>
      </c>
      <c r="C2386" s="11" t="s">
        <v>253</v>
      </c>
      <c r="D2386" s="11" t="s">
        <v>254</v>
      </c>
      <c r="E2386" s="9" t="str">
        <f>+HYPERLINK("http://trademark.i-assist.jp/data/china/image_1903th/79542198.pdf", "79542198")</f>
        <v>79542198</v>
      </c>
      <c r="F2386" s="11" t="s">
        <v>6744</v>
      </c>
      <c r="G2386" s="11" t="s">
        <v>6745</v>
      </c>
      <c r="H2386" s="11" t="s">
        <v>6746</v>
      </c>
      <c r="I2386" s="11" t="s">
        <v>6558</v>
      </c>
    </row>
    <row r="2387" spans="1:9" x14ac:dyDescent="0.15">
      <c r="A2387" s="10">
        <v>2386</v>
      </c>
      <c r="B2387" s="11" t="s">
        <v>9</v>
      </c>
      <c r="C2387" s="11" t="s">
        <v>253</v>
      </c>
      <c r="D2387" s="11" t="s">
        <v>254</v>
      </c>
      <c r="E2387" s="9" t="str">
        <f>+HYPERLINK("http://trademark.i-assist.jp/data/china/image_1903th/79543019.pdf", "79543019")</f>
        <v>79543019</v>
      </c>
      <c r="F2387" s="11" t="s">
        <v>6747</v>
      </c>
      <c r="G2387" s="11" t="s">
        <v>6748</v>
      </c>
      <c r="H2387" s="11" t="s">
        <v>6749</v>
      </c>
      <c r="I2387" s="11" t="s">
        <v>6558</v>
      </c>
    </row>
    <row r="2388" spans="1:9" x14ac:dyDescent="0.15">
      <c r="A2388" s="10">
        <v>2387</v>
      </c>
      <c r="B2388" s="11" t="s">
        <v>9</v>
      </c>
      <c r="C2388" s="11" t="s">
        <v>253</v>
      </c>
      <c r="D2388" s="11" t="s">
        <v>254</v>
      </c>
      <c r="E2388" s="9" t="str">
        <f>+HYPERLINK("http://trademark.i-assist.jp/data/china/image_1903th/79543232.pdf", "79543232")</f>
        <v>79543232</v>
      </c>
      <c r="F2388" s="11" t="s">
        <v>6750</v>
      </c>
      <c r="G2388" s="11" t="s">
        <v>6737</v>
      </c>
      <c r="H2388" s="11" t="s">
        <v>6751</v>
      </c>
      <c r="I2388" s="11" t="s">
        <v>6558</v>
      </c>
    </row>
    <row r="2389" spans="1:9" x14ac:dyDescent="0.15">
      <c r="A2389" s="10">
        <v>2388</v>
      </c>
      <c r="B2389" s="11" t="s">
        <v>9</v>
      </c>
      <c r="C2389" s="11" t="s">
        <v>253</v>
      </c>
      <c r="D2389" s="11" t="s">
        <v>254</v>
      </c>
      <c r="E2389" s="9" t="str">
        <f>+HYPERLINK("http://trademark.i-assist.jp/data/china/image_1903th/79543702.pdf", "79543702")</f>
        <v>79543702</v>
      </c>
      <c r="F2389" s="11" t="s">
        <v>6752</v>
      </c>
      <c r="G2389" s="11" t="s">
        <v>6753</v>
      </c>
      <c r="H2389" s="11" t="s">
        <v>6754</v>
      </c>
      <c r="I2389" s="11" t="s">
        <v>6558</v>
      </c>
    </row>
    <row r="2390" spans="1:9" x14ac:dyDescent="0.15">
      <c r="A2390" s="10">
        <v>2389</v>
      </c>
      <c r="B2390" s="11" t="s">
        <v>9</v>
      </c>
      <c r="C2390" s="11" t="s">
        <v>253</v>
      </c>
      <c r="D2390" s="11" t="s">
        <v>254</v>
      </c>
      <c r="E2390" s="9" t="str">
        <f>+HYPERLINK("http://trademark.i-assist.jp/data/china/image_1903th/79544575.pdf", "79544575")</f>
        <v>79544575</v>
      </c>
      <c r="F2390" s="11" t="s">
        <v>6755</v>
      </c>
      <c r="G2390" s="11" t="s">
        <v>6756</v>
      </c>
      <c r="H2390" s="11" t="s">
        <v>6757</v>
      </c>
      <c r="I2390" s="11" t="s">
        <v>6558</v>
      </c>
    </row>
    <row r="2391" spans="1:9" x14ac:dyDescent="0.15">
      <c r="A2391" s="10">
        <v>2390</v>
      </c>
      <c r="B2391" s="11" t="s">
        <v>9</v>
      </c>
      <c r="C2391" s="11" t="s">
        <v>253</v>
      </c>
      <c r="D2391" s="11" t="s">
        <v>254</v>
      </c>
      <c r="E2391" s="9" t="str">
        <f>+HYPERLINK("http://trademark.i-assist.jp/data/china/image_1903th/79544583.pdf", "79544583")</f>
        <v>79544583</v>
      </c>
      <c r="F2391" s="11" t="s">
        <v>6758</v>
      </c>
      <c r="G2391" s="11" t="s">
        <v>6759</v>
      </c>
      <c r="H2391" s="11" t="s">
        <v>14</v>
      </c>
      <c r="I2391" s="11" t="s">
        <v>6558</v>
      </c>
    </row>
    <row r="2392" spans="1:9" x14ac:dyDescent="0.15">
      <c r="A2392" s="10">
        <v>2391</v>
      </c>
      <c r="B2392" s="11" t="s">
        <v>9</v>
      </c>
      <c r="C2392" s="11" t="s">
        <v>253</v>
      </c>
      <c r="D2392" s="11" t="s">
        <v>254</v>
      </c>
      <c r="E2392" s="9" t="str">
        <f>+HYPERLINK("http://trademark.i-assist.jp/data/china/image_1903th/79545189.pdf", "79545189")</f>
        <v>79545189</v>
      </c>
      <c r="F2392" s="11" t="s">
        <v>6760</v>
      </c>
      <c r="G2392" s="11" t="s">
        <v>6761</v>
      </c>
      <c r="H2392" s="11" t="s">
        <v>6762</v>
      </c>
      <c r="I2392" s="11" t="s">
        <v>6558</v>
      </c>
    </row>
    <row r="2393" spans="1:9" x14ac:dyDescent="0.15">
      <c r="A2393" s="10">
        <v>2392</v>
      </c>
      <c r="B2393" s="11" t="s">
        <v>9</v>
      </c>
      <c r="C2393" s="11" t="s">
        <v>253</v>
      </c>
      <c r="D2393" s="11" t="s">
        <v>254</v>
      </c>
      <c r="E2393" s="9" t="str">
        <f>+HYPERLINK("http://trademark.i-assist.jp/data/china/image_1903th/79545651.pdf", "79545651")</f>
        <v>79545651</v>
      </c>
      <c r="F2393" s="11" t="s">
        <v>6763</v>
      </c>
      <c r="G2393" s="11" t="s">
        <v>6764</v>
      </c>
      <c r="H2393" s="11" t="s">
        <v>6765</v>
      </c>
      <c r="I2393" s="11" t="s">
        <v>6558</v>
      </c>
    </row>
    <row r="2394" spans="1:9" x14ac:dyDescent="0.15">
      <c r="A2394" s="10">
        <v>2393</v>
      </c>
      <c r="B2394" s="11" t="s">
        <v>9</v>
      </c>
      <c r="C2394" s="11" t="s">
        <v>253</v>
      </c>
      <c r="D2394" s="11" t="s">
        <v>254</v>
      </c>
      <c r="E2394" s="9" t="str">
        <f>+HYPERLINK("http://trademark.i-assist.jp/data/china/image_1903th/79545726.pdf", "79545726")</f>
        <v>79545726</v>
      </c>
      <c r="F2394" s="11" t="s">
        <v>6766</v>
      </c>
      <c r="G2394" s="11" t="s">
        <v>6767</v>
      </c>
      <c r="H2394" s="11" t="s">
        <v>6768</v>
      </c>
      <c r="I2394" s="11" t="s">
        <v>6558</v>
      </c>
    </row>
    <row r="2395" spans="1:9" x14ac:dyDescent="0.15">
      <c r="A2395" s="10">
        <v>2394</v>
      </c>
      <c r="B2395" s="11" t="s">
        <v>9</v>
      </c>
      <c r="C2395" s="11" t="s">
        <v>253</v>
      </c>
      <c r="D2395" s="11" t="s">
        <v>254</v>
      </c>
      <c r="E2395" s="9" t="str">
        <f>+HYPERLINK("http://trademark.i-assist.jp/data/china/image_1903th/79545927.pdf", "79545927")</f>
        <v>79545927</v>
      </c>
      <c r="F2395" s="11" t="s">
        <v>6769</v>
      </c>
      <c r="G2395" s="11" t="s">
        <v>6770</v>
      </c>
      <c r="H2395" s="11" t="s">
        <v>6771</v>
      </c>
      <c r="I2395" s="11" t="s">
        <v>6558</v>
      </c>
    </row>
    <row r="2396" spans="1:9" x14ac:dyDescent="0.15">
      <c r="A2396" s="10">
        <v>2395</v>
      </c>
      <c r="B2396" s="11" t="s">
        <v>9</v>
      </c>
      <c r="C2396" s="11" t="s">
        <v>253</v>
      </c>
      <c r="D2396" s="11" t="s">
        <v>254</v>
      </c>
      <c r="E2396" s="9" t="str">
        <f>+HYPERLINK("http://trademark.i-assist.jp/data/china/image_1903th/79546429.pdf", "79546429")</f>
        <v>79546429</v>
      </c>
      <c r="F2396" s="11" t="s">
        <v>6772</v>
      </c>
      <c r="G2396" s="11" t="s">
        <v>6773</v>
      </c>
      <c r="H2396" s="11" t="s">
        <v>6774</v>
      </c>
      <c r="I2396" s="11" t="s">
        <v>6558</v>
      </c>
    </row>
    <row r="2397" spans="1:9" x14ac:dyDescent="0.15">
      <c r="A2397" s="10">
        <v>2396</v>
      </c>
      <c r="B2397" s="11" t="s">
        <v>9</v>
      </c>
      <c r="C2397" s="11" t="s">
        <v>253</v>
      </c>
      <c r="D2397" s="11" t="s">
        <v>254</v>
      </c>
      <c r="E2397" s="9" t="str">
        <f>+HYPERLINK("http://trademark.i-assist.jp/data/china/image_1903th/79546855.pdf", "79546855")</f>
        <v>79546855</v>
      </c>
      <c r="F2397" s="11" t="s">
        <v>6775</v>
      </c>
      <c r="G2397" s="11" t="s">
        <v>6776</v>
      </c>
      <c r="H2397" s="11" t="s">
        <v>6777</v>
      </c>
      <c r="I2397" s="11" t="s">
        <v>6558</v>
      </c>
    </row>
    <row r="2398" spans="1:9" x14ac:dyDescent="0.15">
      <c r="A2398" s="10">
        <v>2397</v>
      </c>
      <c r="B2398" s="11" t="s">
        <v>9</v>
      </c>
      <c r="C2398" s="11" t="s">
        <v>253</v>
      </c>
      <c r="D2398" s="11" t="s">
        <v>254</v>
      </c>
      <c r="E2398" s="9" t="str">
        <f>+HYPERLINK("http://trademark.i-assist.jp/data/china/image_1903th/79546879.pdf", "79546879")</f>
        <v>79546879</v>
      </c>
      <c r="F2398" s="11" t="s">
        <v>6778</v>
      </c>
      <c r="G2398" s="11" t="s">
        <v>6640</v>
      </c>
      <c r="H2398" s="11" t="s">
        <v>6779</v>
      </c>
      <c r="I2398" s="11" t="s">
        <v>6558</v>
      </c>
    </row>
    <row r="2399" spans="1:9" x14ac:dyDescent="0.15">
      <c r="A2399" s="10">
        <v>2398</v>
      </c>
      <c r="B2399" s="11" t="s">
        <v>9</v>
      </c>
      <c r="C2399" s="11" t="s">
        <v>253</v>
      </c>
      <c r="D2399" s="11" t="s">
        <v>254</v>
      </c>
      <c r="E2399" s="9" t="str">
        <f>+HYPERLINK("http://trademark.i-assist.jp/data/china/image_1903th/79547113.pdf", "79547113")</f>
        <v>79547113</v>
      </c>
      <c r="F2399" s="11" t="s">
        <v>6780</v>
      </c>
      <c r="G2399" s="11" t="s">
        <v>4435</v>
      </c>
      <c r="H2399" s="11" t="s">
        <v>6781</v>
      </c>
      <c r="I2399" s="11" t="s">
        <v>6558</v>
      </c>
    </row>
    <row r="2400" spans="1:9" x14ac:dyDescent="0.15">
      <c r="A2400" s="10">
        <v>2399</v>
      </c>
      <c r="B2400" s="11" t="s">
        <v>9</v>
      </c>
      <c r="C2400" s="11" t="s">
        <v>253</v>
      </c>
      <c r="D2400" s="11" t="s">
        <v>254</v>
      </c>
      <c r="E2400" s="9" t="str">
        <f>+HYPERLINK("http://trademark.i-assist.jp/data/china/image_1903th/79547448.pdf", "79547448")</f>
        <v>79547448</v>
      </c>
      <c r="F2400" s="11" t="s">
        <v>6782</v>
      </c>
      <c r="G2400" s="11" t="s">
        <v>6604</v>
      </c>
      <c r="H2400" s="11" t="s">
        <v>6783</v>
      </c>
      <c r="I2400" s="11" t="s">
        <v>6558</v>
      </c>
    </row>
    <row r="2401" spans="1:9" x14ac:dyDescent="0.15">
      <c r="A2401" s="10">
        <v>2400</v>
      </c>
      <c r="B2401" s="11" t="s">
        <v>9</v>
      </c>
      <c r="C2401" s="11" t="s">
        <v>253</v>
      </c>
      <c r="D2401" s="11" t="s">
        <v>254</v>
      </c>
      <c r="E2401" s="9" t="str">
        <f>+HYPERLINK("http://trademark.i-assist.jp/data/china/image_1903th/79547526.pdf", "79547526")</f>
        <v>79547526</v>
      </c>
      <c r="F2401" s="11" t="s">
        <v>6784</v>
      </c>
      <c r="G2401" s="11" t="s">
        <v>6785</v>
      </c>
      <c r="H2401" s="11" t="s">
        <v>6786</v>
      </c>
      <c r="I2401" s="11" t="s">
        <v>6558</v>
      </c>
    </row>
    <row r="2402" spans="1:9" x14ac:dyDescent="0.15">
      <c r="A2402" s="10">
        <v>2401</v>
      </c>
      <c r="B2402" s="11" t="s">
        <v>9</v>
      </c>
      <c r="C2402" s="11" t="s">
        <v>253</v>
      </c>
      <c r="D2402" s="11" t="s">
        <v>254</v>
      </c>
      <c r="E2402" s="9" t="str">
        <f>+HYPERLINK("http://trademark.i-assist.jp/data/china/image_1903th/79548470.pdf", "79548470")</f>
        <v>79548470</v>
      </c>
      <c r="F2402" s="11" t="s">
        <v>6787</v>
      </c>
      <c r="G2402" s="11" t="s">
        <v>6788</v>
      </c>
      <c r="H2402" s="11" t="s">
        <v>6789</v>
      </c>
      <c r="I2402" s="11" t="s">
        <v>6558</v>
      </c>
    </row>
    <row r="2403" spans="1:9" x14ac:dyDescent="0.15">
      <c r="A2403" s="10">
        <v>2402</v>
      </c>
      <c r="B2403" s="11" t="s">
        <v>9</v>
      </c>
      <c r="C2403" s="11" t="s">
        <v>253</v>
      </c>
      <c r="D2403" s="11" t="s">
        <v>254</v>
      </c>
      <c r="E2403" s="9" t="str">
        <f>+HYPERLINK("http://trademark.i-assist.jp/data/china/image_1903th/79548722.pdf", "79548722")</f>
        <v>79548722</v>
      </c>
      <c r="F2403" s="11" t="s">
        <v>6790</v>
      </c>
      <c r="G2403" s="11" t="s">
        <v>6791</v>
      </c>
      <c r="H2403" s="11" t="s">
        <v>6792</v>
      </c>
      <c r="I2403" s="11" t="s">
        <v>6558</v>
      </c>
    </row>
    <row r="2404" spans="1:9" x14ac:dyDescent="0.15">
      <c r="A2404" s="10">
        <v>2403</v>
      </c>
      <c r="B2404" s="11" t="s">
        <v>9</v>
      </c>
      <c r="C2404" s="11" t="s">
        <v>253</v>
      </c>
      <c r="D2404" s="11" t="s">
        <v>254</v>
      </c>
      <c r="E2404" s="9" t="str">
        <f>+HYPERLINK("http://trademark.i-assist.jp/data/china/image_1903th/79548880.pdf", "79548880")</f>
        <v>79548880</v>
      </c>
      <c r="F2404" s="11" t="s">
        <v>6793</v>
      </c>
      <c r="G2404" s="11" t="s">
        <v>6794</v>
      </c>
      <c r="H2404" s="11" t="s">
        <v>6795</v>
      </c>
      <c r="I2404" s="11" t="s">
        <v>6558</v>
      </c>
    </row>
    <row r="2405" spans="1:9" x14ac:dyDescent="0.15">
      <c r="A2405" s="10">
        <v>2404</v>
      </c>
      <c r="B2405" s="11" t="s">
        <v>9</v>
      </c>
      <c r="C2405" s="11" t="s">
        <v>253</v>
      </c>
      <c r="D2405" s="11" t="s">
        <v>254</v>
      </c>
      <c r="E2405" s="9" t="str">
        <f>+HYPERLINK("http://trademark.i-assist.jp/data/china/image_1903th/79548943.pdf", "79548943")</f>
        <v>79548943</v>
      </c>
      <c r="F2405" s="11" t="s">
        <v>6796</v>
      </c>
      <c r="G2405" s="11" t="s">
        <v>223</v>
      </c>
      <c r="H2405" s="11" t="s">
        <v>6797</v>
      </c>
      <c r="I2405" s="11" t="s">
        <v>6558</v>
      </c>
    </row>
    <row r="2406" spans="1:9" x14ac:dyDescent="0.15">
      <c r="A2406" s="10">
        <v>2405</v>
      </c>
      <c r="B2406" s="11" t="s">
        <v>9</v>
      </c>
      <c r="C2406" s="11" t="s">
        <v>253</v>
      </c>
      <c r="D2406" s="11" t="s">
        <v>254</v>
      </c>
      <c r="E2406" s="9" t="str">
        <f>+HYPERLINK("http://trademark.i-assist.jp/data/china/image_1903th/79549380.pdf", "79549380")</f>
        <v>79549380</v>
      </c>
      <c r="F2406" s="11" t="s">
        <v>6798</v>
      </c>
      <c r="G2406" s="11" t="s">
        <v>4423</v>
      </c>
      <c r="H2406" s="11" t="s">
        <v>6799</v>
      </c>
      <c r="I2406" s="11" t="s">
        <v>6558</v>
      </c>
    </row>
    <row r="2407" spans="1:9" x14ac:dyDescent="0.15">
      <c r="A2407" s="10">
        <v>2406</v>
      </c>
      <c r="B2407" s="11" t="s">
        <v>9</v>
      </c>
      <c r="C2407" s="11" t="s">
        <v>253</v>
      </c>
      <c r="D2407" s="11" t="s">
        <v>254</v>
      </c>
      <c r="E2407" s="9" t="str">
        <f>+HYPERLINK("http://trademark.i-assist.jp/data/china/image_1903th/79549533.pdf", "79549533")</f>
        <v>79549533</v>
      </c>
      <c r="F2407" s="11" t="s">
        <v>6800</v>
      </c>
      <c r="G2407" s="11" t="s">
        <v>6801</v>
      </c>
      <c r="H2407" s="11" t="s">
        <v>6802</v>
      </c>
      <c r="I2407" s="11" t="s">
        <v>6558</v>
      </c>
    </row>
    <row r="2408" spans="1:9" x14ac:dyDescent="0.15">
      <c r="A2408" s="10">
        <v>2407</v>
      </c>
      <c r="B2408" s="11" t="s">
        <v>9</v>
      </c>
      <c r="C2408" s="11" t="s">
        <v>253</v>
      </c>
      <c r="D2408" s="11" t="s">
        <v>254</v>
      </c>
      <c r="E2408" s="9" t="str">
        <f>+HYPERLINK("http://trademark.i-assist.jp/data/china/image_1903th/79549683.pdf", "79549683")</f>
        <v>79549683</v>
      </c>
      <c r="F2408" s="11" t="s">
        <v>12</v>
      </c>
      <c r="G2408" s="11" t="s">
        <v>6803</v>
      </c>
      <c r="H2408" s="11" t="s">
        <v>6804</v>
      </c>
      <c r="I2408" s="11" t="s">
        <v>6558</v>
      </c>
    </row>
    <row r="2409" spans="1:9" x14ac:dyDescent="0.15">
      <c r="A2409" s="10">
        <v>2408</v>
      </c>
      <c r="B2409" s="11" t="s">
        <v>9</v>
      </c>
      <c r="C2409" s="11" t="s">
        <v>253</v>
      </c>
      <c r="D2409" s="11" t="s">
        <v>254</v>
      </c>
      <c r="E2409" s="9" t="str">
        <f>+HYPERLINK("http://trademark.i-assist.jp/data/china/image_1903th/79549684.pdf", "79549684")</f>
        <v>79549684</v>
      </c>
      <c r="F2409" s="11" t="s">
        <v>6805</v>
      </c>
      <c r="G2409" s="11" t="s">
        <v>6645</v>
      </c>
      <c r="H2409" s="11" t="s">
        <v>6806</v>
      </c>
      <c r="I2409" s="11" t="s">
        <v>6558</v>
      </c>
    </row>
    <row r="2410" spans="1:9" x14ac:dyDescent="0.15">
      <c r="A2410" s="10">
        <v>2409</v>
      </c>
      <c r="B2410" s="11" t="s">
        <v>9</v>
      </c>
      <c r="C2410" s="11" t="s">
        <v>253</v>
      </c>
      <c r="D2410" s="11" t="s">
        <v>254</v>
      </c>
      <c r="E2410" s="9" t="str">
        <f>+HYPERLINK("http://trademark.i-assist.jp/data/china/image_1903th/79549763.pdf", "79549763")</f>
        <v>79549763</v>
      </c>
      <c r="F2410" s="11" t="s">
        <v>6807</v>
      </c>
      <c r="G2410" s="11" t="s">
        <v>6808</v>
      </c>
      <c r="H2410" s="11" t="s">
        <v>6809</v>
      </c>
      <c r="I2410" s="11" t="s">
        <v>6558</v>
      </c>
    </row>
    <row r="2411" spans="1:9" x14ac:dyDescent="0.15">
      <c r="A2411" s="10">
        <v>2410</v>
      </c>
      <c r="B2411" s="11" t="s">
        <v>9</v>
      </c>
      <c r="C2411" s="11" t="s">
        <v>253</v>
      </c>
      <c r="D2411" s="11" t="s">
        <v>254</v>
      </c>
      <c r="E2411" s="9" t="str">
        <f>+HYPERLINK("http://trademark.i-assist.jp/data/china/image_1903th/79550056.pdf", "79550056")</f>
        <v>79550056</v>
      </c>
      <c r="F2411" s="11" t="s">
        <v>6810</v>
      </c>
      <c r="G2411" s="11" t="s">
        <v>6811</v>
      </c>
      <c r="H2411" s="11" t="s">
        <v>6812</v>
      </c>
      <c r="I2411" s="11" t="s">
        <v>6558</v>
      </c>
    </row>
    <row r="2412" spans="1:9" x14ac:dyDescent="0.15">
      <c r="A2412" s="10">
        <v>2411</v>
      </c>
      <c r="B2412" s="11" t="s">
        <v>9</v>
      </c>
      <c r="C2412" s="11" t="s">
        <v>253</v>
      </c>
      <c r="D2412" s="11" t="s">
        <v>254</v>
      </c>
      <c r="E2412" s="9" t="str">
        <f>+HYPERLINK("http://trademark.i-assist.jp/data/china/image_1903th/79550871.pdf", "79550871")</f>
        <v>79550871</v>
      </c>
      <c r="F2412" s="11" t="s">
        <v>6813</v>
      </c>
      <c r="G2412" s="11" t="s">
        <v>6814</v>
      </c>
      <c r="H2412" s="11" t="s">
        <v>6815</v>
      </c>
      <c r="I2412" s="11" t="s">
        <v>6194</v>
      </c>
    </row>
    <row r="2413" spans="1:9" x14ac:dyDescent="0.15">
      <c r="A2413" s="10">
        <v>2412</v>
      </c>
      <c r="B2413" s="11" t="s">
        <v>9</v>
      </c>
      <c r="C2413" s="11" t="s">
        <v>253</v>
      </c>
      <c r="D2413" s="11" t="s">
        <v>254</v>
      </c>
      <c r="E2413" s="9" t="str">
        <f>+HYPERLINK("http://trademark.i-assist.jp/data/china/image_1903th/79551599.pdf", "79551599")</f>
        <v>79551599</v>
      </c>
      <c r="F2413" s="11" t="s">
        <v>6816</v>
      </c>
      <c r="G2413" s="11" t="s">
        <v>6817</v>
      </c>
      <c r="H2413" s="11" t="s">
        <v>6818</v>
      </c>
      <c r="I2413" s="11" t="s">
        <v>6819</v>
      </c>
    </row>
    <row r="2414" spans="1:9" x14ac:dyDescent="0.15">
      <c r="A2414" s="10">
        <v>2413</v>
      </c>
      <c r="B2414" s="11" t="s">
        <v>9</v>
      </c>
      <c r="C2414" s="11" t="s">
        <v>253</v>
      </c>
      <c r="D2414" s="11" t="s">
        <v>254</v>
      </c>
      <c r="E2414" s="9" t="str">
        <f>+HYPERLINK("http://trademark.i-assist.jp/data/china/image_1903th/79551717.pdf", "79551717")</f>
        <v>79551717</v>
      </c>
      <c r="F2414" s="11" t="s">
        <v>6820</v>
      </c>
      <c r="G2414" s="11" t="s">
        <v>6821</v>
      </c>
      <c r="H2414" s="11" t="s">
        <v>6822</v>
      </c>
      <c r="I2414" s="11" t="s">
        <v>6819</v>
      </c>
    </row>
    <row r="2415" spans="1:9" x14ac:dyDescent="0.15">
      <c r="A2415" s="10">
        <v>2414</v>
      </c>
      <c r="B2415" s="11" t="s">
        <v>9</v>
      </c>
      <c r="C2415" s="11" t="s">
        <v>253</v>
      </c>
      <c r="D2415" s="11" t="s">
        <v>254</v>
      </c>
      <c r="E2415" s="9" t="str">
        <f>+HYPERLINK("http://trademark.i-assist.jp/data/china/image_1903th/79551745.pdf", "79551745")</f>
        <v>79551745</v>
      </c>
      <c r="F2415" s="11" t="s">
        <v>12</v>
      </c>
      <c r="G2415" s="11" t="s">
        <v>6823</v>
      </c>
      <c r="H2415" s="11" t="s">
        <v>6824</v>
      </c>
      <c r="I2415" s="11" t="s">
        <v>6819</v>
      </c>
    </row>
    <row r="2416" spans="1:9" x14ac:dyDescent="0.15">
      <c r="A2416" s="10">
        <v>2415</v>
      </c>
      <c r="B2416" s="11" t="s">
        <v>9</v>
      </c>
      <c r="C2416" s="11" t="s">
        <v>253</v>
      </c>
      <c r="D2416" s="11" t="s">
        <v>254</v>
      </c>
      <c r="E2416" s="9" t="str">
        <f>+HYPERLINK("http://trademark.i-assist.jp/data/china/image_1903th/79552102.pdf", "79552102")</f>
        <v>79552102</v>
      </c>
      <c r="F2416" s="11" t="s">
        <v>6825</v>
      </c>
      <c r="G2416" s="11" t="s">
        <v>6826</v>
      </c>
      <c r="H2416" s="11" t="s">
        <v>6827</v>
      </c>
      <c r="I2416" s="11" t="s">
        <v>6819</v>
      </c>
    </row>
    <row r="2417" spans="1:9" x14ac:dyDescent="0.15">
      <c r="A2417" s="10">
        <v>2416</v>
      </c>
      <c r="B2417" s="11" t="s">
        <v>9</v>
      </c>
      <c r="C2417" s="11" t="s">
        <v>253</v>
      </c>
      <c r="D2417" s="11" t="s">
        <v>254</v>
      </c>
      <c r="E2417" s="9" t="str">
        <f>+HYPERLINK("http://trademark.i-assist.jp/data/china/image_1903th/79552112.pdf", "79552112")</f>
        <v>79552112</v>
      </c>
      <c r="F2417" s="11" t="s">
        <v>6828</v>
      </c>
      <c r="G2417" s="11" t="s">
        <v>6829</v>
      </c>
      <c r="H2417" s="11" t="s">
        <v>6830</v>
      </c>
      <c r="I2417" s="11" t="s">
        <v>6819</v>
      </c>
    </row>
    <row r="2418" spans="1:9" x14ac:dyDescent="0.15">
      <c r="A2418" s="10">
        <v>2417</v>
      </c>
      <c r="B2418" s="11" t="s">
        <v>9</v>
      </c>
      <c r="C2418" s="11" t="s">
        <v>253</v>
      </c>
      <c r="D2418" s="11" t="s">
        <v>254</v>
      </c>
      <c r="E2418" s="9" t="str">
        <f>+HYPERLINK("http://trademark.i-assist.jp/data/china/image_1903th/79552332.pdf", "79552332")</f>
        <v>79552332</v>
      </c>
      <c r="F2418" s="11" t="s">
        <v>6831</v>
      </c>
      <c r="G2418" s="11" t="s">
        <v>6832</v>
      </c>
      <c r="H2418" s="11" t="s">
        <v>6833</v>
      </c>
      <c r="I2418" s="11" t="s">
        <v>6819</v>
      </c>
    </row>
    <row r="2419" spans="1:9" x14ac:dyDescent="0.15">
      <c r="A2419" s="10">
        <v>2418</v>
      </c>
      <c r="B2419" s="11" t="s">
        <v>9</v>
      </c>
      <c r="C2419" s="11" t="s">
        <v>253</v>
      </c>
      <c r="D2419" s="11" t="s">
        <v>254</v>
      </c>
      <c r="E2419" s="9" t="str">
        <f>+HYPERLINK("http://trademark.i-assist.jp/data/china/image_1903th/79552401.pdf", "79552401")</f>
        <v>79552401</v>
      </c>
      <c r="F2419" s="11" t="s">
        <v>6834</v>
      </c>
      <c r="G2419" s="11" t="s">
        <v>6835</v>
      </c>
      <c r="H2419" s="11" t="s">
        <v>6836</v>
      </c>
      <c r="I2419" s="11" t="s">
        <v>6819</v>
      </c>
    </row>
    <row r="2420" spans="1:9" x14ac:dyDescent="0.15">
      <c r="A2420" s="10">
        <v>2419</v>
      </c>
      <c r="B2420" s="11" t="s">
        <v>9</v>
      </c>
      <c r="C2420" s="11" t="s">
        <v>253</v>
      </c>
      <c r="D2420" s="11" t="s">
        <v>254</v>
      </c>
      <c r="E2420" s="9" t="str">
        <f>+HYPERLINK("http://trademark.i-assist.jp/data/china/image_1903th/79552455.pdf", "79552455")</f>
        <v>79552455</v>
      </c>
      <c r="F2420" s="11" t="s">
        <v>6837</v>
      </c>
      <c r="G2420" s="11" t="s">
        <v>6838</v>
      </c>
      <c r="H2420" s="11" t="s">
        <v>6839</v>
      </c>
      <c r="I2420" s="11" t="s">
        <v>6819</v>
      </c>
    </row>
    <row r="2421" spans="1:9" x14ac:dyDescent="0.15">
      <c r="A2421" s="10">
        <v>2420</v>
      </c>
      <c r="B2421" s="11" t="s">
        <v>9</v>
      </c>
      <c r="C2421" s="11" t="s">
        <v>253</v>
      </c>
      <c r="D2421" s="11" t="s">
        <v>254</v>
      </c>
      <c r="E2421" s="9" t="str">
        <f>+HYPERLINK("http://trademark.i-assist.jp/data/china/image_1903th/79552532.pdf", "79552532")</f>
        <v>79552532</v>
      </c>
      <c r="F2421" s="11" t="s">
        <v>6840</v>
      </c>
      <c r="G2421" s="11" t="s">
        <v>6841</v>
      </c>
      <c r="H2421" s="11" t="s">
        <v>6842</v>
      </c>
      <c r="I2421" s="11" t="s">
        <v>6819</v>
      </c>
    </row>
    <row r="2422" spans="1:9" x14ac:dyDescent="0.15">
      <c r="A2422" s="10">
        <v>2421</v>
      </c>
      <c r="B2422" s="11" t="s">
        <v>9</v>
      </c>
      <c r="C2422" s="11" t="s">
        <v>253</v>
      </c>
      <c r="D2422" s="11" t="s">
        <v>254</v>
      </c>
      <c r="E2422" s="9" t="str">
        <f>+HYPERLINK("http://trademark.i-assist.jp/data/china/image_1903th/79552802.pdf", "79552802")</f>
        <v>79552802</v>
      </c>
      <c r="F2422" s="11" t="s">
        <v>6843</v>
      </c>
      <c r="G2422" s="11" t="s">
        <v>6844</v>
      </c>
      <c r="H2422" s="11" t="s">
        <v>6845</v>
      </c>
      <c r="I2422" s="11" t="s">
        <v>6819</v>
      </c>
    </row>
    <row r="2423" spans="1:9" x14ac:dyDescent="0.15">
      <c r="A2423" s="10">
        <v>2422</v>
      </c>
      <c r="B2423" s="11" t="s">
        <v>9</v>
      </c>
      <c r="C2423" s="11" t="s">
        <v>253</v>
      </c>
      <c r="D2423" s="11" t="s">
        <v>254</v>
      </c>
      <c r="E2423" s="9" t="str">
        <f>+HYPERLINK("http://trademark.i-assist.jp/data/china/image_1903th/79552854.pdf", "79552854")</f>
        <v>79552854</v>
      </c>
      <c r="F2423" s="11" t="s">
        <v>6846</v>
      </c>
      <c r="G2423" s="11" t="s">
        <v>6847</v>
      </c>
      <c r="H2423" s="11" t="s">
        <v>6848</v>
      </c>
      <c r="I2423" s="11" t="s">
        <v>6819</v>
      </c>
    </row>
    <row r="2424" spans="1:9" x14ac:dyDescent="0.15">
      <c r="A2424" s="10">
        <v>2423</v>
      </c>
      <c r="B2424" s="11" t="s">
        <v>9</v>
      </c>
      <c r="C2424" s="11" t="s">
        <v>253</v>
      </c>
      <c r="D2424" s="11" t="s">
        <v>254</v>
      </c>
      <c r="E2424" s="9" t="str">
        <f>+HYPERLINK("http://trademark.i-assist.jp/data/china/image_1903th/79552872.pdf", "79552872")</f>
        <v>79552872</v>
      </c>
      <c r="F2424" s="11" t="s">
        <v>6849</v>
      </c>
      <c r="G2424" s="11" t="s">
        <v>252</v>
      </c>
      <c r="H2424" s="11" t="s">
        <v>6850</v>
      </c>
      <c r="I2424" s="11" t="s">
        <v>6819</v>
      </c>
    </row>
    <row r="2425" spans="1:9" x14ac:dyDescent="0.15">
      <c r="A2425" s="10">
        <v>2424</v>
      </c>
      <c r="B2425" s="11" t="s">
        <v>9</v>
      </c>
      <c r="C2425" s="11" t="s">
        <v>253</v>
      </c>
      <c r="D2425" s="11" t="s">
        <v>254</v>
      </c>
      <c r="E2425" s="9" t="str">
        <f>+HYPERLINK("http://trademark.i-assist.jp/data/china/image_1903th/79552875.pdf", "79552875")</f>
        <v>79552875</v>
      </c>
      <c r="F2425" s="11" t="s">
        <v>6851</v>
      </c>
      <c r="G2425" s="11" t="s">
        <v>252</v>
      </c>
      <c r="H2425" s="11" t="s">
        <v>6852</v>
      </c>
      <c r="I2425" s="11" t="s">
        <v>6819</v>
      </c>
    </row>
    <row r="2426" spans="1:9" x14ac:dyDescent="0.15">
      <c r="A2426" s="10">
        <v>2425</v>
      </c>
      <c r="B2426" s="11" t="s">
        <v>9</v>
      </c>
      <c r="C2426" s="11" t="s">
        <v>253</v>
      </c>
      <c r="D2426" s="11" t="s">
        <v>254</v>
      </c>
      <c r="E2426" s="9" t="str">
        <f>+HYPERLINK("http://trademark.i-assist.jp/data/china/image_1903th/79552897.pdf", "79552897")</f>
        <v>79552897</v>
      </c>
      <c r="F2426" s="11" t="s">
        <v>6853</v>
      </c>
      <c r="G2426" s="11" t="s">
        <v>6854</v>
      </c>
      <c r="H2426" s="11" t="s">
        <v>6855</v>
      </c>
      <c r="I2426" s="11" t="s">
        <v>6819</v>
      </c>
    </row>
    <row r="2427" spans="1:9" x14ac:dyDescent="0.15">
      <c r="A2427" s="10">
        <v>2426</v>
      </c>
      <c r="B2427" s="11" t="s">
        <v>9</v>
      </c>
      <c r="C2427" s="11" t="s">
        <v>253</v>
      </c>
      <c r="D2427" s="11" t="s">
        <v>254</v>
      </c>
      <c r="E2427" s="9" t="str">
        <f>+HYPERLINK("http://trademark.i-assist.jp/data/china/image_1903th/79553433.pdf", "79553433")</f>
        <v>79553433</v>
      </c>
      <c r="F2427" s="11" t="s">
        <v>6856</v>
      </c>
      <c r="G2427" s="11" t="s">
        <v>6857</v>
      </c>
      <c r="H2427" s="11" t="s">
        <v>6858</v>
      </c>
      <c r="I2427" s="11" t="s">
        <v>6819</v>
      </c>
    </row>
    <row r="2428" spans="1:9" x14ac:dyDescent="0.15">
      <c r="A2428" s="10">
        <v>2427</v>
      </c>
      <c r="B2428" s="11" t="s">
        <v>9</v>
      </c>
      <c r="C2428" s="11" t="s">
        <v>253</v>
      </c>
      <c r="D2428" s="11" t="s">
        <v>254</v>
      </c>
      <c r="E2428" s="9" t="str">
        <f>+HYPERLINK("http://trademark.i-assist.jp/data/china/image_1903th/79553664.pdf", "79553664")</f>
        <v>79553664</v>
      </c>
      <c r="F2428" s="11" t="s">
        <v>12</v>
      </c>
      <c r="G2428" s="11" t="s">
        <v>6859</v>
      </c>
      <c r="H2428" s="11" t="s">
        <v>6860</v>
      </c>
      <c r="I2428" s="11" t="s">
        <v>6819</v>
      </c>
    </row>
    <row r="2429" spans="1:9" x14ac:dyDescent="0.15">
      <c r="A2429" s="10">
        <v>2428</v>
      </c>
      <c r="B2429" s="11" t="s">
        <v>9</v>
      </c>
      <c r="C2429" s="11" t="s">
        <v>253</v>
      </c>
      <c r="D2429" s="11" t="s">
        <v>254</v>
      </c>
      <c r="E2429" s="9" t="str">
        <f>+HYPERLINK("http://trademark.i-assist.jp/data/china/image_1903th/79553672.pdf", "79553672")</f>
        <v>79553672</v>
      </c>
      <c r="F2429" s="11" t="s">
        <v>6861</v>
      </c>
      <c r="G2429" s="11" t="s">
        <v>6862</v>
      </c>
      <c r="H2429" s="11" t="s">
        <v>6863</v>
      </c>
      <c r="I2429" s="11" t="s">
        <v>6819</v>
      </c>
    </row>
    <row r="2430" spans="1:9" x14ac:dyDescent="0.15">
      <c r="A2430" s="10">
        <v>2429</v>
      </c>
      <c r="B2430" s="11" t="s">
        <v>9</v>
      </c>
      <c r="C2430" s="11" t="s">
        <v>253</v>
      </c>
      <c r="D2430" s="11" t="s">
        <v>254</v>
      </c>
      <c r="E2430" s="9" t="str">
        <f>+HYPERLINK("http://trademark.i-assist.jp/data/china/image_1903th/79553712.pdf", "79553712")</f>
        <v>79553712</v>
      </c>
      <c r="F2430" s="11" t="s">
        <v>12</v>
      </c>
      <c r="G2430" s="11" t="s">
        <v>6864</v>
      </c>
      <c r="H2430" s="11" t="s">
        <v>6865</v>
      </c>
      <c r="I2430" s="11" t="s">
        <v>6819</v>
      </c>
    </row>
    <row r="2431" spans="1:9" x14ac:dyDescent="0.15">
      <c r="A2431" s="10">
        <v>2430</v>
      </c>
      <c r="B2431" s="11" t="s">
        <v>9</v>
      </c>
      <c r="C2431" s="11" t="s">
        <v>253</v>
      </c>
      <c r="D2431" s="11" t="s">
        <v>254</v>
      </c>
      <c r="E2431" s="9" t="str">
        <f>+HYPERLINK("http://trademark.i-assist.jp/data/china/image_1903th/79553779.pdf", "79553779")</f>
        <v>79553779</v>
      </c>
      <c r="F2431" s="11" t="s">
        <v>6866</v>
      </c>
      <c r="G2431" s="11" t="s">
        <v>6867</v>
      </c>
      <c r="H2431" s="11" t="s">
        <v>6868</v>
      </c>
      <c r="I2431" s="11" t="s">
        <v>6819</v>
      </c>
    </row>
    <row r="2432" spans="1:9" x14ac:dyDescent="0.15">
      <c r="A2432" s="10">
        <v>2431</v>
      </c>
      <c r="B2432" s="11" t="s">
        <v>9</v>
      </c>
      <c r="C2432" s="11" t="s">
        <v>253</v>
      </c>
      <c r="D2432" s="11" t="s">
        <v>254</v>
      </c>
      <c r="E2432" s="9" t="str">
        <f>+HYPERLINK("http://trademark.i-assist.jp/data/china/image_1903th/79553861.pdf", "79553861")</f>
        <v>79553861</v>
      </c>
      <c r="F2432" s="11" t="s">
        <v>6869</v>
      </c>
      <c r="G2432" s="11" t="s">
        <v>6870</v>
      </c>
      <c r="H2432" s="11" t="s">
        <v>6871</v>
      </c>
      <c r="I2432" s="11" t="s">
        <v>6819</v>
      </c>
    </row>
    <row r="2433" spans="1:9" x14ac:dyDescent="0.15">
      <c r="A2433" s="10">
        <v>2432</v>
      </c>
      <c r="B2433" s="11" t="s">
        <v>9</v>
      </c>
      <c r="C2433" s="11" t="s">
        <v>253</v>
      </c>
      <c r="D2433" s="11" t="s">
        <v>254</v>
      </c>
      <c r="E2433" s="9" t="str">
        <f>+HYPERLINK("http://trademark.i-assist.jp/data/china/image_1903th/79554360.pdf", "79554360")</f>
        <v>79554360</v>
      </c>
      <c r="F2433" s="11" t="s">
        <v>6872</v>
      </c>
      <c r="G2433" s="11" t="s">
        <v>6873</v>
      </c>
      <c r="H2433" s="11" t="s">
        <v>6874</v>
      </c>
      <c r="I2433" s="11" t="s">
        <v>6819</v>
      </c>
    </row>
    <row r="2434" spans="1:9" x14ac:dyDescent="0.15">
      <c r="A2434" s="10">
        <v>2433</v>
      </c>
      <c r="B2434" s="11" t="s">
        <v>9</v>
      </c>
      <c r="C2434" s="11" t="s">
        <v>253</v>
      </c>
      <c r="D2434" s="11" t="s">
        <v>254</v>
      </c>
      <c r="E2434" s="9" t="str">
        <f>+HYPERLINK("http://trademark.i-assist.jp/data/china/image_1903th/79554882.pdf", "79554882")</f>
        <v>79554882</v>
      </c>
      <c r="F2434" s="11" t="s">
        <v>6875</v>
      </c>
      <c r="G2434" s="11" t="s">
        <v>6876</v>
      </c>
      <c r="H2434" s="11" t="s">
        <v>6877</v>
      </c>
      <c r="I2434" s="11" t="s">
        <v>6819</v>
      </c>
    </row>
    <row r="2435" spans="1:9" x14ac:dyDescent="0.15">
      <c r="A2435" s="10">
        <v>2434</v>
      </c>
      <c r="B2435" s="11" t="s">
        <v>9</v>
      </c>
      <c r="C2435" s="11" t="s">
        <v>253</v>
      </c>
      <c r="D2435" s="11" t="s">
        <v>254</v>
      </c>
      <c r="E2435" s="9" t="str">
        <f>+HYPERLINK("http://trademark.i-assist.jp/data/china/image_1903th/79555494.pdf", "79555494")</f>
        <v>79555494</v>
      </c>
      <c r="F2435" s="11" t="s">
        <v>6878</v>
      </c>
      <c r="G2435" s="11" t="s">
        <v>6879</v>
      </c>
      <c r="H2435" s="11" t="s">
        <v>6880</v>
      </c>
      <c r="I2435" s="11" t="s">
        <v>6819</v>
      </c>
    </row>
    <row r="2436" spans="1:9" x14ac:dyDescent="0.15">
      <c r="A2436" s="10">
        <v>2435</v>
      </c>
      <c r="B2436" s="11" t="s">
        <v>9</v>
      </c>
      <c r="C2436" s="11" t="s">
        <v>253</v>
      </c>
      <c r="D2436" s="11" t="s">
        <v>254</v>
      </c>
      <c r="E2436" s="9" t="str">
        <f>+HYPERLINK("http://trademark.i-assist.jp/data/china/image_1903th/79556055.pdf", "79556055")</f>
        <v>79556055</v>
      </c>
      <c r="F2436" s="11" t="s">
        <v>6881</v>
      </c>
      <c r="G2436" s="11" t="s">
        <v>6882</v>
      </c>
      <c r="H2436" s="11" t="s">
        <v>6883</v>
      </c>
      <c r="I2436" s="11" t="s">
        <v>6819</v>
      </c>
    </row>
    <row r="2437" spans="1:9" x14ac:dyDescent="0.15">
      <c r="A2437" s="10">
        <v>2436</v>
      </c>
      <c r="B2437" s="11" t="s">
        <v>9</v>
      </c>
      <c r="C2437" s="11" t="s">
        <v>253</v>
      </c>
      <c r="D2437" s="11" t="s">
        <v>254</v>
      </c>
      <c r="E2437" s="9" t="str">
        <f>+HYPERLINK("http://trademark.i-assist.jp/data/china/image_1903th/79556158.pdf", "79556158")</f>
        <v>79556158</v>
      </c>
      <c r="F2437" s="11" t="s">
        <v>6884</v>
      </c>
      <c r="G2437" s="11" t="s">
        <v>6835</v>
      </c>
      <c r="H2437" s="11" t="s">
        <v>6885</v>
      </c>
      <c r="I2437" s="11" t="s">
        <v>6819</v>
      </c>
    </row>
    <row r="2438" spans="1:9" x14ac:dyDescent="0.15">
      <c r="A2438" s="10">
        <v>2437</v>
      </c>
      <c r="B2438" s="11" t="s">
        <v>9</v>
      </c>
      <c r="C2438" s="11" t="s">
        <v>253</v>
      </c>
      <c r="D2438" s="11" t="s">
        <v>254</v>
      </c>
      <c r="E2438" s="9" t="str">
        <f>+HYPERLINK("http://trademark.i-assist.jp/data/china/image_1903th/79556831.pdf", "79556831")</f>
        <v>79556831</v>
      </c>
      <c r="F2438" s="11" t="s">
        <v>6886</v>
      </c>
      <c r="G2438" s="11" t="s">
        <v>6887</v>
      </c>
      <c r="H2438" s="11" t="s">
        <v>6888</v>
      </c>
      <c r="I2438" s="11" t="s">
        <v>6819</v>
      </c>
    </row>
    <row r="2439" spans="1:9" x14ac:dyDescent="0.15">
      <c r="A2439" s="10">
        <v>2438</v>
      </c>
      <c r="B2439" s="11" t="s">
        <v>9</v>
      </c>
      <c r="C2439" s="11" t="s">
        <v>253</v>
      </c>
      <c r="D2439" s="11" t="s">
        <v>254</v>
      </c>
      <c r="E2439" s="9" t="str">
        <f>+HYPERLINK("http://trademark.i-assist.jp/data/china/image_1903th/79557015.pdf", "79557015")</f>
        <v>79557015</v>
      </c>
      <c r="F2439" s="11" t="s">
        <v>6889</v>
      </c>
      <c r="G2439" s="11" t="s">
        <v>6890</v>
      </c>
      <c r="H2439" s="11" t="s">
        <v>6891</v>
      </c>
      <c r="I2439" s="11" t="s">
        <v>6819</v>
      </c>
    </row>
    <row r="2440" spans="1:9" x14ac:dyDescent="0.15">
      <c r="A2440" s="10">
        <v>2439</v>
      </c>
      <c r="B2440" s="11" t="s">
        <v>9</v>
      </c>
      <c r="C2440" s="11" t="s">
        <v>253</v>
      </c>
      <c r="D2440" s="11" t="s">
        <v>254</v>
      </c>
      <c r="E2440" s="9" t="str">
        <f>+HYPERLINK("http://trademark.i-assist.jp/data/china/image_1903th/79557250.pdf", "79557250")</f>
        <v>79557250</v>
      </c>
      <c r="F2440" s="11" t="s">
        <v>6892</v>
      </c>
      <c r="G2440" s="11" t="s">
        <v>6893</v>
      </c>
      <c r="H2440" s="11" t="s">
        <v>6894</v>
      </c>
      <c r="I2440" s="11" t="s">
        <v>6819</v>
      </c>
    </row>
    <row r="2441" spans="1:9" x14ac:dyDescent="0.15">
      <c r="A2441" s="10">
        <v>2440</v>
      </c>
      <c r="B2441" s="11" t="s">
        <v>9</v>
      </c>
      <c r="C2441" s="11" t="s">
        <v>253</v>
      </c>
      <c r="D2441" s="11" t="s">
        <v>254</v>
      </c>
      <c r="E2441" s="9" t="str">
        <f>+HYPERLINK("http://trademark.i-assist.jp/data/china/image_1903th/79557276.pdf", "79557276")</f>
        <v>79557276</v>
      </c>
      <c r="F2441" s="11" t="s">
        <v>6895</v>
      </c>
      <c r="G2441" s="11" t="s">
        <v>6896</v>
      </c>
      <c r="H2441" s="11" t="s">
        <v>6897</v>
      </c>
      <c r="I2441" s="11" t="s">
        <v>6819</v>
      </c>
    </row>
    <row r="2442" spans="1:9" x14ac:dyDescent="0.15">
      <c r="A2442" s="10">
        <v>2441</v>
      </c>
      <c r="B2442" s="11" t="s">
        <v>9</v>
      </c>
      <c r="C2442" s="11" t="s">
        <v>253</v>
      </c>
      <c r="D2442" s="11" t="s">
        <v>254</v>
      </c>
      <c r="E2442" s="9" t="str">
        <f>+HYPERLINK("http://trademark.i-assist.jp/data/china/image_1903th/79557502.pdf", "79557502")</f>
        <v>79557502</v>
      </c>
      <c r="F2442" s="11" t="s">
        <v>6898</v>
      </c>
      <c r="G2442" s="11" t="s">
        <v>6899</v>
      </c>
      <c r="H2442" s="11" t="s">
        <v>6900</v>
      </c>
      <c r="I2442" s="11" t="s">
        <v>6819</v>
      </c>
    </row>
    <row r="2443" spans="1:9" x14ac:dyDescent="0.15">
      <c r="A2443" s="10">
        <v>2442</v>
      </c>
      <c r="B2443" s="11" t="s">
        <v>9</v>
      </c>
      <c r="C2443" s="11" t="s">
        <v>253</v>
      </c>
      <c r="D2443" s="11" t="s">
        <v>254</v>
      </c>
      <c r="E2443" s="9" t="str">
        <f>+HYPERLINK("http://trademark.i-assist.jp/data/china/image_1903th/79557791.pdf", "79557791")</f>
        <v>79557791</v>
      </c>
      <c r="F2443" s="11" t="s">
        <v>6901</v>
      </c>
      <c r="G2443" s="11" t="s">
        <v>6902</v>
      </c>
      <c r="H2443" s="11" t="s">
        <v>6903</v>
      </c>
      <c r="I2443" s="11" t="s">
        <v>6819</v>
      </c>
    </row>
    <row r="2444" spans="1:9" x14ac:dyDescent="0.15">
      <c r="A2444" s="10">
        <v>2443</v>
      </c>
      <c r="B2444" s="11" t="s">
        <v>9</v>
      </c>
      <c r="C2444" s="11" t="s">
        <v>253</v>
      </c>
      <c r="D2444" s="11" t="s">
        <v>254</v>
      </c>
      <c r="E2444" s="9" t="str">
        <f>+HYPERLINK("http://trademark.i-assist.jp/data/china/image_1903th/79558078.pdf", "79558078")</f>
        <v>79558078</v>
      </c>
      <c r="F2444" s="11" t="s">
        <v>6904</v>
      </c>
      <c r="G2444" s="11" t="s">
        <v>6905</v>
      </c>
      <c r="H2444" s="11" t="s">
        <v>6906</v>
      </c>
      <c r="I2444" s="11" t="s">
        <v>6819</v>
      </c>
    </row>
    <row r="2445" spans="1:9" x14ac:dyDescent="0.15">
      <c r="A2445" s="10">
        <v>2444</v>
      </c>
      <c r="B2445" s="11" t="s">
        <v>9</v>
      </c>
      <c r="C2445" s="11" t="s">
        <v>253</v>
      </c>
      <c r="D2445" s="11" t="s">
        <v>254</v>
      </c>
      <c r="E2445" s="9" t="str">
        <f>+HYPERLINK("http://trademark.i-assist.jp/data/china/image_1903th/79558156.pdf", "79558156")</f>
        <v>79558156</v>
      </c>
      <c r="F2445" s="11" t="s">
        <v>6907</v>
      </c>
      <c r="G2445" s="11" t="s">
        <v>158</v>
      </c>
      <c r="H2445" s="11" t="s">
        <v>6908</v>
      </c>
      <c r="I2445" s="11" t="s">
        <v>6819</v>
      </c>
    </row>
    <row r="2446" spans="1:9" x14ac:dyDescent="0.15">
      <c r="A2446" s="10">
        <v>2445</v>
      </c>
      <c r="B2446" s="11" t="s">
        <v>9</v>
      </c>
      <c r="C2446" s="11" t="s">
        <v>253</v>
      </c>
      <c r="D2446" s="11" t="s">
        <v>254</v>
      </c>
      <c r="E2446" s="9" t="str">
        <f>+HYPERLINK("http://trademark.i-assist.jp/data/china/image_1903th/79558472.pdf", "79558472")</f>
        <v>79558472</v>
      </c>
      <c r="F2446" s="11" t="s">
        <v>6909</v>
      </c>
      <c r="G2446" s="11" t="s">
        <v>6910</v>
      </c>
      <c r="H2446" s="11" t="s">
        <v>6911</v>
      </c>
      <c r="I2446" s="11" t="s">
        <v>6819</v>
      </c>
    </row>
    <row r="2447" spans="1:9" x14ac:dyDescent="0.15">
      <c r="A2447" s="10">
        <v>2446</v>
      </c>
      <c r="B2447" s="11" t="s">
        <v>9</v>
      </c>
      <c r="C2447" s="11" t="s">
        <v>253</v>
      </c>
      <c r="D2447" s="11" t="s">
        <v>254</v>
      </c>
      <c r="E2447" s="9" t="str">
        <f>+HYPERLINK("http://trademark.i-assist.jp/data/china/image_1903th/79558570.pdf", "79558570")</f>
        <v>79558570</v>
      </c>
      <c r="F2447" s="11" t="s">
        <v>6912</v>
      </c>
      <c r="G2447" s="11" t="s">
        <v>6913</v>
      </c>
      <c r="H2447" s="11" t="s">
        <v>6914</v>
      </c>
      <c r="I2447" s="11" t="s">
        <v>6819</v>
      </c>
    </row>
    <row r="2448" spans="1:9" x14ac:dyDescent="0.15">
      <c r="A2448" s="10">
        <v>2447</v>
      </c>
      <c r="B2448" s="11" t="s">
        <v>9</v>
      </c>
      <c r="C2448" s="11" t="s">
        <v>253</v>
      </c>
      <c r="D2448" s="11" t="s">
        <v>254</v>
      </c>
      <c r="E2448" s="9" t="str">
        <f>+HYPERLINK("http://trademark.i-assist.jp/data/china/image_1903th/79558996.pdf", "79558996")</f>
        <v>79558996</v>
      </c>
      <c r="F2448" s="11" t="s">
        <v>6915</v>
      </c>
      <c r="G2448" s="11" t="s">
        <v>6916</v>
      </c>
      <c r="H2448" s="11" t="s">
        <v>6917</v>
      </c>
      <c r="I2448" s="11" t="s">
        <v>6819</v>
      </c>
    </row>
    <row r="2449" spans="1:9" x14ac:dyDescent="0.15">
      <c r="A2449" s="10">
        <v>2448</v>
      </c>
      <c r="B2449" s="11" t="s">
        <v>9</v>
      </c>
      <c r="C2449" s="11" t="s">
        <v>253</v>
      </c>
      <c r="D2449" s="11" t="s">
        <v>254</v>
      </c>
      <c r="E2449" s="9" t="str">
        <f>+HYPERLINK("http://trademark.i-assist.jp/data/china/image_1903th/79559015.pdf", "79559015")</f>
        <v>79559015</v>
      </c>
      <c r="F2449" s="11" t="s">
        <v>6918</v>
      </c>
      <c r="G2449" s="11" t="s">
        <v>50</v>
      </c>
      <c r="H2449" s="11" t="s">
        <v>6919</v>
      </c>
      <c r="I2449" s="11" t="s">
        <v>6819</v>
      </c>
    </row>
    <row r="2450" spans="1:9" x14ac:dyDescent="0.15">
      <c r="A2450" s="10">
        <v>2449</v>
      </c>
      <c r="B2450" s="11" t="s">
        <v>9</v>
      </c>
      <c r="C2450" s="11" t="s">
        <v>253</v>
      </c>
      <c r="D2450" s="11" t="s">
        <v>254</v>
      </c>
      <c r="E2450" s="9" t="str">
        <f>+HYPERLINK("http://trademark.i-assist.jp/data/china/image_1903th/79559151.pdf", "79559151")</f>
        <v>79559151</v>
      </c>
      <c r="F2450" s="11" t="s">
        <v>6920</v>
      </c>
      <c r="G2450" s="11" t="s">
        <v>6921</v>
      </c>
      <c r="H2450" s="11" t="s">
        <v>6922</v>
      </c>
      <c r="I2450" s="11" t="s">
        <v>6819</v>
      </c>
    </row>
    <row r="2451" spans="1:9" x14ac:dyDescent="0.15">
      <c r="A2451" s="10">
        <v>2450</v>
      </c>
      <c r="B2451" s="11" t="s">
        <v>9</v>
      </c>
      <c r="C2451" s="11" t="s">
        <v>253</v>
      </c>
      <c r="D2451" s="11" t="s">
        <v>254</v>
      </c>
      <c r="E2451" s="9" t="str">
        <f>+HYPERLINK("http://trademark.i-assist.jp/data/china/image_1903th/79559554.pdf", "79559554")</f>
        <v>79559554</v>
      </c>
      <c r="F2451" s="11" t="s">
        <v>6923</v>
      </c>
      <c r="G2451" s="11" t="s">
        <v>6924</v>
      </c>
      <c r="H2451" s="11" t="s">
        <v>6925</v>
      </c>
      <c r="I2451" s="11" t="s">
        <v>6819</v>
      </c>
    </row>
    <row r="2452" spans="1:9" x14ac:dyDescent="0.15">
      <c r="A2452" s="10">
        <v>2451</v>
      </c>
      <c r="B2452" s="11" t="s">
        <v>9</v>
      </c>
      <c r="C2452" s="11" t="s">
        <v>253</v>
      </c>
      <c r="D2452" s="11" t="s">
        <v>254</v>
      </c>
      <c r="E2452" s="9" t="str">
        <f>+HYPERLINK("http://trademark.i-assist.jp/data/china/image_1903th/79559571.pdf", "79559571")</f>
        <v>79559571</v>
      </c>
      <c r="F2452" s="11" t="s">
        <v>6926</v>
      </c>
      <c r="G2452" s="11" t="s">
        <v>6927</v>
      </c>
      <c r="H2452" s="11" t="s">
        <v>6928</v>
      </c>
      <c r="I2452" s="11" t="s">
        <v>6819</v>
      </c>
    </row>
    <row r="2453" spans="1:9" x14ac:dyDescent="0.15">
      <c r="A2453" s="10">
        <v>2452</v>
      </c>
      <c r="B2453" s="11" t="s">
        <v>9</v>
      </c>
      <c r="C2453" s="11" t="s">
        <v>253</v>
      </c>
      <c r="D2453" s="11" t="s">
        <v>254</v>
      </c>
      <c r="E2453" s="9" t="str">
        <f>+HYPERLINK("http://trademark.i-assist.jp/data/china/image_1903th/79559761.pdf", "79559761")</f>
        <v>79559761</v>
      </c>
      <c r="F2453" s="11" t="s">
        <v>6929</v>
      </c>
      <c r="G2453" s="11" t="s">
        <v>6930</v>
      </c>
      <c r="H2453" s="11" t="s">
        <v>6931</v>
      </c>
      <c r="I2453" s="11" t="s">
        <v>6819</v>
      </c>
    </row>
    <row r="2454" spans="1:9" x14ac:dyDescent="0.15">
      <c r="A2454" s="10">
        <v>2453</v>
      </c>
      <c r="B2454" s="11" t="s">
        <v>9</v>
      </c>
      <c r="C2454" s="11" t="s">
        <v>253</v>
      </c>
      <c r="D2454" s="11" t="s">
        <v>254</v>
      </c>
      <c r="E2454" s="9" t="str">
        <f>+HYPERLINK("http://trademark.i-assist.jp/data/china/image_1903th/79559803.pdf", "79559803")</f>
        <v>79559803</v>
      </c>
      <c r="F2454" s="11" t="s">
        <v>6932</v>
      </c>
      <c r="G2454" s="11" t="s">
        <v>6933</v>
      </c>
      <c r="H2454" s="11" t="s">
        <v>6934</v>
      </c>
      <c r="I2454" s="11" t="s">
        <v>6819</v>
      </c>
    </row>
    <row r="2455" spans="1:9" x14ac:dyDescent="0.15">
      <c r="A2455" s="10">
        <v>2454</v>
      </c>
      <c r="B2455" s="11" t="s">
        <v>9</v>
      </c>
      <c r="C2455" s="11" t="s">
        <v>253</v>
      </c>
      <c r="D2455" s="11" t="s">
        <v>254</v>
      </c>
      <c r="E2455" s="9" t="str">
        <f>+HYPERLINK("http://trademark.i-assist.jp/data/china/image_1903th/79559895.pdf", "79559895")</f>
        <v>79559895</v>
      </c>
      <c r="F2455" s="11" t="s">
        <v>6935</v>
      </c>
      <c r="G2455" s="11" t="s">
        <v>6936</v>
      </c>
      <c r="H2455" s="11" t="s">
        <v>6937</v>
      </c>
      <c r="I2455" s="11" t="s">
        <v>6819</v>
      </c>
    </row>
    <row r="2456" spans="1:9" x14ac:dyDescent="0.15">
      <c r="A2456" s="10">
        <v>2455</v>
      </c>
      <c r="B2456" s="11" t="s">
        <v>9</v>
      </c>
      <c r="C2456" s="11" t="s">
        <v>253</v>
      </c>
      <c r="D2456" s="11" t="s">
        <v>254</v>
      </c>
      <c r="E2456" s="9" t="str">
        <f>+HYPERLINK("http://trademark.i-assist.jp/data/china/image_1903th/79559934.pdf", "79559934")</f>
        <v>79559934</v>
      </c>
      <c r="F2456" s="11" t="s">
        <v>6938</v>
      </c>
      <c r="G2456" s="11" t="s">
        <v>6939</v>
      </c>
      <c r="H2456" s="11" t="s">
        <v>16</v>
      </c>
      <c r="I2456" s="11" t="s">
        <v>6819</v>
      </c>
    </row>
    <row r="2457" spans="1:9" x14ac:dyDescent="0.15">
      <c r="A2457" s="10">
        <v>2456</v>
      </c>
      <c r="B2457" s="11" t="s">
        <v>9</v>
      </c>
      <c r="C2457" s="11" t="s">
        <v>253</v>
      </c>
      <c r="D2457" s="11" t="s">
        <v>254</v>
      </c>
      <c r="E2457" s="9" t="str">
        <f>+HYPERLINK("http://trademark.i-assist.jp/data/china/image_1903th/79560650.pdf", "79560650")</f>
        <v>79560650</v>
      </c>
      <c r="F2457" s="11" t="s">
        <v>6940</v>
      </c>
      <c r="G2457" s="11" t="s">
        <v>6941</v>
      </c>
      <c r="H2457" s="11" t="s">
        <v>6942</v>
      </c>
      <c r="I2457" s="11" t="s">
        <v>6819</v>
      </c>
    </row>
    <row r="2458" spans="1:9" x14ac:dyDescent="0.15">
      <c r="A2458" s="10">
        <v>2457</v>
      </c>
      <c r="B2458" s="11" t="s">
        <v>9</v>
      </c>
      <c r="C2458" s="11" t="s">
        <v>253</v>
      </c>
      <c r="D2458" s="11" t="s">
        <v>254</v>
      </c>
      <c r="E2458" s="9" t="str">
        <f>+HYPERLINK("http://trademark.i-assist.jp/data/china/image_1903th/79560781.pdf", "79560781")</f>
        <v>79560781</v>
      </c>
      <c r="F2458" s="11" t="s">
        <v>6943</v>
      </c>
      <c r="G2458" s="11" t="s">
        <v>6944</v>
      </c>
      <c r="H2458" s="11" t="s">
        <v>6945</v>
      </c>
      <c r="I2458" s="11" t="s">
        <v>6819</v>
      </c>
    </row>
    <row r="2459" spans="1:9" x14ac:dyDescent="0.15">
      <c r="A2459" s="10">
        <v>2458</v>
      </c>
      <c r="B2459" s="11" t="s">
        <v>9</v>
      </c>
      <c r="C2459" s="11" t="s">
        <v>253</v>
      </c>
      <c r="D2459" s="11" t="s">
        <v>254</v>
      </c>
      <c r="E2459" s="9" t="str">
        <f>+HYPERLINK("http://trademark.i-assist.jp/data/china/image_1903th/79560794.pdf", "79560794")</f>
        <v>79560794</v>
      </c>
      <c r="F2459" s="11" t="s">
        <v>6946</v>
      </c>
      <c r="G2459" s="11" t="s">
        <v>6944</v>
      </c>
      <c r="H2459" s="11" t="s">
        <v>6947</v>
      </c>
      <c r="I2459" s="11" t="s">
        <v>6819</v>
      </c>
    </row>
    <row r="2460" spans="1:9" x14ac:dyDescent="0.15">
      <c r="A2460" s="10">
        <v>2459</v>
      </c>
      <c r="B2460" s="11" t="s">
        <v>9</v>
      </c>
      <c r="C2460" s="11" t="s">
        <v>253</v>
      </c>
      <c r="D2460" s="11" t="s">
        <v>254</v>
      </c>
      <c r="E2460" s="9" t="str">
        <f>+HYPERLINK("http://trademark.i-assist.jp/data/china/image_1903th/79560975.pdf", "79560975")</f>
        <v>79560975</v>
      </c>
      <c r="F2460" s="11" t="s">
        <v>6948</v>
      </c>
      <c r="G2460" s="11" t="s">
        <v>6949</v>
      </c>
      <c r="H2460" s="11" t="s">
        <v>6950</v>
      </c>
      <c r="I2460" s="11" t="s">
        <v>6819</v>
      </c>
    </row>
    <row r="2461" spans="1:9" x14ac:dyDescent="0.15">
      <c r="A2461" s="10">
        <v>2460</v>
      </c>
      <c r="B2461" s="11" t="s">
        <v>9</v>
      </c>
      <c r="C2461" s="11" t="s">
        <v>253</v>
      </c>
      <c r="D2461" s="11" t="s">
        <v>254</v>
      </c>
      <c r="E2461" s="9" t="str">
        <f>+HYPERLINK("http://trademark.i-assist.jp/data/china/image_1903th/79561111.pdf", "79561111")</f>
        <v>79561111</v>
      </c>
      <c r="F2461" s="11" t="s">
        <v>6951</v>
      </c>
      <c r="G2461" s="11" t="s">
        <v>6952</v>
      </c>
      <c r="H2461" s="11" t="s">
        <v>6953</v>
      </c>
      <c r="I2461" s="11" t="s">
        <v>6819</v>
      </c>
    </row>
    <row r="2462" spans="1:9" x14ac:dyDescent="0.15">
      <c r="A2462" s="10">
        <v>2461</v>
      </c>
      <c r="B2462" s="11" t="s">
        <v>9</v>
      </c>
      <c r="C2462" s="11" t="s">
        <v>253</v>
      </c>
      <c r="D2462" s="11" t="s">
        <v>254</v>
      </c>
      <c r="E2462" s="9" t="str">
        <f>+HYPERLINK("http://trademark.i-assist.jp/data/china/image_1903th/79561314.pdf", "79561314")</f>
        <v>79561314</v>
      </c>
      <c r="F2462" s="11" t="s">
        <v>6954</v>
      </c>
      <c r="G2462" s="11" t="s">
        <v>6955</v>
      </c>
      <c r="H2462" s="11" t="s">
        <v>6956</v>
      </c>
      <c r="I2462" s="11" t="s">
        <v>6819</v>
      </c>
    </row>
    <row r="2463" spans="1:9" x14ac:dyDescent="0.15">
      <c r="A2463" s="10">
        <v>2462</v>
      </c>
      <c r="B2463" s="11" t="s">
        <v>9</v>
      </c>
      <c r="C2463" s="11" t="s">
        <v>253</v>
      </c>
      <c r="D2463" s="11" t="s">
        <v>254</v>
      </c>
      <c r="E2463" s="9" t="str">
        <f>+HYPERLINK("http://trademark.i-assist.jp/data/china/image_1903th/79561588.pdf", "79561588")</f>
        <v>79561588</v>
      </c>
      <c r="F2463" s="11" t="s">
        <v>6957</v>
      </c>
      <c r="G2463" s="11" t="s">
        <v>6958</v>
      </c>
      <c r="H2463" s="11" t="s">
        <v>6959</v>
      </c>
      <c r="I2463" s="11" t="s">
        <v>6819</v>
      </c>
    </row>
    <row r="2464" spans="1:9" x14ac:dyDescent="0.15">
      <c r="A2464" s="10">
        <v>2463</v>
      </c>
      <c r="B2464" s="11" t="s">
        <v>9</v>
      </c>
      <c r="C2464" s="11" t="s">
        <v>253</v>
      </c>
      <c r="D2464" s="11" t="s">
        <v>254</v>
      </c>
      <c r="E2464" s="9" t="str">
        <f>+HYPERLINK("http://trademark.i-assist.jp/data/china/image_1903th/79562050.pdf", "79562050")</f>
        <v>79562050</v>
      </c>
      <c r="F2464" s="11" t="s">
        <v>6960</v>
      </c>
      <c r="G2464" s="11" t="s">
        <v>6961</v>
      </c>
      <c r="H2464" s="11" t="s">
        <v>6962</v>
      </c>
      <c r="I2464" s="11" t="s">
        <v>6819</v>
      </c>
    </row>
    <row r="2465" spans="1:9" x14ac:dyDescent="0.15">
      <c r="A2465" s="10">
        <v>2464</v>
      </c>
      <c r="B2465" s="11" t="s">
        <v>9</v>
      </c>
      <c r="C2465" s="11" t="s">
        <v>253</v>
      </c>
      <c r="D2465" s="11" t="s">
        <v>254</v>
      </c>
      <c r="E2465" s="9" t="str">
        <f>+HYPERLINK("http://trademark.i-assist.jp/data/china/image_1903th/79562267.pdf", "79562267")</f>
        <v>79562267</v>
      </c>
      <c r="F2465" s="11" t="s">
        <v>6963</v>
      </c>
      <c r="G2465" s="11" t="s">
        <v>6964</v>
      </c>
      <c r="H2465" s="11" t="s">
        <v>6965</v>
      </c>
      <c r="I2465" s="11" t="s">
        <v>6819</v>
      </c>
    </row>
    <row r="2466" spans="1:9" x14ac:dyDescent="0.15">
      <c r="A2466" s="10">
        <v>2465</v>
      </c>
      <c r="B2466" s="11" t="s">
        <v>9</v>
      </c>
      <c r="C2466" s="11" t="s">
        <v>253</v>
      </c>
      <c r="D2466" s="11" t="s">
        <v>254</v>
      </c>
      <c r="E2466" s="9" t="str">
        <f>+HYPERLINK("http://trademark.i-assist.jp/data/china/image_1903th/79562314.pdf", "79562314")</f>
        <v>79562314</v>
      </c>
      <c r="F2466" s="11" t="s">
        <v>6966</v>
      </c>
      <c r="G2466" s="11" t="s">
        <v>6967</v>
      </c>
      <c r="H2466" s="11" t="s">
        <v>6968</v>
      </c>
      <c r="I2466" s="11" t="s">
        <v>6819</v>
      </c>
    </row>
    <row r="2467" spans="1:9" x14ac:dyDescent="0.15">
      <c r="A2467" s="10">
        <v>2466</v>
      </c>
      <c r="B2467" s="11" t="s">
        <v>9</v>
      </c>
      <c r="C2467" s="11" t="s">
        <v>253</v>
      </c>
      <c r="D2467" s="11" t="s">
        <v>254</v>
      </c>
      <c r="E2467" s="9" t="str">
        <f>+HYPERLINK("http://trademark.i-assist.jp/data/china/image_1903th/79562400.pdf", "79562400")</f>
        <v>79562400</v>
      </c>
      <c r="F2467" s="11" t="s">
        <v>6969</v>
      </c>
      <c r="G2467" s="11" t="s">
        <v>6970</v>
      </c>
      <c r="H2467" s="11" t="s">
        <v>6971</v>
      </c>
      <c r="I2467" s="11" t="s">
        <v>6819</v>
      </c>
    </row>
    <row r="2468" spans="1:9" x14ac:dyDescent="0.15">
      <c r="A2468" s="10">
        <v>2467</v>
      </c>
      <c r="B2468" s="11" t="s">
        <v>9</v>
      </c>
      <c r="C2468" s="11" t="s">
        <v>253</v>
      </c>
      <c r="D2468" s="11" t="s">
        <v>254</v>
      </c>
      <c r="E2468" s="9" t="str">
        <f>+HYPERLINK("http://trademark.i-assist.jp/data/china/image_1903th/79562602.pdf", "79562602")</f>
        <v>79562602</v>
      </c>
      <c r="F2468" s="11" t="s">
        <v>6972</v>
      </c>
      <c r="G2468" s="11" t="s">
        <v>6973</v>
      </c>
      <c r="H2468" s="11" t="s">
        <v>6974</v>
      </c>
      <c r="I2468" s="11" t="s">
        <v>6819</v>
      </c>
    </row>
    <row r="2469" spans="1:9" x14ac:dyDescent="0.15">
      <c r="A2469" s="10">
        <v>2468</v>
      </c>
      <c r="B2469" s="11" t="s">
        <v>9</v>
      </c>
      <c r="C2469" s="11" t="s">
        <v>253</v>
      </c>
      <c r="D2469" s="11" t="s">
        <v>254</v>
      </c>
      <c r="E2469" s="9" t="str">
        <f>+HYPERLINK("http://trademark.i-assist.jp/data/china/image_1903th/79562751.pdf", "79562751")</f>
        <v>79562751</v>
      </c>
      <c r="F2469" s="11" t="s">
        <v>6975</v>
      </c>
      <c r="G2469" s="11" t="s">
        <v>6976</v>
      </c>
      <c r="H2469" s="11" t="s">
        <v>6977</v>
      </c>
      <c r="I2469" s="11" t="s">
        <v>6819</v>
      </c>
    </row>
    <row r="2470" spans="1:9" x14ac:dyDescent="0.15">
      <c r="A2470" s="10">
        <v>2469</v>
      </c>
      <c r="B2470" s="11" t="s">
        <v>9</v>
      </c>
      <c r="C2470" s="11" t="s">
        <v>253</v>
      </c>
      <c r="D2470" s="11" t="s">
        <v>254</v>
      </c>
      <c r="E2470" s="9" t="str">
        <f>+HYPERLINK("http://trademark.i-assist.jp/data/china/image_1903th/79562967.pdf", "79562967")</f>
        <v>79562967</v>
      </c>
      <c r="F2470" s="11" t="s">
        <v>6978</v>
      </c>
      <c r="G2470" s="11" t="s">
        <v>6979</v>
      </c>
      <c r="H2470" s="11" t="s">
        <v>6980</v>
      </c>
      <c r="I2470" s="11" t="s">
        <v>6819</v>
      </c>
    </row>
    <row r="2471" spans="1:9" x14ac:dyDescent="0.15">
      <c r="A2471" s="10">
        <v>2470</v>
      </c>
      <c r="B2471" s="11" t="s">
        <v>9</v>
      </c>
      <c r="C2471" s="11" t="s">
        <v>253</v>
      </c>
      <c r="D2471" s="11" t="s">
        <v>254</v>
      </c>
      <c r="E2471" s="9" t="str">
        <f>+HYPERLINK("http://trademark.i-assist.jp/data/china/image_1903th/79563003.pdf", "79563003")</f>
        <v>79563003</v>
      </c>
      <c r="F2471" s="11" t="s">
        <v>6981</v>
      </c>
      <c r="G2471" s="11" t="s">
        <v>6982</v>
      </c>
      <c r="H2471" s="11" t="s">
        <v>6983</v>
      </c>
      <c r="I2471" s="11" t="s">
        <v>6819</v>
      </c>
    </row>
    <row r="2472" spans="1:9" x14ac:dyDescent="0.15">
      <c r="A2472" s="10">
        <v>2471</v>
      </c>
      <c r="B2472" s="11" t="s">
        <v>9</v>
      </c>
      <c r="C2472" s="11" t="s">
        <v>253</v>
      </c>
      <c r="D2472" s="11" t="s">
        <v>254</v>
      </c>
      <c r="E2472" s="9" t="str">
        <f>+HYPERLINK("http://trademark.i-assist.jp/data/china/image_1903th/79563312.pdf", "79563312")</f>
        <v>79563312</v>
      </c>
      <c r="F2472" s="11" t="s">
        <v>6984</v>
      </c>
      <c r="G2472" s="11" t="s">
        <v>6985</v>
      </c>
      <c r="H2472" s="11" t="s">
        <v>6986</v>
      </c>
      <c r="I2472" s="11" t="s">
        <v>6819</v>
      </c>
    </row>
    <row r="2473" spans="1:9" x14ac:dyDescent="0.15">
      <c r="A2473" s="10">
        <v>2472</v>
      </c>
      <c r="B2473" s="11" t="s">
        <v>9</v>
      </c>
      <c r="C2473" s="11" t="s">
        <v>253</v>
      </c>
      <c r="D2473" s="11" t="s">
        <v>254</v>
      </c>
      <c r="E2473" s="9" t="str">
        <f>+HYPERLINK("http://trademark.i-assist.jp/data/china/image_1903th/79563475.pdf", "79563475")</f>
        <v>79563475</v>
      </c>
      <c r="F2473" s="11" t="s">
        <v>6987</v>
      </c>
      <c r="G2473" s="11" t="s">
        <v>6988</v>
      </c>
      <c r="H2473" s="11" t="s">
        <v>6989</v>
      </c>
      <c r="I2473" s="11" t="s">
        <v>6819</v>
      </c>
    </row>
    <row r="2474" spans="1:9" x14ac:dyDescent="0.15">
      <c r="A2474" s="10">
        <v>2473</v>
      </c>
      <c r="B2474" s="11" t="s">
        <v>9</v>
      </c>
      <c r="C2474" s="11" t="s">
        <v>253</v>
      </c>
      <c r="D2474" s="11" t="s">
        <v>254</v>
      </c>
      <c r="E2474" s="9" t="str">
        <f>+HYPERLINK("http://trademark.i-assist.jp/data/china/image_1903th/79564743.pdf", "79564743")</f>
        <v>79564743</v>
      </c>
      <c r="F2474" s="11" t="s">
        <v>6990</v>
      </c>
      <c r="G2474" s="11" t="s">
        <v>6991</v>
      </c>
      <c r="H2474" s="11" t="s">
        <v>6992</v>
      </c>
      <c r="I2474" s="11" t="s">
        <v>6819</v>
      </c>
    </row>
    <row r="2475" spans="1:9" x14ac:dyDescent="0.15">
      <c r="A2475" s="10">
        <v>2474</v>
      </c>
      <c r="B2475" s="11" t="s">
        <v>9</v>
      </c>
      <c r="C2475" s="11" t="s">
        <v>253</v>
      </c>
      <c r="D2475" s="11" t="s">
        <v>254</v>
      </c>
      <c r="E2475" s="9" t="str">
        <f>+HYPERLINK("http://trademark.i-assist.jp/data/china/image_1903th/79564899.pdf", "79564899")</f>
        <v>79564899</v>
      </c>
      <c r="F2475" s="11" t="s">
        <v>12</v>
      </c>
      <c r="G2475" s="11" t="s">
        <v>6993</v>
      </c>
      <c r="H2475" s="11" t="s">
        <v>6994</v>
      </c>
      <c r="I2475" s="11" t="s">
        <v>6819</v>
      </c>
    </row>
    <row r="2476" spans="1:9" x14ac:dyDescent="0.15">
      <c r="A2476" s="10">
        <v>2475</v>
      </c>
      <c r="B2476" s="11" t="s">
        <v>9</v>
      </c>
      <c r="C2476" s="11" t="s">
        <v>253</v>
      </c>
      <c r="D2476" s="11" t="s">
        <v>254</v>
      </c>
      <c r="E2476" s="9" t="str">
        <f>+HYPERLINK("http://trademark.i-assist.jp/data/china/image_1903th/79564959.pdf", "79564959")</f>
        <v>79564959</v>
      </c>
      <c r="F2476" s="11" t="s">
        <v>6995</v>
      </c>
      <c r="G2476" s="11" t="s">
        <v>6996</v>
      </c>
      <c r="H2476" s="11" t="s">
        <v>6997</v>
      </c>
      <c r="I2476" s="11" t="s">
        <v>6819</v>
      </c>
    </row>
    <row r="2477" spans="1:9" x14ac:dyDescent="0.15">
      <c r="A2477" s="10">
        <v>2476</v>
      </c>
      <c r="B2477" s="11" t="s">
        <v>9</v>
      </c>
      <c r="C2477" s="11" t="s">
        <v>253</v>
      </c>
      <c r="D2477" s="11" t="s">
        <v>254</v>
      </c>
      <c r="E2477" s="9" t="str">
        <f>+HYPERLINK("http://trademark.i-assist.jp/data/china/image_1903th/79565374.pdf", "79565374")</f>
        <v>79565374</v>
      </c>
      <c r="F2477" s="11" t="s">
        <v>6998</v>
      </c>
      <c r="G2477" s="11" t="s">
        <v>6999</v>
      </c>
      <c r="H2477" s="11" t="s">
        <v>7000</v>
      </c>
      <c r="I2477" s="11" t="s">
        <v>6819</v>
      </c>
    </row>
    <row r="2478" spans="1:9" x14ac:dyDescent="0.15">
      <c r="A2478" s="10">
        <v>2477</v>
      </c>
      <c r="B2478" s="11" t="s">
        <v>9</v>
      </c>
      <c r="C2478" s="11" t="s">
        <v>253</v>
      </c>
      <c r="D2478" s="11" t="s">
        <v>254</v>
      </c>
      <c r="E2478" s="9" t="str">
        <f>+HYPERLINK("http://trademark.i-assist.jp/data/china/image_1903th/79565925.pdf", "79565925")</f>
        <v>79565925</v>
      </c>
      <c r="F2478" s="11" t="s">
        <v>7001</v>
      </c>
      <c r="G2478" s="11" t="s">
        <v>7002</v>
      </c>
      <c r="H2478" s="11" t="s">
        <v>7003</v>
      </c>
      <c r="I2478" s="11" t="s">
        <v>6819</v>
      </c>
    </row>
    <row r="2479" spans="1:9" x14ac:dyDescent="0.15">
      <c r="A2479" s="10">
        <v>2478</v>
      </c>
      <c r="B2479" s="11" t="s">
        <v>9</v>
      </c>
      <c r="C2479" s="11" t="s">
        <v>253</v>
      </c>
      <c r="D2479" s="11" t="s">
        <v>254</v>
      </c>
      <c r="E2479" s="9" t="str">
        <f>+HYPERLINK("http://trademark.i-assist.jp/data/china/image_1903th/79566276.pdf", "79566276")</f>
        <v>79566276</v>
      </c>
      <c r="F2479" s="11" t="s">
        <v>7004</v>
      </c>
      <c r="G2479" s="11" t="s">
        <v>7005</v>
      </c>
      <c r="H2479" s="11" t="s">
        <v>7006</v>
      </c>
      <c r="I2479" s="11" t="s">
        <v>6819</v>
      </c>
    </row>
    <row r="2480" spans="1:9" x14ac:dyDescent="0.15">
      <c r="A2480" s="10">
        <v>2479</v>
      </c>
      <c r="B2480" s="11" t="s">
        <v>9</v>
      </c>
      <c r="C2480" s="11" t="s">
        <v>253</v>
      </c>
      <c r="D2480" s="11" t="s">
        <v>254</v>
      </c>
      <c r="E2480" s="9" t="str">
        <f>+HYPERLINK("http://trademark.i-assist.jp/data/china/image_1903th/79566297.pdf", "79566297")</f>
        <v>79566297</v>
      </c>
      <c r="F2480" s="11" t="s">
        <v>7007</v>
      </c>
      <c r="G2480" s="11" t="s">
        <v>7008</v>
      </c>
      <c r="H2480" s="11" t="s">
        <v>7009</v>
      </c>
      <c r="I2480" s="11" t="s">
        <v>6819</v>
      </c>
    </row>
    <row r="2481" spans="1:9" x14ac:dyDescent="0.15">
      <c r="A2481" s="10">
        <v>2480</v>
      </c>
      <c r="B2481" s="11" t="s">
        <v>9</v>
      </c>
      <c r="C2481" s="11" t="s">
        <v>253</v>
      </c>
      <c r="D2481" s="11" t="s">
        <v>254</v>
      </c>
      <c r="E2481" s="9" t="str">
        <f>+HYPERLINK("http://trademark.i-assist.jp/data/china/image_1903th/79566665.pdf", "79566665")</f>
        <v>79566665</v>
      </c>
      <c r="F2481" s="11" t="s">
        <v>7010</v>
      </c>
      <c r="G2481" s="11" t="s">
        <v>6916</v>
      </c>
      <c r="H2481" s="11" t="s">
        <v>7011</v>
      </c>
      <c r="I2481" s="11" t="s">
        <v>6819</v>
      </c>
    </row>
    <row r="2482" spans="1:9" x14ac:dyDescent="0.15">
      <c r="A2482" s="10">
        <v>2481</v>
      </c>
      <c r="B2482" s="11" t="s">
        <v>9</v>
      </c>
      <c r="C2482" s="11" t="s">
        <v>253</v>
      </c>
      <c r="D2482" s="11" t="s">
        <v>254</v>
      </c>
      <c r="E2482" s="9" t="str">
        <f>+HYPERLINK("http://trademark.i-assist.jp/data/china/image_1903th/79567515.pdf", "79567515")</f>
        <v>79567515</v>
      </c>
      <c r="F2482" s="11" t="s">
        <v>7012</v>
      </c>
      <c r="G2482" s="11" t="s">
        <v>7013</v>
      </c>
      <c r="H2482" s="11" t="s">
        <v>7014</v>
      </c>
      <c r="I2482" s="11" t="s">
        <v>6819</v>
      </c>
    </row>
    <row r="2483" spans="1:9" x14ac:dyDescent="0.15">
      <c r="A2483" s="10">
        <v>2482</v>
      </c>
      <c r="B2483" s="11" t="s">
        <v>9</v>
      </c>
      <c r="C2483" s="11" t="s">
        <v>253</v>
      </c>
      <c r="D2483" s="11" t="s">
        <v>254</v>
      </c>
      <c r="E2483" s="9" t="str">
        <f>+HYPERLINK("http://trademark.i-assist.jp/data/china/image_1903th/79567585.pdf", "79567585")</f>
        <v>79567585</v>
      </c>
      <c r="F2483" s="11" t="s">
        <v>7015</v>
      </c>
      <c r="G2483" s="11" t="s">
        <v>7016</v>
      </c>
      <c r="H2483" s="11" t="s">
        <v>7017</v>
      </c>
      <c r="I2483" s="11" t="s">
        <v>6819</v>
      </c>
    </row>
    <row r="2484" spans="1:9" x14ac:dyDescent="0.15">
      <c r="A2484" s="10">
        <v>2483</v>
      </c>
      <c r="B2484" s="11" t="s">
        <v>9</v>
      </c>
      <c r="C2484" s="11" t="s">
        <v>253</v>
      </c>
      <c r="D2484" s="11" t="s">
        <v>254</v>
      </c>
      <c r="E2484" s="9" t="str">
        <f>+HYPERLINK("http://trademark.i-assist.jp/data/china/image_1903th/79567861.pdf", "79567861")</f>
        <v>79567861</v>
      </c>
      <c r="F2484" s="11" t="s">
        <v>7018</v>
      </c>
      <c r="G2484" s="11" t="s">
        <v>7019</v>
      </c>
      <c r="H2484" s="11" t="s">
        <v>7020</v>
      </c>
      <c r="I2484" s="11" t="s">
        <v>6819</v>
      </c>
    </row>
    <row r="2485" spans="1:9" x14ac:dyDescent="0.15">
      <c r="A2485" s="10">
        <v>2484</v>
      </c>
      <c r="B2485" s="11" t="s">
        <v>9</v>
      </c>
      <c r="C2485" s="11" t="s">
        <v>253</v>
      </c>
      <c r="D2485" s="11" t="s">
        <v>254</v>
      </c>
      <c r="E2485" s="9" t="str">
        <f>+HYPERLINK("http://trademark.i-assist.jp/data/china/image_1903th/79568618.pdf", "79568618")</f>
        <v>79568618</v>
      </c>
      <c r="F2485" s="11" t="s">
        <v>7021</v>
      </c>
      <c r="G2485" s="11" t="s">
        <v>7022</v>
      </c>
      <c r="H2485" s="11" t="s">
        <v>7023</v>
      </c>
      <c r="I2485" s="11" t="s">
        <v>6819</v>
      </c>
    </row>
    <row r="2486" spans="1:9" x14ac:dyDescent="0.15">
      <c r="A2486" s="10">
        <v>2485</v>
      </c>
      <c r="B2486" s="11" t="s">
        <v>9</v>
      </c>
      <c r="C2486" s="11" t="s">
        <v>253</v>
      </c>
      <c r="D2486" s="11" t="s">
        <v>254</v>
      </c>
      <c r="E2486" s="9" t="str">
        <f>+HYPERLINK("http://trademark.i-assist.jp/data/china/image_1903th/79568822.pdf", "79568822")</f>
        <v>79568822</v>
      </c>
      <c r="F2486" s="11" t="s">
        <v>7024</v>
      </c>
      <c r="G2486" s="11" t="s">
        <v>7025</v>
      </c>
      <c r="H2486" s="11" t="s">
        <v>7026</v>
      </c>
      <c r="I2486" s="11" t="s">
        <v>6819</v>
      </c>
    </row>
    <row r="2487" spans="1:9" x14ac:dyDescent="0.15">
      <c r="A2487" s="10">
        <v>2486</v>
      </c>
      <c r="B2487" s="11" t="s">
        <v>9</v>
      </c>
      <c r="C2487" s="11" t="s">
        <v>253</v>
      </c>
      <c r="D2487" s="11" t="s">
        <v>254</v>
      </c>
      <c r="E2487" s="9" t="str">
        <f>+HYPERLINK("http://trademark.i-assist.jp/data/china/image_1903th/79569589.pdf", "79569589")</f>
        <v>79569589</v>
      </c>
      <c r="F2487" s="11" t="s">
        <v>7027</v>
      </c>
      <c r="G2487" s="11" t="s">
        <v>7028</v>
      </c>
      <c r="H2487" s="11" t="s">
        <v>7029</v>
      </c>
      <c r="I2487" s="11" t="s">
        <v>6819</v>
      </c>
    </row>
    <row r="2488" spans="1:9" x14ac:dyDescent="0.15">
      <c r="A2488" s="10">
        <v>2487</v>
      </c>
      <c r="B2488" s="11" t="s">
        <v>9</v>
      </c>
      <c r="C2488" s="11" t="s">
        <v>253</v>
      </c>
      <c r="D2488" s="11" t="s">
        <v>254</v>
      </c>
      <c r="E2488" s="9" t="str">
        <f>+HYPERLINK("http://trademark.i-assist.jp/data/china/image_1903th/79569612.pdf", "79569612")</f>
        <v>79569612</v>
      </c>
      <c r="F2488" s="11" t="s">
        <v>7030</v>
      </c>
      <c r="G2488" s="11" t="s">
        <v>7031</v>
      </c>
      <c r="H2488" s="11" t="s">
        <v>7032</v>
      </c>
      <c r="I2488" s="11" t="s">
        <v>6819</v>
      </c>
    </row>
    <row r="2489" spans="1:9" x14ac:dyDescent="0.15">
      <c r="A2489" s="10">
        <v>2488</v>
      </c>
      <c r="B2489" s="11" t="s">
        <v>9</v>
      </c>
      <c r="C2489" s="11" t="s">
        <v>253</v>
      </c>
      <c r="D2489" s="11" t="s">
        <v>254</v>
      </c>
      <c r="E2489" s="9" t="str">
        <f>+HYPERLINK("http://trademark.i-assist.jp/data/china/image_1903th/79569745.pdf", "79569745")</f>
        <v>79569745</v>
      </c>
      <c r="F2489" s="11" t="s">
        <v>7033</v>
      </c>
      <c r="G2489" s="11" t="s">
        <v>167</v>
      </c>
      <c r="H2489" s="11" t="s">
        <v>7034</v>
      </c>
      <c r="I2489" s="11" t="s">
        <v>6819</v>
      </c>
    </row>
    <row r="2490" spans="1:9" x14ac:dyDescent="0.15">
      <c r="A2490" s="10">
        <v>2489</v>
      </c>
      <c r="B2490" s="11" t="s">
        <v>9</v>
      </c>
      <c r="C2490" s="11" t="s">
        <v>253</v>
      </c>
      <c r="D2490" s="11" t="s">
        <v>254</v>
      </c>
      <c r="E2490" s="9" t="str">
        <f>+HYPERLINK("http://trademark.i-assist.jp/data/china/image_1903th/79569981.pdf", "79569981")</f>
        <v>79569981</v>
      </c>
      <c r="F2490" s="11" t="s">
        <v>7035</v>
      </c>
      <c r="G2490" s="11" t="s">
        <v>7036</v>
      </c>
      <c r="H2490" s="11" t="s">
        <v>7037</v>
      </c>
      <c r="I2490" s="11" t="s">
        <v>6819</v>
      </c>
    </row>
    <row r="2491" spans="1:9" x14ac:dyDescent="0.15">
      <c r="A2491" s="10">
        <v>2490</v>
      </c>
      <c r="B2491" s="11" t="s">
        <v>9</v>
      </c>
      <c r="C2491" s="11" t="s">
        <v>253</v>
      </c>
      <c r="D2491" s="11" t="s">
        <v>254</v>
      </c>
      <c r="E2491" s="9" t="str">
        <f>+HYPERLINK("http://trademark.i-assist.jp/data/china/image_1903th/79570883.pdf", "79570883")</f>
        <v>79570883</v>
      </c>
      <c r="F2491" s="11" t="s">
        <v>7038</v>
      </c>
      <c r="G2491" s="11" t="s">
        <v>7039</v>
      </c>
      <c r="H2491" s="11" t="s">
        <v>7040</v>
      </c>
      <c r="I2491" s="11" t="s">
        <v>6819</v>
      </c>
    </row>
    <row r="2492" spans="1:9" x14ac:dyDescent="0.15">
      <c r="A2492" s="10">
        <v>2491</v>
      </c>
      <c r="B2492" s="11" t="s">
        <v>9</v>
      </c>
      <c r="C2492" s="11" t="s">
        <v>253</v>
      </c>
      <c r="D2492" s="11" t="s">
        <v>254</v>
      </c>
      <c r="E2492" s="9" t="str">
        <f>+HYPERLINK("http://trademark.i-assist.jp/data/china/image_1903th/79571220.pdf", "79571220")</f>
        <v>79571220</v>
      </c>
      <c r="F2492" s="11" t="s">
        <v>7041</v>
      </c>
      <c r="G2492" s="11" t="s">
        <v>7042</v>
      </c>
      <c r="H2492" s="11" t="s">
        <v>7043</v>
      </c>
      <c r="I2492" s="11" t="s">
        <v>6819</v>
      </c>
    </row>
    <row r="2493" spans="1:9" x14ac:dyDescent="0.15">
      <c r="A2493" s="10">
        <v>2492</v>
      </c>
      <c r="B2493" s="11" t="s">
        <v>9</v>
      </c>
      <c r="C2493" s="11" t="s">
        <v>253</v>
      </c>
      <c r="D2493" s="11" t="s">
        <v>254</v>
      </c>
      <c r="E2493" s="9" t="str">
        <f>+HYPERLINK("http://trademark.i-assist.jp/data/china/image_1903th/79571319.pdf", "79571319")</f>
        <v>79571319</v>
      </c>
      <c r="F2493" s="11" t="s">
        <v>7044</v>
      </c>
      <c r="G2493" s="11" t="s">
        <v>7045</v>
      </c>
      <c r="H2493" s="11" t="s">
        <v>7046</v>
      </c>
      <c r="I2493" s="11" t="s">
        <v>6819</v>
      </c>
    </row>
    <row r="2494" spans="1:9" x14ac:dyDescent="0.15">
      <c r="A2494" s="10">
        <v>2493</v>
      </c>
      <c r="B2494" s="11" t="s">
        <v>9</v>
      </c>
      <c r="C2494" s="11" t="s">
        <v>253</v>
      </c>
      <c r="D2494" s="11" t="s">
        <v>254</v>
      </c>
      <c r="E2494" s="9" t="str">
        <f>+HYPERLINK("http://trademark.i-assist.jp/data/china/image_1903th/79571356.pdf", "79571356")</f>
        <v>79571356</v>
      </c>
      <c r="F2494" s="11" t="s">
        <v>7047</v>
      </c>
      <c r="G2494" s="11" t="s">
        <v>7048</v>
      </c>
      <c r="H2494" s="11" t="s">
        <v>7049</v>
      </c>
      <c r="I2494" s="11" t="s">
        <v>6819</v>
      </c>
    </row>
    <row r="2495" spans="1:9" x14ac:dyDescent="0.15">
      <c r="A2495" s="10">
        <v>2494</v>
      </c>
      <c r="B2495" s="11" t="s">
        <v>9</v>
      </c>
      <c r="C2495" s="11" t="s">
        <v>253</v>
      </c>
      <c r="D2495" s="11" t="s">
        <v>254</v>
      </c>
      <c r="E2495" s="9" t="str">
        <f>+HYPERLINK("http://trademark.i-assist.jp/data/china/image_1903th/79572405.pdf", "79572405")</f>
        <v>79572405</v>
      </c>
      <c r="F2495" s="11" t="s">
        <v>7050</v>
      </c>
      <c r="G2495" s="11" t="s">
        <v>7051</v>
      </c>
      <c r="H2495" s="11" t="s">
        <v>7052</v>
      </c>
      <c r="I2495" s="11" t="s">
        <v>6819</v>
      </c>
    </row>
    <row r="2496" spans="1:9" x14ac:dyDescent="0.15">
      <c r="A2496" s="10">
        <v>2495</v>
      </c>
      <c r="B2496" s="11" t="s">
        <v>9</v>
      </c>
      <c r="C2496" s="11" t="s">
        <v>253</v>
      </c>
      <c r="D2496" s="11" t="s">
        <v>254</v>
      </c>
      <c r="E2496" s="9" t="str">
        <f>+HYPERLINK("http://trademark.i-assist.jp/data/china/image_1903th/79572993.pdf", "79572993")</f>
        <v>79572993</v>
      </c>
      <c r="F2496" s="11" t="s">
        <v>7053</v>
      </c>
      <c r="G2496" s="11" t="s">
        <v>7054</v>
      </c>
      <c r="H2496" s="11" t="s">
        <v>7055</v>
      </c>
      <c r="I2496" s="11" t="s">
        <v>6819</v>
      </c>
    </row>
    <row r="2497" spans="1:9" x14ac:dyDescent="0.15">
      <c r="A2497" s="10">
        <v>2496</v>
      </c>
      <c r="B2497" s="11" t="s">
        <v>9</v>
      </c>
      <c r="C2497" s="11" t="s">
        <v>253</v>
      </c>
      <c r="D2497" s="11" t="s">
        <v>254</v>
      </c>
      <c r="E2497" s="9" t="str">
        <f>+HYPERLINK("http://trademark.i-assist.jp/data/china/image_1903th/79573051.pdf", "79573051")</f>
        <v>79573051</v>
      </c>
      <c r="F2497" s="11" t="s">
        <v>7056</v>
      </c>
      <c r="G2497" s="11" t="s">
        <v>7057</v>
      </c>
      <c r="H2497" s="11" t="s">
        <v>7058</v>
      </c>
      <c r="I2497" s="11" t="s">
        <v>6819</v>
      </c>
    </row>
    <row r="2498" spans="1:9" x14ac:dyDescent="0.15">
      <c r="A2498" s="10">
        <v>2497</v>
      </c>
      <c r="B2498" s="11" t="s">
        <v>9</v>
      </c>
      <c r="C2498" s="11" t="s">
        <v>253</v>
      </c>
      <c r="D2498" s="11" t="s">
        <v>254</v>
      </c>
      <c r="E2498" s="9" t="str">
        <f>+HYPERLINK("http://trademark.i-assist.jp/data/china/image_1903th/79573360.pdf", "79573360")</f>
        <v>79573360</v>
      </c>
      <c r="F2498" s="11" t="s">
        <v>7059</v>
      </c>
      <c r="G2498" s="11" t="s">
        <v>7060</v>
      </c>
      <c r="H2498" s="11" t="s">
        <v>7061</v>
      </c>
      <c r="I2498" s="11" t="s">
        <v>6819</v>
      </c>
    </row>
    <row r="2499" spans="1:9" x14ac:dyDescent="0.15">
      <c r="A2499" s="10">
        <v>2498</v>
      </c>
      <c r="B2499" s="11" t="s">
        <v>9</v>
      </c>
      <c r="C2499" s="11" t="s">
        <v>253</v>
      </c>
      <c r="D2499" s="11" t="s">
        <v>254</v>
      </c>
      <c r="E2499" s="9" t="str">
        <f>+HYPERLINK("http://trademark.i-assist.jp/data/china/image_1903th/79573447.pdf", "79573447")</f>
        <v>79573447</v>
      </c>
      <c r="F2499" s="11" t="s">
        <v>7062</v>
      </c>
      <c r="G2499" s="11" t="s">
        <v>7063</v>
      </c>
      <c r="H2499" s="11" t="s">
        <v>7064</v>
      </c>
      <c r="I2499" s="11" t="s">
        <v>6819</v>
      </c>
    </row>
    <row r="2500" spans="1:9" x14ac:dyDescent="0.15">
      <c r="A2500" s="10">
        <v>2499</v>
      </c>
      <c r="B2500" s="11" t="s">
        <v>9</v>
      </c>
      <c r="C2500" s="11" t="s">
        <v>253</v>
      </c>
      <c r="D2500" s="11" t="s">
        <v>254</v>
      </c>
      <c r="E2500" s="9" t="str">
        <f>+HYPERLINK("http://trademark.i-assist.jp/data/china/image_1903th/79573689.pdf", "79573689")</f>
        <v>79573689</v>
      </c>
      <c r="F2500" s="11" t="s">
        <v>7065</v>
      </c>
      <c r="G2500" s="11" t="s">
        <v>7066</v>
      </c>
      <c r="H2500" s="11" t="s">
        <v>7067</v>
      </c>
      <c r="I2500" s="11" t="s">
        <v>6819</v>
      </c>
    </row>
    <row r="2501" spans="1:9" x14ac:dyDescent="0.15">
      <c r="A2501" s="10">
        <v>2500</v>
      </c>
      <c r="B2501" s="11" t="s">
        <v>9</v>
      </c>
      <c r="C2501" s="11" t="s">
        <v>253</v>
      </c>
      <c r="D2501" s="11" t="s">
        <v>254</v>
      </c>
      <c r="E2501" s="9" t="str">
        <f>+HYPERLINK("http://trademark.i-assist.jp/data/china/image_1903th/79574749.pdf", "79574749")</f>
        <v>79574749</v>
      </c>
      <c r="F2501" s="11" t="s">
        <v>7068</v>
      </c>
      <c r="G2501" s="11" t="s">
        <v>7069</v>
      </c>
      <c r="H2501" s="11" t="s">
        <v>7070</v>
      </c>
      <c r="I2501" s="11" t="s">
        <v>6819</v>
      </c>
    </row>
    <row r="2502" spans="1:9" x14ac:dyDescent="0.15">
      <c r="A2502" s="10">
        <v>2501</v>
      </c>
      <c r="B2502" s="11" t="s">
        <v>9</v>
      </c>
      <c r="C2502" s="11" t="s">
        <v>253</v>
      </c>
      <c r="D2502" s="11" t="s">
        <v>254</v>
      </c>
      <c r="E2502" s="9" t="str">
        <f>+HYPERLINK("http://trademark.i-assist.jp/data/china/image_1903th/79574769.pdf", "79574769")</f>
        <v>79574769</v>
      </c>
      <c r="F2502" s="11" t="s">
        <v>7071</v>
      </c>
      <c r="G2502" s="11" t="s">
        <v>7072</v>
      </c>
      <c r="H2502" s="11" t="s">
        <v>7073</v>
      </c>
      <c r="I2502" s="11" t="s">
        <v>6819</v>
      </c>
    </row>
    <row r="2503" spans="1:9" x14ac:dyDescent="0.15">
      <c r="A2503" s="10">
        <v>2502</v>
      </c>
      <c r="B2503" s="11" t="s">
        <v>9</v>
      </c>
      <c r="C2503" s="11" t="s">
        <v>253</v>
      </c>
      <c r="D2503" s="11" t="s">
        <v>254</v>
      </c>
      <c r="E2503" s="9" t="str">
        <f>+HYPERLINK("http://trademark.i-assist.jp/data/china/image_1903th/79574817.pdf", "79574817")</f>
        <v>79574817</v>
      </c>
      <c r="F2503" s="11" t="s">
        <v>7074</v>
      </c>
      <c r="G2503" s="11" t="s">
        <v>7075</v>
      </c>
      <c r="H2503" s="11" t="s">
        <v>7076</v>
      </c>
      <c r="I2503" s="11" t="s">
        <v>6819</v>
      </c>
    </row>
    <row r="2504" spans="1:9" x14ac:dyDescent="0.15">
      <c r="A2504" s="10">
        <v>2503</v>
      </c>
      <c r="B2504" s="11" t="s">
        <v>9</v>
      </c>
      <c r="C2504" s="11" t="s">
        <v>253</v>
      </c>
      <c r="D2504" s="11" t="s">
        <v>254</v>
      </c>
      <c r="E2504" s="9" t="str">
        <f>+HYPERLINK("http://trademark.i-assist.jp/data/china/image_1903th/79574991.pdf", "79574991")</f>
        <v>79574991</v>
      </c>
      <c r="F2504" s="11" t="s">
        <v>7077</v>
      </c>
      <c r="G2504" s="11" t="s">
        <v>7078</v>
      </c>
      <c r="H2504" s="11" t="s">
        <v>7079</v>
      </c>
      <c r="I2504" s="11" t="s">
        <v>6819</v>
      </c>
    </row>
    <row r="2505" spans="1:9" x14ac:dyDescent="0.15">
      <c r="A2505" s="10">
        <v>2504</v>
      </c>
      <c r="B2505" s="11" t="s">
        <v>9</v>
      </c>
      <c r="C2505" s="11" t="s">
        <v>253</v>
      </c>
      <c r="D2505" s="11" t="s">
        <v>254</v>
      </c>
      <c r="E2505" s="9" t="str">
        <f>+HYPERLINK("http://trademark.i-assist.jp/data/china/image_1903th/79575140.pdf", "79575140")</f>
        <v>79575140</v>
      </c>
      <c r="F2505" s="11" t="s">
        <v>7080</v>
      </c>
      <c r="G2505" s="11" t="s">
        <v>7081</v>
      </c>
      <c r="H2505" s="11" t="s">
        <v>7082</v>
      </c>
      <c r="I2505" s="11" t="s">
        <v>6819</v>
      </c>
    </row>
    <row r="2506" spans="1:9" x14ac:dyDescent="0.15">
      <c r="A2506" s="10">
        <v>2505</v>
      </c>
      <c r="B2506" s="11" t="s">
        <v>9</v>
      </c>
      <c r="C2506" s="11" t="s">
        <v>253</v>
      </c>
      <c r="D2506" s="11" t="s">
        <v>254</v>
      </c>
      <c r="E2506" s="9" t="str">
        <f>+HYPERLINK("http://trademark.i-assist.jp/data/china/image_1903th/79575267.pdf", "79575267")</f>
        <v>79575267</v>
      </c>
      <c r="F2506" s="11" t="s">
        <v>7083</v>
      </c>
      <c r="G2506" s="11" t="s">
        <v>7084</v>
      </c>
      <c r="H2506" s="11" t="s">
        <v>7085</v>
      </c>
      <c r="I2506" s="11" t="s">
        <v>6819</v>
      </c>
    </row>
    <row r="2507" spans="1:9" x14ac:dyDescent="0.15">
      <c r="A2507" s="10">
        <v>2506</v>
      </c>
      <c r="B2507" s="11" t="s">
        <v>9</v>
      </c>
      <c r="C2507" s="11" t="s">
        <v>253</v>
      </c>
      <c r="D2507" s="11" t="s">
        <v>254</v>
      </c>
      <c r="E2507" s="9" t="str">
        <f>+HYPERLINK("http://trademark.i-assist.jp/data/china/image_1903th/79575328.pdf", "79575328")</f>
        <v>79575328</v>
      </c>
      <c r="F2507" s="11" t="s">
        <v>7086</v>
      </c>
      <c r="G2507" s="11" t="s">
        <v>7087</v>
      </c>
      <c r="H2507" s="11" t="s">
        <v>7088</v>
      </c>
      <c r="I2507" s="11" t="s">
        <v>6819</v>
      </c>
    </row>
    <row r="2508" spans="1:9" x14ac:dyDescent="0.15">
      <c r="A2508" s="10">
        <v>2507</v>
      </c>
      <c r="B2508" s="11" t="s">
        <v>9</v>
      </c>
      <c r="C2508" s="11" t="s">
        <v>253</v>
      </c>
      <c r="D2508" s="11" t="s">
        <v>254</v>
      </c>
      <c r="E2508" s="9" t="str">
        <f>+HYPERLINK("http://trademark.i-assist.jp/data/china/image_1903th/79575829.pdf", "79575829")</f>
        <v>79575829</v>
      </c>
      <c r="F2508" s="11" t="s">
        <v>7089</v>
      </c>
      <c r="G2508" s="11" t="s">
        <v>7013</v>
      </c>
      <c r="H2508" s="11" t="s">
        <v>7090</v>
      </c>
      <c r="I2508" s="11" t="s">
        <v>6819</v>
      </c>
    </row>
    <row r="2509" spans="1:9" x14ac:dyDescent="0.15">
      <c r="A2509" s="10">
        <v>2508</v>
      </c>
      <c r="B2509" s="11" t="s">
        <v>9</v>
      </c>
      <c r="C2509" s="11" t="s">
        <v>253</v>
      </c>
      <c r="D2509" s="11" t="s">
        <v>254</v>
      </c>
      <c r="E2509" s="9" t="str">
        <f>+HYPERLINK("http://trademark.i-assist.jp/data/china/image_1903th/79577065.pdf", "79577065")</f>
        <v>79577065</v>
      </c>
      <c r="F2509" s="11" t="s">
        <v>7091</v>
      </c>
      <c r="G2509" s="11" t="s">
        <v>7092</v>
      </c>
      <c r="H2509" s="11" t="s">
        <v>7093</v>
      </c>
      <c r="I2509" s="11" t="s">
        <v>7094</v>
      </c>
    </row>
    <row r="2510" spans="1:9" x14ac:dyDescent="0.15">
      <c r="A2510" s="10">
        <v>2509</v>
      </c>
      <c r="B2510" s="11" t="s">
        <v>9</v>
      </c>
      <c r="C2510" s="11" t="s">
        <v>253</v>
      </c>
      <c r="D2510" s="11" t="s">
        <v>254</v>
      </c>
      <c r="E2510" s="9" t="str">
        <f>+HYPERLINK("http://trademark.i-assist.jp/data/china/image_1903th/79577179.pdf", "79577179")</f>
        <v>79577179</v>
      </c>
      <c r="F2510" s="11" t="s">
        <v>7095</v>
      </c>
      <c r="G2510" s="11" t="s">
        <v>5305</v>
      </c>
      <c r="H2510" s="11" t="s">
        <v>7096</v>
      </c>
      <c r="I2510" s="11" t="s">
        <v>7094</v>
      </c>
    </row>
    <row r="2511" spans="1:9" x14ac:dyDescent="0.15">
      <c r="A2511" s="10">
        <v>2510</v>
      </c>
      <c r="B2511" s="11" t="s">
        <v>9</v>
      </c>
      <c r="C2511" s="11" t="s">
        <v>253</v>
      </c>
      <c r="D2511" s="11" t="s">
        <v>254</v>
      </c>
      <c r="E2511" s="9" t="str">
        <f>+HYPERLINK("http://trademark.i-assist.jp/data/china/image_1903th/79577659.pdf", "79577659")</f>
        <v>79577659</v>
      </c>
      <c r="F2511" s="11" t="s">
        <v>7097</v>
      </c>
      <c r="G2511" s="11" t="s">
        <v>7098</v>
      </c>
      <c r="H2511" s="11" t="s">
        <v>7099</v>
      </c>
      <c r="I2511" s="11" t="s">
        <v>7094</v>
      </c>
    </row>
    <row r="2512" spans="1:9" x14ac:dyDescent="0.15">
      <c r="A2512" s="10">
        <v>2511</v>
      </c>
      <c r="B2512" s="11" t="s">
        <v>9</v>
      </c>
      <c r="C2512" s="11" t="s">
        <v>253</v>
      </c>
      <c r="D2512" s="11" t="s">
        <v>254</v>
      </c>
      <c r="E2512" s="9" t="str">
        <f>+HYPERLINK("http://trademark.i-assist.jp/data/china/image_1903th/79577833.pdf", "79577833")</f>
        <v>79577833</v>
      </c>
      <c r="F2512" s="11" t="s">
        <v>7100</v>
      </c>
      <c r="G2512" s="11" t="s">
        <v>7101</v>
      </c>
      <c r="H2512" s="11" t="s">
        <v>7102</v>
      </c>
      <c r="I2512" s="11" t="s">
        <v>7094</v>
      </c>
    </row>
    <row r="2513" spans="1:9" x14ac:dyDescent="0.15">
      <c r="A2513" s="10">
        <v>2512</v>
      </c>
      <c r="B2513" s="11" t="s">
        <v>9</v>
      </c>
      <c r="C2513" s="11" t="s">
        <v>253</v>
      </c>
      <c r="D2513" s="11" t="s">
        <v>254</v>
      </c>
      <c r="E2513" s="9" t="str">
        <f>+HYPERLINK("http://trademark.i-assist.jp/data/china/image_1903th/79577847.pdf", "79577847")</f>
        <v>79577847</v>
      </c>
      <c r="F2513" s="11" t="s">
        <v>7103</v>
      </c>
      <c r="G2513" s="11" t="s">
        <v>7104</v>
      </c>
      <c r="H2513" s="11" t="s">
        <v>7105</v>
      </c>
      <c r="I2513" s="11" t="s">
        <v>7094</v>
      </c>
    </row>
    <row r="2514" spans="1:9" x14ac:dyDescent="0.15">
      <c r="A2514" s="10">
        <v>2513</v>
      </c>
      <c r="B2514" s="11" t="s">
        <v>9</v>
      </c>
      <c r="C2514" s="11" t="s">
        <v>253</v>
      </c>
      <c r="D2514" s="11" t="s">
        <v>254</v>
      </c>
      <c r="E2514" s="9" t="str">
        <f>+HYPERLINK("http://trademark.i-assist.jp/data/china/image_1903th/79578020.pdf", "79578020")</f>
        <v>79578020</v>
      </c>
      <c r="F2514" s="11" t="s">
        <v>7106</v>
      </c>
      <c r="G2514" s="11" t="s">
        <v>7107</v>
      </c>
      <c r="H2514" s="11" t="s">
        <v>7108</v>
      </c>
      <c r="I2514" s="11" t="s">
        <v>7094</v>
      </c>
    </row>
    <row r="2515" spans="1:9" x14ac:dyDescent="0.15">
      <c r="A2515" s="10">
        <v>2514</v>
      </c>
      <c r="B2515" s="11" t="s">
        <v>9</v>
      </c>
      <c r="C2515" s="11" t="s">
        <v>253</v>
      </c>
      <c r="D2515" s="11" t="s">
        <v>254</v>
      </c>
      <c r="E2515" s="9" t="str">
        <f>+HYPERLINK("http://trademark.i-assist.jp/data/china/image_1903th/79578120.pdf", "79578120")</f>
        <v>79578120</v>
      </c>
      <c r="F2515" s="11" t="s">
        <v>7109</v>
      </c>
      <c r="G2515" s="11" t="s">
        <v>7110</v>
      </c>
      <c r="H2515" s="11" t="s">
        <v>7111</v>
      </c>
      <c r="I2515" s="11" t="s">
        <v>7094</v>
      </c>
    </row>
    <row r="2516" spans="1:9" x14ac:dyDescent="0.15">
      <c r="A2516" s="10">
        <v>2515</v>
      </c>
      <c r="B2516" s="11" t="s">
        <v>9</v>
      </c>
      <c r="C2516" s="11" t="s">
        <v>253</v>
      </c>
      <c r="D2516" s="11" t="s">
        <v>254</v>
      </c>
      <c r="E2516" s="9" t="str">
        <f>+HYPERLINK("http://trademark.i-assist.jp/data/china/image_1903th/79578499.pdf", "79578499")</f>
        <v>79578499</v>
      </c>
      <c r="F2516" s="11" t="s">
        <v>7112</v>
      </c>
      <c r="G2516" s="11" t="s">
        <v>7113</v>
      </c>
      <c r="H2516" s="11" t="s">
        <v>7114</v>
      </c>
      <c r="I2516" s="11" t="s">
        <v>7094</v>
      </c>
    </row>
    <row r="2517" spans="1:9" x14ac:dyDescent="0.15">
      <c r="A2517" s="10">
        <v>2516</v>
      </c>
      <c r="B2517" s="11" t="s">
        <v>9</v>
      </c>
      <c r="C2517" s="11" t="s">
        <v>253</v>
      </c>
      <c r="D2517" s="11" t="s">
        <v>254</v>
      </c>
      <c r="E2517" s="9" t="str">
        <f>+HYPERLINK("http://trademark.i-assist.jp/data/china/image_1903th/79578582.pdf", "79578582")</f>
        <v>79578582</v>
      </c>
      <c r="F2517" s="11" t="s">
        <v>7115</v>
      </c>
      <c r="G2517" s="11" t="s">
        <v>5305</v>
      </c>
      <c r="H2517" s="11" t="s">
        <v>7116</v>
      </c>
      <c r="I2517" s="11" t="s">
        <v>7094</v>
      </c>
    </row>
    <row r="2518" spans="1:9" x14ac:dyDescent="0.15">
      <c r="A2518" s="10">
        <v>2517</v>
      </c>
      <c r="B2518" s="11" t="s">
        <v>9</v>
      </c>
      <c r="C2518" s="11" t="s">
        <v>253</v>
      </c>
      <c r="D2518" s="11" t="s">
        <v>254</v>
      </c>
      <c r="E2518" s="9" t="str">
        <f>+HYPERLINK("http://trademark.i-assist.jp/data/china/image_1903th/79578953.pdf", "79578953")</f>
        <v>79578953</v>
      </c>
      <c r="F2518" s="11" t="s">
        <v>7117</v>
      </c>
      <c r="G2518" s="11" t="s">
        <v>7118</v>
      </c>
      <c r="H2518" s="11" t="s">
        <v>7119</v>
      </c>
      <c r="I2518" s="11" t="s">
        <v>7094</v>
      </c>
    </row>
    <row r="2519" spans="1:9" x14ac:dyDescent="0.15">
      <c r="A2519" s="10">
        <v>2518</v>
      </c>
      <c r="B2519" s="11" t="s">
        <v>9</v>
      </c>
      <c r="C2519" s="11" t="s">
        <v>253</v>
      </c>
      <c r="D2519" s="11" t="s">
        <v>254</v>
      </c>
      <c r="E2519" s="9" t="str">
        <f>+HYPERLINK("http://trademark.i-assist.jp/data/china/image_1903th/79580230.pdf", "79580230")</f>
        <v>79580230</v>
      </c>
      <c r="F2519" s="11" t="s">
        <v>7120</v>
      </c>
      <c r="G2519" s="11" t="s">
        <v>7121</v>
      </c>
      <c r="H2519" s="11" t="s">
        <v>7122</v>
      </c>
      <c r="I2519" s="11" t="s">
        <v>7094</v>
      </c>
    </row>
    <row r="2520" spans="1:9" x14ac:dyDescent="0.15">
      <c r="A2520" s="10">
        <v>2519</v>
      </c>
      <c r="B2520" s="11" t="s">
        <v>9</v>
      </c>
      <c r="C2520" s="11" t="s">
        <v>253</v>
      </c>
      <c r="D2520" s="11" t="s">
        <v>254</v>
      </c>
      <c r="E2520" s="9" t="str">
        <f>+HYPERLINK("http://trademark.i-assist.jp/data/china/image_1903th/79580297.pdf", "79580297")</f>
        <v>79580297</v>
      </c>
      <c r="F2520" s="11" t="s">
        <v>7123</v>
      </c>
      <c r="G2520" s="11" t="s">
        <v>7124</v>
      </c>
      <c r="H2520" s="11" t="s">
        <v>7125</v>
      </c>
      <c r="I2520" s="11" t="s">
        <v>7094</v>
      </c>
    </row>
    <row r="2521" spans="1:9" x14ac:dyDescent="0.15">
      <c r="A2521" s="10">
        <v>2520</v>
      </c>
      <c r="B2521" s="11" t="s">
        <v>9</v>
      </c>
      <c r="C2521" s="11" t="s">
        <v>253</v>
      </c>
      <c r="D2521" s="11" t="s">
        <v>254</v>
      </c>
      <c r="E2521" s="9" t="str">
        <f>+HYPERLINK("http://trademark.i-assist.jp/data/china/image_1903th/79580391.pdf", "79580391")</f>
        <v>79580391</v>
      </c>
      <c r="F2521" s="11" t="s">
        <v>7126</v>
      </c>
      <c r="G2521" s="11" t="s">
        <v>7127</v>
      </c>
      <c r="H2521" s="11" t="s">
        <v>7128</v>
      </c>
      <c r="I2521" s="11" t="s">
        <v>7094</v>
      </c>
    </row>
    <row r="2522" spans="1:9" x14ac:dyDescent="0.15">
      <c r="A2522" s="10">
        <v>2521</v>
      </c>
      <c r="B2522" s="11" t="s">
        <v>9</v>
      </c>
      <c r="C2522" s="11" t="s">
        <v>253</v>
      </c>
      <c r="D2522" s="11" t="s">
        <v>254</v>
      </c>
      <c r="E2522" s="9" t="str">
        <f>+HYPERLINK("http://trademark.i-assist.jp/data/china/image_1903th/79580781.pdf", "79580781")</f>
        <v>79580781</v>
      </c>
      <c r="F2522" s="11" t="s">
        <v>7129</v>
      </c>
      <c r="G2522" s="11" t="s">
        <v>7130</v>
      </c>
      <c r="H2522" s="11" t="s">
        <v>7131</v>
      </c>
      <c r="I2522" s="11" t="s">
        <v>7094</v>
      </c>
    </row>
    <row r="2523" spans="1:9" x14ac:dyDescent="0.15">
      <c r="A2523" s="10">
        <v>2522</v>
      </c>
      <c r="B2523" s="11" t="s">
        <v>9</v>
      </c>
      <c r="C2523" s="11" t="s">
        <v>253</v>
      </c>
      <c r="D2523" s="11" t="s">
        <v>254</v>
      </c>
      <c r="E2523" s="9" t="str">
        <f>+HYPERLINK("http://trademark.i-assist.jp/data/china/image_1903th/79580791.pdf", "79580791")</f>
        <v>79580791</v>
      </c>
      <c r="F2523" s="11" t="s">
        <v>7132</v>
      </c>
      <c r="G2523" s="11" t="s">
        <v>7130</v>
      </c>
      <c r="H2523" s="11" t="s">
        <v>7133</v>
      </c>
      <c r="I2523" s="11" t="s">
        <v>7094</v>
      </c>
    </row>
    <row r="2524" spans="1:9" x14ac:dyDescent="0.15">
      <c r="A2524" s="10">
        <v>2523</v>
      </c>
      <c r="B2524" s="11" t="s">
        <v>9</v>
      </c>
      <c r="C2524" s="11" t="s">
        <v>253</v>
      </c>
      <c r="D2524" s="11" t="s">
        <v>254</v>
      </c>
      <c r="E2524" s="9" t="str">
        <f>+HYPERLINK("http://trademark.i-assist.jp/data/china/image_1903th/79581459.pdf", "79581459")</f>
        <v>79581459</v>
      </c>
      <c r="F2524" s="11" t="s">
        <v>7134</v>
      </c>
      <c r="G2524" s="11" t="s">
        <v>7124</v>
      </c>
      <c r="H2524" s="11" t="s">
        <v>7135</v>
      </c>
      <c r="I2524" s="11" t="s">
        <v>7094</v>
      </c>
    </row>
    <row r="2525" spans="1:9" x14ac:dyDescent="0.15">
      <c r="A2525" s="10">
        <v>2524</v>
      </c>
      <c r="B2525" s="11" t="s">
        <v>9</v>
      </c>
      <c r="C2525" s="11" t="s">
        <v>253</v>
      </c>
      <c r="D2525" s="11" t="s">
        <v>254</v>
      </c>
      <c r="E2525" s="9" t="str">
        <f>+HYPERLINK("http://trademark.i-assist.jp/data/china/image_1903th/79581863.pdf", "79581863")</f>
        <v>79581863</v>
      </c>
      <c r="F2525" s="11" t="s">
        <v>7136</v>
      </c>
      <c r="G2525" s="11" t="s">
        <v>7137</v>
      </c>
      <c r="H2525" s="11" t="s">
        <v>7138</v>
      </c>
      <c r="I2525" s="11" t="s">
        <v>7094</v>
      </c>
    </row>
    <row r="2526" spans="1:9" x14ac:dyDescent="0.15">
      <c r="A2526" s="10">
        <v>2525</v>
      </c>
      <c r="B2526" s="11" t="s">
        <v>9</v>
      </c>
      <c r="C2526" s="11" t="s">
        <v>253</v>
      </c>
      <c r="D2526" s="11" t="s">
        <v>254</v>
      </c>
      <c r="E2526" s="9" t="str">
        <f>+HYPERLINK("http://trademark.i-assist.jp/data/china/image_1903th/79582344.pdf", "79582344")</f>
        <v>79582344</v>
      </c>
      <c r="F2526" s="11" t="s">
        <v>12</v>
      </c>
      <c r="G2526" s="11" t="s">
        <v>7139</v>
      </c>
      <c r="H2526" s="11" t="s">
        <v>7140</v>
      </c>
      <c r="I2526" s="11" t="s">
        <v>7094</v>
      </c>
    </row>
    <row r="2527" spans="1:9" x14ac:dyDescent="0.15">
      <c r="A2527" s="10">
        <v>2526</v>
      </c>
      <c r="B2527" s="11" t="s">
        <v>9</v>
      </c>
      <c r="C2527" s="11" t="s">
        <v>253</v>
      </c>
      <c r="D2527" s="11" t="s">
        <v>254</v>
      </c>
      <c r="E2527" s="9" t="str">
        <f>+HYPERLINK("http://trademark.i-assist.jp/data/china/image_1903th/79583147.pdf", "79583147")</f>
        <v>79583147</v>
      </c>
      <c r="F2527" s="11" t="s">
        <v>7141</v>
      </c>
      <c r="G2527" s="11" t="s">
        <v>7142</v>
      </c>
      <c r="H2527" s="11" t="s">
        <v>7143</v>
      </c>
      <c r="I2527" s="11" t="s">
        <v>7094</v>
      </c>
    </row>
    <row r="2528" spans="1:9" x14ac:dyDescent="0.15">
      <c r="A2528" s="10">
        <v>2527</v>
      </c>
      <c r="B2528" s="11" t="s">
        <v>9</v>
      </c>
      <c r="C2528" s="11" t="s">
        <v>253</v>
      </c>
      <c r="D2528" s="11" t="s">
        <v>254</v>
      </c>
      <c r="E2528" s="9" t="str">
        <f>+HYPERLINK("http://trademark.i-assist.jp/data/china/image_1903th/79583287.pdf", "79583287")</f>
        <v>79583287</v>
      </c>
      <c r="F2528" s="11" t="s">
        <v>7144</v>
      </c>
      <c r="G2528" s="11" t="s">
        <v>7145</v>
      </c>
      <c r="H2528" s="11" t="s">
        <v>7146</v>
      </c>
      <c r="I2528" s="11" t="s">
        <v>7094</v>
      </c>
    </row>
    <row r="2529" spans="1:9" x14ac:dyDescent="0.15">
      <c r="A2529" s="10">
        <v>2528</v>
      </c>
      <c r="B2529" s="11" t="s">
        <v>9</v>
      </c>
      <c r="C2529" s="11" t="s">
        <v>253</v>
      </c>
      <c r="D2529" s="11" t="s">
        <v>254</v>
      </c>
      <c r="E2529" s="9" t="str">
        <f>+HYPERLINK("http://trademark.i-assist.jp/data/china/image_1903th/79584278.pdf", "79584278")</f>
        <v>79584278</v>
      </c>
      <c r="F2529" s="11" t="s">
        <v>7147</v>
      </c>
      <c r="G2529" s="11" t="s">
        <v>7127</v>
      </c>
      <c r="H2529" s="11" t="s">
        <v>7148</v>
      </c>
      <c r="I2529" s="11" t="s">
        <v>7094</v>
      </c>
    </row>
    <row r="2530" spans="1:9" x14ac:dyDescent="0.15">
      <c r="A2530" s="10">
        <v>2529</v>
      </c>
      <c r="B2530" s="11" t="s">
        <v>9</v>
      </c>
      <c r="C2530" s="11" t="s">
        <v>253</v>
      </c>
      <c r="D2530" s="11" t="s">
        <v>254</v>
      </c>
      <c r="E2530" s="9" t="str">
        <f>+HYPERLINK("http://trademark.i-assist.jp/data/china/image_1903th/79584605.pdf", "79584605")</f>
        <v>79584605</v>
      </c>
      <c r="F2530" s="11" t="s">
        <v>7149</v>
      </c>
      <c r="G2530" s="11" t="s">
        <v>7150</v>
      </c>
      <c r="H2530" s="11" t="s">
        <v>7151</v>
      </c>
      <c r="I2530" s="11" t="s">
        <v>7094</v>
      </c>
    </row>
    <row r="2531" spans="1:9" x14ac:dyDescent="0.15">
      <c r="A2531" s="10">
        <v>2530</v>
      </c>
      <c r="B2531" s="11" t="s">
        <v>9</v>
      </c>
      <c r="C2531" s="11" t="s">
        <v>253</v>
      </c>
      <c r="D2531" s="11" t="s">
        <v>254</v>
      </c>
      <c r="E2531" s="9" t="str">
        <f>+HYPERLINK("http://trademark.i-assist.jp/data/china/image_1903th/79586262.pdf", "79586262")</f>
        <v>79586262</v>
      </c>
      <c r="F2531" s="11" t="s">
        <v>7152</v>
      </c>
      <c r="G2531" s="11" t="s">
        <v>7153</v>
      </c>
      <c r="H2531" s="11" t="s">
        <v>7154</v>
      </c>
      <c r="I2531" s="11" t="s">
        <v>7094</v>
      </c>
    </row>
    <row r="2532" spans="1:9" x14ac:dyDescent="0.15">
      <c r="A2532" s="10">
        <v>2531</v>
      </c>
      <c r="B2532" s="11" t="s">
        <v>9</v>
      </c>
      <c r="C2532" s="11" t="s">
        <v>253</v>
      </c>
      <c r="D2532" s="11" t="s">
        <v>254</v>
      </c>
      <c r="E2532" s="9" t="str">
        <f>+HYPERLINK("http://trademark.i-assist.jp/data/china/image_1903th/79586343.pdf", "79586343")</f>
        <v>79586343</v>
      </c>
      <c r="F2532" s="11" t="s">
        <v>7155</v>
      </c>
      <c r="G2532" s="11" t="s">
        <v>7156</v>
      </c>
      <c r="H2532" s="11" t="s">
        <v>7157</v>
      </c>
      <c r="I2532" s="11" t="s">
        <v>7094</v>
      </c>
    </row>
    <row r="2533" spans="1:9" x14ac:dyDescent="0.15">
      <c r="A2533" s="10">
        <v>2532</v>
      </c>
      <c r="B2533" s="11" t="s">
        <v>9</v>
      </c>
      <c r="C2533" s="11" t="s">
        <v>253</v>
      </c>
      <c r="D2533" s="11" t="s">
        <v>254</v>
      </c>
      <c r="E2533" s="9" t="str">
        <f>+HYPERLINK("http://trademark.i-assist.jp/data/china/image_1903th/79586890.pdf", "79586890")</f>
        <v>79586890</v>
      </c>
      <c r="F2533" s="11" t="s">
        <v>7158</v>
      </c>
      <c r="G2533" s="11" t="s">
        <v>7159</v>
      </c>
      <c r="H2533" s="11" t="s">
        <v>7160</v>
      </c>
      <c r="I2533" s="11" t="s">
        <v>7094</v>
      </c>
    </row>
    <row r="2534" spans="1:9" x14ac:dyDescent="0.15">
      <c r="A2534" s="10">
        <v>2533</v>
      </c>
      <c r="B2534" s="11" t="s">
        <v>9</v>
      </c>
      <c r="C2534" s="11" t="s">
        <v>253</v>
      </c>
      <c r="D2534" s="11" t="s">
        <v>254</v>
      </c>
      <c r="E2534" s="9" t="str">
        <f>+HYPERLINK("http://trademark.i-assist.jp/data/china/image_1903th/79587038.pdf", "79587038")</f>
        <v>79587038</v>
      </c>
      <c r="F2534" s="11" t="s">
        <v>7161</v>
      </c>
      <c r="G2534" s="11" t="s">
        <v>7162</v>
      </c>
      <c r="H2534" s="11" t="s">
        <v>7163</v>
      </c>
      <c r="I2534" s="11" t="s">
        <v>7094</v>
      </c>
    </row>
    <row r="2535" spans="1:9" x14ac:dyDescent="0.15">
      <c r="A2535" s="10">
        <v>2534</v>
      </c>
      <c r="B2535" s="11" t="s">
        <v>9</v>
      </c>
      <c r="C2535" s="11" t="s">
        <v>253</v>
      </c>
      <c r="D2535" s="11" t="s">
        <v>254</v>
      </c>
      <c r="E2535" s="9" t="str">
        <f>+HYPERLINK("http://trademark.i-assist.jp/data/china/image_1903th/79587210.pdf", "79587210")</f>
        <v>79587210</v>
      </c>
      <c r="F2535" s="11" t="s">
        <v>7164</v>
      </c>
      <c r="G2535" s="11" t="s">
        <v>7165</v>
      </c>
      <c r="H2535" s="11" t="s">
        <v>7166</v>
      </c>
      <c r="I2535" s="11" t="s">
        <v>7094</v>
      </c>
    </row>
    <row r="2536" spans="1:9" x14ac:dyDescent="0.15">
      <c r="A2536" s="10">
        <v>2535</v>
      </c>
      <c r="B2536" s="11" t="s">
        <v>9</v>
      </c>
      <c r="C2536" s="11" t="s">
        <v>253</v>
      </c>
      <c r="D2536" s="11" t="s">
        <v>254</v>
      </c>
      <c r="E2536" s="9" t="str">
        <f>+HYPERLINK("http://trademark.i-assist.jp/data/china/image_1903th/79587368.pdf", "79587368")</f>
        <v>79587368</v>
      </c>
      <c r="F2536" s="11" t="s">
        <v>7167</v>
      </c>
      <c r="G2536" s="11" t="s">
        <v>5305</v>
      </c>
      <c r="H2536" s="11" t="s">
        <v>7168</v>
      </c>
      <c r="I2536" s="11" t="s">
        <v>7094</v>
      </c>
    </row>
    <row r="2537" spans="1:9" x14ac:dyDescent="0.15">
      <c r="A2537" s="10">
        <v>2536</v>
      </c>
      <c r="B2537" s="11" t="s">
        <v>9</v>
      </c>
      <c r="C2537" s="11" t="s">
        <v>253</v>
      </c>
      <c r="D2537" s="11" t="s">
        <v>254</v>
      </c>
      <c r="E2537" s="9" t="str">
        <f>+HYPERLINK("http://trademark.i-assist.jp/data/china/image_1903th/79587414.pdf", "79587414")</f>
        <v>79587414</v>
      </c>
      <c r="F2537" s="11" t="s">
        <v>7169</v>
      </c>
      <c r="G2537" s="11" t="s">
        <v>7130</v>
      </c>
      <c r="H2537" s="11" t="s">
        <v>7170</v>
      </c>
      <c r="I2537" s="11" t="s">
        <v>7094</v>
      </c>
    </row>
    <row r="2538" spans="1:9" x14ac:dyDescent="0.15">
      <c r="A2538" s="10">
        <v>2537</v>
      </c>
      <c r="B2538" s="11" t="s">
        <v>9</v>
      </c>
      <c r="C2538" s="11" t="s">
        <v>253</v>
      </c>
      <c r="D2538" s="11" t="s">
        <v>254</v>
      </c>
      <c r="E2538" s="9" t="str">
        <f>+HYPERLINK("http://trademark.i-assist.jp/data/china/image_1903th/79587559.pdf", "79587559")</f>
        <v>79587559</v>
      </c>
      <c r="F2538" s="11" t="s">
        <v>7171</v>
      </c>
      <c r="G2538" s="11" t="s">
        <v>7172</v>
      </c>
      <c r="H2538" s="11" t="s">
        <v>7173</v>
      </c>
      <c r="I2538" s="11" t="s">
        <v>7094</v>
      </c>
    </row>
    <row r="2539" spans="1:9" x14ac:dyDescent="0.15">
      <c r="A2539" s="10">
        <v>2538</v>
      </c>
      <c r="B2539" s="11" t="s">
        <v>9</v>
      </c>
      <c r="C2539" s="11" t="s">
        <v>253</v>
      </c>
      <c r="D2539" s="11" t="s">
        <v>254</v>
      </c>
      <c r="E2539" s="9" t="str">
        <f>+HYPERLINK("http://trademark.i-assist.jp/data/china/image_1903th/79588109.pdf", "79588109")</f>
        <v>79588109</v>
      </c>
      <c r="F2539" s="11" t="s">
        <v>7174</v>
      </c>
      <c r="G2539" s="11" t="s">
        <v>7175</v>
      </c>
      <c r="H2539" s="11" t="s">
        <v>7176</v>
      </c>
      <c r="I2539" s="11" t="s">
        <v>7094</v>
      </c>
    </row>
    <row r="2540" spans="1:9" x14ac:dyDescent="0.15">
      <c r="A2540" s="10">
        <v>2539</v>
      </c>
      <c r="B2540" s="11" t="s">
        <v>9</v>
      </c>
      <c r="C2540" s="11" t="s">
        <v>253</v>
      </c>
      <c r="D2540" s="11" t="s">
        <v>254</v>
      </c>
      <c r="E2540" s="9" t="str">
        <f>+HYPERLINK("http://trademark.i-assist.jp/data/china/image_1903th/79588643.pdf", "79588643")</f>
        <v>79588643</v>
      </c>
      <c r="F2540" s="11" t="s">
        <v>7177</v>
      </c>
      <c r="G2540" s="11" t="s">
        <v>7178</v>
      </c>
      <c r="H2540" s="11" t="s">
        <v>7179</v>
      </c>
      <c r="I2540" s="11" t="s">
        <v>7094</v>
      </c>
    </row>
    <row r="2541" spans="1:9" x14ac:dyDescent="0.15">
      <c r="A2541" s="10">
        <v>2540</v>
      </c>
      <c r="B2541" s="11" t="s">
        <v>9</v>
      </c>
      <c r="C2541" s="11" t="s">
        <v>253</v>
      </c>
      <c r="D2541" s="11" t="s">
        <v>254</v>
      </c>
      <c r="E2541" s="9" t="str">
        <f>+HYPERLINK("http://trademark.i-assist.jp/data/china/image_1903th/79588729.pdf", "79588729")</f>
        <v>79588729</v>
      </c>
      <c r="F2541" s="11" t="s">
        <v>7180</v>
      </c>
      <c r="G2541" s="11" t="s">
        <v>5305</v>
      </c>
      <c r="H2541" s="11" t="s">
        <v>7181</v>
      </c>
      <c r="I2541" s="11" t="s">
        <v>7094</v>
      </c>
    </row>
    <row r="2542" spans="1:9" x14ac:dyDescent="0.15">
      <c r="A2542" s="10">
        <v>2541</v>
      </c>
      <c r="B2542" s="11" t="s">
        <v>9</v>
      </c>
      <c r="C2542" s="11" t="s">
        <v>253</v>
      </c>
      <c r="D2542" s="11" t="s">
        <v>254</v>
      </c>
      <c r="E2542" s="9" t="str">
        <f>+HYPERLINK("http://trademark.i-assist.jp/data/china/image_1903th/79588865.pdf", "79588865")</f>
        <v>79588865</v>
      </c>
      <c r="F2542" s="11" t="s">
        <v>12</v>
      </c>
      <c r="G2542" s="11" t="s">
        <v>7182</v>
      </c>
      <c r="H2542" s="11" t="s">
        <v>7183</v>
      </c>
      <c r="I2542" s="11" t="s">
        <v>7094</v>
      </c>
    </row>
    <row r="2543" spans="1:9" x14ac:dyDescent="0.15">
      <c r="A2543" s="10">
        <v>2542</v>
      </c>
      <c r="B2543" s="11" t="s">
        <v>9</v>
      </c>
      <c r="C2543" s="11" t="s">
        <v>253</v>
      </c>
      <c r="D2543" s="11" t="s">
        <v>254</v>
      </c>
      <c r="E2543" s="9" t="str">
        <f>+HYPERLINK("http://trademark.i-assist.jp/data/china/image_1903th/79588911.pdf", "79588911")</f>
        <v>79588911</v>
      </c>
      <c r="F2543" s="11" t="s">
        <v>7184</v>
      </c>
      <c r="G2543" s="11" t="s">
        <v>7185</v>
      </c>
      <c r="H2543" s="11" t="s">
        <v>7186</v>
      </c>
      <c r="I2543" s="11" t="s">
        <v>7094</v>
      </c>
    </row>
    <row r="2544" spans="1:9" x14ac:dyDescent="0.15">
      <c r="A2544" s="10">
        <v>2543</v>
      </c>
      <c r="B2544" s="11" t="s">
        <v>9</v>
      </c>
      <c r="C2544" s="11" t="s">
        <v>253</v>
      </c>
      <c r="D2544" s="11" t="s">
        <v>254</v>
      </c>
      <c r="E2544" s="9" t="str">
        <f>+HYPERLINK("http://trademark.i-assist.jp/data/china/image_1903th/79589132.pdf", "79589132")</f>
        <v>79589132</v>
      </c>
      <c r="F2544" s="11" t="s">
        <v>7187</v>
      </c>
      <c r="G2544" s="11" t="s">
        <v>7188</v>
      </c>
      <c r="H2544" s="11" t="s">
        <v>7189</v>
      </c>
      <c r="I2544" s="11" t="s">
        <v>7094</v>
      </c>
    </row>
    <row r="2545" spans="1:9" x14ac:dyDescent="0.15">
      <c r="A2545" s="10">
        <v>2544</v>
      </c>
      <c r="B2545" s="11" t="s">
        <v>9</v>
      </c>
      <c r="C2545" s="11" t="s">
        <v>253</v>
      </c>
      <c r="D2545" s="11" t="s">
        <v>254</v>
      </c>
      <c r="E2545" s="9" t="str">
        <f>+HYPERLINK("http://trademark.i-assist.jp/data/china/image_1903th/79590491.pdf", "79590491")</f>
        <v>79590491</v>
      </c>
      <c r="F2545" s="11" t="s">
        <v>7190</v>
      </c>
      <c r="G2545" s="11" t="s">
        <v>7191</v>
      </c>
      <c r="H2545" s="11" t="s">
        <v>7192</v>
      </c>
      <c r="I2545" s="11" t="s">
        <v>7094</v>
      </c>
    </row>
    <row r="2546" spans="1:9" x14ac:dyDescent="0.15">
      <c r="A2546" s="10">
        <v>2545</v>
      </c>
      <c r="B2546" s="11" t="s">
        <v>9</v>
      </c>
      <c r="C2546" s="11" t="s">
        <v>253</v>
      </c>
      <c r="D2546" s="11" t="s">
        <v>254</v>
      </c>
      <c r="E2546" s="9" t="str">
        <f>+HYPERLINK("http://trademark.i-assist.jp/data/china/image_1903th/79590974.pdf", "79590974")</f>
        <v>79590974</v>
      </c>
      <c r="F2546" s="11" t="s">
        <v>7193</v>
      </c>
      <c r="G2546" s="11" t="s">
        <v>7194</v>
      </c>
      <c r="H2546" s="11" t="s">
        <v>7195</v>
      </c>
      <c r="I2546" s="11" t="s">
        <v>7094</v>
      </c>
    </row>
    <row r="2547" spans="1:9" x14ac:dyDescent="0.15">
      <c r="A2547" s="10">
        <v>2546</v>
      </c>
      <c r="B2547" s="11" t="s">
        <v>9</v>
      </c>
      <c r="C2547" s="11" t="s">
        <v>253</v>
      </c>
      <c r="D2547" s="11" t="s">
        <v>254</v>
      </c>
      <c r="E2547" s="9" t="str">
        <f>+HYPERLINK("http://trademark.i-assist.jp/data/china/image_1903th/79591992.pdf", "79591992")</f>
        <v>79591992</v>
      </c>
      <c r="F2547" s="11" t="s">
        <v>7196</v>
      </c>
      <c r="G2547" s="11" t="s">
        <v>64</v>
      </c>
      <c r="H2547" s="11" t="s">
        <v>7197</v>
      </c>
      <c r="I2547" s="11" t="s">
        <v>7094</v>
      </c>
    </row>
    <row r="2548" spans="1:9" x14ac:dyDescent="0.15">
      <c r="A2548" s="10">
        <v>2547</v>
      </c>
      <c r="B2548" s="11" t="s">
        <v>9</v>
      </c>
      <c r="C2548" s="11" t="s">
        <v>253</v>
      </c>
      <c r="D2548" s="11" t="s">
        <v>254</v>
      </c>
      <c r="E2548" s="9" t="str">
        <f>+HYPERLINK("http://trademark.i-assist.jp/data/china/image_1903th/79592405.pdf", "79592405")</f>
        <v>79592405</v>
      </c>
      <c r="F2548" s="11" t="s">
        <v>7198</v>
      </c>
      <c r="G2548" s="11" t="s">
        <v>7178</v>
      </c>
      <c r="H2548" s="11" t="s">
        <v>7199</v>
      </c>
      <c r="I2548" s="11" t="s">
        <v>7094</v>
      </c>
    </row>
    <row r="2549" spans="1:9" x14ac:dyDescent="0.15">
      <c r="A2549" s="10">
        <v>2548</v>
      </c>
      <c r="B2549" s="11" t="s">
        <v>9</v>
      </c>
      <c r="C2549" s="11" t="s">
        <v>253</v>
      </c>
      <c r="D2549" s="11" t="s">
        <v>254</v>
      </c>
      <c r="E2549" s="9" t="str">
        <f>+HYPERLINK("http://trademark.i-assist.jp/data/china/image_1903th/79593841.pdf", "79593841")</f>
        <v>79593841</v>
      </c>
      <c r="F2549" s="11" t="s">
        <v>7200</v>
      </c>
      <c r="G2549" s="11" t="s">
        <v>7201</v>
      </c>
      <c r="H2549" s="11" t="s">
        <v>7202</v>
      </c>
      <c r="I2549" s="11" t="s">
        <v>7094</v>
      </c>
    </row>
    <row r="2550" spans="1:9" x14ac:dyDescent="0.15">
      <c r="A2550" s="10">
        <v>2549</v>
      </c>
      <c r="B2550" s="11" t="s">
        <v>9</v>
      </c>
      <c r="C2550" s="11" t="s">
        <v>253</v>
      </c>
      <c r="D2550" s="11" t="s">
        <v>254</v>
      </c>
      <c r="E2550" s="9" t="str">
        <f>+HYPERLINK("http://trademark.i-assist.jp/data/china/image_1903th/79593944.pdf", "79593944")</f>
        <v>79593944</v>
      </c>
      <c r="F2550" s="11" t="s">
        <v>7203</v>
      </c>
      <c r="G2550" s="11" t="s">
        <v>5305</v>
      </c>
      <c r="H2550" s="11" t="s">
        <v>7204</v>
      </c>
      <c r="I2550" s="11" t="s">
        <v>7094</v>
      </c>
    </row>
    <row r="2551" spans="1:9" x14ac:dyDescent="0.15">
      <c r="A2551" s="10">
        <v>2550</v>
      </c>
      <c r="B2551" s="11" t="s">
        <v>9</v>
      </c>
      <c r="C2551" s="11" t="s">
        <v>253</v>
      </c>
      <c r="D2551" s="11" t="s">
        <v>254</v>
      </c>
      <c r="E2551" s="9" t="str">
        <f>+HYPERLINK("http://trademark.i-assist.jp/data/china/image_1903th/79594009.pdf", "79594009")</f>
        <v>79594009</v>
      </c>
      <c r="F2551" s="11" t="s">
        <v>7205</v>
      </c>
      <c r="G2551" s="11" t="s">
        <v>7145</v>
      </c>
      <c r="H2551" s="11" t="s">
        <v>7206</v>
      </c>
      <c r="I2551" s="11" t="s">
        <v>7094</v>
      </c>
    </row>
    <row r="2552" spans="1:9" x14ac:dyDescent="0.15">
      <c r="A2552" s="10">
        <v>2551</v>
      </c>
      <c r="B2552" s="11" t="s">
        <v>9</v>
      </c>
      <c r="C2552" s="11" t="s">
        <v>253</v>
      </c>
      <c r="D2552" s="11" t="s">
        <v>254</v>
      </c>
      <c r="E2552" s="9" t="str">
        <f>+HYPERLINK("http://trademark.i-assist.jp/data/china/image_1903th/79594049.pdf", "79594049")</f>
        <v>79594049</v>
      </c>
      <c r="F2552" s="11" t="s">
        <v>7207</v>
      </c>
      <c r="G2552" s="11" t="s">
        <v>7208</v>
      </c>
      <c r="H2552" s="11" t="s">
        <v>7209</v>
      </c>
      <c r="I2552" s="11" t="s">
        <v>7094</v>
      </c>
    </row>
    <row r="2553" spans="1:9" x14ac:dyDescent="0.15">
      <c r="A2553" s="10">
        <v>2552</v>
      </c>
      <c r="B2553" s="11" t="s">
        <v>9</v>
      </c>
      <c r="C2553" s="11" t="s">
        <v>253</v>
      </c>
      <c r="D2553" s="11" t="s">
        <v>254</v>
      </c>
      <c r="E2553" s="9" t="str">
        <f>+HYPERLINK("http://trademark.i-assist.jp/data/china/image_1903th/79594206.pdf", "79594206")</f>
        <v>79594206</v>
      </c>
      <c r="F2553" s="11" t="s">
        <v>7210</v>
      </c>
      <c r="G2553" s="11" t="s">
        <v>7211</v>
      </c>
      <c r="H2553" s="11" t="s">
        <v>7212</v>
      </c>
      <c r="I2553" s="11" t="s">
        <v>7094</v>
      </c>
    </row>
    <row r="2554" spans="1:9" x14ac:dyDescent="0.15">
      <c r="A2554" s="10">
        <v>2553</v>
      </c>
      <c r="B2554" s="11" t="s">
        <v>9</v>
      </c>
      <c r="C2554" s="11" t="s">
        <v>253</v>
      </c>
      <c r="D2554" s="11" t="s">
        <v>254</v>
      </c>
      <c r="E2554" s="9" t="str">
        <f>+HYPERLINK("http://trademark.i-assist.jp/data/china/image_1903th/79594286.pdf", "79594286")</f>
        <v>79594286</v>
      </c>
      <c r="F2554" s="11" t="s">
        <v>7213</v>
      </c>
      <c r="G2554" s="11" t="s">
        <v>7214</v>
      </c>
      <c r="H2554" s="11" t="s">
        <v>7215</v>
      </c>
      <c r="I2554" s="11" t="s">
        <v>7094</v>
      </c>
    </row>
    <row r="2555" spans="1:9" x14ac:dyDescent="0.15">
      <c r="A2555" s="10">
        <v>2554</v>
      </c>
      <c r="B2555" s="11" t="s">
        <v>9</v>
      </c>
      <c r="C2555" s="11" t="s">
        <v>253</v>
      </c>
      <c r="D2555" s="11" t="s">
        <v>254</v>
      </c>
      <c r="E2555" s="9" t="str">
        <f>+HYPERLINK("http://trademark.i-assist.jp/data/china/image_1903th/79594405.pdf", "79594405")</f>
        <v>79594405</v>
      </c>
      <c r="F2555" s="11" t="s">
        <v>7216</v>
      </c>
      <c r="G2555" s="11" t="s">
        <v>7217</v>
      </c>
      <c r="H2555" s="11" t="s">
        <v>7218</v>
      </c>
      <c r="I2555" s="11" t="s">
        <v>7094</v>
      </c>
    </row>
    <row r="2556" spans="1:9" x14ac:dyDescent="0.15">
      <c r="A2556" s="10">
        <v>2555</v>
      </c>
      <c r="B2556" s="11" t="s">
        <v>9</v>
      </c>
      <c r="C2556" s="11" t="s">
        <v>253</v>
      </c>
      <c r="D2556" s="11" t="s">
        <v>254</v>
      </c>
      <c r="E2556" s="9" t="str">
        <f>+HYPERLINK("http://trademark.i-assist.jp/data/china/image_1903th/79595785.pdf", "79595785")</f>
        <v>79595785</v>
      </c>
      <c r="F2556" s="11" t="s">
        <v>7219</v>
      </c>
      <c r="G2556" s="11" t="s">
        <v>7130</v>
      </c>
      <c r="H2556" s="11" t="s">
        <v>7220</v>
      </c>
      <c r="I2556" s="11" t="s">
        <v>7094</v>
      </c>
    </row>
    <row r="2557" spans="1:9" x14ac:dyDescent="0.15">
      <c r="A2557" s="10">
        <v>2556</v>
      </c>
      <c r="B2557" s="11" t="s">
        <v>9</v>
      </c>
      <c r="C2557" s="11" t="s">
        <v>253</v>
      </c>
      <c r="D2557" s="11" t="s">
        <v>254</v>
      </c>
      <c r="E2557" s="9" t="str">
        <f>+HYPERLINK("http://trademark.i-assist.jp/data/china/image_1903th/79595849.pdf", "79595849")</f>
        <v>79595849</v>
      </c>
      <c r="F2557" s="11" t="s">
        <v>7221</v>
      </c>
      <c r="G2557" s="11" t="s">
        <v>7222</v>
      </c>
      <c r="H2557" s="11" t="s">
        <v>7223</v>
      </c>
      <c r="I2557" s="11" t="s">
        <v>7094</v>
      </c>
    </row>
    <row r="2558" spans="1:9" x14ac:dyDescent="0.15">
      <c r="A2558" s="10">
        <v>2557</v>
      </c>
      <c r="B2558" s="11" t="s">
        <v>9</v>
      </c>
      <c r="C2558" s="11" t="s">
        <v>253</v>
      </c>
      <c r="D2558" s="11" t="s">
        <v>254</v>
      </c>
      <c r="E2558" s="9" t="str">
        <f>+HYPERLINK("http://trademark.i-assist.jp/data/china/image_1903th/79596227.pdf", "79596227")</f>
        <v>79596227</v>
      </c>
      <c r="F2558" s="11" t="s">
        <v>7224</v>
      </c>
      <c r="G2558" s="11" t="s">
        <v>7225</v>
      </c>
      <c r="H2558" s="11" t="s">
        <v>7226</v>
      </c>
      <c r="I2558" s="11" t="s">
        <v>7094</v>
      </c>
    </row>
    <row r="2559" spans="1:9" x14ac:dyDescent="0.15">
      <c r="A2559" s="10">
        <v>2558</v>
      </c>
      <c r="B2559" s="11" t="s">
        <v>9</v>
      </c>
      <c r="C2559" s="11" t="s">
        <v>253</v>
      </c>
      <c r="D2559" s="11" t="s">
        <v>254</v>
      </c>
      <c r="E2559" s="9" t="str">
        <f>+HYPERLINK("http://trademark.i-assist.jp/data/china/image_1903th/79596343.pdf", "79596343")</f>
        <v>79596343</v>
      </c>
      <c r="F2559" s="11" t="s">
        <v>7227</v>
      </c>
      <c r="G2559" s="11" t="s">
        <v>7228</v>
      </c>
      <c r="H2559" s="11" t="s">
        <v>7229</v>
      </c>
      <c r="I2559" s="11" t="s">
        <v>7094</v>
      </c>
    </row>
    <row r="2560" spans="1:9" x14ac:dyDescent="0.15">
      <c r="A2560" s="10">
        <v>2559</v>
      </c>
      <c r="B2560" s="11" t="s">
        <v>9</v>
      </c>
      <c r="C2560" s="11" t="s">
        <v>253</v>
      </c>
      <c r="D2560" s="11" t="s">
        <v>254</v>
      </c>
      <c r="E2560" s="9" t="str">
        <f>+HYPERLINK("http://trademark.i-assist.jp/data/china/image_1903th/79596905.pdf", "79596905")</f>
        <v>79596905</v>
      </c>
      <c r="F2560" s="11" t="s">
        <v>7230</v>
      </c>
      <c r="G2560" s="11" t="s">
        <v>7208</v>
      </c>
      <c r="H2560" s="11" t="s">
        <v>7231</v>
      </c>
      <c r="I2560" s="11" t="s">
        <v>7094</v>
      </c>
    </row>
    <row r="2561" spans="1:9" x14ac:dyDescent="0.15">
      <c r="A2561" s="10">
        <v>2560</v>
      </c>
      <c r="B2561" s="11" t="s">
        <v>9</v>
      </c>
      <c r="C2561" s="11" t="s">
        <v>253</v>
      </c>
      <c r="D2561" s="11" t="s">
        <v>254</v>
      </c>
      <c r="E2561" s="9" t="str">
        <f>+HYPERLINK("http://trademark.i-assist.jp/data/china/image_1903th/79597093.pdf", "79597093")</f>
        <v>79597093</v>
      </c>
      <c r="F2561" s="11" t="s">
        <v>7232</v>
      </c>
      <c r="G2561" s="11" t="s">
        <v>7233</v>
      </c>
      <c r="H2561" s="11" t="s">
        <v>7234</v>
      </c>
      <c r="I2561" s="11" t="s">
        <v>7094</v>
      </c>
    </row>
    <row r="2562" spans="1:9" x14ac:dyDescent="0.15">
      <c r="A2562" s="10">
        <v>2561</v>
      </c>
      <c r="B2562" s="11" t="s">
        <v>9</v>
      </c>
      <c r="C2562" s="11" t="s">
        <v>253</v>
      </c>
      <c r="D2562" s="11" t="s">
        <v>254</v>
      </c>
      <c r="E2562" s="9" t="str">
        <f>+HYPERLINK("http://trademark.i-assist.jp/data/china/image_1903th/79597249.pdf", "79597249")</f>
        <v>79597249</v>
      </c>
      <c r="F2562" s="11" t="s">
        <v>7235</v>
      </c>
      <c r="G2562" s="11" t="s">
        <v>7130</v>
      </c>
      <c r="H2562" s="11" t="s">
        <v>7236</v>
      </c>
      <c r="I2562" s="11" t="s">
        <v>7094</v>
      </c>
    </row>
    <row r="2563" spans="1:9" x14ac:dyDescent="0.15">
      <c r="A2563" s="10">
        <v>2562</v>
      </c>
      <c r="B2563" s="11" t="s">
        <v>9</v>
      </c>
      <c r="C2563" s="11" t="s">
        <v>253</v>
      </c>
      <c r="D2563" s="11" t="s">
        <v>254</v>
      </c>
      <c r="E2563" s="9" t="str">
        <f>+HYPERLINK("http://trademark.i-assist.jp/data/china/image_1903th/79597421.pdf", "79597421")</f>
        <v>79597421</v>
      </c>
      <c r="F2563" s="11" t="s">
        <v>7237</v>
      </c>
      <c r="G2563" s="11" t="s">
        <v>7145</v>
      </c>
      <c r="H2563" s="11" t="s">
        <v>7238</v>
      </c>
      <c r="I2563" s="11" t="s">
        <v>7094</v>
      </c>
    </row>
    <row r="2564" spans="1:9" x14ac:dyDescent="0.15">
      <c r="A2564" s="10">
        <v>2563</v>
      </c>
      <c r="B2564" s="11" t="s">
        <v>9</v>
      </c>
      <c r="C2564" s="11" t="s">
        <v>253</v>
      </c>
      <c r="D2564" s="11" t="s">
        <v>254</v>
      </c>
      <c r="E2564" s="9" t="str">
        <f>+HYPERLINK("http://trademark.i-assist.jp/data/china/image_1903th/79597480.pdf", "79597480")</f>
        <v>79597480</v>
      </c>
      <c r="F2564" s="11" t="s">
        <v>7239</v>
      </c>
      <c r="G2564" s="11" t="s">
        <v>7121</v>
      </c>
      <c r="H2564" s="11" t="s">
        <v>7240</v>
      </c>
      <c r="I2564" s="11" t="s">
        <v>7094</v>
      </c>
    </row>
    <row r="2565" spans="1:9" x14ac:dyDescent="0.15">
      <c r="A2565" s="10">
        <v>2564</v>
      </c>
      <c r="B2565" s="11" t="s">
        <v>9</v>
      </c>
      <c r="C2565" s="11" t="s">
        <v>253</v>
      </c>
      <c r="D2565" s="11" t="s">
        <v>254</v>
      </c>
      <c r="E2565" s="9" t="str">
        <f>+HYPERLINK("http://trademark.i-assist.jp/data/china/image_1903th/79597487.pdf", "79597487")</f>
        <v>79597487</v>
      </c>
      <c r="F2565" s="11" t="s">
        <v>7241</v>
      </c>
      <c r="G2565" s="11" t="s">
        <v>7121</v>
      </c>
      <c r="H2565" s="11" t="s">
        <v>7242</v>
      </c>
      <c r="I2565" s="11" t="s">
        <v>7094</v>
      </c>
    </row>
    <row r="2566" spans="1:9" x14ac:dyDescent="0.15">
      <c r="A2566" s="10">
        <v>2565</v>
      </c>
      <c r="B2566" s="11" t="s">
        <v>9</v>
      </c>
      <c r="C2566" s="11" t="s">
        <v>253</v>
      </c>
      <c r="D2566" s="11" t="s">
        <v>254</v>
      </c>
      <c r="E2566" s="9" t="str">
        <f>+HYPERLINK("http://trademark.i-assist.jp/data/china/image_1903th/79597601.pdf", "79597601")</f>
        <v>79597601</v>
      </c>
      <c r="F2566" s="11" t="s">
        <v>7243</v>
      </c>
      <c r="G2566" s="11" t="s">
        <v>7244</v>
      </c>
      <c r="H2566" s="11" t="s">
        <v>7245</v>
      </c>
      <c r="I2566" s="11" t="s">
        <v>7094</v>
      </c>
    </row>
    <row r="2567" spans="1:9" x14ac:dyDescent="0.15">
      <c r="A2567" s="10">
        <v>2566</v>
      </c>
      <c r="B2567" s="11" t="s">
        <v>9</v>
      </c>
      <c r="C2567" s="11" t="s">
        <v>253</v>
      </c>
      <c r="D2567" s="11" t="s">
        <v>254</v>
      </c>
      <c r="E2567" s="9" t="str">
        <f>+HYPERLINK("http://trademark.i-assist.jp/data/china/image_1903th/79597615.pdf", "79597615")</f>
        <v>79597615</v>
      </c>
      <c r="F2567" s="11" t="s">
        <v>7246</v>
      </c>
      <c r="G2567" s="11" t="s">
        <v>7244</v>
      </c>
      <c r="H2567" s="11" t="s">
        <v>7247</v>
      </c>
      <c r="I2567" s="11" t="s">
        <v>7094</v>
      </c>
    </row>
    <row r="2568" spans="1:9" x14ac:dyDescent="0.15">
      <c r="A2568" s="10">
        <v>2567</v>
      </c>
      <c r="B2568" s="11" t="s">
        <v>9</v>
      </c>
      <c r="C2568" s="11" t="s">
        <v>253</v>
      </c>
      <c r="D2568" s="11" t="s">
        <v>254</v>
      </c>
      <c r="E2568" s="9" t="str">
        <f>+HYPERLINK("http://trademark.i-assist.jp/data/china/image_1903th/79598092.pdf", "79598092")</f>
        <v>79598092</v>
      </c>
      <c r="F2568" s="11" t="s">
        <v>7248</v>
      </c>
      <c r="G2568" s="11" t="s">
        <v>7249</v>
      </c>
      <c r="H2568" s="11" t="s">
        <v>7250</v>
      </c>
      <c r="I2568" s="11" t="s">
        <v>7094</v>
      </c>
    </row>
    <row r="2569" spans="1:9" x14ac:dyDescent="0.15">
      <c r="A2569" s="10">
        <v>2568</v>
      </c>
      <c r="B2569" s="11" t="s">
        <v>9</v>
      </c>
      <c r="C2569" s="11" t="s">
        <v>253</v>
      </c>
      <c r="D2569" s="11" t="s">
        <v>254</v>
      </c>
      <c r="E2569" s="9" t="str">
        <f>+HYPERLINK("http://trademark.i-assist.jp/data/china/image_1903th/79598285.pdf", "79598285")</f>
        <v>79598285</v>
      </c>
      <c r="F2569" s="11" t="s">
        <v>7251</v>
      </c>
      <c r="G2569" s="11" t="s">
        <v>7127</v>
      </c>
      <c r="H2569" s="11" t="s">
        <v>7252</v>
      </c>
      <c r="I2569" s="11" t="s">
        <v>7094</v>
      </c>
    </row>
    <row r="2570" spans="1:9" x14ac:dyDescent="0.15">
      <c r="A2570" s="10">
        <v>2569</v>
      </c>
      <c r="B2570" s="11" t="s">
        <v>9</v>
      </c>
      <c r="C2570" s="11" t="s">
        <v>253</v>
      </c>
      <c r="D2570" s="11" t="s">
        <v>254</v>
      </c>
      <c r="E2570" s="9" t="str">
        <f>+HYPERLINK("http://trademark.i-assist.jp/data/china/image_1903th/79599312.pdf", "79599312")</f>
        <v>79599312</v>
      </c>
      <c r="F2570" s="11" t="s">
        <v>7253</v>
      </c>
      <c r="G2570" s="11" t="s">
        <v>7254</v>
      </c>
      <c r="H2570" s="11" t="s">
        <v>7255</v>
      </c>
      <c r="I2570" s="11" t="s">
        <v>7094</v>
      </c>
    </row>
    <row r="2571" spans="1:9" x14ac:dyDescent="0.15">
      <c r="A2571" s="10">
        <v>2570</v>
      </c>
      <c r="B2571" s="11" t="s">
        <v>9</v>
      </c>
      <c r="C2571" s="11" t="s">
        <v>253</v>
      </c>
      <c r="D2571" s="11" t="s">
        <v>254</v>
      </c>
      <c r="E2571" s="9" t="str">
        <f>+HYPERLINK("http://trademark.i-assist.jp/data/china/image_1903th/79600097.pdf", "79600097")</f>
        <v>79600097</v>
      </c>
      <c r="F2571" s="11" t="s">
        <v>7256</v>
      </c>
      <c r="G2571" s="11" t="s">
        <v>7257</v>
      </c>
      <c r="H2571" s="11" t="s">
        <v>7258</v>
      </c>
      <c r="I2571" s="11" t="s">
        <v>7259</v>
      </c>
    </row>
    <row r="2572" spans="1:9" x14ac:dyDescent="0.15">
      <c r="A2572" s="10">
        <v>2571</v>
      </c>
      <c r="B2572" s="11" t="s">
        <v>9</v>
      </c>
      <c r="C2572" s="11" t="s">
        <v>253</v>
      </c>
      <c r="D2572" s="11" t="s">
        <v>254</v>
      </c>
      <c r="E2572" s="9" t="str">
        <f>+HYPERLINK("http://trademark.i-assist.jp/data/china/image_1903th/79600550.pdf", "79600550")</f>
        <v>79600550</v>
      </c>
      <c r="F2572" s="11" t="s">
        <v>7260</v>
      </c>
      <c r="G2572" s="11" t="s">
        <v>7261</v>
      </c>
      <c r="H2572" s="11" t="s">
        <v>20</v>
      </c>
      <c r="I2572" s="11" t="s">
        <v>7259</v>
      </c>
    </row>
    <row r="2573" spans="1:9" x14ac:dyDescent="0.15">
      <c r="A2573" s="10">
        <v>2572</v>
      </c>
      <c r="B2573" s="11" t="s">
        <v>9</v>
      </c>
      <c r="C2573" s="11" t="s">
        <v>253</v>
      </c>
      <c r="D2573" s="11" t="s">
        <v>254</v>
      </c>
      <c r="E2573" s="9" t="str">
        <f>+HYPERLINK("http://trademark.i-assist.jp/data/china/image_1903th/79602050.pdf", "79602050")</f>
        <v>79602050</v>
      </c>
      <c r="F2573" s="11" t="s">
        <v>7262</v>
      </c>
      <c r="G2573" s="11" t="s">
        <v>7263</v>
      </c>
      <c r="H2573" s="11" t="s">
        <v>7264</v>
      </c>
      <c r="I2573" s="11" t="s">
        <v>7259</v>
      </c>
    </row>
    <row r="2574" spans="1:9" x14ac:dyDescent="0.15">
      <c r="A2574" s="10">
        <v>2573</v>
      </c>
      <c r="B2574" s="11" t="s">
        <v>9</v>
      </c>
      <c r="C2574" s="11" t="s">
        <v>253</v>
      </c>
      <c r="D2574" s="11" t="s">
        <v>254</v>
      </c>
      <c r="E2574" s="9" t="str">
        <f>+HYPERLINK("http://trademark.i-assist.jp/data/china/image_1903th/79602321.pdf", "79602321")</f>
        <v>79602321</v>
      </c>
      <c r="F2574" s="11" t="s">
        <v>7265</v>
      </c>
      <c r="G2574" s="11" t="s">
        <v>7266</v>
      </c>
      <c r="H2574" s="11" t="s">
        <v>7267</v>
      </c>
      <c r="I2574" s="11" t="s">
        <v>7259</v>
      </c>
    </row>
    <row r="2575" spans="1:9" x14ac:dyDescent="0.15">
      <c r="A2575" s="10">
        <v>2574</v>
      </c>
      <c r="B2575" s="11" t="s">
        <v>9</v>
      </c>
      <c r="C2575" s="11" t="s">
        <v>253</v>
      </c>
      <c r="D2575" s="11" t="s">
        <v>254</v>
      </c>
      <c r="E2575" s="9" t="str">
        <f>+HYPERLINK("http://trademark.i-assist.jp/data/china/image_1903th/79603249.pdf", "79603249")</f>
        <v>79603249</v>
      </c>
      <c r="F2575" s="11" t="s">
        <v>7268</v>
      </c>
      <c r="G2575" s="11" t="s">
        <v>7269</v>
      </c>
      <c r="H2575" s="11" t="s">
        <v>7270</v>
      </c>
      <c r="I2575" s="11" t="s">
        <v>7259</v>
      </c>
    </row>
    <row r="2576" spans="1:9" x14ac:dyDescent="0.15">
      <c r="A2576" s="10">
        <v>2575</v>
      </c>
      <c r="B2576" s="11" t="s">
        <v>9</v>
      </c>
      <c r="C2576" s="11" t="s">
        <v>253</v>
      </c>
      <c r="D2576" s="11" t="s">
        <v>254</v>
      </c>
      <c r="E2576" s="9" t="str">
        <f>+HYPERLINK("http://trademark.i-assist.jp/data/china/image_1903th/79604162.pdf", "79604162")</f>
        <v>79604162</v>
      </c>
      <c r="F2576" s="11" t="s">
        <v>7271</v>
      </c>
      <c r="G2576" s="11" t="s">
        <v>7272</v>
      </c>
      <c r="H2576" s="11" t="s">
        <v>7273</v>
      </c>
      <c r="I2576" s="11" t="s">
        <v>7259</v>
      </c>
    </row>
    <row r="2577" spans="1:9" x14ac:dyDescent="0.15">
      <c r="A2577" s="10">
        <v>2576</v>
      </c>
      <c r="B2577" s="11" t="s">
        <v>9</v>
      </c>
      <c r="C2577" s="11" t="s">
        <v>253</v>
      </c>
      <c r="D2577" s="11" t="s">
        <v>254</v>
      </c>
      <c r="E2577" s="9" t="str">
        <f>+HYPERLINK("http://trademark.i-assist.jp/data/china/image_1903th/79604729.pdf", "79604729")</f>
        <v>79604729</v>
      </c>
      <c r="F2577" s="11" t="s">
        <v>7274</v>
      </c>
      <c r="G2577" s="11" t="s">
        <v>7275</v>
      </c>
      <c r="H2577" s="11" t="s">
        <v>7276</v>
      </c>
      <c r="I2577" s="11" t="s">
        <v>7259</v>
      </c>
    </row>
    <row r="2578" spans="1:9" x14ac:dyDescent="0.15">
      <c r="A2578" s="10">
        <v>2577</v>
      </c>
      <c r="B2578" s="11" t="s">
        <v>9</v>
      </c>
      <c r="C2578" s="11" t="s">
        <v>253</v>
      </c>
      <c r="D2578" s="11" t="s">
        <v>254</v>
      </c>
      <c r="E2578" s="9" t="str">
        <f>+HYPERLINK("http://trademark.i-assist.jp/data/china/image_1903th/79604836.pdf", "79604836")</f>
        <v>79604836</v>
      </c>
      <c r="F2578" s="11" t="s">
        <v>12</v>
      </c>
      <c r="G2578" s="11" t="s">
        <v>7277</v>
      </c>
      <c r="H2578" s="11" t="s">
        <v>7278</v>
      </c>
      <c r="I2578" s="11" t="s">
        <v>7259</v>
      </c>
    </row>
    <row r="2579" spans="1:9" x14ac:dyDescent="0.15">
      <c r="A2579" s="10">
        <v>2578</v>
      </c>
      <c r="B2579" s="11" t="s">
        <v>9</v>
      </c>
      <c r="C2579" s="11" t="s">
        <v>253</v>
      </c>
      <c r="D2579" s="11" t="s">
        <v>254</v>
      </c>
      <c r="E2579" s="9" t="str">
        <f>+HYPERLINK("http://trademark.i-assist.jp/data/china/image_1903th/79604965.pdf", "79604965")</f>
        <v>79604965</v>
      </c>
      <c r="F2579" s="11" t="s">
        <v>7279</v>
      </c>
      <c r="G2579" s="11" t="s">
        <v>7280</v>
      </c>
      <c r="H2579" s="11" t="s">
        <v>7281</v>
      </c>
      <c r="I2579" s="11" t="s">
        <v>7259</v>
      </c>
    </row>
    <row r="2580" spans="1:9" x14ac:dyDescent="0.15">
      <c r="A2580" s="10">
        <v>2579</v>
      </c>
      <c r="B2580" s="11" t="s">
        <v>9</v>
      </c>
      <c r="C2580" s="11" t="s">
        <v>253</v>
      </c>
      <c r="D2580" s="11" t="s">
        <v>254</v>
      </c>
      <c r="E2580" s="9" t="str">
        <f>+HYPERLINK("http://trademark.i-assist.jp/data/china/image_1903th/79605082.pdf", "79605082")</f>
        <v>79605082</v>
      </c>
      <c r="F2580" s="11" t="s">
        <v>7282</v>
      </c>
      <c r="G2580" s="11" t="s">
        <v>7283</v>
      </c>
      <c r="H2580" s="11" t="s">
        <v>7284</v>
      </c>
      <c r="I2580" s="11" t="s">
        <v>7259</v>
      </c>
    </row>
    <row r="2581" spans="1:9" x14ac:dyDescent="0.15">
      <c r="A2581" s="10">
        <v>2580</v>
      </c>
      <c r="B2581" s="11" t="s">
        <v>9</v>
      </c>
      <c r="C2581" s="11" t="s">
        <v>253</v>
      </c>
      <c r="D2581" s="11" t="s">
        <v>254</v>
      </c>
      <c r="E2581" s="9" t="str">
        <f>+HYPERLINK("http://trademark.i-assist.jp/data/china/image_1903th/79605370.pdf", "79605370")</f>
        <v>79605370</v>
      </c>
      <c r="F2581" s="11" t="s">
        <v>7285</v>
      </c>
      <c r="G2581" s="11" t="s">
        <v>207</v>
      </c>
      <c r="H2581" s="11" t="s">
        <v>7286</v>
      </c>
      <c r="I2581" s="11" t="s">
        <v>7259</v>
      </c>
    </row>
    <row r="2582" spans="1:9" x14ac:dyDescent="0.15">
      <c r="A2582" s="10">
        <v>2581</v>
      </c>
      <c r="B2582" s="11" t="s">
        <v>9</v>
      </c>
      <c r="C2582" s="11" t="s">
        <v>253</v>
      </c>
      <c r="D2582" s="11" t="s">
        <v>254</v>
      </c>
      <c r="E2582" s="9" t="str">
        <f>+HYPERLINK("http://trademark.i-assist.jp/data/china/image_1903th/79605507.pdf", "79605507")</f>
        <v>79605507</v>
      </c>
      <c r="F2582" s="11" t="s">
        <v>7287</v>
      </c>
      <c r="G2582" s="11" t="s">
        <v>7288</v>
      </c>
      <c r="H2582" s="11" t="s">
        <v>7289</v>
      </c>
      <c r="I2582" s="11" t="s">
        <v>7259</v>
      </c>
    </row>
    <row r="2583" spans="1:9" x14ac:dyDescent="0.15">
      <c r="A2583" s="10">
        <v>2582</v>
      </c>
      <c r="B2583" s="11" t="s">
        <v>9</v>
      </c>
      <c r="C2583" s="11" t="s">
        <v>253</v>
      </c>
      <c r="D2583" s="11" t="s">
        <v>254</v>
      </c>
      <c r="E2583" s="9" t="str">
        <f>+HYPERLINK("http://trademark.i-assist.jp/data/china/image_1903th/79605667.pdf", "79605667")</f>
        <v>79605667</v>
      </c>
      <c r="F2583" s="11" t="s">
        <v>7290</v>
      </c>
      <c r="G2583" s="11" t="s">
        <v>7275</v>
      </c>
      <c r="H2583" s="11" t="s">
        <v>7291</v>
      </c>
      <c r="I2583" s="11" t="s">
        <v>7259</v>
      </c>
    </row>
    <row r="2584" spans="1:9" x14ac:dyDescent="0.15">
      <c r="A2584" s="10">
        <v>2583</v>
      </c>
      <c r="B2584" s="11" t="s">
        <v>9</v>
      </c>
      <c r="C2584" s="11" t="s">
        <v>253</v>
      </c>
      <c r="D2584" s="11" t="s">
        <v>254</v>
      </c>
      <c r="E2584" s="9" t="str">
        <f>+HYPERLINK("http://trademark.i-assist.jp/data/china/image_1903th/79605685.pdf", "79605685")</f>
        <v>79605685</v>
      </c>
      <c r="F2584" s="11" t="s">
        <v>7292</v>
      </c>
      <c r="G2584" s="11" t="s">
        <v>7275</v>
      </c>
      <c r="H2584" s="11" t="s">
        <v>7293</v>
      </c>
      <c r="I2584" s="11" t="s">
        <v>7259</v>
      </c>
    </row>
    <row r="2585" spans="1:9" x14ac:dyDescent="0.15">
      <c r="A2585" s="10">
        <v>2584</v>
      </c>
      <c r="B2585" s="11" t="s">
        <v>9</v>
      </c>
      <c r="C2585" s="11" t="s">
        <v>253</v>
      </c>
      <c r="D2585" s="11" t="s">
        <v>254</v>
      </c>
      <c r="E2585" s="9" t="str">
        <f>+HYPERLINK("http://trademark.i-assist.jp/data/china/image_1903th/79606424.pdf", "79606424")</f>
        <v>79606424</v>
      </c>
      <c r="F2585" s="11" t="s">
        <v>7294</v>
      </c>
      <c r="G2585" s="11" t="s">
        <v>7295</v>
      </c>
      <c r="H2585" s="11" t="s">
        <v>7296</v>
      </c>
      <c r="I2585" s="11" t="s">
        <v>7259</v>
      </c>
    </row>
    <row r="2586" spans="1:9" x14ac:dyDescent="0.15">
      <c r="A2586" s="10">
        <v>2585</v>
      </c>
      <c r="B2586" s="11" t="s">
        <v>9</v>
      </c>
      <c r="C2586" s="11" t="s">
        <v>253</v>
      </c>
      <c r="D2586" s="11" t="s">
        <v>254</v>
      </c>
      <c r="E2586" s="9" t="str">
        <f>+HYPERLINK("http://trademark.i-assist.jp/data/china/image_1903th/79607509.pdf", "79607509")</f>
        <v>79607509</v>
      </c>
      <c r="F2586" s="11" t="s">
        <v>7297</v>
      </c>
      <c r="G2586" s="11" t="s">
        <v>7298</v>
      </c>
      <c r="H2586" s="11" t="s">
        <v>7299</v>
      </c>
      <c r="I2586" s="11" t="s">
        <v>7259</v>
      </c>
    </row>
    <row r="2587" spans="1:9" x14ac:dyDescent="0.15">
      <c r="A2587" s="10">
        <v>2586</v>
      </c>
      <c r="B2587" s="11" t="s">
        <v>9</v>
      </c>
      <c r="C2587" s="11" t="s">
        <v>253</v>
      </c>
      <c r="D2587" s="11" t="s">
        <v>254</v>
      </c>
      <c r="E2587" s="9" t="str">
        <f>+HYPERLINK("http://trademark.i-assist.jp/data/china/image_1903th/79607522.pdf", "79607522")</f>
        <v>79607522</v>
      </c>
      <c r="F2587" s="11" t="s">
        <v>7300</v>
      </c>
      <c r="G2587" s="11" t="s">
        <v>7298</v>
      </c>
      <c r="H2587" s="11" t="s">
        <v>7301</v>
      </c>
      <c r="I2587" s="11" t="s">
        <v>7259</v>
      </c>
    </row>
    <row r="2588" spans="1:9" x14ac:dyDescent="0.15">
      <c r="A2588" s="10">
        <v>2587</v>
      </c>
      <c r="B2588" s="11" t="s">
        <v>9</v>
      </c>
      <c r="C2588" s="11" t="s">
        <v>253</v>
      </c>
      <c r="D2588" s="11" t="s">
        <v>254</v>
      </c>
      <c r="E2588" s="9" t="str">
        <f>+HYPERLINK("http://trademark.i-assist.jp/data/china/image_1903th/79608344.pdf", "79608344")</f>
        <v>79608344</v>
      </c>
      <c r="F2588" s="11" t="s">
        <v>7302</v>
      </c>
      <c r="G2588" s="11" t="s">
        <v>7272</v>
      </c>
      <c r="H2588" s="11" t="s">
        <v>7303</v>
      </c>
      <c r="I2588" s="11" t="s">
        <v>7259</v>
      </c>
    </row>
    <row r="2589" spans="1:9" x14ac:dyDescent="0.15">
      <c r="A2589" s="10">
        <v>2588</v>
      </c>
      <c r="B2589" s="11" t="s">
        <v>9</v>
      </c>
      <c r="C2589" s="11" t="s">
        <v>253</v>
      </c>
      <c r="D2589" s="11" t="s">
        <v>254</v>
      </c>
      <c r="E2589" s="9" t="str">
        <f>+HYPERLINK("http://trademark.i-assist.jp/data/china/image_1903th/79608350.pdf", "79608350")</f>
        <v>79608350</v>
      </c>
      <c r="F2589" s="11" t="s">
        <v>7304</v>
      </c>
      <c r="G2589" s="11" t="s">
        <v>7305</v>
      </c>
      <c r="H2589" s="11" t="s">
        <v>7306</v>
      </c>
      <c r="I2589" s="11" t="s">
        <v>7259</v>
      </c>
    </row>
    <row r="2590" spans="1:9" x14ac:dyDescent="0.15">
      <c r="A2590" s="10">
        <v>2589</v>
      </c>
      <c r="B2590" s="11" t="s">
        <v>9</v>
      </c>
      <c r="C2590" s="11" t="s">
        <v>253</v>
      </c>
      <c r="D2590" s="11" t="s">
        <v>254</v>
      </c>
      <c r="E2590" s="9" t="str">
        <f>+HYPERLINK("http://trademark.i-assist.jp/data/china/image_1903th/79608395.pdf", "79608395")</f>
        <v>79608395</v>
      </c>
      <c r="F2590" s="11" t="s">
        <v>7307</v>
      </c>
      <c r="G2590" s="11" t="s">
        <v>7308</v>
      </c>
      <c r="H2590" s="11" t="s">
        <v>7309</v>
      </c>
      <c r="I2590" s="11" t="s">
        <v>7259</v>
      </c>
    </row>
    <row r="2591" spans="1:9" x14ac:dyDescent="0.15">
      <c r="A2591" s="10">
        <v>2590</v>
      </c>
      <c r="B2591" s="11" t="s">
        <v>9</v>
      </c>
      <c r="C2591" s="11" t="s">
        <v>253</v>
      </c>
      <c r="D2591" s="11" t="s">
        <v>254</v>
      </c>
      <c r="E2591" s="9" t="str">
        <f>+HYPERLINK("http://trademark.i-assist.jp/data/china/image_1903th/79608543.pdf", "79608543")</f>
        <v>79608543</v>
      </c>
      <c r="F2591" s="11" t="s">
        <v>7310</v>
      </c>
      <c r="G2591" s="11" t="s">
        <v>7311</v>
      </c>
      <c r="H2591" s="11" t="s">
        <v>7312</v>
      </c>
      <c r="I2591" s="11" t="s">
        <v>7259</v>
      </c>
    </row>
    <row r="2592" spans="1:9" x14ac:dyDescent="0.15">
      <c r="A2592" s="10">
        <v>2591</v>
      </c>
      <c r="B2592" s="11" t="s">
        <v>9</v>
      </c>
      <c r="C2592" s="11" t="s">
        <v>253</v>
      </c>
      <c r="D2592" s="11" t="s">
        <v>254</v>
      </c>
      <c r="E2592" s="9" t="str">
        <f>+HYPERLINK("http://trademark.i-assist.jp/data/china/image_1903th/79609499.pdf", "79609499")</f>
        <v>79609499</v>
      </c>
      <c r="F2592" s="11" t="s">
        <v>7313</v>
      </c>
      <c r="G2592" s="11" t="s">
        <v>7295</v>
      </c>
      <c r="H2592" s="11" t="s">
        <v>7314</v>
      </c>
      <c r="I2592" s="11" t="s">
        <v>7259</v>
      </c>
    </row>
    <row r="2593" spans="1:9" x14ac:dyDescent="0.15">
      <c r="A2593" s="10">
        <v>2592</v>
      </c>
      <c r="B2593" s="11" t="s">
        <v>9</v>
      </c>
      <c r="C2593" s="11" t="s">
        <v>253</v>
      </c>
      <c r="D2593" s="11" t="s">
        <v>254</v>
      </c>
      <c r="E2593" s="9" t="str">
        <f>+HYPERLINK("http://trademark.i-assist.jp/data/china/image_1903th/79610443.pdf", "79610443")</f>
        <v>79610443</v>
      </c>
      <c r="F2593" s="11" t="s">
        <v>7315</v>
      </c>
      <c r="G2593" s="11" t="s">
        <v>7272</v>
      </c>
      <c r="H2593" s="11" t="s">
        <v>7316</v>
      </c>
      <c r="I2593" s="11" t="s">
        <v>7259</v>
      </c>
    </row>
    <row r="2594" spans="1:9" x14ac:dyDescent="0.15">
      <c r="A2594" s="10">
        <v>2593</v>
      </c>
      <c r="B2594" s="11" t="s">
        <v>9</v>
      </c>
      <c r="C2594" s="11" t="s">
        <v>253</v>
      </c>
      <c r="D2594" s="11" t="s">
        <v>254</v>
      </c>
      <c r="E2594" s="9" t="str">
        <f>+HYPERLINK("http://trademark.i-assist.jp/data/china/image_1903th/79611463.pdf", "79611463")</f>
        <v>79611463</v>
      </c>
      <c r="F2594" s="11" t="s">
        <v>7317</v>
      </c>
      <c r="G2594" s="11" t="s">
        <v>7272</v>
      </c>
      <c r="H2594" s="11" t="s">
        <v>7318</v>
      </c>
      <c r="I2594" s="11" t="s">
        <v>7259</v>
      </c>
    </row>
    <row r="2595" spans="1:9" x14ac:dyDescent="0.15">
      <c r="A2595" s="10">
        <v>2594</v>
      </c>
      <c r="B2595" s="11" t="s">
        <v>9</v>
      </c>
      <c r="C2595" s="11" t="s">
        <v>253</v>
      </c>
      <c r="D2595" s="11" t="s">
        <v>254</v>
      </c>
      <c r="E2595" s="9" t="str">
        <f>+HYPERLINK("http://trademark.i-assist.jp/data/china/image_1903th/79611497.pdf", "79611497")</f>
        <v>79611497</v>
      </c>
      <c r="F2595" s="11" t="s">
        <v>7319</v>
      </c>
      <c r="G2595" s="11" t="s">
        <v>7272</v>
      </c>
      <c r="H2595" s="11" t="s">
        <v>7320</v>
      </c>
      <c r="I2595" s="11" t="s">
        <v>7259</v>
      </c>
    </row>
    <row r="2596" spans="1:9" x14ac:dyDescent="0.15">
      <c r="A2596" s="10">
        <v>2595</v>
      </c>
      <c r="B2596" s="11" t="s">
        <v>9</v>
      </c>
      <c r="C2596" s="11" t="s">
        <v>253</v>
      </c>
      <c r="D2596" s="11" t="s">
        <v>254</v>
      </c>
      <c r="E2596" s="9" t="str">
        <f>+HYPERLINK("http://trademark.i-assist.jp/data/china/image_1903th/79612715.pdf", "79612715")</f>
        <v>79612715</v>
      </c>
      <c r="F2596" s="11" t="s">
        <v>7321</v>
      </c>
      <c r="G2596" s="11" t="s">
        <v>7272</v>
      </c>
      <c r="H2596" s="11" t="s">
        <v>7322</v>
      </c>
      <c r="I2596" s="11" t="s">
        <v>7259</v>
      </c>
    </row>
    <row r="2597" spans="1:9" x14ac:dyDescent="0.15">
      <c r="A2597" s="10">
        <v>2596</v>
      </c>
      <c r="B2597" s="11" t="s">
        <v>9</v>
      </c>
      <c r="C2597" s="11" t="s">
        <v>253</v>
      </c>
      <c r="D2597" s="11" t="s">
        <v>254</v>
      </c>
      <c r="E2597" s="9" t="str">
        <f>+HYPERLINK("http://trademark.i-assist.jp/data/china/image_1903th/79614259.pdf", "79614259")</f>
        <v>79614259</v>
      </c>
      <c r="F2597" s="11" t="s">
        <v>7323</v>
      </c>
      <c r="G2597" s="11" t="s">
        <v>7324</v>
      </c>
      <c r="H2597" s="11" t="s">
        <v>7325</v>
      </c>
      <c r="I2597" s="11" t="s">
        <v>7259</v>
      </c>
    </row>
    <row r="2598" spans="1:9" x14ac:dyDescent="0.15">
      <c r="A2598" s="10">
        <v>2597</v>
      </c>
      <c r="B2598" s="11" t="s">
        <v>9</v>
      </c>
      <c r="C2598" s="11" t="s">
        <v>253</v>
      </c>
      <c r="D2598" s="11" t="s">
        <v>254</v>
      </c>
      <c r="E2598" s="9" t="str">
        <f>+HYPERLINK("http://trademark.i-assist.jp/data/china/image_1903th/79614642.pdf", "79614642")</f>
        <v>79614642</v>
      </c>
      <c r="F2598" s="11" t="s">
        <v>12</v>
      </c>
      <c r="G2598" s="11" t="s">
        <v>7326</v>
      </c>
      <c r="H2598" s="11" t="s">
        <v>7327</v>
      </c>
      <c r="I2598" s="11" t="s">
        <v>7259</v>
      </c>
    </row>
    <row r="2599" spans="1:9" x14ac:dyDescent="0.15">
      <c r="A2599" s="10">
        <v>2598</v>
      </c>
      <c r="B2599" s="11" t="s">
        <v>9</v>
      </c>
      <c r="C2599" s="11" t="s">
        <v>253</v>
      </c>
      <c r="D2599" s="11" t="s">
        <v>254</v>
      </c>
      <c r="E2599" s="9" t="str">
        <f>+HYPERLINK("http://trademark.i-assist.jp/data/china/image_1903th/79615854.pdf", "79615854")</f>
        <v>79615854</v>
      </c>
      <c r="F2599" s="11" t="s">
        <v>7328</v>
      </c>
      <c r="G2599" s="11" t="s">
        <v>176</v>
      </c>
      <c r="H2599" s="11" t="s">
        <v>7329</v>
      </c>
      <c r="I2599" s="11" t="s">
        <v>7259</v>
      </c>
    </row>
    <row r="2600" spans="1:9" x14ac:dyDescent="0.15">
      <c r="A2600" s="10">
        <v>2599</v>
      </c>
      <c r="B2600" s="11" t="s">
        <v>9</v>
      </c>
      <c r="C2600" s="11" t="s">
        <v>253</v>
      </c>
      <c r="D2600" s="11" t="s">
        <v>254</v>
      </c>
      <c r="E2600" s="9" t="str">
        <f>+HYPERLINK("http://trademark.i-assist.jp/data/china/image_1903th/79616512.pdf", "79616512")</f>
        <v>79616512</v>
      </c>
      <c r="F2600" s="11" t="s">
        <v>7330</v>
      </c>
      <c r="G2600" s="11" t="s">
        <v>7331</v>
      </c>
      <c r="H2600" s="11" t="s">
        <v>7332</v>
      </c>
      <c r="I2600" s="11" t="s">
        <v>7259</v>
      </c>
    </row>
    <row r="2601" spans="1:9" x14ac:dyDescent="0.15">
      <c r="A2601" s="10">
        <v>2600</v>
      </c>
      <c r="B2601" s="11" t="s">
        <v>9</v>
      </c>
      <c r="C2601" s="11" t="s">
        <v>253</v>
      </c>
      <c r="D2601" s="11" t="s">
        <v>254</v>
      </c>
      <c r="E2601" s="9" t="str">
        <f>+HYPERLINK("http://trademark.i-assist.jp/data/china/image_1903th/79616739.pdf", "79616739")</f>
        <v>79616739</v>
      </c>
      <c r="F2601" s="11" t="s">
        <v>7333</v>
      </c>
      <c r="G2601" s="11" t="s">
        <v>7334</v>
      </c>
      <c r="H2601" s="11" t="s">
        <v>7335</v>
      </c>
      <c r="I2601" s="11" t="s">
        <v>7259</v>
      </c>
    </row>
    <row r="2602" spans="1:9" x14ac:dyDescent="0.15">
      <c r="A2602" s="10">
        <v>2601</v>
      </c>
      <c r="B2602" s="11" t="s">
        <v>9</v>
      </c>
      <c r="C2602" s="11" t="s">
        <v>253</v>
      </c>
      <c r="D2602" s="11" t="s">
        <v>254</v>
      </c>
      <c r="E2602" s="9" t="str">
        <f>+HYPERLINK("http://trademark.i-assist.jp/data/china/image_1903th/79616767.pdf", "79616767")</f>
        <v>79616767</v>
      </c>
      <c r="F2602" s="11" t="s">
        <v>7336</v>
      </c>
      <c r="G2602" s="11" t="s">
        <v>7337</v>
      </c>
      <c r="H2602" s="11" t="s">
        <v>7338</v>
      </c>
      <c r="I2602" s="11" t="s">
        <v>7259</v>
      </c>
    </row>
    <row r="2603" spans="1:9" x14ac:dyDescent="0.15">
      <c r="A2603" s="10">
        <v>2602</v>
      </c>
      <c r="B2603" s="11" t="s">
        <v>9</v>
      </c>
      <c r="C2603" s="11" t="s">
        <v>253</v>
      </c>
      <c r="D2603" s="11" t="s">
        <v>254</v>
      </c>
      <c r="E2603" s="9" t="str">
        <f>+HYPERLINK("http://trademark.i-assist.jp/data/china/image_1903th/79617147.pdf", "79617147")</f>
        <v>79617147</v>
      </c>
      <c r="F2603" s="11" t="s">
        <v>7339</v>
      </c>
      <c r="G2603" s="11" t="s">
        <v>7340</v>
      </c>
      <c r="H2603" s="11" t="s">
        <v>7341</v>
      </c>
      <c r="I2603" s="11" t="s">
        <v>7259</v>
      </c>
    </row>
    <row r="2604" spans="1:9" x14ac:dyDescent="0.15">
      <c r="A2604" s="10">
        <v>2603</v>
      </c>
      <c r="B2604" s="11" t="s">
        <v>9</v>
      </c>
      <c r="C2604" s="11" t="s">
        <v>253</v>
      </c>
      <c r="D2604" s="11" t="s">
        <v>254</v>
      </c>
      <c r="E2604" s="9" t="str">
        <f>+HYPERLINK("http://trademark.i-assist.jp/data/china/image_1903th/79617330.pdf", "79617330")</f>
        <v>79617330</v>
      </c>
      <c r="F2604" s="11" t="s">
        <v>7342</v>
      </c>
      <c r="G2604" s="11" t="s">
        <v>7272</v>
      </c>
      <c r="H2604" s="11" t="s">
        <v>7343</v>
      </c>
      <c r="I2604" s="11" t="s">
        <v>7259</v>
      </c>
    </row>
    <row r="2605" spans="1:9" x14ac:dyDescent="0.15">
      <c r="A2605" s="10">
        <v>2604</v>
      </c>
      <c r="B2605" s="11" t="s">
        <v>9</v>
      </c>
      <c r="C2605" s="11" t="s">
        <v>253</v>
      </c>
      <c r="D2605" s="11" t="s">
        <v>254</v>
      </c>
      <c r="E2605" s="9" t="str">
        <f>+HYPERLINK("http://trademark.i-assist.jp/data/china/image_1903th/79617438.pdf", "79617438")</f>
        <v>79617438</v>
      </c>
      <c r="F2605" s="11" t="s">
        <v>7344</v>
      </c>
      <c r="G2605" s="11" t="s">
        <v>7263</v>
      </c>
      <c r="H2605" s="11" t="s">
        <v>7345</v>
      </c>
      <c r="I2605" s="11" t="s">
        <v>7259</v>
      </c>
    </row>
    <row r="2606" spans="1:9" x14ac:dyDescent="0.15">
      <c r="A2606" s="10">
        <v>2605</v>
      </c>
      <c r="B2606" s="11" t="s">
        <v>9</v>
      </c>
      <c r="C2606" s="11" t="s">
        <v>253</v>
      </c>
      <c r="D2606" s="11" t="s">
        <v>254</v>
      </c>
      <c r="E2606" s="9" t="str">
        <f>+HYPERLINK("http://trademark.i-assist.jp/data/china/image_1903th/79618410.pdf", "79618410")</f>
        <v>79618410</v>
      </c>
      <c r="F2606" s="11" t="s">
        <v>7346</v>
      </c>
      <c r="G2606" s="11" t="s">
        <v>7347</v>
      </c>
      <c r="H2606" s="11" t="s">
        <v>7348</v>
      </c>
      <c r="I2606" s="11" t="s">
        <v>7259</v>
      </c>
    </row>
    <row r="2607" spans="1:9" x14ac:dyDescent="0.15">
      <c r="A2607" s="10">
        <v>2606</v>
      </c>
      <c r="B2607" s="11" t="s">
        <v>9</v>
      </c>
      <c r="C2607" s="11" t="s">
        <v>253</v>
      </c>
      <c r="D2607" s="11" t="s">
        <v>254</v>
      </c>
      <c r="E2607" s="9" t="str">
        <f>+HYPERLINK("http://trademark.i-assist.jp/data/china/image_1903th/79620100.pdf", "79620100")</f>
        <v>79620100</v>
      </c>
      <c r="F2607" s="11" t="s">
        <v>7349</v>
      </c>
      <c r="G2607" s="11" t="s">
        <v>7298</v>
      </c>
      <c r="H2607" s="11" t="s">
        <v>7350</v>
      </c>
      <c r="I2607" s="11" t="s">
        <v>7259</v>
      </c>
    </row>
    <row r="2608" spans="1:9" x14ac:dyDescent="0.15">
      <c r="A2608" s="10">
        <v>2607</v>
      </c>
      <c r="B2608" s="11" t="s">
        <v>9</v>
      </c>
      <c r="C2608" s="11" t="s">
        <v>253</v>
      </c>
      <c r="D2608" s="11" t="s">
        <v>254</v>
      </c>
      <c r="E2608" s="9" t="str">
        <f>+HYPERLINK("http://trademark.i-assist.jp/data/china/image_1903th/79762709.pdf", "79762709")</f>
        <v>79762709</v>
      </c>
      <c r="F2608" s="11" t="s">
        <v>7351</v>
      </c>
      <c r="G2608" s="11" t="s">
        <v>7352</v>
      </c>
      <c r="H2608" s="11" t="s">
        <v>7353</v>
      </c>
      <c r="I2608" s="11" t="s">
        <v>7354</v>
      </c>
    </row>
    <row r="2609" spans="1:9" x14ac:dyDescent="0.15">
      <c r="A2609" s="10">
        <v>2608</v>
      </c>
      <c r="B2609" s="11" t="s">
        <v>9</v>
      </c>
      <c r="C2609" s="11" t="s">
        <v>253</v>
      </c>
      <c r="D2609" s="11" t="s">
        <v>254</v>
      </c>
      <c r="E2609" s="9" t="str">
        <f>+HYPERLINK("http://trademark.i-assist.jp/data/china/image_1903th/79770047.pdf", "79770047")</f>
        <v>79770047</v>
      </c>
      <c r="F2609" s="11" t="s">
        <v>7355</v>
      </c>
      <c r="G2609" s="11" t="s">
        <v>7352</v>
      </c>
      <c r="H2609" s="11" t="s">
        <v>7356</v>
      </c>
      <c r="I2609" s="11" t="s">
        <v>7354</v>
      </c>
    </row>
    <row r="2610" spans="1:9" x14ac:dyDescent="0.15">
      <c r="A2610" s="10">
        <v>2609</v>
      </c>
      <c r="B2610" s="11" t="s">
        <v>9</v>
      </c>
      <c r="C2610" s="11" t="s">
        <v>253</v>
      </c>
      <c r="D2610" s="11" t="s">
        <v>254</v>
      </c>
      <c r="E2610" s="9" t="str">
        <f>+HYPERLINK("http://trademark.i-assist.jp/data/china/image_1903th/79824968.pdf", "79824968")</f>
        <v>79824968</v>
      </c>
      <c r="F2610" s="11" t="s">
        <v>12</v>
      </c>
      <c r="G2610" s="11" t="s">
        <v>7357</v>
      </c>
      <c r="H2610" s="11" t="s">
        <v>7358</v>
      </c>
      <c r="I2610" s="11" t="s">
        <v>7359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1903th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2025-03-05T05:32:43Z</dcterms:modified>
</cp:coreProperties>
</file>