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47B08B52-FCE7-4FD8-A34B-CB7357CCBA50}" xr6:coauthVersionLast="47" xr6:coauthVersionMax="47" xr10:uidLastSave="{00000000-0000-0000-0000-000000000000}"/>
  <bookViews>
    <workbookView xWindow="7080" yWindow="3780" windowWidth="21600" windowHeight="11295" xr2:uid="{00000000-000D-0000-FFFF-FFFF00000000}"/>
  </bookViews>
  <sheets>
    <sheet name="1902th" sheetId="2" r:id="rId1"/>
  </sheets>
  <definedNames>
    <definedName name="_xlnm._FilterDatabase" localSheetId="0" hidden="1">'1902th'!$A$1:$I$1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</calcChain>
</file>

<file path=xl/sharedStrings.xml><?xml version="1.0" encoding="utf-8"?>
<sst xmlns="http://schemas.openxmlformats.org/spreadsheetml/2006/main" count="25454" uniqueCount="10063">
  <si>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</si>
  <si>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</si>
  <si>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</si>
  <si>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</si>
  <si>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</si>
  <si>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</si>
  <si>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</si>
  <si>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</si>
  <si>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</si>
  <si>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</si>
  <si>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贵州情景最藏酒业有限公司</t>
  </si>
  <si>
    <t>果酒（含酒精）;蒸馏饮料;葡萄酒;酒精饮料（啤酒除外）;⽩酒;预先混合的酒精饮料（以啤酒为主的除外）;汽酒;⻩酒;烧酒;⽶酒</t>
  </si>
  <si>
    <t>图形</t>
  </si>
  <si>
    <t>酒精饮料（啤酒除外）</t>
  </si>
  <si>
    <t>2023/06/05</t>
  </si>
  <si>
    <t/>
  </si>
  <si>
    <t>2023/09/13</t>
  </si>
  <si>
    <t>2023/10/08</t>
  </si>
  <si>
    <t>2023/10/09</t>
  </si>
  <si>
    <t>⽩酒</t>
  </si>
  <si>
    <t>2024/02/24</t>
  </si>
  <si>
    <t>2024/03/01</t>
  </si>
  <si>
    <t>2024/03/04</t>
  </si>
  <si>
    <t>2024/03/11</t>
  </si>
  <si>
    <t>2024/03/14</t>
  </si>
  <si>
    <t>2024/03/21</t>
  </si>
  <si>
    <t>2024/03/24</t>
  </si>
  <si>
    <t>2024/03/28</t>
  </si>
  <si>
    <t>2024/04/01</t>
  </si>
  <si>
    <t>双喜（浙江）食品有限公司</t>
  </si>
  <si>
    <t>重庆江小白酒业有限公司</t>
  </si>
  <si>
    <t>上海茅董酱酒文化发展有限公司</t>
  </si>
  <si>
    <t>2024/04/07</t>
  </si>
  <si>
    <t>中国红双喜集团股份有限公司</t>
  </si>
  <si>
    <t>2024/04/08</t>
  </si>
  <si>
    <t>贵州京谭酒业有限责任公司</t>
  </si>
  <si>
    <t>2024/04/11</t>
  </si>
  <si>
    <t>刘万田</t>
  </si>
  <si>
    <t>2024/04/12</t>
  </si>
  <si>
    <t>2024/04/15</t>
  </si>
  <si>
    <t>北京华康投资管理顾问有限公司</t>
  </si>
  <si>
    <t>2024/04/16</t>
  </si>
  <si>
    <t>2024/04/17</t>
  </si>
  <si>
    <t>2024/04/18</t>
  </si>
  <si>
    <t>2024/04/23</t>
  </si>
  <si>
    <t>2024/04/25</t>
  </si>
  <si>
    <t>2024/04/26</t>
  </si>
  <si>
    <t>广西霖溪供应链有限公司</t>
  </si>
  <si>
    <t>高士男</t>
  </si>
  <si>
    <t>2024/04/28</t>
  </si>
  <si>
    <t>乔金生</t>
  </si>
  <si>
    <t>2024/04/29</t>
  </si>
  <si>
    <t>葡萄酒</t>
  </si>
  <si>
    <t>2024/05/06</t>
  </si>
  <si>
    <t>绍兴酒城文化发展有限公司</t>
  </si>
  <si>
    <t>贵州省仁怀市茅台镇衡昌烧坊酿酒有限公司</t>
  </si>
  <si>
    <t>2024/05/07</t>
  </si>
  <si>
    <t>方桂荣</t>
  </si>
  <si>
    <t>2024/05/08</t>
  </si>
  <si>
    <t>世台科技集团有限公司</t>
  </si>
  <si>
    <t>关成</t>
  </si>
  <si>
    <t>2024/05/09</t>
  </si>
  <si>
    <t>贵州创梦酒业有限公司</t>
  </si>
  <si>
    <t>贵州满坐酒业销售有限公司</t>
  </si>
  <si>
    <t>赵苗苗</t>
  </si>
  <si>
    <t>汪加豪</t>
  </si>
  <si>
    <t>河南荆牛商贸有限公司</t>
  </si>
  <si>
    <t>海南原野投资有限公司</t>
  </si>
  <si>
    <t>2024/05/10</t>
  </si>
  <si>
    <t>李利</t>
  </si>
  <si>
    <t>2024/05/11</t>
  </si>
  <si>
    <t>山东百脉泉酒业股份有限公司</t>
  </si>
  <si>
    <t>国科文创发展(深圳)有限公司</t>
  </si>
  <si>
    <t>2024/05/13</t>
  </si>
  <si>
    <t>谢艾尔</t>
  </si>
  <si>
    <t>汤瑞如</t>
  </si>
  <si>
    <t>2024/05/14</t>
  </si>
  <si>
    <t>卓国明</t>
  </si>
  <si>
    <t>釜阳春酒业有限公司</t>
  </si>
  <si>
    <t>2024/05/15</t>
  </si>
  <si>
    <t>湖南云犇电子科技有限公司</t>
  </si>
  <si>
    <t>2024/05/28</t>
  </si>
  <si>
    <t>果酒（含酒精）;蒸馏饮料;葡萄酒;酒精饮料（啤酒除外）;⻩酒;预先混合的酒精饮料（以啤酒为主的除外）;汽酒;烧酒;⽩酒;⽶酒</t>
  </si>
  <si>
    <t>陕西天越龙川实业有限公司</t>
  </si>
  <si>
    <t>2023/04/13</t>
  </si>
  <si>
    <t>2023/04/26</t>
  </si>
  <si>
    <t>2023/05/10</t>
  </si>
  <si>
    <t>陈超</t>
  </si>
  <si>
    <t>2023/07/19</t>
  </si>
  <si>
    <t>2023/08/08</t>
  </si>
  <si>
    <t>2023/08/10</t>
  </si>
  <si>
    <t>2023/08/16</t>
  </si>
  <si>
    <t>2023/08/23</t>
  </si>
  <si>
    <t>2023/08/29</t>
  </si>
  <si>
    <t>2023/09/01</t>
  </si>
  <si>
    <t>2023/09/07</t>
  </si>
  <si>
    <t>2023/09/21</t>
  </si>
  <si>
    <t>2023/09/25</t>
  </si>
  <si>
    <t>2023/09/26</t>
  </si>
  <si>
    <t>2023/09/27</t>
  </si>
  <si>
    <t>2023/10/07</t>
  </si>
  <si>
    <t>2023/10/19</t>
  </si>
  <si>
    <t>2024/02/23</t>
  </si>
  <si>
    <t>北京顺鑫农业股份有限公司牛栏山酒厂</t>
  </si>
  <si>
    <t>查银桃</t>
  </si>
  <si>
    <t>廉要昌</t>
  </si>
  <si>
    <t>刘国庆</t>
  </si>
  <si>
    <t>黄有生</t>
  </si>
  <si>
    <t>贵州玺酒酒业有限责任公司</t>
  </si>
  <si>
    <t>成都蜀之源酒业有限公司</t>
  </si>
  <si>
    <t>四川省宜宾五粮液集团有限公司</t>
  </si>
  <si>
    <t>上海华湘贸易发展有限公司</t>
  </si>
  <si>
    <t>上海酉米酒业有限公司</t>
  </si>
  <si>
    <t>叙泸春</t>
  </si>
  <si>
    <t>王亭</t>
  </si>
  <si>
    <t>CHATEAU LES TUNELIES</t>
  </si>
  <si>
    <t>赵日增</t>
  </si>
  <si>
    <t>河北深情敬梨酒类销售有限公司</t>
  </si>
  <si>
    <t>买红霞</t>
  </si>
  <si>
    <t>陕西聚义堂文化传媒有限公司</t>
  </si>
  <si>
    <t>贵州手艺人酒业有限公司</t>
  </si>
  <si>
    <t>上海三巡电子商务有限公司</t>
  </si>
  <si>
    <t>古蔺县久盛投资有限公司</t>
  </si>
  <si>
    <t>2024/05/16</t>
  </si>
  <si>
    <t>蔺瑞华</t>
  </si>
  <si>
    <t>辽宁世星药化有限公司</t>
  </si>
  <si>
    <t>贵州邹旺酒业（集团）有限公司</t>
  </si>
  <si>
    <t>罗善</t>
  </si>
  <si>
    <t>2024/05/17</t>
  </si>
  <si>
    <t>田浩</t>
  </si>
  <si>
    <t>贵州省仁怀市金榜题名酒业有限公司</t>
  </si>
  <si>
    <t>贵州白酒交易所股份有限公司</t>
  </si>
  <si>
    <t>郑广菊</t>
  </si>
  <si>
    <t>2024/05/18</t>
  </si>
  <si>
    <t>范现立</t>
  </si>
  <si>
    <t>2024/05/20</t>
  </si>
  <si>
    <t>楚燕华</t>
  </si>
  <si>
    <t>湛江市华妃科技有限公司</t>
  </si>
  <si>
    <t>苏建祥</t>
  </si>
  <si>
    <t>戴楠欣</t>
  </si>
  <si>
    <t>洪鲁平</t>
  </si>
  <si>
    <t>2024/05/21</t>
  </si>
  <si>
    <t>金婵</t>
  </si>
  <si>
    <t>2024/05/22</t>
  </si>
  <si>
    <t>许陈闯</t>
  </si>
  <si>
    <t>今世缘金婚</t>
  </si>
  <si>
    <t>江苏今世缘酒业股份有限公司</t>
  </si>
  <si>
    <t>2024/05/23</t>
  </si>
  <si>
    <t>贵州青案台酒业有限公司</t>
  </si>
  <si>
    <t>亿晟烈酒联合集团（香港）有限公司</t>
  </si>
  <si>
    <t>仁怀市颖怡酒类经营部</t>
  </si>
  <si>
    <t>香河锦阔软件开发工作室</t>
  </si>
  <si>
    <t>合肥市庐阳区岳灵酒行（个体工商户）</t>
  </si>
  <si>
    <t>九门口 酒</t>
  </si>
  <si>
    <t>葫芦岛市九江酒业有限责任公司</t>
  </si>
  <si>
    <t>贵阳凤雅坊食品有限公司</t>
  </si>
  <si>
    <t>2024/05/24</t>
  </si>
  <si>
    <t>琛顺</t>
  </si>
  <si>
    <t>宜宾琛顺酒水商贸有限公司</t>
  </si>
  <si>
    <t>胡莎莎</t>
  </si>
  <si>
    <t>上海特洛特国际贸易有限公司</t>
  </si>
  <si>
    <t>上海圆容企业发展有限公司</t>
  </si>
  <si>
    <t>山东京方丹酒业有限公司</t>
  </si>
  <si>
    <t>罗玉满</t>
  </si>
  <si>
    <t>2024/05/25</t>
  </si>
  <si>
    <t>王岩</t>
  </si>
  <si>
    <t>聂修磊</t>
  </si>
  <si>
    <t>2024/05/26</t>
  </si>
  <si>
    <t>逸夫科技（集团）有限公司</t>
  </si>
  <si>
    <t>2024/05/27</t>
  </si>
  <si>
    <t>胡波</t>
  </si>
  <si>
    <t>北京十方界酒业有限公司</t>
  </si>
  <si>
    <t>胡雄帮</t>
  </si>
  <si>
    <t>路秀玲410223********3523</t>
  </si>
  <si>
    <t>李雪晴</t>
  </si>
  <si>
    <t>贵州省仁怀市升邦物流服务有限公司</t>
  </si>
  <si>
    <t>贵州省仁怀市程润陈香酒业有限公司</t>
  </si>
  <si>
    <t>都市休闲餐饮有限公司</t>
  </si>
  <si>
    <t>环球佳酿酒业集团有限公司</t>
  </si>
  <si>
    <t>湖南臻心文化传播有限公司</t>
  </si>
  <si>
    <t>秦皇岛恒天商贸有限公司</t>
  </si>
  <si>
    <t>安徽金种子酒业股份有限公司</t>
  </si>
  <si>
    <t>2024/05/29</t>
  </si>
  <si>
    <t>兴宁市福如海酒业有限公司</t>
  </si>
  <si>
    <t>张雨林</t>
  </si>
  <si>
    <t>姚震斐</t>
  </si>
  <si>
    <t>上海巅峰酱酒业有限公司</t>
  </si>
  <si>
    <t>天幕(香港)国际酒业有限公司</t>
  </si>
  <si>
    <t>贵州国缨酒业有限公司</t>
  </si>
  <si>
    <t>王琮凯</t>
  </si>
  <si>
    <t>贵州宏城光供应链管理有限公司</t>
  </si>
  <si>
    <t>杭州市拱墅区杭硕餐饮店</t>
  </si>
  <si>
    <t>贵州省仁怀市矛康酒业有限公司</t>
  </si>
  <si>
    <t>贵州董酒股份有限公司</t>
  </si>
  <si>
    <t>扬州豆享人生供应链管理有限公司</t>
  </si>
  <si>
    <t>2024/05/30</t>
  </si>
  <si>
    <t>仲跃</t>
  </si>
  <si>
    <t>许冬惠</t>
  </si>
  <si>
    <t>黛尔吉奥苏格兰有限公司</t>
  </si>
  <si>
    <t>威⼠忌;酒精饮料（啤酒除外）</t>
  </si>
  <si>
    <t>林志伟</t>
  </si>
  <si>
    <t>李小鹏</t>
  </si>
  <si>
    <t>杨远才</t>
  </si>
  <si>
    <t>南通品质寿都生活馆贸易有限公司</t>
  </si>
  <si>
    <t>DIONY DISTILLERY</t>
  </si>
  <si>
    <t>迪欧尼酿酒有限公司</t>
  </si>
  <si>
    <t>威⼠忌</t>
  </si>
  <si>
    <t>贵州薏粮醇酱酒有限公司</t>
  </si>
  <si>
    <t>南非昌隆贸易有限公司</t>
  </si>
  <si>
    <t>上海台府食品饮料有限公司</t>
  </si>
  <si>
    <t>广东五指毛桃酒业发展有限公司</t>
  </si>
  <si>
    <t>彭诗学</t>
  </si>
  <si>
    <t>王亚伟</t>
  </si>
  <si>
    <t>2024/05/31</t>
  </si>
  <si>
    <t>熊兵</t>
  </si>
  <si>
    <t>曾鹏</t>
  </si>
  <si>
    <t>任浩东</t>
  </si>
  <si>
    <t>秦欢欢</t>
  </si>
  <si>
    <t>佘素敏</t>
  </si>
  <si>
    <t>林倩伶</t>
  </si>
  <si>
    <t>吴琪</t>
  </si>
  <si>
    <t>佘锦亮</t>
  </si>
  <si>
    <t>谢心恩</t>
  </si>
  <si>
    <t>陈志彬</t>
  </si>
  <si>
    <t>北京仁华教育科技有限公司</t>
  </si>
  <si>
    <t>2024/06/01</t>
  </si>
  <si>
    <t>决东攀</t>
  </si>
  <si>
    <t>厦门念如投资管理有限公司</t>
  </si>
  <si>
    <t>2024/06/02</t>
  </si>
  <si>
    <t>2024/06/03</t>
  </si>
  <si>
    <t>陈劲珍</t>
  </si>
  <si>
    <t>付巧</t>
  </si>
  <si>
    <t>金华市之南摄影有限公司</t>
  </si>
  <si>
    <t>江苏汤沟两相和酒业有限公司</t>
  </si>
  <si>
    <t>高利峰</t>
  </si>
  <si>
    <t>河南省宋河酒业股份有限公司</t>
  </si>
  <si>
    <t>出口联盟有限责任公司</t>
  </si>
  <si>
    <t>广州碧恩网络科技有限公司</t>
  </si>
  <si>
    <t>北京青年能量科技有限公司</t>
  </si>
  <si>
    <t>贵州省仁怀市尘世间商贸有限公司</t>
  </si>
  <si>
    <t>皇佳大喜酒业（佛山）有限责任公司</t>
  </si>
  <si>
    <t>谢承志</t>
  </si>
  <si>
    <t>丁象恒</t>
  </si>
  <si>
    <t>2024/06/04</t>
  </si>
  <si>
    <t>前海御膳行实业(深圳)有限公司</t>
  </si>
  <si>
    <t>黄春波</t>
  </si>
  <si>
    <t>宁波希林健康管理有限公司</t>
  </si>
  <si>
    <t>乔春桃</t>
  </si>
  <si>
    <t>姜孝忠</t>
  </si>
  <si>
    <t>贵州省仁怀市酱之行酒业有限公司</t>
  </si>
  <si>
    <t>湖南融熠酒业有限公司</t>
  </si>
  <si>
    <t>贾庆龙</t>
  </si>
  <si>
    <t>何小娟</t>
  </si>
  <si>
    <t>老河口光化特酒业有限公司</t>
  </si>
  <si>
    <t>河南夏帆商贸有限公司</t>
  </si>
  <si>
    <t>刘挺杰</t>
  </si>
  <si>
    <t>上海粉玺企业管理有限公司</t>
  </si>
  <si>
    <t>2024/06/05</t>
  </si>
  <si>
    <t>四平市青唯伊生物科技有限公司</t>
  </si>
  <si>
    <t>吴婵</t>
  </si>
  <si>
    <t>新疆沁园春雪信息科技有限责任公司</t>
  </si>
  <si>
    <t>刘登琴</t>
  </si>
  <si>
    <t>无囿食品科技(上海)有限公司</t>
  </si>
  <si>
    <t>李晓梅</t>
  </si>
  <si>
    <t>深圳市姜子牙酒业有限公司</t>
  </si>
  <si>
    <t>美敦力公司</t>
  </si>
  <si>
    <t>刘治</t>
  </si>
  <si>
    <t>内蒙古蒙泰集团有限公司</t>
  </si>
  <si>
    <t>四川凯地里拉有限责任公司</t>
  </si>
  <si>
    <t>德州德公酒业有限公司</t>
  </si>
  <si>
    <t>杨菊香</t>
  </si>
  <si>
    <t>陈伟杰</t>
  </si>
  <si>
    <t>贵州伟创电子商务有限公司</t>
  </si>
  <si>
    <t>赵瑜</t>
  </si>
  <si>
    <t>广西锦绣河山文化传播有限公司</t>
  </si>
  <si>
    <t>贾景峰</t>
  </si>
  <si>
    <t>孙旭</t>
  </si>
  <si>
    <t>亳州中支酒业有限公司</t>
  </si>
  <si>
    <t>2024/06/06</t>
  </si>
  <si>
    <t>山东汉将成龙酒业有限公司</t>
  </si>
  <si>
    <t>余寰宇</t>
  </si>
  <si>
    <t>惠州市闪爆贸易有限公司</t>
  </si>
  <si>
    <t>四川金六六喜酒业有限公司</t>
  </si>
  <si>
    <t>刘东</t>
  </si>
  <si>
    <t>贵州众贤阳酒业有限公司</t>
  </si>
  <si>
    <t>澳门濠江夜宴酒厂有限公司</t>
  </si>
  <si>
    <t>沈阳晟睿酒业有限公司</t>
  </si>
  <si>
    <t>海口琼山文吉科技工作室（个体工商户）</t>
  </si>
  <si>
    <t>曾修贵</t>
  </si>
  <si>
    <t>2024/06/07</t>
  </si>
  <si>
    <t>吕东</t>
  </si>
  <si>
    <t>南通喜善运力物流有限公司</t>
  </si>
  <si>
    <t>曾雷</t>
  </si>
  <si>
    <t>耿彬朋</t>
  </si>
  <si>
    <t>泸州酒博士电子商务有限公司</t>
  </si>
  <si>
    <t>南通颐生酒业有限公司</t>
  </si>
  <si>
    <t>青岛酒知道国际贸易有限公司</t>
  </si>
  <si>
    <t>青岛盛世高歌文化传媒有限公司</t>
  </si>
  <si>
    <t>KAZOO</t>
  </si>
  <si>
    <t>厦门可逐生物科技有限公司</t>
  </si>
  <si>
    <t>黄旭升</t>
  </si>
  <si>
    <t>曾春英</t>
  </si>
  <si>
    <t>青岛欧柏丽设计有限公司</t>
  </si>
  <si>
    <t>山西金利科技有限公司</t>
  </si>
  <si>
    <t>2024/06/08</t>
  </si>
  <si>
    <t>山西众妙健康服务平台有限公司</t>
  </si>
  <si>
    <t>湖南长青兔文化发展有限公司</t>
  </si>
  <si>
    <t>2024/06/09</t>
  </si>
  <si>
    <t>北京邓氏汇鑫商贸有限公司</t>
  </si>
  <si>
    <t>深圳市宾临门科技有限公司</t>
  </si>
  <si>
    <t>2024/06/10</t>
  </si>
  <si>
    <t>四川怡力斯酒业有限公司</t>
  </si>
  <si>
    <t>2024/06/11</t>
  </si>
  <si>
    <t>广州市皇雄贸易有限公司</t>
  </si>
  <si>
    <t>张利培</t>
  </si>
  <si>
    <t>金小山</t>
  </si>
  <si>
    <t>谭勇</t>
  </si>
  <si>
    <t>黄徐</t>
  </si>
  <si>
    <t>商丘市众莱商贸有限公司</t>
  </si>
  <si>
    <t>浩德财务顾问（山东）有限公司</t>
  </si>
  <si>
    <t>康宇</t>
  </si>
  <si>
    <t>徐福会</t>
  </si>
  <si>
    <t>应永刚</t>
  </si>
  <si>
    <t>陈爱云</t>
  </si>
  <si>
    <t>库纳瓦拉葡萄酒有限公司</t>
  </si>
  <si>
    <t>黄静娴</t>
  </si>
  <si>
    <t>李艳</t>
  </si>
  <si>
    <t>谢可恩</t>
  </si>
  <si>
    <t>魏丰登</t>
  </si>
  <si>
    <t>中酒投企业管理（贵州）有限公司</t>
  </si>
  <si>
    <t>康倩</t>
  </si>
  <si>
    <t>宁夏戈兰酒庄有限公司</t>
  </si>
  <si>
    <t>叶孝敏</t>
  </si>
  <si>
    <t>曾沅</t>
  </si>
  <si>
    <t>赵耀煜</t>
  </si>
  <si>
    <t>合阳五粮丰酒坊</t>
  </si>
  <si>
    <t>梁佳佳</t>
  </si>
  <si>
    <t>刘高</t>
  </si>
  <si>
    <t>2024/06/12</t>
  </si>
  <si>
    <t>邵石磙</t>
  </si>
  <si>
    <t>陈晓辉</t>
  </si>
  <si>
    <t>邯郸市漳东酒业有限公司</t>
  </si>
  <si>
    <t>鸿流科技（深圳）有限公司</t>
  </si>
  <si>
    <t>山西甲客传媒有限公司</t>
  </si>
  <si>
    <t>海南贡福喆投资有限公司</t>
  </si>
  <si>
    <t>刘静静</t>
  </si>
  <si>
    <t>尹猛</t>
  </si>
  <si>
    <t>贵州贵玺茶叶有限公司</t>
  </si>
  <si>
    <t>刘莉</t>
  </si>
  <si>
    <t>2024/06/13</t>
  </si>
  <si>
    <t>腾冲鑫稳酒业有限责任公司</t>
  </si>
  <si>
    <t>2024/06/14</t>
  </si>
  <si>
    <t>2024/06/15</t>
  </si>
  <si>
    <t>成都市尊伍堂商贸有限公司</t>
  </si>
  <si>
    <t>向刚</t>
  </si>
  <si>
    <t>2024/06/16</t>
  </si>
  <si>
    <t>2024/06/17</t>
  </si>
  <si>
    <t>华眙（淮安）企业管理有限公司</t>
  </si>
  <si>
    <t>2024/06/18</t>
  </si>
  <si>
    <t>雷炼红</t>
  </si>
  <si>
    <t>2024/06/19</t>
  </si>
  <si>
    <t>2024/06/20</t>
  </si>
  <si>
    <t>刘海欢</t>
  </si>
  <si>
    <t>1902</t>
  </si>
  <si>
    <t>2024/9/6</t>
  </si>
  <si>
    <t>ALIBABA</t>
  </si>
  <si>
    <t>阿里巴巴（中国）有限公司</t>
  </si>
  <si>
    <t>伏特加酒;⽩酒;果酒（含酒精）;鸡尾酒;酒精饮料（啤酒除外）;清酒（⽇本⽶酒）;威⼠忌;⽶酒;朗姆酒;⽩兰地</t>
  </si>
  <si>
    <t>2019/12/20</t>
  </si>
  <si>
    <t>⽩酒;果酒（含酒精）;鸡尾酒;⽩兰地;伏特加酒;威⼠忌;酒精饮料（啤酒除外）;⽶酒;朗姆酒;清酒（⽇本⽶酒）</t>
  </si>
  <si>
    <t>2020/06/04</t>
  </si>
  <si>
    <t>贵酒圣品</t>
  </si>
  <si>
    <t>贵州贵酒集团有限公司</t>
  </si>
  <si>
    <t>蒸煮提取物（利⼝酒和烈酒）;果酒（含酒精）;葡萄酒;利⼝酒;⽩酒;酒精饮料（啤酒除外）;预先混合的酒精饮料（以啤酒为主的除外）;⾷⽤酒精;烧酒;烈酒（饮料）</t>
  </si>
  <si>
    <t>2021/08/18</t>
  </si>
  <si>
    <t>嫁</t>
  </si>
  <si>
    <t>2022/02/17</t>
  </si>
  <si>
    <t>贵酒世家</t>
  </si>
  <si>
    <t>2022/02/23</t>
  </si>
  <si>
    <t>南派 酒庄</t>
  </si>
  <si>
    <t>咏江山（北京）品牌管理有限公司</t>
  </si>
  <si>
    <t>蒸馏饮料;烈酒（饮料）;果酒（含酒精）;朗姆酒;葡萄酒;汽酒;烧酒;酒精饮料（啤酒除外）;清酒;⽩酒</t>
  </si>
  <si>
    <t>2022/02/28</t>
  </si>
  <si>
    <t>NILRICH 纽维兹</t>
  </si>
  <si>
    <t>苏州绿叶日用品有限公司</t>
  </si>
  <si>
    <t>开胃酒;酒精饮料（啤酒除外）;⽶酒;汽酒;⻩酒;梅酒;起泡红葡萄酒;以葡萄酒为主的饮料;⽩酒;果酒</t>
  </si>
  <si>
    <t>2022/04/26</t>
  </si>
  <si>
    <t>贵酒之尊</t>
  </si>
  <si>
    <t>2022/05/19</t>
  </si>
  <si>
    <t>贵酒智慧</t>
  </si>
  <si>
    <t>贵酒之液</t>
  </si>
  <si>
    <t>⾷⽤酒精;烧酒;⽩酒;蒸煮提取物（利⼝酒和烈酒）;预先混合的酒精饮料（以啤酒为主的除外）;葡萄酒;利⼝酒;烈酒（饮料）;酒精饮料（啤酒除外）;果酒（含酒精）</t>
  </si>
  <si>
    <t>颂牌 年份封藏</t>
  </si>
  <si>
    <t>上海渡渡旅行社有限公司</t>
  </si>
  <si>
    <t>2022/06/07</t>
  </si>
  <si>
    <t>BUBLY 微笑趣泡</t>
  </si>
  <si>
    <t>普特费列浓缩液解决方案无限公司</t>
  </si>
  <si>
    <t>酒精饮料（啤酒除外）;酒精饮料浓缩汁;酒精饮料原汁;烈酒（饮料）;汽酒;⽶酒;⽩兰地;果酒（含酒精）;含⽔果酒精饮料;葡萄酒</t>
  </si>
  <si>
    <t>2022/06/30</t>
  </si>
  <si>
    <t>H HONG YUN 鸿运贵</t>
  </si>
  <si>
    <t>河南省福天香酒业有限公司</t>
  </si>
  <si>
    <t>⽩酒;⾼粱酒;果酒;烧酒;葡萄酒;⻩酒;含⽔果酒精饮料;鸡尾酒;烈酒;开胃酒</t>
  </si>
  <si>
    <t>2022/07/14</t>
  </si>
  <si>
    <t>响和风醇韵</t>
  </si>
  <si>
    <t>三得利控股株式会社</t>
  </si>
  <si>
    <t>酒精饮料（啤酒除外）;烈酒（饮料）;⽩兰地;⾷⽤酒精;利⼝酒;餐后酒（利⼝酒和烈酒）;威⼠忌</t>
  </si>
  <si>
    <t>2022/07/15</t>
  </si>
  <si>
    <t>蒙酒呼白</t>
  </si>
  <si>
    <t>内蒙古世纪呼白酒业有限责任公司</t>
  </si>
  <si>
    <t>烈酒（饮料）;蒸馏饮料;⻩酒;酒精饮料（啤酒除外）;开胃酒;⻘稞酒;⽩酒;烧酒;果酒（含酒精）;⽶酒</t>
  </si>
  <si>
    <t>2022/08/09</t>
  </si>
  <si>
    <t>楼二十</t>
  </si>
  <si>
    <t>黄鹤楼酒业有限公司</t>
  </si>
  <si>
    <t>⽩酒;⾷⽤酒精;果酒（含酒精）;烧酒;清酒（⽇本⽶酒）;烈酒（饮料）;⻩酒;蒸煮提取物（利⼝酒和烈酒）;⽶酒;开胃酒</t>
  </si>
  <si>
    <t>2022/08/10</t>
  </si>
  <si>
    <t>STEAK BY ROOSEVELT 罗斯福牛扒馆</t>
  </si>
  <si>
    <t>罗斯福有限公司</t>
  </si>
  <si>
    <t>烈酒（饮料）;葡萄酒;鸡尾酒;威⼠忌;酒精饮料（啤酒除外）;⽩兰地</t>
  </si>
  <si>
    <t>2022/09/02</t>
  </si>
  <si>
    <t>贵人台</t>
  </si>
  <si>
    <t>陈尧邦</t>
  </si>
  <si>
    <t>葡萄酒;烈酒（饮料）;梨酒;威⼠忌;⽩酒;汽酒;⻘稞酒;⻩酒;烧酒;⽶酒</t>
  </si>
  <si>
    <t>2022/09/19</t>
  </si>
  <si>
    <t>麦卡伦</t>
  </si>
  <si>
    <t>麦卡伦酒厂</t>
  </si>
  <si>
    <t>朗姆酒;⾕物制蒸馏酒精饮料;果酒（含酒精）;酒精饮料（啤酒除外）;葡萄酒;利⼝酒;鸡尾酒;苦味酒;⽩兰地;威⼠忌</t>
  </si>
  <si>
    <t>2022/09/23</t>
  </si>
  <si>
    <t>德富酒庄</t>
  </si>
  <si>
    <t>四川茶道酒情商贸有限公司</t>
  </si>
  <si>
    <t>⽩酒;烧酒;葡萄酒;含⽔果酒精饮料;果酒;开胃酒;烈酒;⽩兰地;鸡尾酒;⻩酒</t>
  </si>
  <si>
    <t>2022/11/15</t>
  </si>
  <si>
    <t>荆州颐荞酒业有限公司</t>
  </si>
  <si>
    <t>果酒（含酒精）;鸡尾酒;烈酒（饮料）;酒精饮料（啤酒除外）;⻩酒;⻘稞酒;⾷⽤酒精;烧酒;⽩酒;汽酒</t>
  </si>
  <si>
    <t>2022/11/19</t>
  </si>
  <si>
    <t>正盐井</t>
  </si>
  <si>
    <t>四川成都盐井酒业有限责任公司</t>
  </si>
  <si>
    <t>果酒（含酒精）;葡萄酒;利⼝酒;烈酒（饮料）;清酒;含⽔果酒精饮料;⽶酒;⽩酒;酒精饮料浓缩汁;酒精饮料（啤酒除外）</t>
  </si>
  <si>
    <t>2022/11/25</t>
  </si>
  <si>
    <t>东方之美</t>
  </si>
  <si>
    <t>四川水井坊股份有限公司</t>
  </si>
  <si>
    <t>果酒（含酒精）;蒸馏饮料;葡萄酒;酒精饮料（啤酒除外）;⾷⽤酒精;⽶酒;⽩酒;汽酒;含⽔果酒精饮料</t>
  </si>
  <si>
    <t>2022/12/13</t>
  </si>
  <si>
    <t>狄希千日</t>
  </si>
  <si>
    <t>狄希文化传播（定州）有限公司</t>
  </si>
  <si>
    <t>⽩酒;清酒（⽇本⽶酒）;⽶酒;果酒;苹果酒;梨酒;酒精饮料（啤酒除外）;亚⼒酒;茴芹酒（利⼝酒）;蒸煮提取物（利⼝酒和烈酒）</t>
  </si>
  <si>
    <t>2023/01/09</t>
  </si>
  <si>
    <t>2023/01/16</t>
  </si>
  <si>
    <t>河北壹佰零捌数字科技有限公司</t>
  </si>
  <si>
    <t>酒精饮料（啤酒除外）;⾷⽤酒精;露酒;⽩兰地;鸡尾酒;葡萄酒;威⼠忌;⽶酒;⽩酒;果酒（含酒精）</t>
  </si>
  <si>
    <t>2023/01/17</t>
  </si>
  <si>
    <t>1800 REPOSADO TRABAJO PASION HONESTIDAD</t>
  </si>
  <si>
    <t>JC马斯特分销有限公司</t>
  </si>
  <si>
    <t>2023/01/28</t>
  </si>
  <si>
    <t>加州乐事 616</t>
  </si>
  <si>
    <t>E和J嘉露酿酒厂</t>
  </si>
  <si>
    <t>2023/02/22</t>
  </si>
  <si>
    <t>VIVO</t>
  </si>
  <si>
    <t>维沃移动通信有限公司</t>
  </si>
  <si>
    <t>果酒（含酒精）;⽩酒;鸡尾酒;酒精饮料（啤酒除外）;蒸馏饮料;葡萄酒;⾷⽤酒精;威⼠忌;预先混合的酒精饮料（以啤酒为主的除外）;朗姆酒</t>
  </si>
  <si>
    <t>2023/03/01</t>
  </si>
  <si>
    <t>怀乡亭</t>
  </si>
  <si>
    <t>贵州省仁怀市茅台镇茅源酒业有限公司</t>
  </si>
  <si>
    <t>烧酒;汽酒;⽩酒;葡萄酒;⻩酒;蒸馏饮料;开胃酒;果酒（含酒精）;酒精饮料（啤酒除外）;⽶酒</t>
  </si>
  <si>
    <t>2023/03/29</t>
  </si>
  <si>
    <t>谷和喜庆</t>
  </si>
  <si>
    <t>上海皇家酿酒有限公司</t>
  </si>
  <si>
    <t>⻩酒;柑⾹酒;苦味酒;汽酒;⽩酒;烧酒;鸡尾酒;⻘稞酒;开胃酒;餐后酒（利⼝酒和烈酒）</t>
  </si>
  <si>
    <t>龙谕紫气东来</t>
  </si>
  <si>
    <t>烟台张裕葡萄酿酒股份有限公司</t>
  </si>
  <si>
    <t>果酒（含酒精）;⽩兰地;含⽔果酒精饮料;酒精饮料（啤酒除外）;葡萄酒;⽩酒;开胃酒;威⼠忌;餐后酒（利⼝酒和烈酒）;汽酒</t>
  </si>
  <si>
    <t>2023/04/04</t>
  </si>
  <si>
    <t>徒笼泉</t>
  </si>
  <si>
    <t>高利众</t>
  </si>
  <si>
    <t>开胃酒;果酒;葡萄酒;烈酒（饮料）;⾷⽤酒精;汽酒;烧酒;⽶酒;酒精饮料（啤酒除外）;⽩酒</t>
  </si>
  <si>
    <t>2023/04/11</t>
  </si>
  <si>
    <t>朋三十</t>
  </si>
  <si>
    <t>曾刚</t>
  </si>
  <si>
    <t>葡萄酒;⽶酒;酒精饮料（啤酒除外）;⻩酒;⽩酒;蒸馏饮料;烧酒;预先混合的酒精饮料（以啤酒为主的除外）;汽酒;果酒（含酒精）</t>
  </si>
  <si>
    <t>赖雕</t>
  </si>
  <si>
    <t>邓钦涛</t>
  </si>
  <si>
    <t>⽶酒;烧酒;露酒;清酒;烈酒;⾼粱酒;葡萄酒;⽩酒;甜酒;⻩酒</t>
  </si>
  <si>
    <t>2023/04/16</t>
  </si>
  <si>
    <t>北京远宏鑫时代商贸有限公司</t>
  </si>
  <si>
    <t>蒸馏饮料;⻩酒;⾷⽤酒精;⽩酒;烧酒;酒精饮料（啤酒除外）;清酒（⽇本⽶酒）;葡萄酒;烈酒（饮料）;果酒（含酒精）</t>
  </si>
  <si>
    <t>2023/04/17</t>
  </si>
  <si>
    <t>势起</t>
  </si>
  <si>
    <t>北京鑫哥时代商贸有限公司</t>
  </si>
  <si>
    <t>果酒;⽩酒;葡萄酒;⻩酒;⽶酒;甜酒;清酒;烧酒;利⼝酒;烈酒</t>
  </si>
  <si>
    <t>2023/04/25</t>
  </si>
  <si>
    <t>酒神曲</t>
  </si>
  <si>
    <t>河南华青农业科技有限公司</t>
  </si>
  <si>
    <t>果酒（含酒精）;烈酒（饮料）;清酒（⽇本⽶酒）;⽶酒;酒精饮料（啤酒除外）;鸡尾酒;⽩酒;烧酒;葡萄酒;⻩酒</t>
  </si>
  <si>
    <t>华锐印象</t>
  </si>
  <si>
    <t>甘肃诺布林卡旅游产品开发有限公司</t>
  </si>
  <si>
    <t>⽩酒;⾕物制蒸馏酒精饮料;果酒（含酒精）;⻩酒;烈酒（饮料）;以葡萄酒为主的饮料;⻘稞酒;烧酒;葡萄酒;酒精饮料（啤酒除外）</t>
  </si>
  <si>
    <t>奢爱</t>
  </si>
  <si>
    <t>太白酒业股份有限公司</t>
  </si>
  <si>
    <t>⽶酒;⻘稞酒;清酒（⽇本⽶酒）;⽩酒;鸡尾酒;葡萄酒;烈酒（饮料）;⻩酒;果酒（含酒精）;利⼝酒</t>
  </si>
  <si>
    <t>2023/04/28</t>
  </si>
  <si>
    <t>黔锦坊</t>
  </si>
  <si>
    <t>鸡尾酒;葡萄酒;烈酒（饮料）;⽶酒;⻩酒;⻘稞酒;果酒（含酒精）;利⼝酒;清酒（⽇本⽶酒）;⽩酒</t>
  </si>
  <si>
    <t>外滩元</t>
  </si>
  <si>
    <t>上海全唐广告有限公司</t>
  </si>
  <si>
    <t>酒精饮料原汁;威⼠忌;⽶酒;葡萄酒;蜂蜜酒;烧酒;鸡尾酒;⻩酒;⽩兰地;以葡萄酒为主的饮料</t>
  </si>
  <si>
    <t>天园洞</t>
  </si>
  <si>
    <t>贵州天元溶洞旅游开发有限公司</t>
  </si>
  <si>
    <t>葡萄酒;蒸馏饮料;苹果酒;烈酒（饮料）;⻩酒;利⼝酒;伏特加酒;⽶酒;⽩酒;果酒（含酒精）</t>
  </si>
  <si>
    <t>2023/05/11</t>
  </si>
  <si>
    <t>正大益选</t>
  </si>
  <si>
    <t>正大畜牧投资（北京）有限公司</t>
  </si>
  <si>
    <t>蜂蜜酒;⻘梅酒;烧酒;草莓酒;⻘稞酒;樱桃酒;⽩兰地;⽩酒;葡萄酒</t>
  </si>
  <si>
    <t>瓶天下</t>
  </si>
  <si>
    <t>义乌市鹤楷电子商务商行</t>
  </si>
  <si>
    <t>葡萄酒;⽩⼲酒（中国⽩酒）;⽼酒（中国蒸馏烈酒）;酒精饮料（啤酒除外）;⾷⽤酒精;果酒（含酒精）;烈酒（饮料）;威⼠忌;⽩酒;烧酒</t>
  </si>
  <si>
    <t>2023/05/15</t>
  </si>
  <si>
    <t>樽宾</t>
  </si>
  <si>
    <t>葡萄酒;威⼠忌;⾷⽤酒精;果酒（含酒精）;⽩⼲酒（中国⽩酒）;烧酒;⽼酒（中国蒸馏烈酒）;烈酒（饮料）;⽩酒;酒精饮料（啤酒除外）</t>
  </si>
  <si>
    <t>昭德贡酒</t>
  </si>
  <si>
    <t>安徽昭德贡酒酒业有限责任公司</t>
  </si>
  <si>
    <t>⽩兰地;⽩酒;蒸馏饮料;⻩酒;烧酒;开胃酒;果酒;葡萄酒;鸡尾酒;⽶酒</t>
  </si>
  <si>
    <t>2023/05/17</t>
  </si>
  <si>
    <t>HUICHI</t>
  </si>
  <si>
    <t>寰宇创客联盟（广州）品牌管理有限公司</t>
  </si>
  <si>
    <t>蒸煮提取物（利⼝酒和烈酒）;酒精饮料（啤酒除外）;⽼酒（中国蒸馏烈酒）;果酒（含酒精）;⽩酒;由⾕物蒸馏的⽩酒;烧酒（烈酒）;烧酒;⾕物制蒸馏酒精饮料;⽩⼲酒（中国⽩酒）</t>
  </si>
  <si>
    <t>2023/05/29</t>
  </si>
  <si>
    <t>熹鹊</t>
  </si>
  <si>
    <t>深圳市海伦司品牌管理有限公司</t>
  </si>
  <si>
    <t>含⽔果酒精饮料;樱桃酒;葡萄酒;果酒（含酒精）;以葡萄酒为主的饮料;⽶酒;酒精饮料（啤酒除外）;清酒（⽇本⽶酒）;鸡尾酒;预先混合的酒精饮料（以啤酒为主的除外）</t>
  </si>
  <si>
    <t>2023/05/30</t>
  </si>
  <si>
    <t>常青树</t>
  </si>
  <si>
    <t>义乌市韵炅电子商务商行</t>
  </si>
  <si>
    <t>烈酒（饮料）;⽩⼲酒（中国⽩酒）;酒精饮料（啤酒除外）;⽼酒（中国蒸馏烈酒）;⽩酒;威⼠忌;⾷⽤酒精;葡萄酒;烧酒;果酒（含酒精）</t>
  </si>
  <si>
    <t>2023/06/01</t>
  </si>
  <si>
    <t>飞年</t>
  </si>
  <si>
    <t>⾷⽤酒精;⽩⼲酒（中国⽩酒）;⽼酒（中国蒸馏烈酒）;威⼠忌;⽩酒;烈酒（饮料）;酒精饮料（啤酒除外）;果酒（含酒精）;烧酒;葡萄酒</t>
  </si>
  <si>
    <t>沙氏</t>
  </si>
  <si>
    <t>天津市武清区沙氏文化研究院</t>
  </si>
  <si>
    <t>⽩酒;葡萄酒;开胃酒;酒精饮料原汁;酒精饮料浓缩汁;⽶酒;苦味酒;⻩酒;烧酒;烈酒（饮料）</t>
  </si>
  <si>
    <t>紫盖金酱</t>
  </si>
  <si>
    <t>四川古蔺仙潭酒厂有限公司</t>
  </si>
  <si>
    <t>酒精饮料（啤酒除外）;威⼠忌;⽩酒;烧酒;葡萄酒;开胃酒;⾷⽤酒精;酒精饮料原汁;烈酒;果酒（含酒精）</t>
  </si>
  <si>
    <t>2023/06/09</t>
  </si>
  <si>
    <t>紫盖银酱</t>
  </si>
  <si>
    <t>果酒（含酒精）;酒精饮料（啤酒除外）;烧酒;葡萄酒;烈酒;酒精饮料原汁;威⼠忌;开胃酒;⾷⽤酒精;⽩酒</t>
  </si>
  <si>
    <t>BISQUIT</t>
  </si>
  <si>
    <t>金巴利法国</t>
  </si>
  <si>
    <t>含⽔果酒精饮料;酒精饮料原汁;酒精饮料（啤酒除外）;预先混合的酒精饮料（以啤酒为主的除外）;⽩兰地;苦味酒;开胃酒;蒸馏饮料;利⼝酒;葡萄酒</t>
  </si>
  <si>
    <t>2023/06/13</t>
  </si>
  <si>
    <t>夜伴蜂声</t>
  </si>
  <si>
    <t>成都四十一度蜂业有限公司</t>
  </si>
  <si>
    <t>⽩兰地;⾷⽤酒精;⾕物制蒸馏酒精饮料;葡萄酒;蒸馏饮料;蜂蜜酒;烈酒（饮料）;⽶酒;果酒（含酒精）;柑⾹酒</t>
  </si>
  <si>
    <t>2023/06/16</t>
  </si>
  <si>
    <t>PJF WINES</t>
  </si>
  <si>
    <t>品酒坊（香港）有限公司</t>
  </si>
  <si>
    <t>烧酒;⻘稞酒;清酒（⽇本⽶酒）;⽩兰地;⻩酒;威⼠忌;葡萄酒;烈酒（饮料）;⽩酒;果酒（含酒精）</t>
  </si>
  <si>
    <t>青海湖</t>
  </si>
  <si>
    <t>青海粮投粮油有限公司</t>
  </si>
  <si>
    <t>果酒（含酒精）;葡萄酒;⻩酒;⽶酒;烈酒（饮料）;酒精饮料（啤酒除外）;⽩兰地;蒸馏饮料;⽩酒;威⼠忌</t>
  </si>
  <si>
    <t>2023/06/19</t>
  </si>
  <si>
    <t>昌贵</t>
  </si>
  <si>
    <t>武夷山市然厚百货商行</t>
  </si>
  <si>
    <t>烈酒（饮料）;清酒（⽇本⽶酒）;威⼠忌;果酒（含酒精）;⽶酒;鸡尾酒;葡萄酒;⻩酒;烧酒;⽩酒</t>
  </si>
  <si>
    <t>2023/06/27</t>
  </si>
  <si>
    <t>古年封藏</t>
  </si>
  <si>
    <t>果酒（含酒精）;⽶酒;酒精饮料（啤酒除外）;预先混合的酒精饮料（以啤酒为主的除外）;⻩酒;烧酒;⽩酒;蒸馏饮料;葡萄酒;汽酒</t>
  </si>
  <si>
    <t>2023/06/29</t>
  </si>
  <si>
    <t>马爹利 XXO</t>
  </si>
  <si>
    <t>马爹利股份有限公司</t>
  </si>
  <si>
    <t>2023/07/11</t>
  </si>
  <si>
    <t>古裕烧坊</t>
  </si>
  <si>
    <t>保定市骄禧商贸有限公司</t>
  </si>
  <si>
    <t>酒精饮料（啤酒除外）;葡萄酒;清酒（⽇本⽶酒）;果酒;开胃酒;⽩酒;烧酒;⽶酒;⻩酒;鸡尾酒</t>
  </si>
  <si>
    <t>2023/07/18</t>
  </si>
  <si>
    <t>动感地带</t>
  </si>
  <si>
    <t>中国移动通信集团有限公司</t>
  </si>
  <si>
    <t>⽩酒;鸡尾酒;蒸馏饮料;烧酒;汽酒;果酒（含酒精）;酒精饮料（啤酒除外）;⽶酒;葡萄酒;⾷⽤酒精</t>
  </si>
  <si>
    <t>酉禾</t>
  </si>
  <si>
    <t>杨闯</t>
  </si>
  <si>
    <t>酒精饮料（啤酒除外）;⾷⽤酒精;葡萄酒;烈酒（饮料）;⻩酒;开胃酒;⽶酒;伏特加酒;⽩酒;果酒（含酒精）</t>
  </si>
  <si>
    <t>2023/07/21</t>
  </si>
  <si>
    <t>神壶</t>
  </si>
  <si>
    <t>武夷山市畅意百货商行</t>
  </si>
  <si>
    <t>鸡尾酒;⽶酒;果酒（含酒精）;葡萄酒;烧酒;⻩酒;⽩酒;威⼠忌;烈酒（饮料）;清酒（⽇本⽶酒）</t>
  </si>
  <si>
    <t>2023/07/24</t>
  </si>
  <si>
    <t>粮小财</t>
  </si>
  <si>
    <t>中粮资本控股股份有限公司</t>
  </si>
  <si>
    <t>果酒（含酒精）;⽩兰地;⽶酒;烧酒;⽩酒;葡萄酒;烈酒（饮料）;朗姆酒;⾕物制蒸馏酒精饮料;⻩酒</t>
  </si>
  <si>
    <t>2023/08/03</t>
  </si>
  <si>
    <t>股道</t>
  </si>
  <si>
    <t>宿州市驰名商贸有限公司</t>
  </si>
  <si>
    <t>利⼝酒;烧酒;酒精饮料（啤酒除外）;⽩兰地;葡萄酒;开胃酒;果酒（含酒精）;⽩酒;⾷⽤酒精;清酒</t>
  </si>
  <si>
    <t>2023/08/07</t>
  </si>
  <si>
    <t>金寿桃</t>
  </si>
  <si>
    <t>河南双连壶酒业有限公司</t>
  </si>
  <si>
    <t>蒸馏饮料;餐后酒（利⼝酒和烈酒）;酒精饮料（啤酒除外）;含⽔果酒精饮料;果酒（含酒精）;烧酒;⻩酒;预先混合的酒精饮料（以啤酒为主的除外）;开胃酒;⽩酒</t>
  </si>
  <si>
    <t>三星堆</t>
  </si>
  <si>
    <t>四川广汉三星堆博物馆</t>
  </si>
  <si>
    <t>汽酒;葡萄酒;⽩酒;梅酒;⾷⽤酒精;鸡尾酒;果酒（含酒精）;烧酒;⽶酒;开胃酒</t>
  </si>
  <si>
    <t>2023/08/09</t>
  </si>
  <si>
    <t>YD RISING</t>
  </si>
  <si>
    <t>仁怀市云道科技有限公司</t>
  </si>
  <si>
    <t>⽩酒;葡萄酒;露酒;果酒（含酒精）;⽶酒;蒸馏饮料;⾕物制蒸馏酒精饮料;餐后酒（利⼝酒和烈酒）;樱桃酒;苹果酒</t>
  </si>
  <si>
    <t>观竹</t>
  </si>
  <si>
    <t>绵竹市春江酿酒有限公司</t>
  </si>
  <si>
    <t>葡萄酒;⻩酒;烧酒;果酒（含酒精）;⽶酒;伏特加酒;鸡尾酒;⽩兰地;威⼠忌;⽩酒</t>
  </si>
  <si>
    <t>2023/08/11</t>
  </si>
  <si>
    <t>利舰</t>
  </si>
  <si>
    <t>王培军</t>
  </si>
  <si>
    <t>⻩酒;⽩酒;葡萄酒;烧酒;果酒（含酒精）;⽼酒（中国蒸馏烈酒）;清酒;⽶酒;⾼粱酒;烈酒</t>
  </si>
  <si>
    <t>2023/08/15</t>
  </si>
  <si>
    <t>华光王子</t>
  </si>
  <si>
    <t>周鹏鹏</t>
  </si>
  <si>
    <t>⻩酒;由⾕物蒸馏的⽩酒;⾼粱酒;⽼酒（中国蒸馏烈酒）;果酒;葡萄酒;⽶酒;烧酒;⽩酒;清酒</t>
  </si>
  <si>
    <t>亚鲁王</t>
  </si>
  <si>
    <t>上海红赤河酒业有限公司</t>
  </si>
  <si>
    <t>⾷⽤酒精;⽩酒;烧酒;⻩酒;预先混合的酒精饮料（以啤酒为主的除外）;酒精饮料（啤酒除外）;鸡尾酒;清酒（⽇本⽶酒）;葡萄酒;⽶酒</t>
  </si>
  <si>
    <t>2023/08/17</t>
  </si>
  <si>
    <t>华节</t>
  </si>
  <si>
    <t>贵州五魁首酿酒有限公司</t>
  </si>
  <si>
    <t>葡萄酒;酸酒（低等葡萄酒）;伏特加酒;⽩酒;酒精饮料（啤酒除外）;含⽔果酒精饮料;茴⾹酒（利⼝酒）;蜂蜜酒;⻘稞酒;果酒（含酒精）</t>
  </si>
  <si>
    <t>2023/08/22</t>
  </si>
  <si>
    <t>酒老头</t>
  </si>
  <si>
    <t>贵州酒老头酒业有限公司</t>
  </si>
  <si>
    <t>烧酒;⽩酒;⾼粱酒;⽩⼲酒（中国⽩酒）;果酒（含酒精）;红葡萄酒;烧酒（烈酒）;⽼酒（中国蒸馏烈酒）;⽶酒;葡萄酒</t>
  </si>
  <si>
    <t>九重九</t>
  </si>
  <si>
    <t>贵州特优名酒业有限公司</t>
  </si>
  <si>
    <t>烧酒;薄荷酒;鸡尾酒;⽩酒;⻩酒;开胃酒;果酒（含酒精）;⽩兰地;⽶酒;葡萄酒</t>
  </si>
  <si>
    <t>2023/08/24</t>
  </si>
  <si>
    <t>淳浩</t>
  </si>
  <si>
    <t>郑州雅淳酒业有限公司</t>
  </si>
  <si>
    <t>⽼酒（中国蒸馏烈酒）;⾷⽤酒精;五加⽪酒（中国混合烈酒）;烈性⼲酒;⻩酒;酒精饮料原汁;⾼粱酒;⽶酒;汽酒;葡萄酒</t>
  </si>
  <si>
    <t>福粮匠</t>
  </si>
  <si>
    <t>朱坤</t>
  </si>
  <si>
    <t>清酒（⽇本⽶酒）;果酒（含酒精）;烈酒（饮料）;含⽔果酒精饮料;酒精饮料（啤酒除外）;⽩酒;开胃酒;葡萄酒;⽶酒;⻩酒</t>
  </si>
  <si>
    <t>FOURSQUARE</t>
  </si>
  <si>
    <t>艾尔西尔有限公司</t>
  </si>
  <si>
    <t>风雅江南</t>
  </si>
  <si>
    <t>苏州醉风雅文化艺术有限公司</t>
  </si>
  <si>
    <t>含酒精⽔果饮料;露酒;葡萄酒;甜酒;⻩酒;⻘梅酒;⽩酒;⽶酒;果酒;杨梅酒</t>
  </si>
  <si>
    <t>2023/09/02</t>
  </si>
  <si>
    <t>巷宴</t>
  </si>
  <si>
    <t>酒巷图供应链股份有限公司</t>
  </si>
  <si>
    <t>含酒精⽔果饮料;鸡尾酒;葡萄酒;⽩兰地;⾷⽤酒精;果酒（含酒精）;蒸馏饮料;烈酒（饮料）;⽶酒;⽩酒</t>
  </si>
  <si>
    <t>巷子</t>
  </si>
  <si>
    <t>德惠市正通酒厂</t>
  </si>
  <si>
    <t>鸡尾酒;烧酒;⽩酒;果酒（含酒精）;⽶酒;酒精饮料（啤酒除外）;汽酒;开胃酒;含⽔果酒精饮料;葡萄酒</t>
  </si>
  <si>
    <t>那慕汗</t>
  </si>
  <si>
    <t>扎鲁特旗融创文化旅游传媒投资有限公司</t>
  </si>
  <si>
    <t>果酒（含酒精）;蒸煮提取物（利⼝酒和烈酒）;以葡萄酒为主的开胃酒;含酒精的⽔果鸡尾酒饮料;⽩⼲酒（中国⽩酒）;⽼酒（中国蒸馏烈酒）;预先混合的酒精饮料（以啤酒为主的除外）;开胃酒;由⾕物蒸馏的⽩酒;含酒精的鸡尾酒混合饮品</t>
  </si>
  <si>
    <t>2023/09/11</t>
  </si>
  <si>
    <t>一珂鲜</t>
  </si>
  <si>
    <t>上海东发道餐饮管理有限公司</t>
  </si>
  <si>
    <t>⽩酒;⻩酒;鸡尾酒;甜果酒;酒精饮料（啤酒除外）;朗姆酒;⽶酒;葡萄酒;清酒（⽇本⽶酒）;威⼠忌</t>
  </si>
  <si>
    <t>义二哥</t>
  </si>
  <si>
    <t>上海品禧乐商贸有限公司</t>
  </si>
  <si>
    <t>开胃酒;⻩酒;⾷⽤酒精;⽩酒;杨梅酒;⽶酒;甜酒;蜂蜜酒;红葡萄酒;果酒</t>
  </si>
  <si>
    <t>2023/09/14</t>
  </si>
  <si>
    <t>金糟醉</t>
  </si>
  <si>
    <t>邹童权</t>
  </si>
  <si>
    <t>威⼠忌;果酒（含酒精）;苦味酒;葡萄酒;烧酒;⽩酒;开胃酒;⽩兰地;酒精饮料（啤酒除外）;⻘稞酒</t>
  </si>
  <si>
    <t>2023/09/15</t>
  </si>
  <si>
    <t>西岭小雪</t>
  </si>
  <si>
    <t>李想</t>
  </si>
  <si>
    <t>含⽔果酒精饮料;⽶酒;⾕物制蒸馏酒精饮料;开胃酒;预先混合的酒精饮料（以啤酒为主的除外）;葡萄酒;清酒（⽇本⽶酒）;⻩酒;⽩酒;鸡尾酒</t>
  </si>
  <si>
    <t>听遇</t>
  </si>
  <si>
    <t>广州千美荟健康科技有限公司</t>
  </si>
  <si>
    <t>清酒（⽇本⽶酒）;葡萄酒;除啤酒外的酒精饮料;果酒（含酒精）;酒精饮料（啤酒除外）;⽩酒;⻩酒;⾷⽤酒精;烧酒;烈酒（饮料）</t>
  </si>
  <si>
    <t>2023/09/22</t>
  </si>
  <si>
    <t>江口水镇</t>
  </si>
  <si>
    <t>四川省泰品商贸有限公司</t>
  </si>
  <si>
    <t>蜂蜜酒;开胃酒;酒精饮料原汁;酒精饮料（啤酒除外）;⻩酒;⽩酒;果酒（含酒精）;烈酒（饮料）;⽶酒;烧酒</t>
  </si>
  <si>
    <t>当歌雅酒</t>
  </si>
  <si>
    <t>杭州当歌雅酒文化有限公司</t>
  </si>
  <si>
    <t>⾼粱酒;汽酒;⻩酒;⽶酒;梅酒;甜酒;烈酒;果酒（含酒精）;烧酒;⽩酒</t>
  </si>
  <si>
    <t>神玺</t>
  </si>
  <si>
    <t>义乌市每沿电子商务商行</t>
  </si>
  <si>
    <t>酒精饮料（啤酒除外）;⽩酒;⽼酒（中国蒸馏烈酒）;烧酒;烈酒（饮料）;⽶酒;葡萄酒;⾷⽤酒精;果酒（含酒精）;⽩⼲酒（中国⽩酒）</t>
  </si>
  <si>
    <t>吕家烧锅</t>
  </si>
  <si>
    <t>黑龙江吕家烧锅酒业有限公司</t>
  </si>
  <si>
    <t>⻩酒;烧酒;葡萄酒;⽩⼲酒（中国⽩酒）;预先混合的酒精饮料（以啤酒为主的除外）;⽩酒;⽼酒（中国蒸馏烈酒）;果酒（含酒精）;蜂蜜酒;已调味的蒸馏酒</t>
  </si>
  <si>
    <t>CHATEAU PUY-BARDENS</t>
  </si>
  <si>
    <t>西安丝绸之路商务信息咨询有限公司</t>
  </si>
  <si>
    <t>酒精饮料（啤酒除外）;葡萄酒;烧酒;⻩酒;鸡尾酒;烈酒（饮料）;⽩酒;果酒（含酒精）;酒精饮料原汁;⽶酒</t>
  </si>
  <si>
    <t>礼丰</t>
  </si>
  <si>
    <t>果酒（含酒精）;⽼酒（中国蒸馏烈酒）;酒精饮料（啤酒除外）;⾕物制蒸馏酒精饮料;⻩酒;⽩酒;⾼粱酒;葡萄酒;⽶酒;露酒</t>
  </si>
  <si>
    <t>臻航</t>
  </si>
  <si>
    <t>四川臻航商贸有限公司</t>
  </si>
  <si>
    <t>烧酒;⾼粱酒;果酒（含酒精）;⽩⼲酒（中国⽩酒）;⽩酒;⽼酒（中国蒸馏烈酒）;⻩酒;酒精饮料（啤酒除外）;开胃酒;蒸馏饮料</t>
  </si>
  <si>
    <t>汉帝华</t>
  </si>
  <si>
    <t>贵州岁典酒业有限公司</t>
  </si>
  <si>
    <t>葡萄酒;烈酒（饮料）;开胃酒;清酒（⽇本⽶酒）;⽶酒;⽩酒;⾕物制蒸馏酒精饮料;果酒（含酒精）;酒精饮料（啤酒除外）;烧酒</t>
  </si>
  <si>
    <t>井和天下</t>
  </si>
  <si>
    <t>安徽井名天下酒业有限公司</t>
  </si>
  <si>
    <t>葡萄酒;利⼝酒;⽶酒;烧酒;⾷⽤酒精;开胃酒;酒精饮料（啤酒除外）;⽩酒;⻩酒;果酒（含酒精）</t>
  </si>
  <si>
    <t>打工鱼 吉</t>
  </si>
  <si>
    <t>广州艺洲人品牌管理股份有限公司</t>
  </si>
  <si>
    <t>果酒（含酒精）;⽩兰地;酒精饮料（啤酒除外）;鸡尾酒;⽶酒;苹果酒;蒸馏饮料;开胃酒;清酒（⽇本⽶酒）;葡萄酒</t>
  </si>
  <si>
    <t>吉 OFFISH</t>
  </si>
  <si>
    <t>⽩兰地;酒精饮料（啤酒除外）;葡萄酒;鸡尾酒;⽶酒;蒸馏饮料;开胃酒;果酒（含酒精）;清酒（⽇本⽶酒）;苹果酒</t>
  </si>
  <si>
    <t>小主独白</t>
  </si>
  <si>
    <t>好吉色食品有限公司</t>
  </si>
  <si>
    <t>⽩酒;酒精饮料（啤酒除外）;蒸馏饮料;酒精饮料原汁;烈酒（饮料）;果酒（含酒精）;鸡尾酒;葡萄酒;威⼠忌;汽酒</t>
  </si>
  <si>
    <t>中原龙酒</t>
  </si>
  <si>
    <t>不言企业管理（山东）有限公司</t>
  </si>
  <si>
    <t>GJ32</t>
  </si>
  <si>
    <t>舟山恋恋信息科技有限公司展沟梦蝶分公司</t>
  </si>
  <si>
    <t>预先混合的酒精饮料（以啤酒为主的除外）;⻩酒;蒸馏饮料;葡萄酒;果酒（含酒精）;烧酒;⽶酒;汽酒;⽩酒;酒精饮料（啤酒除外）</t>
  </si>
  <si>
    <t>琴歌酒赋</t>
  </si>
  <si>
    <t>河南琴歌酒赋酒业有限公司</t>
  </si>
  <si>
    <t>⽩酒;威⼠忌;烧酒;果酒（含酒精）;⽩兰地;酒精饮料（啤酒除外）;⻩酒;蒸馏饮料;⽶酒;开胃酒</t>
  </si>
  <si>
    <t>米小仙</t>
  </si>
  <si>
    <t>龙南市米滴酒业有限公司</t>
  </si>
  <si>
    <t>含酒精⽔果饮料;开胃酒;烧酒;汽酒;葡萄酒;⽶酒;烈酒（饮料）;果酒（含酒精）;⻩酒;⽩酒</t>
  </si>
  <si>
    <t>J32</t>
  </si>
  <si>
    <t>葡萄酒;⻩酒;⽩酒;预先混合的酒精饮料（以啤酒为主的除外）;果酒（含酒精）;⽶酒;蒸馏饮料;烧酒;酒精饮料（啤酒除外）;汽酒</t>
  </si>
  <si>
    <t>2023/10/10</t>
  </si>
  <si>
    <t>猴子谷</t>
  </si>
  <si>
    <t>广州猴子谷酒业有限公司</t>
  </si>
  <si>
    <t>⽩兰地;烈酒;⽶酒;甜酒;威⼠忌;鸡尾酒;葡萄酒;汽酒;利⼝酒;果酒</t>
  </si>
  <si>
    <t>2023/10/11</t>
  </si>
  <si>
    <t>养元</t>
  </si>
  <si>
    <t>北京大京九宾馆有限公司</t>
  </si>
  <si>
    <t>葡萄酒;烧酒;⽩兰地;酒精饮料（啤酒除外）;汽酒;⾷⽤酒精;开胃酒;清酒（⽇本⽶酒）;⽩酒;果酒（含酒精）</t>
  </si>
  <si>
    <t>宴百川</t>
  </si>
  <si>
    <t>张端</t>
  </si>
  <si>
    <t>果酒（含酒精）;烧酒;酒精饮料（啤酒除外）;⻩酒;⽩酒;含⽔果酒精饮料;开胃酒;烈酒（饮料）;⽶酒;利⼝酒</t>
  </si>
  <si>
    <t>2023/10/13</t>
  </si>
  <si>
    <t>福满堂天龙液</t>
  </si>
  <si>
    <t>江西省全南县酒厂</t>
  </si>
  <si>
    <t>⾼粱酒;⻩酒;烧酒;⽶酒;酒精饮料原汁;烈酒;甜酒;⽩酒;葡萄酒;酒精饮料浓缩汁</t>
  </si>
  <si>
    <t>镇府</t>
  </si>
  <si>
    <t>李红</t>
  </si>
  <si>
    <t>酒精饮料（啤酒除外）;⽶酒;烧酒;⽩酒;果酒（含酒精）;清酒（⽇本⽶酒）;伏特加酒;⻩酒;葡萄酒;⻘稞酒</t>
  </si>
  <si>
    <t>2023/10/16</t>
  </si>
  <si>
    <t>川沟</t>
  </si>
  <si>
    <t>⻩酒;烧酒;果酒（含酒精）;清酒（⽇本⽶酒）;⽩酒;伏特加酒;⻘稞酒;葡萄酒;酒精饮料（啤酒除外）;⽶酒</t>
  </si>
  <si>
    <t>2023/10/17</t>
  </si>
  <si>
    <t>泸君</t>
  </si>
  <si>
    <t>泸州泸贡天康酒业有限公司</t>
  </si>
  <si>
    <t>葡萄酒;酒精饮料（啤酒除外）;酒精饮料原汁;⽶酒;烈酒;⽩酒;⾼粱酒;果酒;烧酒;⻩酒</t>
  </si>
  <si>
    <t>旺典</t>
  </si>
  <si>
    <t>⽶酒;⽩酒;⻘稞酒;葡萄酒;烧酒;酒精饮料（啤酒除外）;⻩酒;伏特加酒;果酒（含酒精）;清酒（⽇本⽶酒）</t>
  </si>
  <si>
    <t>酒食尚</t>
  </si>
  <si>
    <t>北京江山玺国际贸易有限公司</t>
  </si>
  <si>
    <t>⽶酒;威⼠忌;⽩兰地;鸡尾酒;预先混合的酒精饮料（以啤酒为主的除外）;薄荷酒;酒精饮料（啤酒除外）;果酒（含酒精）;⽩酒;⻩酒</t>
  </si>
  <si>
    <t>赤贵河</t>
  </si>
  <si>
    <t>开胃酒;烧酒;⽩酒;果酒;⻩酒;蒸煮提取物（利⼝酒和烈酒）;清酒（⽇本⽶酒）;⽶酒;酒精饮料（啤酒除外）;葡萄酒</t>
  </si>
  <si>
    <t>大朗悦</t>
  </si>
  <si>
    <t>广东省中塑进出口有限公司</t>
  </si>
  <si>
    <t>威⼠忌;⽶酒;甜酒;⾼粱酒;⻩酒;果酒;⻘稞酒;⽩兰地;⽩酒;葡萄酒</t>
  </si>
  <si>
    <t>2023/10/20</t>
  </si>
  <si>
    <t>小朗悦</t>
  </si>
  <si>
    <t>葡萄酒;⽶酒;果酒;威⼠忌;⽩酒;⽩兰地;⻩酒;甜酒;⾼粱酒;⻘稞酒</t>
  </si>
  <si>
    <t>沙漠风暴</t>
  </si>
  <si>
    <t>东莞市盛世酒业商贸有限公司</t>
  </si>
  <si>
    <t>酒精饮料（啤酒除外）;⻩酒;果酒（含酒精）;葡萄酒;⽩酒;清酒（⽇本⽶酒）;⾷⽤酒精;烈酒（饮料）;除啤酒外的酒精饮料;烧酒</t>
  </si>
  <si>
    <t>二俩哥</t>
  </si>
  <si>
    <t>贵州京酱酒业（集团）有限公司</t>
  </si>
  <si>
    <t>开胃酒;果酒（含酒精）;⾷⽤酒精;蒸煮提取物（利⼝酒和烈酒）;葡萄酒;鸡尾酒;⽩酒;含⽔果酒精饮料;预先混合的酒精饮料（以啤酒为主的除外）;蜂蜜酒</t>
  </si>
  <si>
    <t>2023/10/23</t>
  </si>
  <si>
    <t>清之和</t>
  </si>
  <si>
    <t>秦皇岛金邦智业科技开发有限公司</t>
  </si>
  <si>
    <t>果酒;烧酒;清酒;⽶酒;⽇本梅⼦酒;⽇本松针酒;清酒（⽇本⽶酒）;⽇式甜⽶酒;梅酒;⽩酒</t>
  </si>
  <si>
    <t>民族味道</t>
  </si>
  <si>
    <t>民族商业股份有限公司</t>
  </si>
  <si>
    <t>⽩酒;⽩兰地;蒸馏饮料;葡萄酒;威⼠忌;果酒（含酒精）;酒精饮料（啤酒除外）;⻩酒;⽶酒;烈酒（饮料）</t>
  </si>
  <si>
    <t>2023/10/24</t>
  </si>
  <si>
    <t>咏凰</t>
  </si>
  <si>
    <t>山西咏凰酒业有限公司</t>
  </si>
  <si>
    <t>开胃酒;利⼝酒;⽩酒;⻩酒;烧酒;含⽔果酒精饮料;⽶酒;烈酒（饮料）;酒精饮料（啤酒除外）;果酒（含酒精）</t>
  </si>
  <si>
    <t>凉介</t>
  </si>
  <si>
    <t>佛山市凉介智能科技有限公司</t>
  </si>
  <si>
    <t>⽩酒;伏特加酒;葡萄酒;酒精饮料（啤酒除外）;⽶酒;威⼠忌;⽩兰地;⾷⽤酒精;开胃酒;⻩酒</t>
  </si>
  <si>
    <t>2023/10/26</t>
  </si>
  <si>
    <t>喜壶</t>
  </si>
  <si>
    <t>江苏首湖酒业有限公司</t>
  </si>
  <si>
    <t>鸡尾酒;烈酒;烧酒;葡萄酒;⽩酒;果酒（含酒精）;清酒（⽇本⽶酒）;⻩酒;杜松⼦酒;⻘稞酒</t>
  </si>
  <si>
    <t>2023/10/27</t>
  </si>
  <si>
    <t>优利颜</t>
  </si>
  <si>
    <t>深圳市再生堂进出口有限公司</t>
  </si>
  <si>
    <t>果酒（含酒精）;烈酒;威⼠忌;⽩酒;⾼粱酒;葡萄酒;利⼝酒;五加⽪酒（中国混合烈酒）;酒精饮料（啤酒除外）;⻩酒</t>
  </si>
  <si>
    <t>2023/10/30</t>
  </si>
  <si>
    <t>喜达屋</t>
  </si>
  <si>
    <t>江苏达喜食品有限公司</t>
  </si>
  <si>
    <t>清酒（⽇本⽶酒）;烧酒;⻩酒;薄荷酒;⾷⽤酒精;朗姆酒;⽶酒;含⽔果酒精饮料;⽩酒;樱桃酒</t>
  </si>
  <si>
    <t>坛掌柜</t>
  </si>
  <si>
    <t>贵州省仁怀市坛掌柜酒业有限公司</t>
  </si>
  <si>
    <t>果酒(含酒精);酒精饮料浓缩汁;⽩酒;烈酒(饮料);⻩酒;酒精饮料(啤酒除外);⽶酒;葡萄酒;⾷⽤酒精;烧酒</t>
  </si>
  <si>
    <t>2023/11/06</t>
  </si>
  <si>
    <t>会酒会藏年</t>
  </si>
  <si>
    <t>上海雷默广告有限公司</t>
  </si>
  <si>
    <t>葡萄酒;⽶酒;预先混合的酒精饮料（以啤酒为主的除外）;汽酒;⻩酒;果酒（含酒精）;酒精饮料（啤酒除外）;⽩酒;蒸馏饮料;烧酒</t>
  </si>
  <si>
    <t>2023/11/13</t>
  </si>
  <si>
    <t>四川德源教育科技发展有限公司</t>
  </si>
  <si>
    <t>⽩酒;果酒（含酒精）;酒精饮料（啤酒除外）;烧酒;伏特加酒;朗姆酒;葡萄酒;含⽔果酒精饮料;⻩酒;烈酒（饮料）</t>
  </si>
  <si>
    <t>2023/11/16</t>
  </si>
  <si>
    <t>龟龄龙宝 蒙</t>
  </si>
  <si>
    <t>蒙品优材股份有限公司</t>
  </si>
  <si>
    <t>⻩酒;葡萄酒;清酒（⽇本⽶酒）;酒精饮料（啤酒除外）;⽩酒;果酒（含酒精）;鸡尾酒;烈酒（饮料）;⽶酒;烧酒</t>
  </si>
  <si>
    <t>2023/11/20</t>
  </si>
  <si>
    <t>传承典</t>
  </si>
  <si>
    <t>潘伟</t>
  </si>
  <si>
    <t>⻩酒;利⼝酒;清酒（⽇本⽶酒）;⽶酒;⻘稞酒;梨酒;烧酒;⽩酒;葡萄酒;开胃酒</t>
  </si>
  <si>
    <t>2023/11/27</t>
  </si>
  <si>
    <t>万丈红尘</t>
  </si>
  <si>
    <t>春丘大叶（武夷山）茶业有限公司</t>
  </si>
  <si>
    <t>鸡尾酒;⽩酒;果酒;酒精饮料（啤酒除外）;甜酒;蒸馏饮料;⽶酒;烈酒;烧酒;葡萄酒</t>
  </si>
  <si>
    <t>赤嘎觉沃拉康</t>
  </si>
  <si>
    <t>贵德县贡巴寺宗教用品有限公司</t>
  </si>
  <si>
    <t>清酒;清酒（⽇本⽶酒）;⽶酒;甜果酒;果酒;⽩酒;果酒（含酒精）;⻘稞酒;⾷⽤酒精;葡萄酒</t>
  </si>
  <si>
    <t>2023/11/29</t>
  </si>
  <si>
    <t>恭色</t>
  </si>
  <si>
    <t>西藏恭色商贸有限公司</t>
  </si>
  <si>
    <t>威⼠忌;⽶酒;露酒;鸡尾酒;葡萄酒;⽩酒;酒精饮料（啤酒除外）;⾷⽤酒精;⽩兰地;果酒（含酒精）</t>
  </si>
  <si>
    <t>2023/12/06</t>
  </si>
  <si>
    <t>金龙源</t>
  </si>
  <si>
    <t>贵州省仁怀市金龙源台酒业有限公司</t>
  </si>
  <si>
    <t>鸡尾酒;烈酒（饮料）;蒸煮提取物（利⼝酒和烈酒）;蒸馏饮料;果酒（含酒精）;烧酒;葡萄酒;⽶酒;含酒精的饮料（啤酒除外）;⻩酒</t>
  </si>
  <si>
    <t>2024/01/10</t>
  </si>
  <si>
    <t>丰谷</t>
  </si>
  <si>
    <t>四川省绵阳市丰谷酒业有限责任公司</t>
  </si>
  <si>
    <t>果酒（含酒精）;葡萄酒;清酒（⽇本⽶酒）;⽶酒;尼⽡（以⽢蔗为主的酒精饮料）;⽩酒;⻩酒;⾷⽤酒精;烧酒;预先混合的酒精饮料（以啤酒为主的除外）</t>
  </si>
  <si>
    <t>2024/01/30</t>
  </si>
  <si>
    <t>不老董</t>
  </si>
  <si>
    <t>⽩酒;果酒（含酒精）;开胃酒;餐后酒（利⼝酒和烈酒）;烧酒;梨酒;清酒（⽇本⽶酒）;酒精饮料（啤酒除外）;⽶酒;葡萄酒</t>
  </si>
  <si>
    <t>2024/02/02</t>
  </si>
  <si>
    <t>三维标志</t>
  </si>
  <si>
    <t>四川省文君酒厂有限责任公司</t>
  </si>
  <si>
    <t>烈酒（饮料）;含⽔果酒精饮料;威⼠忌;酒精饮料（啤酒除外）;⽩酒;清酒（⽇本⽶酒）;果酒（含酒精）;蒸馏饮料;酒精饮料原汁;烧酒</t>
  </si>
  <si>
    <t>烈酒（饮料）;含⽔果酒精饮料;果酒（含酒精）;⻩酒;⽩酒;⽩兰地;威⼠忌;酒精饮料原汁;酒精饮料（啤酒除外）;蒸馏饮料</t>
  </si>
  <si>
    <t>文旅投织音</t>
  </si>
  <si>
    <t>石家庄旅投集团文化体育产业开发有限责任公司演艺分公司</t>
  </si>
  <si>
    <t>鸡尾酒;朗姆酒;⽩酒;薄荷酒;⻘稞酒;⻩酒;果酒（含酒精）;威⼠忌;⽩兰地;⽶酒</t>
  </si>
  <si>
    <t>NIU LAN SHAN BAIJIU</t>
  </si>
  <si>
    <t>酒精饮料（啤酒除外）;酒精饮料浓缩汁;⻘稞酒;⻩酒;⽶酒;葡萄酒;开胃酒;⽩酒;含⽔果酒精饮料;烈酒（饮料）</t>
  </si>
  <si>
    <t>祝饮</t>
  </si>
  <si>
    <t>朱建建</t>
  </si>
  <si>
    <t>利⼝酒;果酒（含酒精）;杜松⼦酒;餐后酒（利⼝酒和烈酒）;柑⾹酒;蒸馏饮料;苹果酒;薄荷酒;鸡尾酒;葡萄酒</t>
  </si>
  <si>
    <t>BEYONDYOUNG</t>
  </si>
  <si>
    <t>果酒（含酒精）;威⼠忌;⽩酒;葡萄酒;烈酒（饮料）;烧酒;酒精饮料（啤酒除外）;⾼粱酒;鸡尾酒;⽶酒</t>
  </si>
  <si>
    <t>LAVANDIKA</t>
  </si>
  <si>
    <t>富帝索有限公司</t>
  </si>
  <si>
    <t>2024/03/06</t>
  </si>
  <si>
    <t>南人可贵 SOUTHERN PEOPLE ARE VALUABLE</t>
  </si>
  <si>
    <t>谢国有</t>
  </si>
  <si>
    <t>⻩酒;伏特加酒;⻘梅酒;⽩⼲酒（中国⽩酒）;⽩酒;⻘稞酒;含⽔果酒精饮料;朗姆酒;⽶酒;果酒</t>
  </si>
  <si>
    <t>2024/03/08</t>
  </si>
  <si>
    <t>WINDHOUSE</t>
  </si>
  <si>
    <t>杭州奕树文化创意有限公司</t>
  </si>
  <si>
    <t>⽩兰地;⽩酒;威⼠忌;⻘梅酒;⻩酒;果酒（含酒精）;鸡尾酒;⽶酒;烧酒;葡萄酒</t>
  </si>
  <si>
    <t>七彩云臻品</t>
  </si>
  <si>
    <t>刘开云</t>
  </si>
  <si>
    <t>果酒（含酒精）;果酒;烈酒;清酒;⽩酒;烧酒;⾷⽤酒精;甜酒;酒精饮料（啤酒除外）;⽶酒</t>
  </si>
  <si>
    <t>徐效军</t>
  </si>
  <si>
    <t>贵阳市经济开发区格物明易食品经营部</t>
  </si>
  <si>
    <t>⽩酒;⾷⽤酒精;烧酒</t>
  </si>
  <si>
    <t>2024/03/15</t>
  </si>
  <si>
    <t>雪艳东北大花</t>
  </si>
  <si>
    <t>刘洋211221********0017</t>
  </si>
  <si>
    <t>清酒;⽩酒;烧酒;酒精饮料（啤酒除外）;⾷⽤酒精;果酒（含酒精）;葡萄酒;烈酒（饮料）;⽶酒;⻩酒</t>
  </si>
  <si>
    <t>2024/03/20</t>
  </si>
  <si>
    <t>德耶日姆</t>
  </si>
  <si>
    <t>莫明·艾赛提</t>
  </si>
  <si>
    <t>以葡萄酒为主的开胃酒;柑⾹酒;果酒;苦味酒;葡萄酒;以蒸馏酒为主的开胃酒;开胃酒;天然汽酒;⽩酒;苹果酒</t>
  </si>
  <si>
    <t>ONETHING</t>
  </si>
  <si>
    <t>深圳市网心科技有限公司</t>
  </si>
  <si>
    <t>苹果酒;朗姆酒;葡萄酒;酒精饮料原汁;酒精饮料（啤酒除外）;鸡尾酒;果酒（含酒精）;以葡萄酒为主的饮料;⽩酒;⽶酒</t>
  </si>
  <si>
    <t>衡昌贡酒</t>
  </si>
  <si>
    <t>开胃酒;蒸煮提取物（利⼝酒和烈酒）;⻩酒;⾼粱酒;⽩⼲酒（中国⽩酒）;⽶酒;⽩酒;烧酒;⻘稞酒;含⽔果酒精饮料</t>
  </si>
  <si>
    <t>翊惟</t>
  </si>
  <si>
    <t>深圳翊惟商贸有限公司</t>
  </si>
  <si>
    <t>威⼠忌;⽩酒;烈酒;⽩⼲酒（中国⽩酒）;⾼粱酒;⻩酒;果酒;葡萄酒;⽩兰地;⽶酒</t>
  </si>
  <si>
    <t>秘要老酒</t>
  </si>
  <si>
    <t>北京周公百岁生物科技有限公司</t>
  </si>
  <si>
    <t>预先混合的酒精饮料（以啤酒为主的除外）;果酒（含酒精）;蒸馏饮料;⻩酒;⽼酒（中国蒸馏烈酒）;酒精饮料（啤酒除外）;含⽔果酒精饮料;⾕物制蒸馏酒精饮料;露酒;⽩酒</t>
  </si>
  <si>
    <t>2024/03/25</t>
  </si>
  <si>
    <t>百花湖</t>
  </si>
  <si>
    <t>梁金琼</t>
  </si>
  <si>
    <t>烈酒（饮料）;烧酒;葡萄酒;⻩酒;威⼠忌;⽶酒;果酒（含酒精）;开胃酒;鸡尾酒;⽩酒</t>
  </si>
  <si>
    <t>广州新客府餐饮管理有限公司</t>
  </si>
  <si>
    <t>利⼝酒;⽶酒;葡萄酒;餐后酒（利⼝酒和烈酒）;⾷⽤酒精;⽩酒;酒精饮料（啤酒除外）;含⽔果酒精饮料;开胃酒;果酒（含酒精）</t>
  </si>
  <si>
    <t>民族美</t>
  </si>
  <si>
    <t>贵州民族酒业（集团）有限公司</t>
  </si>
  <si>
    <t>果酒（含酒精）;葡萄酒;汽酒;烧酒（烈酒）;⽩酒;烧酒;鸡尾酒;苹果酒;烈酒（饮料）;威⼠忌</t>
  </si>
  <si>
    <t>2024/03/27</t>
  </si>
  <si>
    <t>衡昌臻藏</t>
  </si>
  <si>
    <t>蒸煮提取物（利⼝酒和烈酒）;⻩酒;⻘稞酒;⽩酒;含⽔果酒精饮料;⾼粱酒;⽶酒;烧酒;开胃酒;⽩⼲酒（中国⽩酒）</t>
  </si>
  <si>
    <t>衡昌臻品</t>
  </si>
  <si>
    <t>烧酒;开胃酒;蒸煮提取物（利⼝酒和烈酒）;⽶酒;⻘稞酒;含⽔果酒精饮料;⽩酒;⽩⼲酒（中国⽩酒）;⾼粱酒;⻩酒</t>
  </si>
  <si>
    <t>正道美</t>
  </si>
  <si>
    <t>郸城县李倩皑百货店</t>
  </si>
  <si>
    <t>开胃酒;鸡尾酒;⽩酒;苹果酒;利⼝酒;⽩兰地;果酒;葡萄酒;含酒精的饮料（啤酒除外）;烈酒（饮料）</t>
  </si>
  <si>
    <t>熠泉</t>
  </si>
  <si>
    <t>贵州省仁怀市为华酒业有限公司</t>
  </si>
  <si>
    <t>⽩酒;伏特加酒;果酒（含酒精）;⽶酒;⽩兰地;葡萄酒;威⼠忌;酒精饮料（啤酒除外）;鸡尾酒;开胃酒</t>
  </si>
  <si>
    <t>东市草集</t>
  </si>
  <si>
    <t>昆明泡泡酒店管理有限公司</t>
  </si>
  <si>
    <t>烈酒（饮料）;威⼠忌;汽酒;果酒（含酒精）;餐后酒（利⼝酒和烈酒）;酒精饮料原汁;⽩酒;鸡尾酒;⽶酒;蒸馏饮料</t>
  </si>
  <si>
    <t>2024/04/02</t>
  </si>
  <si>
    <t>威龙欧葡乐</t>
  </si>
  <si>
    <t>威龙葡萄酒股份有限公司</t>
  </si>
  <si>
    <t>鸡尾酒;含⽔果酒精饮料;⾷⽤酒精;⽩酒;果酒（含酒精）;葡萄酒;蒸馏饮料;烈酒（饮料）;⽶酒;⽩兰地</t>
  </si>
  <si>
    <t>威龙欧斐</t>
  </si>
  <si>
    <t>蒸馏饮料;鸡尾酒;⾷⽤酒精;⽶酒;⽩兰地;烈酒（饮料）;果酒（含酒精）;葡萄酒;⽩酒;含⽔果酒精饮料</t>
  </si>
  <si>
    <t>中桂</t>
  </si>
  <si>
    <t>山东省博兴县东文酒业有限公司</t>
  </si>
  <si>
    <t>蒸煮提取物（利⼝酒和烈酒）;酒精饮料原汁;汽酒;烈酒;蒸馏饮料;果酒（含酒精）;含酒精⽔果饮料;利⼝酒;葡萄酒;⽩酒</t>
  </si>
  <si>
    <t>东方阿保</t>
  </si>
  <si>
    <t>运鸿集团股份有限公司</t>
  </si>
  <si>
    <t>烈酒;利⼝酒;鸡尾酒;⽩酒;含⽔果酒精饮料;开胃酒;果酒（含酒精）;⻩酒;葡萄酒;⽶酒</t>
  </si>
  <si>
    <t>黑美莱</t>
  </si>
  <si>
    <t>无锡市黑之初生物科技有限公司</t>
  </si>
  <si>
    <t>果酒（含酒精）;蒸馏饮料;薄荷酒;茴芹酒（利⼝酒）;苹果酒;亚⼒酒;苦味酒;茴⾹酒（利⼝酒）;开胃酒</t>
  </si>
  <si>
    <t>武陵 V 5</t>
  </si>
  <si>
    <t>湖南武陵酒有限公司</t>
  </si>
  <si>
    <t>⽩酒;⽶酒;蒸煮提取物（利⼝酒和烈酒）;烧酒;蒸馏饮料;⾕物制蒸馏酒精饮料;鸡尾酒;烈酒（饮料）;酒精饮料（啤酒除外）;葡萄酒</t>
  </si>
  <si>
    <t>TIAN HOU</t>
  </si>
  <si>
    <t>周国生</t>
  </si>
  <si>
    <t>果酒（含酒精）;清酒（⽇本⽶酒）;⾕物制蒸馏酒精饮料;⽩酒;⽶酒;酒精饮料（啤酒除外）;烧酒;开胃酒;葡萄酒;烈酒（饮料）</t>
  </si>
  <si>
    <t>会兴春</t>
  </si>
  <si>
    <t>青岛海明城市发展有限公司</t>
  </si>
  <si>
    <t>鸡尾酒;⽩酒;蒸馏饮料;葡萄酒;酒精饮料（啤酒除外）;果酒（含酒精）;伏特加酒;烈酒（饮料）;⽶酒;汽酒</t>
  </si>
  <si>
    <t>DNH BOGORIA 波歌莉娅</t>
  </si>
  <si>
    <t>省利哆（厦门）进出口贸易有限公司</t>
  </si>
  <si>
    <t>果酒（含酒精）;酒精饮料（啤酒除外）;开胃酒;清酒（⽇本⽶酒）;以葡萄酒为主的饮料;鸡尾酒;餐后酒（利⼝酒和烈酒）;烈酒（饮料）;葡萄酒;预先混合的酒精饮料（以啤酒为主的除外）</t>
  </si>
  <si>
    <t>拉达</t>
  </si>
  <si>
    <t>陈梅峰</t>
  </si>
  <si>
    <t>含酒精⽔果饮料;酒精饮料（啤酒除外）;⽩酒;预先混合的酒精饮料（以啤酒为主的除外）;酒精饮料原汁;含⽔果酒精饮料;⽶酒;开胃酒;果酒;葡萄酒</t>
  </si>
  <si>
    <t>不解甲</t>
  </si>
  <si>
    <t>⽩酒;⻩酒;烧酒;葡萄酒;酒精饮料（啤酒除外）;鸡尾酒;烈酒（饮料）;⻘稞酒;⾕物制蒸馏酒精饮料;⽶酒</t>
  </si>
  <si>
    <t>江山月半</t>
  </si>
  <si>
    <t>山东威源贸易集团有限公司</t>
  </si>
  <si>
    <t>葡萄酒;烧酒;⽼酒（中国蒸馏烈酒）;鸡尾酒;含酒精⽔果饮料;果酒;⽩兰地;⽶酒;⻩酒;⽩酒</t>
  </si>
  <si>
    <t>ARTEBELLA 雅特柏乐</t>
  </si>
  <si>
    <t>上海雅特柏乐文化传播有限公司</t>
  </si>
  <si>
    <t>葡萄酒;烈酒（饮料）;⽩酒;⻘梅酒;⽩葡萄酒;酒精饮料（啤酒除外）;餐后酒（利⼝酒和烈酒）;佐餐酒</t>
  </si>
  <si>
    <t>2024/04/14</t>
  </si>
  <si>
    <t>中国中检</t>
  </si>
  <si>
    <t>中国检验认证（集团）有限公司</t>
  </si>
  <si>
    <t>⽩酒;果酒（含酒精）;鸡尾酒;朗姆酒;威⼠忌;葡萄酒;⽶酒;烈酒（饮料）;清酒（⽇本⽶酒）;烧酒</t>
  </si>
  <si>
    <t>粤香来</t>
  </si>
  <si>
    <t>广东福锐德科技服务有限公司</t>
  </si>
  <si>
    <t>许宣堂</t>
  </si>
  <si>
    <t>镇江风物文化创意有限公司</t>
  </si>
  <si>
    <t>果酒（含酒精）;开胃酒;⽶酒;⻩酒;⽩酒;⽢蔗制酒精饮料;烧酒;葡萄酒;⾷⽤酒精;酒精饮料（啤酒除外）</t>
  </si>
  <si>
    <t>AOKANG</t>
  </si>
  <si>
    <t>奥康集团有限公司</t>
  </si>
  <si>
    <t>果酒（含酒精）;烈酒（饮料）;⽶酒;鸡尾酒;含酒精的⽓泡⽔;汽酒;⾷⽤酒精;⽩兰地;酒精饮料原汁;葡萄酒</t>
  </si>
  <si>
    <t>波罗的海啤酒公司</t>
  </si>
  <si>
    <t>酒精饮料浓缩汁;酒精饮料（啤酒除外）;酒精饮料原汁</t>
  </si>
  <si>
    <t>纷</t>
  </si>
  <si>
    <t>山西杏花村汾酒厂股份有限公司</t>
  </si>
  <si>
    <t>果酒（含酒精）;鸡尾酒;⽩酒;烧酒（烈酒）;⻩酒;酒精饮料（啤酒除外）;⽼酒（中国蒸馏烈酒）;酒精饮料原汁;⽶酒;蒸煮提取物（利⼝酒和烈酒）</t>
  </si>
  <si>
    <t>朱煜烧坊</t>
  </si>
  <si>
    <t>许进禄</t>
  </si>
  <si>
    <t>开胃酒;蒸馏饮料;利⼝酒;⽩酒;⽩兰地;鸡尾酒;葡萄酒;威⼠忌;⽶酒;烧酒</t>
  </si>
  <si>
    <t>金双喜王中皇</t>
  </si>
  <si>
    <t>金双喜实业发展有限公司</t>
  </si>
  <si>
    <t>汽酒;烧酒;威⼠忌;⽩兰地;⻩酒;果酒（含酒精）;酒精饮料（啤酒除外）;清酒（⽇本⽶酒）;⽶酒;葡萄酒</t>
  </si>
  <si>
    <t>朱煜</t>
  </si>
  <si>
    <t>开胃酒;⽩酒;利⼝酒;⽩兰地;威⼠忌;蒸馏饮料;葡萄酒;⽶酒;鸡尾酒;烧酒</t>
  </si>
  <si>
    <t>五合窖</t>
  </si>
  <si>
    <t>保定五合窖酒业有限公司</t>
  </si>
  <si>
    <t>除啤酒外的酒精饮料;⻩酒;⾷⽤酒精;⽩酒;已调味的⻨芽酿制的酒精饮料（啤酒除外）;烈酒;葡萄酒;烧酒;⽩⼲酒（中国⽩酒）;烧酒（烈酒）</t>
  </si>
  <si>
    <t>2024/04/19</t>
  </si>
  <si>
    <t>五合囍</t>
  </si>
  <si>
    <t>⻩酒;⽩酒;⽩⼲酒（中国⽩酒）;已调味的⻨芽酿制的酒精饮料（啤酒除外）;⾷⽤酒精;除啤酒外的酒精饮料;烈酒;葡萄酒;烧酒;烧酒（烈酒）</t>
  </si>
  <si>
    <t>⽩⼲酒（中国⽩酒）;除啤酒外的酒精饮料;葡萄酒;烧酒;烈酒;⽩酒;已调味的⻨芽酿制的酒精饮料（啤酒除外）;⻩酒;烧酒（烈酒）;⾷⽤酒精</t>
  </si>
  <si>
    <t>子今匠</t>
  </si>
  <si>
    <t>贵州省仁怀市匠君酒业销售有限公司</t>
  </si>
  <si>
    <t>⻘稞酒;⻩酒;⾼粱酒;果酒;烧酒;烈酒（饮料）;⽶酒;⽩酒;清酒;葡萄酒</t>
  </si>
  <si>
    <t>⽩酒;除啤酒外的酒精饮料;烧酒;葡萄酒;⾷⽤酒精;烧酒（烈酒）;⽩⼲酒（中国⽩酒）;⻩酒;烈酒;已调味的⻨芽酿制的酒精饮料（啤酒除外）</t>
  </si>
  <si>
    <t>绕阳河</t>
  </si>
  <si>
    <t>辽宁绕阳河酒业有限公司</t>
  </si>
  <si>
    <t>⽶酒;⾷⽤酒精;葡萄酒;预先混合的酒精饮料（以啤酒为主的除外）;⻩酒;⾕物制蒸馏酒精饮料;烧酒;鸡尾酒;⽩兰地;⽩酒</t>
  </si>
  <si>
    <t>运河之都琥珀</t>
  </si>
  <si>
    <t>孙劲</t>
  </si>
  <si>
    <t>酒精饮料（啤酒除外）;⾕物制蒸馏酒精饮料;⽩酒;⽩兰地;威⼠忌;蜂蜜酒;预先混合的酒精饮料（以啤酒为主的除外）;果酒（含酒精）;清酒;葡萄酒</t>
  </si>
  <si>
    <t>2024/04/22</t>
  </si>
  <si>
    <t>佳荣牛</t>
  </si>
  <si>
    <t>贵州荔波富荔农林产业投资（集团）有限责任公司</t>
  </si>
  <si>
    <t>葡萄酒;酸酒（低等葡萄酒）;酒精饮料原汁;酒精饮料（啤酒除外）;⽶酒;清酒;果酒（含酒精）;鸡尾酒;含⽔果酒精饮料;⽩酒</t>
  </si>
  <si>
    <t>宗祖妙化堂</t>
  </si>
  <si>
    <t>宗祖堂健康服务（湖南）有限公司</t>
  </si>
  <si>
    <t>⽔果汽酒;红葡萄酒;清酒;⽩酒;梅酒;酒精饮料原汁;果酒;⽶酒;露酒;⻩酒</t>
  </si>
  <si>
    <t>荞三将</t>
  </si>
  <si>
    <t>贵州食荞人家食品科技有限公司</t>
  </si>
  <si>
    <t>苦艾酒;苦荞酒;⾼粱酒;葡萄酒;鸡尾酒;甜酒;果酒（含酒精）;苹果酒;梨酒;⽩酒</t>
  </si>
  <si>
    <t>纪传英古建筑</t>
  </si>
  <si>
    <t>广东纪传英古建筑营造有限公司</t>
  </si>
  <si>
    <t>果酒（含酒精）;葡萄酒;伏特加酒;酒精饮料（啤酒除外）;威⼠忌;⻩酒;⽩兰地;汽酒;⽶酒;⽩酒</t>
  </si>
  <si>
    <t>英雄夙</t>
  </si>
  <si>
    <t>杨孝</t>
  </si>
  <si>
    <t>果酒（含酒精）;威⼠忌;⽶酒;果酒;梅酒;葡萄酒;⽩酒;伏特加酒;⻩酒;鸡尾酒</t>
  </si>
  <si>
    <t>茶在浙里</t>
  </si>
  <si>
    <t>中国石油天然气股份有限公司浙江昆仑好客分公司</t>
  </si>
  <si>
    <t>薄荷酒;鸡尾酒;以葡萄酒为主的饮料;果酒（含酒精）;伏特加酒;含水果酒精饮料;已调味的麦芽酿制的酒精饮料（啤酒除外）;米酒;朗姆酒;蒸馏饮料</t>
  </si>
  <si>
    <t>一杯目</t>
  </si>
  <si>
    <t>南京悠程旅行社有限公司</t>
  </si>
  <si>
    <t>葡萄酒;开胃酒;⽇式甜⽶酒;⽶酒;含酒精的饮料（啤酒除外）;果酒;⽩酒;⻩酒;甜酒;清酒</t>
  </si>
  <si>
    <t>甄选萃坊</t>
  </si>
  <si>
    <t>南京浩萃食品发展有限公司</t>
  </si>
  <si>
    <t>⾷⽤酒精;⽩酒;酒精饮料（啤酒除外）;含⽔果酒精饮料;⻩酒;葡萄酒;蜂蜜酒;汽酒;⻘稞酒;烧酒</t>
  </si>
  <si>
    <t>2024/04/24</t>
  </si>
  <si>
    <t>TIPSY NIGHT</t>
  </si>
  <si>
    <t>泸州泸高酒业有限责任公司</t>
  </si>
  <si>
    <t>鸡尾酒;⽩酒;⽶酒;清酒;含酒精的饮料（啤酒除外）;汽酒;果酒;⽩兰地;露酒;葡萄酒</t>
  </si>
  <si>
    <t>李长寿</t>
  </si>
  <si>
    <t>贵州李长寿酒业有限公司</t>
  </si>
  <si>
    <t>⾕物制蒸馏酒精饮料;蒸馏饮料;⽩酒;烧酒;烈酒（饮料）;酒精饮料浓缩汁;餐后酒（利⼝酒和烈酒）;酒精饮料原汁;开胃酒;酒精饮料（啤酒除外）</t>
  </si>
  <si>
    <t>CEILIDH DISTILLERY</t>
  </si>
  <si>
    <t>福建德熙酒业有限公司</t>
  </si>
  <si>
    <t>餐后酒（利⼝酒和烈酒）;⽩兰地;伏特加酒;酒精饮料（啤酒除外）;利⼝酒;朗姆酒;葡萄酒;烈酒（饮料）;杜松⼦酒;威⼠忌</t>
  </si>
  <si>
    <t>岐黄康源</t>
  </si>
  <si>
    <t>中原康谷健康产业有限公司</t>
  </si>
  <si>
    <t>果酒（含酒精）;鸡尾酒;苹果酒;酒精饮料（啤酒除外）;⽩酒;开胃酒;葡萄酒;⽶酒;⾷⽤酒精;含⽔果酒精饮料</t>
  </si>
  <si>
    <t>HURSENHIZA 呼散埃扎</t>
  </si>
  <si>
    <t>和田大穗商贸有限公司</t>
  </si>
  <si>
    <t>烈酒（饮料）;红葡萄酒;烈酒;威⼠忌;葡萄酒;⽩酒;清酒;⾼粱酒;烧酒（烈酒）;⻩酒</t>
  </si>
  <si>
    <t>2024/04/27</t>
  </si>
  <si>
    <t>CHATEAU LA NERTHE LES GRANIERES</t>
  </si>
  <si>
    <t>拿勒酒庄农业民用公司</t>
  </si>
  <si>
    <t>行台</t>
  </si>
  <si>
    <t>李政学</t>
  </si>
  <si>
    <t>开胃酒;烈酒（饮料）;⻩酒;果酒;蜂蜜酒;⽩酒;苦味酒;⾷⽤酒精;⽩葡萄酒;⽶酒</t>
  </si>
  <si>
    <t>蒙泰食品 MENGTAI FOOD</t>
  </si>
  <si>
    <t>伏特加酒;烧酒;汽酒;⻩酒;烈酒（饮料）;果酒（含酒精）;蜂蜜酒;⽶酒;清酒（⽇本⽶酒）;⽩酒</t>
  </si>
  <si>
    <t>金龙银龙</t>
  </si>
  <si>
    <t>王健</t>
  </si>
  <si>
    <t>⽶酒;葡萄酒;⻩酒;开胃酒;甜酒;⽩酒;⾷⽤酒精;果酒;清酒;汽酒</t>
  </si>
  <si>
    <t>唐宋三十九</t>
  </si>
  <si>
    <t>北京中清泰和科技文化有限公司</t>
  </si>
  <si>
    <t>蒸馏饮料;樱桃酒;鸡尾酒;清酒（⽇本⽶酒）;果酒（含酒精）;⾕物制蒸馏酒精饮料;⽩酒;葡萄酒;酒精饮料（啤酒除外）;含⽔果酒精饮料</t>
  </si>
  <si>
    <t>台糯</t>
  </si>
  <si>
    <t>贵州台糯酒业有限公司</t>
  </si>
  <si>
    <t>⽶酒;利⼝酒;果酒（含酒精）;酒精饮料（啤酒除外）;烧酒;鸡尾酒;伏特加酒;⻘稞酒;⽩酒;开胃酒</t>
  </si>
  <si>
    <t>补健良坊</t>
  </si>
  <si>
    <t>华润堂（深圳）医药连锁有限公司</t>
  </si>
  <si>
    <t>葡萄酒;⾕物制蒸馏酒精饮料;威⼠忌;预先混合的酒精饮料（以啤酒为主的除外）;果酒（含酒精）;⻩酒;烈酒（饮料）;酒精饮料（啤酒除外）;⽩酒;蜂蜜酒</t>
  </si>
  <si>
    <t>靓仔小黄</t>
  </si>
  <si>
    <t>广州合一品牌策划有限公司</t>
  </si>
  <si>
    <t>烧酒;含⽔果酒精饮料;开胃酒;⻩酒;⽶酒;鸡尾酒;果酒（含酒精）;葡萄酒;酒精饮料原汁;烈酒（饮料）</t>
  </si>
  <si>
    <t>台糯古</t>
  </si>
  <si>
    <t>鸡尾酒;⽶酒;⽩酒;酒精饮料（啤酒除外）;开胃酒;利⼝酒;伏特加酒;烧酒;⻘稞酒;果酒（含酒精）</t>
  </si>
  <si>
    <t>台糯烧坊</t>
  </si>
  <si>
    <t>伏特加酒;果酒（含酒精）;利⼝酒;⽶酒;⻘稞酒;酒精饮料（啤酒除外）;烧酒;⽩酒;开胃酒;鸡尾酒</t>
  </si>
  <si>
    <t>七星大亨</t>
  </si>
  <si>
    <t>陈明</t>
  </si>
  <si>
    <t>露酒;葡萄酒;烈酒（饮料）;蒸馏饮料;⽶酒;⽩酒;苹果酒;⾕物制蒸馏酒精饮料;果酒（含酒精）;餐后酒（利⼝酒和烈酒）</t>
  </si>
  <si>
    <t>古茗</t>
  </si>
  <si>
    <t>古茗科技集团有限公司</t>
  </si>
  <si>
    <t>鸡尾酒;葡萄酒;⽶酒;果酒（含酒精）;含⽔果酒精饮料;含酒精⽔果饮料;酒精饮料（啤酒除外）;⻩酒;⽩酒;汽酒</t>
  </si>
  <si>
    <t>赤马红羊</t>
  </si>
  <si>
    <t>何太姜</t>
  </si>
  <si>
    <t>葡萄酒;⻩酒;清酒;甜酒;蒸馏饮料;含酒精的饮料（啤酒除外）;⽩酒;果酒;⾷⽤酒精;⽶酒</t>
  </si>
  <si>
    <t>酒华仕</t>
  </si>
  <si>
    <t>山西德宽酒业有限公司</t>
  </si>
  <si>
    <t>烈酒;开胃酒;⾼粱酒;⻩酒;⽼酒（中国蒸馏烈酒）;汽酒;由⾕物蒸馏的⽩酒;⽩酒;果酒;鸡尾酒</t>
  </si>
  <si>
    <t>莞方</t>
  </si>
  <si>
    <t>莞方（东莞）宠物食品有限公司</t>
  </si>
  <si>
    <t>烈酒（饮料）;⽩酒;果酒;红葡萄酒;烧酒;酒精饮料（啤酒除外）;烈性⼲酒;⽶酒;开胃酒;含酒精⽔果饮料</t>
  </si>
  <si>
    <t>墨宝非宝</t>
  </si>
  <si>
    <t>北京添福添宝文化传媒有限公司</t>
  </si>
  <si>
    <t>薄荷酒;餐后酒（利⼝酒和烈酒）;酒精饮料原汁;含⽔果酒精饮料;以葡萄酒为主的饮料;果酒（含酒精）;葡萄酒;烈酒（饮料）;清酒（⽇本⽶酒）;朗姆酒</t>
  </si>
  <si>
    <t>古恒心泉 HENGXINQUAN</t>
  </si>
  <si>
    <t>山西恒心泉酒业有限公司</t>
  </si>
  <si>
    <t>烈酒;甜酒;酒精饮料（啤酒除外）;⽶酒;鸡尾酒;果酒（含酒精）;烧酒;⽩酒;含⽔果酒精饮料;葡萄酒</t>
  </si>
  <si>
    <t>古恒心泉</t>
  </si>
  <si>
    <t>含⽔果酒精饮料;⽶酒;烈酒;甜酒;鸡尾酒;酒精饮料（啤酒除外）;果酒（含酒精）;烧酒;⽩酒;葡萄酒</t>
  </si>
  <si>
    <t>泛校友</t>
  </si>
  <si>
    <t>清远市校友岛互联网平台有限公司</t>
  </si>
  <si>
    <t>汽酒;果酒（含酒精）;⽶酒;⽩兰地;威⼠忌;⻩酒;烈酒（饮料）;葡萄酒;⽩酒</t>
  </si>
  <si>
    <t>彝苗公主</t>
  </si>
  <si>
    <t>四川恒年烧坊酒业有限公司</t>
  </si>
  <si>
    <t>开胃酒;葡萄酒;⽶酒;⾕物制蒸馏酒精饮料;⽩酒;果酒（含酒精）;烈酒（饮料）;酒精饮料（啤酒除外）;清酒（⽇本⽶酒）;烧酒</t>
  </si>
  <si>
    <t>OKWE</t>
  </si>
  <si>
    <t>李晓芬</t>
  </si>
  <si>
    <t>清酒（⽇本⽶酒）;⻘稞酒;烧酒（烈酒）;酒精饮料（啤酒除外）;果酒;⻩酒;葡萄酒;朗姆酒;⽩酒;⽶酒</t>
  </si>
  <si>
    <t>POP PLANET</t>
  </si>
  <si>
    <t>沈阳汇发佰通商贸有限公司</t>
  </si>
  <si>
    <t>含酒精的⽓泡⽔;清酒;含酒精的鸡尾酒混合饮品;鸡尾酒;葡萄酒;⽩酒;含⽔果酒精饮料;已调味的蒸馏酒;果酒（含酒精）;清酒（⽇本⽶酒）</t>
  </si>
  <si>
    <t>厚慧有期</t>
  </si>
  <si>
    <t>佛山市顺德区桦林企业管理咨询有限公司</t>
  </si>
  <si>
    <t>果酒（含酒精）;预先混合的酒精饮料（以啤酒为主的除外）;尼⽡（以⽢蔗为主的酒精饮料）;⻘稞酒;⽶酒;⽩酒;酒精饮料（啤酒除外）;烧酒;葡萄酒;⻩酒</t>
  </si>
  <si>
    <t>硬酒天</t>
  </si>
  <si>
    <t>安徽省一当酒业有限公司</t>
  </si>
  <si>
    <t>⽶酒;葡萄酒;鸡尾酒;⻩酒;蒸煮提取物（利⼝酒和烈酒）;果酒（含酒精）;烈酒;⽩⼲酒（中国⽩酒）;⽩酒;⾼粱酒</t>
  </si>
  <si>
    <t>布多格 CANIS FAMILIARIS</t>
  </si>
  <si>
    <t>浙江百臻控股集团有限公司</t>
  </si>
  <si>
    <t>果酒（含酒精）;酸酒（低等葡萄酒）;⽶酒;⽩兰地;⽩酒;烈酒（饮料）;葡萄酒;清酒（⽇本⽶酒）;威⼠忌;酒精饮料（啤酒除外）</t>
  </si>
  <si>
    <t>胖东来 DL</t>
  </si>
  <si>
    <t>许昌市胖东来商贸集团有限公司</t>
  </si>
  <si>
    <t>果酒（含酒精）;⽩兰地;⻩酒;伏特加酒;薄荷酒;烈酒（饮料）;汽酒;朗姆酒;烧酒;葡萄酒;⾷⽤酒精;⽩酒;⻘稞酒;开胃酒;鸡尾酒;含⽔果酒精饮料;⽶酒;清酒（⽇本⽶酒）</t>
  </si>
  <si>
    <t>杏阳王</t>
  </si>
  <si>
    <t>山西杏阳王酒厂股份有限公司</t>
  </si>
  <si>
    <t>⽩酒;清酒（⽇本⽶酒）;果酒（含酒精）;烈酒;⽩⼲酒（中国⽩酒）;⽶酒;⾼粱酒;烧酒;⻩酒;葡萄酒</t>
  </si>
  <si>
    <t>哥庄</t>
  </si>
  <si>
    <t>广西哥庄投资有限公司</t>
  </si>
  <si>
    <t>⽩兰地;⻩酒;⽩酒;酒精饮料（啤酒除外）;⽶酒;葡萄酒;威⼠忌;果酒;果酒（含酒精）;开胃酒</t>
  </si>
  <si>
    <t>杏敏</t>
  </si>
  <si>
    <t>马明杰</t>
  </si>
  <si>
    <t>清酒;苦荞酒;⽶酒;⻩酒;葡萄酒;⾕物制蒸馏酒精饮料;⾼粱酒;⽩酒;果酒;烧酒</t>
  </si>
  <si>
    <t>CONDESA DE LA SIERRA</t>
  </si>
  <si>
    <t>西班牙菲立斯酿酒有限公司</t>
  </si>
  <si>
    <t>酒精饮料（啤酒除外）;汽酒;果酒（含酒精）;开胃酒;威⼠忌;葡萄酒;酒精饮料原汁;⽩兰地;餐后酒（利⼝酒和烈酒）;鸡尾酒</t>
  </si>
  <si>
    <t>DQ 德趣</t>
  </si>
  <si>
    <t>山东德趣商贸有限公司</t>
  </si>
  <si>
    <t>葡萄酒;⻩酒;果酒（含酒精）;酒精饮料（啤酒除外）;烧酒;⽩酒;鸡尾酒;威⼠忌;⾷⽤酒精;⽶酒</t>
  </si>
  <si>
    <t>无上喜</t>
  </si>
  <si>
    <t>孔祥文</t>
  </si>
  <si>
    <t>葡萄酒;含⽔果酒精饮料;烧酒;⽩酒;⽩⼲酒（中国⽩酒）;⽶酒;⾼粱酒;烈酒;清酒（⽇本⽶酒）;烈酒（饮料）</t>
  </si>
  <si>
    <t>小酕酉台</t>
  </si>
  <si>
    <t>安李红</t>
  </si>
  <si>
    <t>烈酒（饮料）;酒精饮料（啤酒除外）;⻩酒;⽼酒（中国蒸馏烈酒）;⽩⼲酒（中国⽩酒）;果酒（含酒精）;鸡尾酒;葡萄酒;烧酒;⽩酒;⾼粱酒;葡萄汽酒</t>
  </si>
  <si>
    <t>无上川</t>
  </si>
  <si>
    <t>⽶酒;烧酒;烈酒（饮料）;清酒（⽇本⽶酒）;烈酒;⽩⼲酒（中国⽩酒）;葡萄酒;含⽔果酒精饮料;⽩酒;⾼粱酒</t>
  </si>
  <si>
    <t>花气薰人</t>
  </si>
  <si>
    <t>北京大有宫廷文化科技有限公司</t>
  </si>
  <si>
    <t>酒精饮料（啤酒除外）;果酒;⻘稞酒;汽酒;⽩酒;⽩兰地;葡萄酒;⻩酒;⽶酒;烧酒</t>
  </si>
  <si>
    <t>大千笔</t>
  </si>
  <si>
    <t>宜宾邓祖企业管理有限公司</t>
  </si>
  <si>
    <t>⽩酒;利⼝酒;烧酒;梨酒;以葡萄酒为主的饮料;红葡萄酒;⽩⼲酒（中国⽩酒）;⻩酒;⻘稞酒;烈酒</t>
  </si>
  <si>
    <t>华香吟</t>
  </si>
  <si>
    <t>含⽔果酒精饮料;清酒;鸡尾酒;葡萄酒;烧酒;⽩酒;酒精饮料（啤酒除外）;果酒（含酒精）;⻩酒;⾷⽤酒精</t>
  </si>
  <si>
    <t>太和老街余记</t>
  </si>
  <si>
    <t>西昌市太和老街面条厂</t>
  </si>
  <si>
    <t>酒精饮料（啤酒除外）;⽶酒;⽩酒;以葡萄酒为主的饮料;⻩酒;鸡尾酒;果酒（含酒精）;葡萄酒;⾕物制蒸馏酒精饮料;⻘稞酒</t>
  </si>
  <si>
    <t>卿禾湾 酒</t>
  </si>
  <si>
    <t>北京卿粮食品有限公司</t>
  </si>
  <si>
    <t>⻩酒;汽酒;葡萄酒;⻘稞酒;⽩酒;清酒;酒精饮料（啤酒除外）;⾷⽤酒精;烧酒;果酒（含酒精）</t>
  </si>
  <si>
    <t>量咔</t>
  </si>
  <si>
    <t>山东裔知教育科技有限公司</t>
  </si>
  <si>
    <t>果酒;开胃酒;清酒;⽩酒;朗姆酒;薄荷酒;鸡尾酒;利⼝酒;苦味酒;伏特加酒</t>
  </si>
  <si>
    <t>弹孔</t>
  </si>
  <si>
    <t>贵州西部荒野酒业有限公司</t>
  </si>
  <si>
    <t>⽶酒;烧酒;果酒（含酒精）;葡萄酒;⽩酒;酒精饮料（啤酒除外）;利⼝酒;开胃酒;烈酒;鸡尾酒</t>
  </si>
  <si>
    <t>葡萄酒;杜松⼦酒;苹果酒;薄荷酒;苦味酒;鸡尾酒;烈酒（饮料）;⽩兰地;果酒（含酒精）;开胃酒</t>
  </si>
  <si>
    <t>云臻德露</t>
  </si>
  <si>
    <t>马健</t>
  </si>
  <si>
    <t>果酒（含酒精）;餐后酒（利⼝酒和烈酒）;⻩酒;⽶酒;利⼝酒;⽩酒;蜂蜜酒;清酒（⽇本⽶酒）;⾕物制蒸馏酒精饮料;以葡萄酒为主的饮料</t>
  </si>
  <si>
    <t>首满坐</t>
  </si>
  <si>
    <t>酒精饮料原汁;⾷⽤酒精;⾼粱酒;烧酒;⽩酒;葡萄酒;烈酒;露酒;果酒;⻩酒</t>
  </si>
  <si>
    <t>苦味酒;鸡尾酒;葡萄酒;杜松⼦酒;开胃酒;苹果酒;薄荷酒;烈酒（饮料）;⽩兰地;果酒（含酒精）</t>
  </si>
  <si>
    <t>贺振坤（130429********2675）</t>
  </si>
  <si>
    <t>鸡尾酒;烧酒（烈酒）;⽩酒;⽶酒;除啤酒外的酒精饮料;果酒;露酒;⻩酒;葡萄酒;⽩⼲酒（中国⽩酒）</t>
  </si>
  <si>
    <t>古曲美</t>
  </si>
  <si>
    <t>许智勇</t>
  </si>
  <si>
    <t>酒精饮料（啤酒除外）;⻩酒;葡萄酒;清酒（⽇本⽶酒）;果酒（含酒精）;⽩酒;烧酒;⽶酒;威⼠忌;鸡尾酒</t>
  </si>
  <si>
    <t>酉中酉霸</t>
  </si>
  <si>
    <t>⻩酒;酒精饮料（啤酒除外）;⽶酒;烧酒;⽩酒;葡萄酒;鸡尾酒;烈酒（饮料）;果酒（含酒精）;清酒（⽇本⽶酒）</t>
  </si>
  <si>
    <t>赢在征途</t>
  </si>
  <si>
    <t>西安益安科工贸有限公司</t>
  </si>
  <si>
    <t>果酒（含酒精）;酒精饮料浓缩汁;酒精饮料（啤酒除外）;含酒精⽔果饮料;烧酒（烈酒）;甜果酒;⽼酒（中国蒸馏烈酒）;以蒸馏酒为主的开胃酒;⻩酒;蒸馏饮料</t>
  </si>
  <si>
    <t>绥林五家白</t>
  </si>
  <si>
    <t>黑龙江清禾源酒业有限责任公司</t>
  </si>
  <si>
    <t>烧酒;⽶酒;烈酒;⽩酒;⻩酒;果酒（含酒精）;清酒（⽇本⽶酒）;⽩⼲酒（中国⽩酒）;葡萄酒;除啤酒外的酒精饮料</t>
  </si>
  <si>
    <t>华中鸿</t>
  </si>
  <si>
    <t>王琛</t>
  </si>
  <si>
    <t>烈酒（饮料）;果酒（含酒精）;⽩酒;鸡尾酒;⽩兰地;葡萄酒;威⼠忌;酒精饮料（啤酒除外）;烧酒;⽶酒</t>
  </si>
  <si>
    <t>东北邦</t>
  </si>
  <si>
    <t>含⽔果酒精饮料;开胃酒;烧酒;酒精饮料原汁;酒精饮料浓缩汁;葡萄酒;果酒（含酒精）;⽩酒;酒精饮料（啤酒除外）;⽩兰地</t>
  </si>
  <si>
    <t>赣南董桥红</t>
  </si>
  <si>
    <t>董服顺</t>
  </si>
  <si>
    <t>酒精饮料（啤酒除外）;⾕物制蒸馏酒精饮料;烧酒;葡萄酒;⽩酒;利⼝酒;含⽔果酒精饮料;⽶酒;汽酒;⻩酒</t>
  </si>
  <si>
    <t>衡昌烧坊福</t>
  </si>
  <si>
    <t>五加⽪酒（中国混合烈酒）;⻘稞酒;由⾕物蒸馏的⽩酒;蒸煮提取物（利⼝酒和烈酒）;开胃酒;⽩酒;⽩⼲酒（中国⽩酒）;烧酒;⾼粱酒;⻩酒</t>
  </si>
  <si>
    <t>亳印</t>
  </si>
  <si>
    <t>王飞</t>
  </si>
  <si>
    <t>甜酒;葡萄酒;烧酒;烈酒（饮料）;⽩酒;⽶酒;果酒（含酒精）;清酒（⽇本⽶酒）;⻩酒;酒精饮料（啤酒除外）</t>
  </si>
  <si>
    <t>乔父</t>
  </si>
  <si>
    <t>罗逊532128********5917</t>
  </si>
  <si>
    <t>酒精饮料原汁;⽢蔗制酒精饮料;⻘稞酒;⻩酒;⽩酒;酒精饮料浓缩汁;⾕物制蒸馏酒精饮料;果酒;汽酒;利⼝酒</t>
  </si>
  <si>
    <t>ACEMAGIC</t>
  </si>
  <si>
    <t>王牌魔法师股份有限公司</t>
  </si>
  <si>
    <t>果酒（含酒精）;烈酒;清酒;⾷⽤酒精;佐餐酒;烧酒;利⼝酒;⽩兰地;酒精饮料（啤酒除外）;开胃酒</t>
  </si>
  <si>
    <t>桂羹</t>
  </si>
  <si>
    <t>耀铭生化集团有限公司</t>
  </si>
  <si>
    <t>酒精饮料（啤酒除外）;威⼠忌;葡萄酒;⽶酒;果酒（含酒精）;蜂蜜酒;伏特加酒;⽩酒;清酒;烧酒</t>
  </si>
  <si>
    <t>壮羹</t>
  </si>
  <si>
    <t>果酒（含酒精）;葡萄酒;⽶酒;清酒;⽩酒;伏特加酒;蜂蜜酒;烧酒;威⼠忌;酒精饮料（啤酒除外）</t>
  </si>
  <si>
    <t>广羹</t>
  </si>
  <si>
    <t>果酒（含酒精）;伏特加酒;烧酒;清酒;威⼠忌;酒精饮料（啤酒除外）;⽩酒;葡萄酒;蜂蜜酒;⽶酒</t>
  </si>
  <si>
    <t>三九雪</t>
  </si>
  <si>
    <t>青岛啤酒（德州）有限公司</t>
  </si>
  <si>
    <t>酒精饮料（啤酒除外）;⽶酒;清酒（⽇本⽶酒）;威⼠忌;鸡尾酒;烈酒（饮料）;葡萄酒;⽩兰地;果酒（含酒精）;⽩酒</t>
  </si>
  <si>
    <t>1.5 生活方式</t>
  </si>
  <si>
    <t>海南浩渺商贸有限公司</t>
  </si>
  <si>
    <t>开胃酒;威⼠忌;伏特加酒;⽩酒;烧酒;蒸煮提取物（利⼝酒和烈酒）;葡萄酒;烈酒（饮料）;清酒（⽇本⽶酒）;果酒（含酒精）</t>
  </si>
  <si>
    <t>七玺口粮王</t>
  </si>
  <si>
    <t>⻩酒;⽩酒;⾼粱酒;果酒;汽酒;酒精饮料（啤酒除外）;⽶酒;⽼酒（中国蒸馏烈酒）;葡萄酒;烧酒（烈酒）</t>
  </si>
  <si>
    <t>青花囍红双囍牌 鸿运当头红双囍 财运滚滚红双囍 福缘红双囍</t>
  </si>
  <si>
    <t>⻩酒;清酒;果酒;⽼酒（中国蒸馏烈酒）;⽩酒;烧酒;烈酒;葡萄酒;酒精饮料（啤酒除外）;⽶酒</t>
  </si>
  <si>
    <t>广勺</t>
  </si>
  <si>
    <t>蜂蜜酒;威⼠忌;酒精饮料（啤酒除外）;烧酒;⽶酒;伏特加酒;⽩酒;清酒;葡萄酒;果酒（含酒精）</t>
  </si>
  <si>
    <t>同兴富</t>
  </si>
  <si>
    <t>李国琼</t>
  </si>
  <si>
    <t>⽩酒;酒精饮料（啤酒除外）;烧酒;开胃酒;含⽔果酒精饮料;酒精饮料原汁;⽩兰地;葡萄酒;⻩酒;果酒（含酒精）</t>
  </si>
  <si>
    <t>来伊份 EXPRESS</t>
  </si>
  <si>
    <t>上海来伊份股份有限公司</t>
  </si>
  <si>
    <t>果酒（含酒精）;葡萄酒;利⼝酒;清酒（⽇本⽶酒）;⻩酒;威⼠忌;鸡尾酒;⽩酒;酒精饮料（啤酒除外）;烈酒（饮料）</t>
  </si>
  <si>
    <t>冠群芳佳品</t>
  </si>
  <si>
    <t>山东花冠酒业有限公司</t>
  </si>
  <si>
    <t>果酒（含酒精）;葡萄酒;酒精饮料原汁;⽶酒;烧酒;鸡尾酒;烈酒（饮料）;酒精饮料（啤酒除外）;⽩酒;苹果酒</t>
  </si>
  <si>
    <t>百效堂</t>
  </si>
  <si>
    <t>路广远</t>
  </si>
  <si>
    <t>⽩酒;汽酒;⽶酒;⾷⽤酒精;⻩酒;清酒;果酒;甜酒;葡萄酒;开胃酒</t>
  </si>
  <si>
    <t>叙亲</t>
  </si>
  <si>
    <t>李党</t>
  </si>
  <si>
    <t>⽩⼲酒（中国⽩酒）;葡萄酒;⽶酒;烈酒;⽩酒;⻩酒;果酒;⽼酒（中国蒸馏烈酒）;鸡尾酒;含酒精的充⽓饮料（啤酒除外）</t>
  </si>
  <si>
    <t>克什克腾旗很黑村旅游文化有限公司</t>
  </si>
  <si>
    <t>苹果酒;利⼝酒;⽶酒;⻘稞酒;开胃酒;⽩酒;烧酒;⾼粱酒;果酒;⻩酒</t>
  </si>
  <si>
    <t>向隆</t>
  </si>
  <si>
    <t>陈堂均</t>
  </si>
  <si>
    <t>鸡尾酒;烈酒;酒精饮料（啤酒除外）;⻩酒;葡萄酒;清酒（⽇本⽶酒）;⽩酒;威⼠忌;果酒（含酒精）;开胃酒</t>
  </si>
  <si>
    <t>LYFEN EXPRESS</t>
  </si>
  <si>
    <t>威⼠忌;酒精饮料（啤酒除外）;⽩酒;⻩酒;清酒（⽇本⽶酒）;葡萄酒;烈酒（饮料）;果酒（含酒精）;利⼝酒;鸡尾酒</t>
  </si>
  <si>
    <t>尧督泉</t>
  </si>
  <si>
    <t>陈同雷</t>
  </si>
  <si>
    <t>梨酒;⽼酒（中国蒸馏烈酒）;⻩酒;⽶酒;果酒;葡萄酒;⽩酒;清酒（⽇本⽶酒）;利⼝酒;烧酒</t>
  </si>
  <si>
    <t>莫贝卡</t>
  </si>
  <si>
    <t>陆彪</t>
  </si>
  <si>
    <t>汽酒;鸡尾酒;烈酒（饮料）;葡萄酒;⻩酒;⻘梅酒;⽩酒;果酒;⽶酒;烧酒</t>
  </si>
  <si>
    <t>裕江龙</t>
  </si>
  <si>
    <t>王红晶</t>
  </si>
  <si>
    <t>果酒（含酒精）;⽩酒;葡萄酒;清酒（⽇本⽶酒）;烈酒;鸡尾酒;酒精饮料（啤酒除外）;⻩酒;开胃酒;威⼠忌</t>
  </si>
  <si>
    <t>桃花沅澧</t>
  </si>
  <si>
    <t>陈锐</t>
  </si>
  <si>
    <t>果酒（含酒精）;开胃酒;蜂蜜酒;烈酒（饮料）;含⽔果酒精饮料;⻩酒;⽩酒;葡萄酒;烧酒;⽶酒</t>
  </si>
  <si>
    <t>孝礼坊</t>
  </si>
  <si>
    <t>孝义市中阳楼文化旅游开发有限公司</t>
  </si>
  <si>
    <t>⽩酒;烈酒;草莓酒;露酒;⾼粱酒;烧酒;⻘稞酒;⾷⽤酒精;清酒;果酒</t>
  </si>
  <si>
    <t>义牒</t>
  </si>
  <si>
    <t>⾼粱酒;⽼酒（中国蒸馏烈酒）;烈酒;汽酒;由⾕物蒸馏的⽩酒;⻩酒;鸡尾酒;⽩酒;开胃酒;果酒</t>
  </si>
  <si>
    <t>PENFOLDS II</t>
  </si>
  <si>
    <t>南社布兰兹有限公司</t>
  </si>
  <si>
    <t>酒精饮料（啤酒除外）;餐后酒（利⼝酒和烈酒）;起泡⽩葡萄酒;葡萄酒;起泡红葡萄酒;烈酒（饮料）;⽩酒;加烈葡萄酒;葡萄汽酒;⽩兰地</t>
  </si>
  <si>
    <t>贺天下龙酒</t>
  </si>
  <si>
    <t>贵州贺天下酒业有限公司</t>
  </si>
  <si>
    <t>⽶酒;葡萄酒;⻩酒;⽩兰地;⽩酒;果酒（含酒精）;鸡尾酒;威⼠忌;蒸馏饮料;烧酒</t>
  </si>
  <si>
    <t>大越御雕</t>
  </si>
  <si>
    <t>浙江大越绍兴酒有限公司</t>
  </si>
  <si>
    <t>果酒（含酒精）;酒精饮料原汁;⽼酒（中国蒸馏烈酒）;烧酒;酒精饮料（啤酒除外）;汽酒;⽩酒;⻩酒;开胃酒;葡萄酒</t>
  </si>
  <si>
    <t>半琴</t>
  </si>
  <si>
    <t>葡萄酒;清酒;烈酒（饮料）;⾕物制蒸馏酒精饮料;酒精饮料（啤酒除外）;⽩酒;⻩酒;蒸馏饮料;蒸煮提取物（利⼝酒和烈酒）;烧酒</t>
  </si>
  <si>
    <t>LA DIOSA CIBELES</t>
  </si>
  <si>
    <t>杭州西莱丝进口贸易有限公司</t>
  </si>
  <si>
    <t>果酒;葡萄酒;酒精饮料原汁;含酒精的⽓泡⽔;樱桃酒;苹果酒;利⼝酒;酒精饮料（啤酒除外）;开胃酒;含⽔果酒精饮料</t>
  </si>
  <si>
    <t>石 石头大队</t>
  </si>
  <si>
    <t>内蒙古石头大队旅游文化有限公司</t>
  </si>
  <si>
    <t>酒精饮料（啤酒除外）;由⾕物蒸馏的⽩酒;⽩酒;⽶酒;果酒（含酒精）;烧酒;⽩⼲酒（中国⽩酒）;⾷⽤酒精;⾕物制蒸馏酒精饮料;烈酒（饮料）</t>
  </si>
  <si>
    <t>名春烧</t>
  </si>
  <si>
    <t>朱梅</t>
  </si>
  <si>
    <t>金为尊</t>
  </si>
  <si>
    <t>陈洪武</t>
  </si>
  <si>
    <t>汽酒;⽩酒;烧酒;⽶酒;伏特加酒;⻩酒;含酒精⽔果饮料;葡萄酒;烈酒;果酒</t>
  </si>
  <si>
    <t>百酒宝</t>
  </si>
  <si>
    <t>百达致胜（北京）科技有限公司</t>
  </si>
  <si>
    <t>含⽔果酒精饮料;⽶酒;⽩酒;果酒（含酒精）;烧酒;葡萄酒;威⼠忌;鸡尾酒;酒精饮料（啤酒除外）;烈酒（饮料）</t>
  </si>
  <si>
    <t>贵纯潭</t>
  </si>
  <si>
    <t>中山市湘耒企业管理有限公司</t>
  </si>
  <si>
    <t>烧酒;果酒;⽩葡萄酒;鸡尾酒;桃红葡萄酒;除啤酒外的酒精饮料;⽶酒;⽩酒;含酒精的饮料（啤酒除外）;以蒸馏酒为主的开胃酒</t>
  </si>
  <si>
    <t>誉品匠河</t>
  </si>
  <si>
    <t>刘中虎</t>
  </si>
  <si>
    <t>⽶酒;烧酒;果酒;⾼粱酒;⽩酒;⽼酒（中国蒸馏烈酒）;⾷⽤酒精;果酒（含酒精）;烈酒（饮料）;⽩⼲酒（中国⽩酒）</t>
  </si>
  <si>
    <t>含雪堂</t>
  </si>
  <si>
    <t>上海含雪堂饮料有限公司</t>
  </si>
  <si>
    <t>⻩酒;蒸煮提取物（利⼝酒和烈酒）;⽶酒;酒精饮料（啤酒除外）;果酒（含酒精）;葡萄酒;酒精饮料原汁;⾷⽤酒精;⽩酒;烧酒</t>
  </si>
  <si>
    <t>文尊台</t>
  </si>
  <si>
    <t>买玉旺</t>
  </si>
  <si>
    <t>果酒（含酒精）;⻩酒;威⼠忌;⽩酒;烧酒;葡萄酒;⽶酒;蒸馏饮料;⽩兰地;鸡尾酒</t>
  </si>
  <si>
    <t>龖騳</t>
  </si>
  <si>
    <t>上海蓝海水产发展有限公司</t>
  </si>
  <si>
    <t>杨梅酒;⻘稞酒;⽔果汽酒;已调味的蒸馏酒;露酒;⽩酒;梨酒;烧酒;⻘梅酒;⻩酒</t>
  </si>
  <si>
    <t>双百中食粮</t>
  </si>
  <si>
    <t>中食粮（辽宁）生态农业科技集团有限公司</t>
  </si>
  <si>
    <t>果酒（含酒精）;葡萄酒;酒精饮料（啤酒除外）;⻩酒;烧酒;⾕物制蒸馏酒精饮料;鸡尾酒;⽶酒;烈酒（饮料）;⽩酒</t>
  </si>
  <si>
    <t>首发汇优</t>
  </si>
  <si>
    <t>北京首发投资控股集团有限公司</t>
  </si>
  <si>
    <t>含酒精的⽓泡⽔;葡萄酒;威⼠忌;伏特加酒;烧酒;烈酒（饮料）;⽩酒;⽩兰地;酒精饮料（啤酒除外）;鸡尾酒</t>
  </si>
  <si>
    <t>VAN GOGH</t>
  </si>
  <si>
    <t>拉克特国际股份有限公司</t>
  </si>
  <si>
    <t>杜松⼦酒;利⼝酒;伏特加酒;酒精饮料（啤酒除外）</t>
  </si>
  <si>
    <t>贵州仁怀同州酒业有限责任公司</t>
  </si>
  <si>
    <t>⽶酒;果酒（含酒精）;⽩酒;蒸馏饮料;⾕物制蒸馏酒精饮料;露酒;苹果酒;烈酒（饮料）;餐后酒（利⼝酒和烈酒）;葡萄酒</t>
  </si>
  <si>
    <t>蕲春信而立百货商行</t>
  </si>
  <si>
    <t>烧酒;利⼝酒;威⼠忌;烈酒（饮料）;⾼粱酒;⻩酒;果酒（含酒精）;红葡萄酒;预先混合的酒精饮料（以啤酒为主的除外）;⽩酒</t>
  </si>
  <si>
    <t>G</t>
  </si>
  <si>
    <t>观韬（天津）海事咨询有限公司</t>
  </si>
  <si>
    <t>⽩兰地;蒸馏饮料;鸡尾酒;酒精饮料（啤酒除外）;利⼝酒;威⼠忌;烧酒;汽酒;薄荷酒;开胃酒;苹果酒;⽩酒;葡萄酒;⻩酒;果酒（含酒精）</t>
  </si>
  <si>
    <t>盛世祺宝</t>
  </si>
  <si>
    <t>陈军发</t>
  </si>
  <si>
    <t>果酒（含酒精）;葡萄酒;威⼠忌;含⽔果酒精饮料;⽩酒;薄荷酒;开胃酒;蒸馏饮料;酒精饮料（啤酒除外）;⻩酒</t>
  </si>
  <si>
    <t>水晶欧根纱</t>
  </si>
  <si>
    <t>烈酒（饮料）;葡萄酒;威⼠忌;伏特加酒;朗姆酒;⽩酒;⽩兰地;⻩酒;⾷⽤酒精;果酒（含酒精）</t>
  </si>
  <si>
    <t>中境·意境</t>
  </si>
  <si>
    <t>贵州鱼鳅寨农业科技有限公司</t>
  </si>
  <si>
    <t>开胃酒;伏特加酒;威⼠忌;⽶酒;⽩兰地;葡萄酒;⻩酒;鸡尾酒;⽩酒;果酒（含酒精）</t>
  </si>
  <si>
    <t>黔晋之好</t>
  </si>
  <si>
    <t>贵州规台酒业股份有限公司</t>
  </si>
  <si>
    <t>⽩酒;果酒（含酒精）;⾕物制蒸馏酒精饮料;餐后酒（利⼝酒和烈酒）;葡萄酒;苹果酒;烈酒（饮料）;露酒;蒸馏饮料;⽶酒</t>
  </si>
  <si>
    <t>超级草根</t>
  </si>
  <si>
    <t>西安优普投资有限公司</t>
  </si>
  <si>
    <t>薄荷酒;果酒（含酒精）;开胃酒;蒸馏饮料;茴芹酒（利⼝酒）;亚⼒酒;葡萄酒;茴⾹酒（利⼝酒）;苦味酒;果酒</t>
  </si>
  <si>
    <t>散花瓷</t>
  </si>
  <si>
    <t>郓城县秋满园果蔬种植家庭农场</t>
  </si>
  <si>
    <t>葡萄酒;烈酒（饮料）;酒精饮料原汁;苹果酒;⽩酒;威⼠忌;酒精饮料（啤酒除外）;果酒（含酒精）;鸡尾酒;⽩兰地</t>
  </si>
  <si>
    <t>琩 图</t>
  </si>
  <si>
    <t>辽宁金喆食品有限公司</t>
  </si>
  <si>
    <t>天然汽酒;含酒精的充⽓饮料（啤酒除外）;⾼粱酒;果酒;预先混合的酒精饮料（以啤酒为主的除外）;烈酒;除啤酒外的酒精饮料;⽩酒;露酒;利⼝酒</t>
  </si>
  <si>
    <t>答卷</t>
  </si>
  <si>
    <t>贵州省仁怀市醉了么酒业销售有限公司</t>
  </si>
  <si>
    <t>⽩酒;⽩⼲酒（中国⽩酒）;蒸煮提取物（利⼝酒和烈酒）;含酒精的饮料（啤酒除外）;烧酒（烈酒）;果酒（含酒精）;果酒;⽼酒（中国蒸馏烈酒）;五加⽪酒（中国混合烈酒）;⾼粱酒</t>
  </si>
  <si>
    <t>文中政</t>
  </si>
  <si>
    <t>贵州柒味基酒业（集团）有限责任公司</t>
  </si>
  <si>
    <t>酒精饮料（啤酒除外）;果酒（含酒精）;烈酒（饮料）;⽶酒;汽酒;葡萄酒;⻩酒;烧酒;清酒（⽇本⽶酒）;⽩酒</t>
  </si>
  <si>
    <t>中境窖</t>
  </si>
  <si>
    <t>果酒（含酒精）;⽩酒;⻩酒;威⼠忌;⽩兰地;鸡尾酒;⽶酒;葡萄酒;伏特加酒;开胃酒</t>
  </si>
  <si>
    <t>BELLEVUE DE LAVAUX 美景拉沃</t>
  </si>
  <si>
    <t>美景庄园公司</t>
  </si>
  <si>
    <t>果酒（含酒精）;烈酒（饮料）;葡萄酒;酒精饮料（啤酒除外）;⽩兰地;威⼠忌;伏特加酒;⽩葡萄酒;以葡萄酒为主的饮料;苦味酒</t>
  </si>
  <si>
    <t>牛庄封蜡</t>
  </si>
  <si>
    <t>辽宁牛庄大曲酒厂</t>
  </si>
  <si>
    <t>⽩兰地;果酒（含酒精）;烧酒;鸡尾酒;清酒（⽇本⽶酒）;酒精饮料（啤酒除外）;⽶酒;⽩酒;开胃酒;朗姆酒</t>
  </si>
  <si>
    <t>君凰台</t>
  </si>
  <si>
    <t>贵州君煌酒业有限公司</t>
  </si>
  <si>
    <t>⽩酒;果酒（含酒精）;蒸煮提取物（利⼝酒和烈酒）;烧酒;含⽔果酒精饮料;⻩酒;酒精饮料（啤酒除外）;开胃酒;⽶酒;葡萄酒</t>
  </si>
  <si>
    <t>金樽吟顺</t>
  </si>
  <si>
    <t>贵州省仁怀市茅台镇金樽酒业有限公司</t>
  </si>
  <si>
    <t>⻩酒;⽩酒;⽶酒;烧酒（烈酒）;蒸煮提取物（利⼝酒和烈酒）;⻘稞酒;⾷⽤酒精;葡萄酒;烧酒;鸡尾酒</t>
  </si>
  <si>
    <t>普乐兰地 PEARL BRANDY</t>
  </si>
  <si>
    <t>范勇文511102********0433</t>
  </si>
  <si>
    <t>白兰地</t>
  </si>
  <si>
    <t>光明赋</t>
  </si>
  <si>
    <t>果酒（含酒精）;含⽔果酒精饮料;⽶酒;烧酒;⻩酒;鸡尾酒;酒精饮料原汁;酒精饮料（啤酒除外）;汽酒;⽩酒</t>
  </si>
  <si>
    <t>一尖茶业</t>
  </si>
  <si>
    <t>广西凌云一尖茶业有限公司</t>
  </si>
  <si>
    <t>果酒;白酒;米酒</t>
  </si>
  <si>
    <t>富旺</t>
  </si>
  <si>
    <t>毛元辉</t>
  </si>
  <si>
    <t>烈酒（饮料）;威⼠忌;蒸馏饮料;梅酒;⾼粱酒;果酒（含酒精）;⽩⼲酒（中国⽩酒）;樱桃酒;酒精饮料（啤酒除外）;⽩酒</t>
  </si>
  <si>
    <t>汉北湖</t>
  </si>
  <si>
    <t>周虎</t>
  </si>
  <si>
    <t>酒精饮料（啤酒除外）;⽩酒;烈酒（饮料）;酒精饮料浓缩汁;以蒸馏酒为主的开胃酒;⻩酒;蒸馏饮料;汽酒;烧酒</t>
  </si>
  <si>
    <t>贵州黔民汇农业（集团）有限公司</t>
  </si>
  <si>
    <t>果酒（含酒精）;米酒;开胃酒;酒精饮料浓缩汁;梨酒;白酒;酒精饮料（啤酒除外）;汽酒;含水果酒精饮料;烧酒</t>
  </si>
  <si>
    <t>药君金樽</t>
  </si>
  <si>
    <t>重庆药君堂中医诊所有限公司</t>
  </si>
  <si>
    <t>烈酒（饮料）;开胃酒;果酒（含酒精）;葡萄酒;苹果酒;⾕物制蒸馏酒精饮料;梨酒;⽩酒;蒸馏饮料;预先混合的酒精饮料（以啤酒为主的除外）</t>
  </si>
  <si>
    <t>居庸关</t>
  </si>
  <si>
    <t>东方红（北京）白酒技术研发中心</t>
  </si>
  <si>
    <t>⾼粱酒;果酒;葡萄酒;⽩酒;烧酒;⽼酒（中国蒸馏烈酒）;⻩酒;⽶酒;露酒;烧酒（烈酒）</t>
  </si>
  <si>
    <t>云淡风清</t>
  </si>
  <si>
    <t>无锡市富瑞数字科技有限公司</t>
  </si>
  <si>
    <t>烈酒（饮料）;开胃酒;鸡尾酒;⽩酒;⻩酒;薄荷酒;果酒（含酒精）;苹果酒;葡萄酒;甜果酒</t>
  </si>
  <si>
    <t>鬯标北方</t>
  </si>
  <si>
    <t>西安腾洲贸易有限公司</t>
  </si>
  <si>
    <t>蜂蜜酒;酒精饮料原汁;⻘稞酒;预调甜酒;酒精饮料（啤酒除外）;⽩酒;果酒;以葡萄酒为主的饮料;调制好的葡萄酒鸡尾酒;⻩酒</t>
  </si>
  <si>
    <t>觉起</t>
  </si>
  <si>
    <t>贵州对二酒业有限公司</t>
  </si>
  <si>
    <t>⻩酒;⾷⽤酒精;⽼酒（中国蒸馏烈酒）;烧酒;⽶酒;⽩酒;汽酒;⾼粱酒;⽩⼲酒（中国⽩酒）;⻘稞酒</t>
  </si>
  <si>
    <t>纳雍县果木酒坊</t>
  </si>
  <si>
    <t>烧酒;⻩酒;蜂蜜酒;⽩酒;鸡尾酒;葡萄酒;清酒;果酒;利⼝酒;汽酒</t>
  </si>
  <si>
    <t>曲俊宣</t>
  </si>
  <si>
    <t>汽酒;⽩兰地;果酒（含酒精）;以葡萄酒为主的饮料;⽩酒;烧酒;⻘稞酒;⻩酒;⾷⽤酒精;烈酒（饮料）</t>
  </si>
  <si>
    <t>辉战</t>
  </si>
  <si>
    <t>查达桥</t>
  </si>
  <si>
    <t>⾼粱酒;果酒（含酒精）;⽶酒;烈酒;烧酒;⽩酒;露酒;葡萄酒;⻩酒;清酒</t>
  </si>
  <si>
    <t>华玄</t>
  </si>
  <si>
    <t>贵州华玄酒业有限公司</t>
  </si>
  <si>
    <t>烧酒;⽶酒;⻩酒;果酒;⾼粱酒;⽩⼲酒（中国⽩酒）;⽩酒;蒸煮提取物（利⼝酒和烈酒）;酒精饮料（啤酒除外）;⽼酒（中国蒸馏烈酒）</t>
  </si>
  <si>
    <t>光明愿</t>
  </si>
  <si>
    <t>鸡尾酒;酒精饮料原汁;果酒（含酒精）;⻩酒;⽶酒;酒精饮料（啤酒除外）;含⽔果酒精饮料;烧酒;汽酒;⽩酒</t>
  </si>
  <si>
    <t>今页台</t>
  </si>
  <si>
    <t>鸡尾酒;葡萄酒;⽩酒;⻩酒;⽶酒;烧酒;⽩兰地;威⼠忌;⻘稞酒;烈酒</t>
  </si>
  <si>
    <t>京皿</t>
  </si>
  <si>
    <t>鸡尾酒;烈酒;⻩酒;烧酒;⽶酒;葡萄酒;威⼠忌;⻘稞酒;⽩兰地;⽩酒</t>
  </si>
  <si>
    <t>赛春光</t>
  </si>
  <si>
    <t>果酒（含酒精）;⽩酒;鸡尾酒;朗姆酒;汽酒;⽶酒;烧酒;⻩酒;葡萄酒;苹果酒</t>
  </si>
  <si>
    <t>BUIL&amp;GINE 布希酒庄</t>
  </si>
  <si>
    <t>上海晟科实业有限公司</t>
  </si>
  <si>
    <t>葡萄酒;汽酒;果酒（含酒精）;红葡萄酒;鸡尾酒;餐后酒（利⼝酒和烈酒）;⽩葡萄酒;以葡萄酒为主的饮料;开胃酒;露酒</t>
  </si>
  <si>
    <t>佬液台</t>
  </si>
  <si>
    <t>清酒;蜂蜜酒;⻩酒;葡萄酒;烧酒;伏特加酒;威⼠忌;⽶酒;⽩酒;果酒</t>
  </si>
  <si>
    <t>叁丫匠</t>
  </si>
  <si>
    <t>谢士学</t>
  </si>
  <si>
    <t>果酒（含酒精）;⽩兰地;清酒（⽇本⽶酒）;⽶酒;⽩酒;伏特加酒;烧酒;⻘稞酒;⻩酒;含⽔果酒精饮料</t>
  </si>
  <si>
    <t>东山印象</t>
  </si>
  <si>
    <t>邹城乘黄商贸有限公司</t>
  </si>
  <si>
    <t>清酒（⽇本⽶酒）;⽶酒;⽼酒（中国蒸馏烈酒）;果酒（含酒精）;鸡尾酒;烈酒（饮料）;酒精饮料（啤酒除外）;⻘稞酒;⻩酒;葡萄酒</t>
  </si>
  <si>
    <t>世展星宏</t>
  </si>
  <si>
    <t>福建世展星宏供应链有限公司</t>
  </si>
  <si>
    <t>利⼝酒;⽩兰地;威⼠忌;⽩酒;梅酒;烧酒;⻩酒;葡萄酒;⽶酒;果酒</t>
  </si>
  <si>
    <t>晟通鑫创</t>
  </si>
  <si>
    <t>贵州新美精创医药科技有限责任公司</t>
  </si>
  <si>
    <t>鸡尾酒;樱桃⽩兰地;开胃酒;⻨芽威⼠忌;⽩酒;葡萄酒;伏特加酒;⽩⼲酒（中国⽩酒）;预先混合的酒精饮料（以啤酒为主的除外）;果酒（含酒精）</t>
  </si>
  <si>
    <t>2024/05/19</t>
  </si>
  <si>
    <t>三道怀</t>
  </si>
  <si>
    <t>郑州红泥窖酒业有限公司</t>
  </si>
  <si>
    <t>⽼酒（中国蒸馏烈酒）;⽩酒;烧酒;含⽔果酒精饮料;葡萄酒;烈酒;含酒精的饮料（啤酒除外）;⽶酒;果酒;⻩酒</t>
  </si>
  <si>
    <t>无数健果</t>
  </si>
  <si>
    <t>昆明枣生桂子食品有限公司</t>
  </si>
  <si>
    <t>葡萄酒;薄荷酒;⽶酒;汽酒;果酒（含酒精）;⻩酒;⽩酒;清酒（⽇本⽶酒）;酸酒（低等葡萄酒）;⻘稞酒</t>
  </si>
  <si>
    <t>杯基</t>
  </si>
  <si>
    <t>烧酒;⽩酒;茴⾹酒（利⼝酒）;果酒;⽶酒;清酒（⽇本⽶酒）;葡萄酒;⽩⼲酒（中国⽩酒）;⻩酒;蜂蜜酒</t>
  </si>
  <si>
    <t>范继良北烧锅</t>
  </si>
  <si>
    <t>赵凤兰</t>
  </si>
  <si>
    <t>⽢蔗制烈酒;⽩酒;葡萄酒;烈酒（饮料）;⽶酒;鸡尾酒;烧酒;果酒（含酒精）;酒精饮料（啤酒除外）;⻩酒</t>
  </si>
  <si>
    <t>督郡府</t>
  </si>
  <si>
    <t>山西言晋酒业有限公司</t>
  </si>
  <si>
    <t>烈酒（饮料）;⾼粱酒;⽼酒（中国蒸馏烈酒）;烧酒;露酒;由⾕物蒸馏的⽩酒;烧酒（烈酒）;⽩⼲酒（中国⽩酒）;果酒（含酒精）;⽩酒</t>
  </si>
  <si>
    <t>蛙巽</t>
  </si>
  <si>
    <t>陆丰市国粮米业有限责任公司</t>
  </si>
  <si>
    <t>⽩⼲酒（中国⽩酒）;⽶酒;开胃酒;烧酒;清酒;⽩酒;果酒（含酒精）;烈酒（饮料）;葡萄酒;⻩酒</t>
  </si>
  <si>
    <t>张永辉</t>
  </si>
  <si>
    <t>⽩⼲酒（中国⽩酒）;果酒;⻩酒;⾷⽤酒精;⽼酒（中国蒸馏烈酒）;葡萄酒;酒精饮料（啤酒除外）;⽶酒;烧酒（烈酒）;⽩酒</t>
  </si>
  <si>
    <t>一代大商年迹</t>
  </si>
  <si>
    <t>贵州酱馆酒业有限公司</t>
  </si>
  <si>
    <t>果酒（含酒精）;含酒精⽔果饮料;烈酒（饮料）;鸡尾酒;⽩酒;清酒（⽇本⽶酒）;威⼠忌;⽶酒;酒精饮料（啤酒除外）;葡萄酒</t>
  </si>
  <si>
    <t>酬典</t>
  </si>
  <si>
    <t>烈酒;⻘稞酒;⽩酒;⻩酒;⽶酒;果酒;⾼粱酒;鸡尾酒;葡萄酒;烧酒</t>
  </si>
  <si>
    <t>VAROSSAMAX 巴罗莎麦克斯</t>
  </si>
  <si>
    <t>赵敏</t>
  </si>
  <si>
    <t>葡萄酒;⽩酒;伏特加酒;起泡红葡萄酒;朗姆酒;⽩兰地;果酒;威⼠忌;奶油利⼝酒;⻨芽威⼠忌</t>
  </si>
  <si>
    <t>广西酒壶山酒业有限公司</t>
  </si>
  <si>
    <t>烈酒（饮料）;⽩酒;果酒（含酒精）;鸡尾酒;⻩酒;威⼠忌;酒精饮料原汁;烧酒;酒精饮料（啤酒除外）;⽶酒</t>
  </si>
  <si>
    <t>湛港南珠</t>
  </si>
  <si>
    <t>果酒（含酒精）;蒸馏饮料;利⼝酒;烈酒（饮料）;酒精饮料（啤酒除外）;⽩兰地;酒精饮料浓缩汁;⽩酒;威⼠忌;餐后酒（利⼝酒和烈酒）</t>
  </si>
  <si>
    <t>蜀宏</t>
  </si>
  <si>
    <t>鸡尾酒;酒精饮料浓缩汁;柑⾹酒;⻩酒;酒精饮料（啤酒除外）;酸酒（低等葡萄酒）;⽶酒;葡萄酒;清酒（⽇本⽶酒）;⽩酒</t>
  </si>
  <si>
    <t>仁义天下•仁义尚品</t>
  </si>
  <si>
    <t>贵州仁义天下文化传媒有限公司</t>
  </si>
  <si>
    <t>⽶酒;烧酒（烈酒）;开胃酒;⻩酒;⽼酒（中国蒸馏烈酒）;梅酒;葡萄酒;烧酒;⽩酒;果酒</t>
  </si>
  <si>
    <t>邵商梦</t>
  </si>
  <si>
    <t>谢小语</t>
  </si>
  <si>
    <t>⽶酒;鸡尾酒;酒精饮料（啤酒除外）;⾼粱酒;烈酒（饮料）;⽩酒;⽩兰地;果酒（含酒精）;葡萄酒;甜酒</t>
  </si>
  <si>
    <t>二十七都苏记酒坊</t>
  </si>
  <si>
    <t>苏奕央</t>
  </si>
  <si>
    <t>由⾕物蒸馏的⽩酒;蒸馏饮料;⻩酒;葡萄酒;⽶酒;⽩酒;⽼酒（中国蒸馏烈酒）;清酒;果酒;预先混合的酒精饮料（以啤酒为主的除外）</t>
  </si>
  <si>
    <t>皇小九 600年的记忆</t>
  </si>
  <si>
    <t>天津天宝华酒类销售有限公司</t>
  </si>
  <si>
    <t>烧酒;果酒（含酒精）;蒸馏饮料;开胃酒;⽩酒;烈酒（饮料）;酒精饮料（啤酒除外）;⽶酒;⻩酒;葡萄酒</t>
  </si>
  <si>
    <t>龙宴唐宫</t>
  </si>
  <si>
    <t>梅酒;果酒（含酒精）;⾼粱酒;⽩⼲酒（中国⽩酒）;酒精饮料（啤酒除外）;樱桃酒;烈酒（饮料）;威⼠忌;蒸馏饮料;⽩酒</t>
  </si>
  <si>
    <t>正向财富</t>
  </si>
  <si>
    <t>开胃酒;⽶酒;含酒精的充⽓饮料（啤酒除外）;葡萄酒;酒精饮料（啤酒除外）;利⼝酒;⽩酒;鸡尾酒;果酒（含酒精）;⻩酒</t>
  </si>
  <si>
    <t>官固台</t>
  </si>
  <si>
    <t>广源发供应链有限公司</t>
  </si>
  <si>
    <t>酒精饮料（啤酒除外）;鸡尾酒;⻩酒;⽶酒;⾼粱酒;葡萄酒;清酒（⽇本⽶酒）;⽩酒;果酒（含酒精）;烧酒（烈酒）</t>
  </si>
  <si>
    <t>怀酝天下</t>
  </si>
  <si>
    <t>清酒;烈酒;⻩酒;⽩酒;烧酒;果酒（含酒精）;葡萄酒;⾼粱酒;⽶酒;露酒</t>
  </si>
  <si>
    <t>果福特</t>
  </si>
  <si>
    <t>张鹏</t>
  </si>
  <si>
    <t>葡萄酒;汽酒;⻩酒;果酒;⻘稞酒;烧酒;以葡萄酒为主的饮料;⽶酒;⽩酒;清酒</t>
  </si>
  <si>
    <t>汴城重阳香</t>
  </si>
  <si>
    <t>开封宋韵生态农业有限公司</t>
  </si>
  <si>
    <t>威⼠忌;⻩酒;开胃酒;利⼝酒;烧酒;清酒（⽇本⽶酒）;鸡尾酒;烈酒（饮料）;⽩酒;果酒（含酒精）</t>
  </si>
  <si>
    <t>兴又顺</t>
  </si>
  <si>
    <t>林衍楷</t>
  </si>
  <si>
    <t>朗姆酒;⾷⽤酒精;葡萄酒;⽩酒;烈酒;鸡尾酒;⽶酒;烧酒;⻩酒;果酒（含酒精）</t>
  </si>
  <si>
    <t>俏可爱</t>
  </si>
  <si>
    <t>金寨王记酒业有限公司</t>
  </si>
  <si>
    <t>薄荷酒;开胃酒;葡萄酒;⽩酒;含⽔果酒精饮料;威⼠忌;果酒（含酒精）;酒精饮料（啤酒除外）;⻩酒;蒸馏饮料</t>
  </si>
  <si>
    <t>手艺人酒师涂滨</t>
  </si>
  <si>
    <t>果酒（含酒精）;苹果酒;蒸馏饮料;⾕物制蒸馏酒精饮料;葡萄酒;⽩酒;⽶酒;餐后酒（利⼝酒和烈酒）;烈酒（饮料）;露酒</t>
  </si>
  <si>
    <t>十六花季</t>
  </si>
  <si>
    <t>江苏秦淮酒业有限公司</t>
  </si>
  <si>
    <t>开胃酒;酸酒（低等葡萄酒）;含⽔果酒精饮料;⾷⽤酒精;⽢蔗制酒精饮料;⽩酒;清酒（⽇本⽶酒）;烈酒（饮料）;酒精饮料浓缩汁;⾕物制蒸馏酒精饮料</t>
  </si>
  <si>
    <t>美品天下</t>
  </si>
  <si>
    <t>⻩酒;烧酒;⾼粱酒;清酒;露酒;葡萄酒;⽩酒;果酒（含酒精）;烈酒;⽶酒</t>
  </si>
  <si>
    <t>谷神炮</t>
  </si>
  <si>
    <t>宿迁市谷神酒业有限公司</t>
  </si>
  <si>
    <t>⾼粱酒;酒精饮料（啤酒除外）;预先混合的酒精饮料（以啤酒为主的除外）;⽩酒;果酒（含酒精）;酒精饮料浓缩汁;烧酒;烈酒（饮料）;含⽔果酒精饮料;⻩酒</t>
  </si>
  <si>
    <t>邂逅七夕</t>
  </si>
  <si>
    <t>河南拓达酒业有限责任公司</t>
  </si>
  <si>
    <t>含⽔果酒精饮料;⾷⽤酒精;⻘稞酒;⽶酒;烧酒;⻩酒;威⼠忌;鸡尾酒;⽩酒;果酒（含酒精）</t>
  </si>
  <si>
    <t>科窖欢</t>
  </si>
  <si>
    <t>科窖酒业（成都）有限公司</t>
  </si>
  <si>
    <t>果酒（含酒精）;⽩酒</t>
  </si>
  <si>
    <t>古曹坊七彩三香</t>
  </si>
  <si>
    <t>亳州市酒城酿酒实业总公司</t>
  </si>
  <si>
    <t>鸡尾酒;酒精饮料（啤酒除外）;烧酒;烈酒（饮料）;⽩酒;葡萄酒;⻩酒;果酒（含酒精）;⽶酒;开胃酒</t>
  </si>
  <si>
    <t>奥诺斯骑士之盟</t>
  </si>
  <si>
    <t>广东宏强酒厂有限责任公司</t>
  </si>
  <si>
    <t>葡萄酒;⽶酒;混合威⼠忌酒;鸡尾酒;威⼠忌;⽩兰地;酒精饮料（啤酒除外）;⽇本梅⼦酒;⻨芽威⼠忌;清酒（⽇本⽶酒）</t>
  </si>
  <si>
    <t>典雅华</t>
  </si>
  <si>
    <t>河南省修科瑞兴医药科技有限公司</t>
  </si>
  <si>
    <t>利⼝酒;朗姆酒;⽩兰地;烧酒;⽶酒;⽩酒;酒精饮料（啤酒除外）;含⽔果酒精饮料;葡萄酒;烈酒（饮料）</t>
  </si>
  <si>
    <t>遇无疆</t>
  </si>
  <si>
    <t>贵州省仁怀市杨将酒业有限公司</t>
  </si>
  <si>
    <t>果酒;葡萄酒;预先混合的酒精饮料（以啤酒为主的除外）;⽩酒;酒精饮料浓缩汁;⽩⼲酒（中国⽩酒）;烧酒;含酒精的饮料（啤酒除外）;⾕物制蒸馏酒精饮料;烈酒</t>
  </si>
  <si>
    <t>媚香春泉</t>
  </si>
  <si>
    <t>梅德辉</t>
  </si>
  <si>
    <t>烈酒;已调味的蒸馏酒;⽶酒;⾷⽤酒精;除啤酒外的酒精饮料;⽩酒;以葡萄酒为主的饮料;果酒;由⾕物蒸馏的⽩酒;含⽔果酒精饮料</t>
  </si>
  <si>
    <t>酥山酒肆</t>
  </si>
  <si>
    <t>汽酒;蒸馏饮料;薄荷酒;鸡尾酒;酒精饮料（啤酒除外）;⽩兰地;⽩酒;⻩酒;果酒（含酒精）;含酒精⽔果饮料</t>
  </si>
  <si>
    <t>HONG XING QIAN JIN</t>
  </si>
  <si>
    <t>王颖110101********3522</t>
  </si>
  <si>
    <t>果酒（含酒精）;酒精饮料（啤酒除外）;⻩酒;鸡尾酒;烧酒;酒精饮料原汁;开胃酒;蒸馏饮料;⽶酒;葡萄酒</t>
  </si>
  <si>
    <t>善承天下</t>
  </si>
  <si>
    <t>果酒（含酒精）;⻩酒;葡萄酒;清酒;露酒;烧酒;⾼粱酒;⽶酒;⽩酒;烈酒</t>
  </si>
  <si>
    <t>久叁方程式</t>
  </si>
  <si>
    <t>建昌县正润商贸有限责任公司</t>
  </si>
  <si>
    <t>⽩酒;含酒精的⽓泡⽔;⻘稞酒;⾷⽤酒精;果酒;威⼠忌;葡萄酒;⽩兰地;露酒;⽶酒</t>
  </si>
  <si>
    <t>匠君尊</t>
  </si>
  <si>
    <t>江西天品酒业有限公司</t>
  </si>
  <si>
    <t>清酒（⽇本⽶酒）;烈酒（饮料）;威⼠忌;⽩酒;⾷⽤酒精;⽩兰地;果酒（含酒精）;酒精饮料（啤酒除外）;葡萄酒;酒精饮料浓缩汁</t>
  </si>
  <si>
    <t>城都川府</t>
  </si>
  <si>
    <t>王卯</t>
  </si>
  <si>
    <t>⽩酒;威⼠忌;⻩酒;烧酒;酒精饮料（啤酒除外）;⾷⽤酒精;⽶酒;烈酒（饮料）;利⼝酒;鸡尾酒</t>
  </si>
  <si>
    <t>净八</t>
  </si>
  <si>
    <t>山西庞泉酒庄有限公司</t>
  </si>
  <si>
    <t>蒸煮提取物（利⼝酒和烈酒）;⾷⽤酒精;葡萄酒;烧酒;⻩酒;烈酒浓缩汁;⾼粱酒;⽩酒;烈酒（饮料）;⽩⼲酒（中国⽩酒）</t>
  </si>
  <si>
    <t>华效</t>
  </si>
  <si>
    <t>贵州华效先酒业有限公司</t>
  </si>
  <si>
    <t>鸡尾酒;红葡萄酒;葡萄酒;⽩兰地;⽩⼲酒（中国⽩酒）;果酒;烈酒;⽩酒;威⼠忌;梅酒</t>
  </si>
  <si>
    <t>伍佰只手</t>
  </si>
  <si>
    <t>上海珏色实业有限公司</t>
  </si>
  <si>
    <t>葡萄酒;红葡萄酒;⽩葡萄酒</t>
  </si>
  <si>
    <t>QUERY CELLAR</t>
  </si>
  <si>
    <t>武汉能西科技有限公司</t>
  </si>
  <si>
    <t>朗姆酒;以葡萄酒为主的饮料;⽶酒;汽酒;果酒;桃红葡萄酒;起泡红葡萄酒;葡萄酒;威⼠忌;蜂蜜酒;⽩酒;清酒</t>
  </si>
  <si>
    <t>酒即派</t>
  </si>
  <si>
    <t>上海亮猴网络科技有限公司</t>
  </si>
  <si>
    <t>蒸馏饮料;烧酒;⽩兰地;威⼠忌;伏特加酒;梅酒;烈酒（饮料）;朗姆酒;朗姆酒（酒精饮料）;果酒（含酒精）;清酒（⽇本⽶酒）;酒精饮料（啤酒除外）;⽶酒;薄荷酒;鸡尾酒;葡萄酒;含⽔果酒精饮料;利⼝酒</t>
  </si>
  <si>
    <t>宗运 ZONG YUN ZONG YUN</t>
  </si>
  <si>
    <t>陈良卿</t>
  </si>
  <si>
    <t>论语饮宗</t>
  </si>
  <si>
    <t>威⼠忌;烈酒;鸡尾酒;酒精饮料（啤酒除外）;葡萄酒;⽶酒;⽩酒;⽩兰地;含⽔果酒精饮料;清酒（⽇本⽶酒）</t>
  </si>
  <si>
    <t>贵主天下</t>
  </si>
  <si>
    <t>果酒;烧酒（烈酒）;⽩⼲酒（中国⽩酒）;含酒精的饮料（啤酒除外）;已调味的蒸馏酒;由⾕物蒸馏的⽩酒;⾼粱酒;⽩酒;酒精饮料（啤酒除外）;⽼酒（中国蒸馏烈酒）</t>
  </si>
  <si>
    <t>金无止境</t>
  </si>
  <si>
    <t>山东潍县景艺酒业有限公司</t>
  </si>
  <si>
    <t>果酒（含酒精）;葡萄酒;⾷⽤酒精;⽶酒;酒精饮料（啤酒除外）;威⼠忌;伏特加酒;⻩酒;⽩酒;⽩兰地</t>
  </si>
  <si>
    <t>荀公汉</t>
  </si>
  <si>
    <t>荀公酒业有限公司</t>
  </si>
  <si>
    <t>⽩酒;薄荷酒;苦味酒;果酒;酒精饮料（啤酒除外）;⽩兰地;茴芹酒（利⼝酒）;开胃酒;亚⼒酒;葡萄酒</t>
  </si>
  <si>
    <t>真爱真台</t>
  </si>
  <si>
    <t>贵州省平衡酱香酒业有限公司</t>
  </si>
  <si>
    <t>⽩酒;⽔果汽酒;杨梅酒;起泡⽩葡萄酒;红葡萄酒;含酒精的饮料（啤酒除外）;葡萄汽酒;含⽜奶的鸡尾酒;含酒精的潘趣酒;甜果酒;⾼粱酒;果酒;含酒精⽔果饮料;甜酒;桃红葡萄酒;⼲型苹果酒</t>
  </si>
  <si>
    <t>红河绿谷源</t>
  </si>
  <si>
    <t>元阳县绿谷农业发展有限公司</t>
  </si>
  <si>
    <t>烧酒;清酒;梨酒;以葡萄酒为主的饮料;葡萄酒;⾕物制蒸馏酒精饮料;果酒（含酒精）;⽶酒;⽩酒;烈酒</t>
  </si>
  <si>
    <t>轩裳</t>
  </si>
  <si>
    <t>宁夏青云艺文化传媒有限公司</t>
  </si>
  <si>
    <t>酸酒（低等葡萄酒）;含⽔果酒精饮料;葡萄酒;以葡萄酒为主的饮料;苹果酒;酒精饮料浓缩汁;蜂蜜酒;⽶酒;餐后酒（利⼝酒和烈酒）;⻩酒</t>
  </si>
  <si>
    <t>论语传人</t>
  </si>
  <si>
    <t>⽶酒;鸡尾酒;含⽔果酒精饮料;威⼠忌;烈酒;酒精饮料（啤酒除外）;清酒（⽇本⽶酒）;葡萄酒;⽩酒;⽩兰地</t>
  </si>
  <si>
    <t>闻杞醉</t>
  </si>
  <si>
    <t>青海龙泽生物科技有限公司</t>
  </si>
  <si>
    <t>⽩酒;威⼠忌;⾷⽤酒精;酒精饮料（啤酒除外）;葡萄酒;烈酒（饮料）;⻩酒;⽩兰地;果酒（含酒精）;伏特加酒</t>
  </si>
  <si>
    <t>良品钰雅</t>
  </si>
  <si>
    <t>宜宾钰雅酒业有限公司</t>
  </si>
  <si>
    <t>果酒（含酒精）;清酒（⽇本⽶酒）;烈酒（饮料）;烧酒;以葡萄酒为主的饮料;酒精饮料原汁;⽶酒;鸡尾酒;⻩酒;⽩酒</t>
  </si>
  <si>
    <t>米德古斯</t>
  </si>
  <si>
    <t>黄能成</t>
  </si>
  <si>
    <t>甜酒;⽼酒（中国蒸馏烈酒）;⽶酒;果酒（含酒精）;含⽔果酒精饮料;烧酒;清酒;⽩酒;⻩酒;含酒精的饮料（啤酒除外）</t>
  </si>
  <si>
    <t>圣花</t>
  </si>
  <si>
    <t>张全发</t>
  </si>
  <si>
    <t>烧酒;酒精饮料（啤酒除外）;果酒（含酒精）;葡萄酒;⽩酒;威⼠忌;含⽔果酒精饮料;⽶酒;蒸馏饮料;鸡尾酒</t>
  </si>
  <si>
    <t>那姆腊</t>
  </si>
  <si>
    <t>鸿坤（海南）供应链管理有限公司</t>
  </si>
  <si>
    <t>鸡尾酒;⻘稞酒;⽩兰地;⽩酒;含酒精的⽓泡⽔;含⽔果酒精饮料;酒精饮料浓缩汁;酒精饮料原汁;酒精饮料（啤酒除外）;汽酒</t>
  </si>
  <si>
    <t>道山宝原酒库</t>
  </si>
  <si>
    <t>福建碧海逸阳科技有限公司</t>
  </si>
  <si>
    <t>⽼酒（中国蒸馏烈酒）;⽩酒;果酒;葡萄酒;⻩酒;⽶酒;伏特加酒;梅酒;⾼粱酒;威⼠忌</t>
  </si>
  <si>
    <t>伊滨万安红</t>
  </si>
  <si>
    <t>洛阳益农园农业专业合作社</t>
  </si>
  <si>
    <t>⽶酒;果酒（含酒精）;葡萄酒;烈酒（饮料）;⽩酒;⻩酒;烧酒;鸡尾酒;酒精饮料（啤酒除外）;清酒（⽇本⽶酒）</t>
  </si>
  <si>
    <t>曲中寻</t>
  </si>
  <si>
    <t>蒸馏饮料;烈酒;清酒（⽇本⽶酒）;汽酒;果酒（含酒精）;葡萄酒;⽩酒;酒精饮料（啤酒除外）;威⼠忌;⽶酒</t>
  </si>
  <si>
    <t>荀公青</t>
  </si>
  <si>
    <t>果酒;葡萄酒;亚⼒酒;苦味酒;薄荷酒;⽩酒;⽩兰地;茴芹酒（利⼝酒）;开胃酒;酒精饮料（啤酒除外）</t>
  </si>
  <si>
    <t>炎蚩归</t>
  </si>
  <si>
    <t>济宁千威商贸有限公司</t>
  </si>
  <si>
    <t>⻩酒;利⼝酒;⽶酒;烈酒;开胃酒;⽩酒;⽼酒（中国蒸馏烈酒）;⾼粱酒;露酒;烧酒</t>
  </si>
  <si>
    <t>卫家珍酿</t>
  </si>
  <si>
    <t>汾阳市珍酿酒业有限公司</t>
  </si>
  <si>
    <t>烧酒;⽩酒;预先混合的酒精饮料（以啤酒为主的除外）;葡萄酒;含⽔果酒精饮料;⻩酒;酒精饮料（啤酒除外）;含酒精的饮料（啤酒除外）;果酒（含酒精）;⽶酒</t>
  </si>
  <si>
    <t>拙夫舍</t>
  </si>
  <si>
    <t>濮阳阡陌贸易有限公司</t>
  </si>
  <si>
    <t>⻩酒;⽶酒;果酒;开胃酒;餐后酒（利⼝酒和烈酒）;含酒精⽔果饮料;⽩酒;葡萄酒;鸡尾酒;烧酒</t>
  </si>
  <si>
    <t>四川三星堆文化传媒有限公司</t>
  </si>
  <si>
    <t>酒精饮料浓缩汁;蒸馏饮料;酒精饮料（啤酒除外）;威⼠忌;以葡萄酒为主的饮料;含⽔果酒精饮料;⽩酒;⽶酒;⾕物制蒸馏酒精饮料;鸡尾酒</t>
  </si>
  <si>
    <t>论语知命</t>
  </si>
  <si>
    <t>威⼠忌;⽩兰地;鸡尾酒;⽩酒;葡萄酒;酒精饮料（啤酒除外）;含⽔果酒精饮料;⽶酒;清酒（⽇本⽶酒）;烈酒</t>
  </si>
  <si>
    <t>槎街</t>
  </si>
  <si>
    <t>河源市老园农旅发展有限公司</t>
  </si>
  <si>
    <t>果酒（含酒精）;清酒（⽇本⽶酒）;蜂蜜酒;⽩酒;含⽔果酒精饮料;⽶酒;⾕物制蒸馏酒精饮料;蒸馏饮料;烧酒</t>
  </si>
  <si>
    <t>时仙堂</t>
  </si>
  <si>
    <t>俪鱼生物科技（海南）有限公司</t>
  </si>
  <si>
    <t>佐餐酒;果酒（含酒精）;含⽔果酒精饮料;烧酒（烈酒）;果酒;餐后酒（利⼝酒和烈酒）</t>
  </si>
  <si>
    <t>守洞仙</t>
  </si>
  <si>
    <t>⻘稞酒;烧酒;果酒（含酒精）;葡萄酒;⽩兰地;酒精饮料（啤酒除外）;清酒（⽇本⽶酒）;⽩酒;威⼠忌;⻩酒</t>
  </si>
  <si>
    <t>民生尚郡</t>
  </si>
  <si>
    <t>陕西民生酒店品牌管理有限公司</t>
  </si>
  <si>
    <t>⽶酒;酒精饮料（啤酒除外）;⻩酒;果酒（含酒精）;烧酒;⽩酒;鸡尾酒;烈酒（饮料）;清酒（⽇本⽶酒）;葡萄酒</t>
  </si>
  <si>
    <t>论语传奇</t>
  </si>
  <si>
    <t>⽩酒;烈酒;⽶酒;威⼠忌;葡萄酒;含⽔果酒精饮料;清酒（⽇本⽶酒）;⽩兰地;鸡尾酒;酒精饮料（啤酒除外）</t>
  </si>
  <si>
    <t>石家庄雄睿塑胶制品有限公司</t>
  </si>
  <si>
    <t>预先混合的酒精饮料（以啤酒为主的除外）;⽶酒;果酒（含酒精）;烈酒（饮料）;⽩酒;鸡尾酒;⻩酒;开胃酒;混合威⼠忌酒;葡萄酒</t>
  </si>
  <si>
    <t>荀公酒</t>
  </si>
  <si>
    <t>葡萄酒;茴芹酒（利⼝酒）;苦味酒;酒精饮料（啤酒除外）;薄荷酒;⽩酒;⽩兰地;亚⼒酒;开胃酒;果酒</t>
  </si>
  <si>
    <t>论语酒圣</t>
  </si>
  <si>
    <t>酒精饮料（啤酒除外）;⽩兰地;⽶酒;清酒（⽇本⽶酒）;威⼠忌;葡萄酒;⽩酒;鸡尾酒;含⽔果酒精饮料;烈酒</t>
  </si>
  <si>
    <t>玖峰盛源</t>
  </si>
  <si>
    <t>黄茂盛</t>
  </si>
  <si>
    <t>烧酒;葡萄酒;苦味酒;开胃酒;⽶酒;威⼠忌;蜂蜜酒;⽩酒;⻩酒;清酒（⽇本⽶酒）</t>
  </si>
  <si>
    <t>怀庄</t>
  </si>
  <si>
    <t>贵州怀庄酒业（集团）有限责任公司</t>
  </si>
  <si>
    <t>蒸馏饮料;果酒（含酒精）;烈酒（饮料）;⾕物制蒸馏酒精饮料;⽩酒;⽶酒;葡萄酒;苹果酒;露酒;餐后酒（利⼝酒和烈酒）</t>
  </si>
  <si>
    <t>卢卢亨通</t>
  </si>
  <si>
    <t>山东好女婿酒业有限公司</t>
  </si>
  <si>
    <t>葡萄酒;⽩兰地;威⼠忌;酒精饮料（啤酒除外）;⾷⽤酒精;⻩酒;果酒（含酒精）;⽩酒;⽶酒;伏特加酒</t>
  </si>
  <si>
    <t>范范世福</t>
  </si>
  <si>
    <t>果酒（含酒精）;⽶酒;⽩兰地;威⼠忌;⽩酒;⻩酒;葡萄酒;伏特加酒;⾷⽤酒精;酒精饮料（啤酒除外）</t>
  </si>
  <si>
    <t>冠珍轩</t>
  </si>
  <si>
    <t>山东冠珍轩豆制食品有限公司</t>
  </si>
  <si>
    <t>⾷⽤酒精;果酒（含酒精）;酒精饮料（啤酒除外）;⽩酒;烧酒;开胃酒;⻘稞酒;葡萄酒;⽶酒;⻩酒</t>
  </si>
  <si>
    <t>亳者</t>
  </si>
  <si>
    <t>罗国友</t>
  </si>
  <si>
    <t>⽩酒;⻩酒;⾷⽤酒精;⾼粱酒;烧酒;果酒（含酒精）;⽶酒;烈酒;葡萄酒;清酒</t>
  </si>
  <si>
    <t>天地人江湖道</t>
  </si>
  <si>
    <t>重庆盈阁田餐饮管理有限公司</t>
  </si>
  <si>
    <t>烧酒;清酒;⽶酒;⽩⼲酒（中国⽩酒）;烈酒;⽼酒（中国蒸馏烈酒）;含酒精的饮料（啤酒除外）;⽩酒;⻩酒;果酒（含酒精）</t>
  </si>
  <si>
    <t>丹彦</t>
  </si>
  <si>
    <t>黄慧东</t>
  </si>
  <si>
    <t>果酒（含酒精）;烈酒（饮料）;葡萄酒;⽩兰地;伏特加酒;⻩酒;酒精饮料（啤酒除外）;汽酒;清酒（⽇本⽶酒）;⽩酒</t>
  </si>
  <si>
    <t>莫秋心</t>
  </si>
  <si>
    <t>青岛隆圣河酒业有限公司</t>
  </si>
  <si>
    <t>蜂蜜酒;⽩⼲酒（中国⽩酒）;烧酒;酒精饮料（啤酒除外）;⾼粱酒;⽩酒;⾷⽤酒精;预先混合的酒精饮料（以啤酒为主的除外）;⽔果汽酒;果酒（含酒精）</t>
  </si>
  <si>
    <t>长胜玉慧</t>
  </si>
  <si>
    <t>闫荣海</t>
  </si>
  <si>
    <t>⽩酒;开胃酒;酒精饮料（啤酒除外）;烧酒;已调味的蒸馏酒;葡萄酒;⾷⽤酒精;酒精饮料原汁;⽶酒;果酒</t>
  </si>
  <si>
    <t>赫夫曼</t>
  </si>
  <si>
    <t>果酒（含酒精）;烧酒;酒精饮料（啤酒除外）;⾼粱酒;⽩⼲酒（中国⽩酒）;蜂蜜酒;预先混合的酒精饮料（以啤酒为主的除外）;⽩酒;⾷⽤酒精;⽔果汽酒</t>
  </si>
  <si>
    <t>丰粮和兴</t>
  </si>
  <si>
    <t>高龙</t>
  </si>
  <si>
    <t>阿夸维特酒;⽩⼲酒（中国⽩酒）;烈酒;茴⾹酒（利⼝酒）;酸酒（低等葡萄酒）;茴芹酒（利⼝酒）;预先混合的酒精饮料（以啤酒为主的除外）;烧酒;已调味的蒸馏酒;梨酒</t>
  </si>
  <si>
    <t>埼羽</t>
  </si>
  <si>
    <t>齐河县国生园林绿化有限公司</t>
  </si>
  <si>
    <t>⾕物制蒸馏酒精饮料</t>
  </si>
  <si>
    <t>季盉</t>
  </si>
  <si>
    <t>果酒（含酒精）;葡萄酒;由⾕物蒸馏的⽩酒;除啤酒外的酒精饮料;⽩酒;⻩酒;蒸馏饮料;鸡尾酒;预先混合的酒精饮料（以啤酒为主的除外）;⽩⼲酒（中国⽩酒）</t>
  </si>
  <si>
    <t>黑鲨蹈海</t>
  </si>
  <si>
    <t>青岛瑞邦文化科技发展有限公司</t>
  </si>
  <si>
    <t>清酒;烧酒;烈酒（饮料）;⽩酒;⾷⽤酒精;⻘稞酒;⽶酒;葡萄酒;酒精饮料（啤酒除外）</t>
  </si>
  <si>
    <t>岳灵兔</t>
  </si>
  <si>
    <t>果酒;含酒精的饮料（啤酒除外）;⽩酒;伏特加酒;⾷⽤酒精;葡萄酒;⽶酒;烈酒;朗姆酒（酒精饮料）;酒精饮料原汁</t>
  </si>
  <si>
    <t>研营数联</t>
  </si>
  <si>
    <t>广东万泰科创药业有限公司</t>
  </si>
  <si>
    <t>果酒;含酒精的⽓泡⽔;葡萄酒;佐餐酒;⻩酒;含酒精⽔果饮料;鸡尾酒;蒸馏饮料;⾕物制蒸馏酒精饮料;清酒</t>
  </si>
  <si>
    <t>黔琎贵</t>
  </si>
  <si>
    <t>贵州依琳文化传媒有限公司</t>
  </si>
  <si>
    <t>葡萄酒;苹果酒;⽩酒;⾕物制蒸馏酒精饮料;蒸馏饮料;露酒;果酒（含酒精）;烈酒（饮料）;餐后酒（利⼝酒和烈酒）;⽶酒</t>
  </si>
  <si>
    <t>暖言</t>
  </si>
  <si>
    <t>贵州老茅樽酒业有限公司</t>
  </si>
  <si>
    <t>果酒（含酒精）;苦味酒;⾼粱酒;开胃酒;⽩酒;烈酒（饮料）;以蒸馏酒为主的开胃酒;⽼酒（中国蒸馏烈酒）;烧酒</t>
  </si>
  <si>
    <t>台酒富</t>
  </si>
  <si>
    <t>马超伟</t>
  </si>
  <si>
    <t>烧酒;果酒（含酒精）;开胃酒;烈酒（饮料）;⽩酒;⾕物制蒸馏酒精饮料;葡萄酒;清酒（⽇本⽶酒）;⽶酒;酒精饮料（啤酒除外）</t>
  </si>
  <si>
    <t>蒸馏饮料;含⽔果酒精饮料;烧酒;烈酒（饮料）;果酒（含酒精）;⽩酒;酒精饮料原汁;酒精饮料（啤酒除外）;⾷⽤酒精;⽶酒</t>
  </si>
  <si>
    <t>观怀</t>
  </si>
  <si>
    <t>贵州观怀酒业有限公司</t>
  </si>
  <si>
    <t>杨梅酒;烧酒;⽩⼲酒（中国⽩酒）;果酒;⽶酒;烈酒;⽩酒;⾼粱酒;⻘稞酒;利⼝酒</t>
  </si>
  <si>
    <t>酣谈</t>
  </si>
  <si>
    <t>四川东泼醴白酒业有限公司</t>
  </si>
  <si>
    <t>果酒;葡萄酒;⽩酒;鸡尾酒;威⼠忌;⽩兰地;朗姆酒;亚⼒酒;利⼝酒;伏特加酒</t>
  </si>
  <si>
    <t>念酒师</t>
  </si>
  <si>
    <t>杨军华</t>
  </si>
  <si>
    <t>⻩酒;开胃酒;苦荞酒;⽩⼲酒（中国⽩酒）;果酒（含酒精）;⽩酒;烈酒;⾼粱酒;⽶酒;烧酒</t>
  </si>
  <si>
    <t>西籽汇</t>
  </si>
  <si>
    <t>罗宗道433022********5512</t>
  </si>
  <si>
    <t>⽩酒;烈酒（饮料）;以葡萄酒为主的饮料;⽶酒;利⼝酒;甜果酒;清酒（⽇本⽶酒）;⻩酒;烧酒;果酒（含酒精）</t>
  </si>
  <si>
    <t>阿妈冻0</t>
  </si>
  <si>
    <t>西藏卓玛阿妈健康产业有限公司</t>
  </si>
  <si>
    <t>开胃酒;蒸馏饮料;烈酒（饮料）;酒精饮料（啤酒除外）;果酒;⾷⽤酒精;果酒（含酒精）;预先混合的酒精饮料（以啤酒为主的除外）;⽩酒;含⽔果酒精饮料</t>
  </si>
  <si>
    <t>安徽金蜂蜂毒生物科技开发有限公司</t>
  </si>
  <si>
    <t>开胃酒;蒸馏饮料;蜂蜜酒;含酒精⽔果饮料;⽶酒;酒精饮料（啤酒除外）;含⽔果酒精饮料;⽩酒;甜果酒;果酒（含酒精）</t>
  </si>
  <si>
    <t>水月至尊</t>
  </si>
  <si>
    <t>贵州恒坤酒业有限公司</t>
  </si>
  <si>
    <t>⽩酒;鸡尾酒;酒精饮料（啤酒除外）;烈酒;⽼酒（中国蒸馏烈酒）;⾼粱酒;⽶酒;威⼠忌;葡萄酒;烧酒</t>
  </si>
  <si>
    <t>兰钵</t>
  </si>
  <si>
    <t>贵州兰仔农业科技有限公司</t>
  </si>
  <si>
    <t>果酒（含酒精）;⽩酒;苹果酒;⾕物制蒸馏酒精饮料;⽩兰地;葡萄酒;⻘稞酒;烧酒;⽢蔗制酒精饮料;以葡萄酒为主的饮料;⻩酒;⾷⽤酒精;杜松⼦酒;⽶酒</t>
  </si>
  <si>
    <t>蓝铂</t>
  </si>
  <si>
    <t>谢学军</t>
  </si>
  <si>
    <t>清酒（⽇本⽶酒）;烈酒（饮料）;⽩兰地;⻩酒;果酒（含酒精）;酒精饮料（啤酒除外）;伏特加酒;⽩酒;汽酒;葡萄酒</t>
  </si>
  <si>
    <t>逸情醉</t>
  </si>
  <si>
    <t>四川一斟天下酒业有限公司</t>
  </si>
  <si>
    <t>威⼠忌;葡萄酒;酒精饮料（啤酒除外）;汽酒;烈酒（饮料）;鸡尾酒;⽩酒;蒸馏饮料;酒精饮料原汁;果酒（含酒精）</t>
  </si>
  <si>
    <t>橘生南</t>
  </si>
  <si>
    <t>安徽旭咚食品科技有限公司</t>
  </si>
  <si>
    <t>果酒;预先混合的酒精饮料（以啤酒为主的除外）;⻩酒;甜酒;酒精饮料（啤酒除外）;⽩酒;烈酒（饮料）;⽶酒;烧酒;葡萄酒</t>
  </si>
  <si>
    <t>宽窄功夫</t>
  </si>
  <si>
    <t>贵州省仁怀市宽窄酒业有限公司</t>
  </si>
  <si>
    <t>威⼠忌;伏特加酒;⽩兰地;⾷⽤酒精;朗姆酒;果酒（含酒精）;烈酒（饮料）;⽩酒;葡萄酒;⻩酒</t>
  </si>
  <si>
    <t>尚上数学</t>
  </si>
  <si>
    <t>贵州尚上教育科技有限公司</t>
  </si>
  <si>
    <t>烈酒（饮料）;酒精饮料原汁;清酒（⽇本⽶酒）;果酒（含酒精）;⽩酒;⻩酒;烧酒;⽶酒;鸡尾酒;葡萄酒</t>
  </si>
  <si>
    <t>尚上物理</t>
  </si>
  <si>
    <t>⽶酒;果酒（含酒精）;清酒（⽇本⽶酒）;葡萄酒;酒精饮料原汁;⽩酒;烧酒;烈酒（饮料）;鸡尾酒;⻩酒</t>
  </si>
  <si>
    <t>南胜龙康</t>
  </si>
  <si>
    <t>贵州金宏胜捷建设工程有限公司</t>
  </si>
  <si>
    <t>⾷⽤酒精;⽩⼲酒（中国⽩酒）;⽩酒;烈酒（饮料）;⻩酒;葡萄酒;汽酒;烧酒;清酒;⽶酒</t>
  </si>
  <si>
    <t>京大哥</t>
  </si>
  <si>
    <t>吴岩</t>
  </si>
  <si>
    <t>朝鲜族⽶酒;⾼粱酒;甜酒;果酒（含酒精）;含酒精的鸡尾酒混合饮品;含酒精的饮料（啤酒除外）;⽼酒（中国蒸馏烈酒）;露酒;⽩酒;葡萄酒</t>
  </si>
  <si>
    <t>牛夫人</t>
  </si>
  <si>
    <t>烧酒;蜂蜜酒;⾼粱酒;⽩酒;⽩⼲酒（中国⽩酒）;酒精饮料（啤酒除外）;⽔果汽酒;⾷⽤酒精;预先混合的酒精饮料（以啤酒为主的除外）;果酒（含酒精）</t>
  </si>
  <si>
    <t>窖量</t>
  </si>
  <si>
    <t>窖量酒业（枣阳市）有限责任公司</t>
  </si>
  <si>
    <t>烧酒;⽶酒;⽩酒;果酒（含酒精）;蒸馏饮料;含⽔果酒精饮料;烈酒（饮料）;酒精饮料（啤酒除外）;酒精饮料浓缩汁;葡萄酒</t>
  </si>
  <si>
    <t>豫坤坊</t>
  </si>
  <si>
    <t>郭凤全</t>
  </si>
  <si>
    <t>威⼠忌;⽶酒;⽩酒;⽩兰地;鸡尾酒;含酒精的⽓泡⽔;⻩酒;果酒（含酒精）;开胃酒;酒精饮料（啤酒除外）</t>
  </si>
  <si>
    <t>匠传人 隐龙</t>
  </si>
  <si>
    <t>贵州省仁怀市茅台镇匠传酒业有限公司</t>
  </si>
  <si>
    <t>酒精饮料原汁;葡萄酒;⻘稞酒;⽩酒;果酒（含酒精）;酒精饮料浓缩汁;烈酒（饮料）;含⽔果酒精饮料;蒸煮提取物（利⼝酒和烈酒）;蒸馏饮料</t>
  </si>
  <si>
    <t>势通</t>
  </si>
  <si>
    <t>贵州大曲酱乡酒业有限公司</t>
  </si>
  <si>
    <t>烧酒;葡萄酒;果酒（含酒精）;⽶酒;蒸馏饮料;以葡萄酒为主的饮料;⽩酒;鸡尾酒;酒精饮料浓缩汁;⾼粱酒</t>
  </si>
  <si>
    <t>华瀊</t>
  </si>
  <si>
    <t>哈尔滨市道外区北浇大荒酒业营销中心</t>
  </si>
  <si>
    <t>鸡尾酒;⽩酒;汽酒;⻩酒;⽶酒;⻘稞酒;烧酒;蒸煮提取物（利⼝酒和烈酒）;葡萄酒;果酒（含酒精）</t>
  </si>
  <si>
    <t>尚上英语</t>
  </si>
  <si>
    <t>鸡尾酒;⽩酒;果酒（含酒精）;酒精饮料原汁;葡萄酒;烈酒（饮料）;清酒（⽇本⽶酒）;⻩酒;烧酒;⽶酒</t>
  </si>
  <si>
    <t>蓼城董府</t>
  </si>
  <si>
    <t>董起雾</t>
  </si>
  <si>
    <t>⾷⽤酒精;含⽔果酒精饮料;烈酒（饮料）;⽩酒;⻩酒;威⼠忌;果酒（含酒精）;烧酒;⽶酒;⻘稞酒</t>
  </si>
  <si>
    <t>衡运昌盛</t>
  </si>
  <si>
    <t>⻩酒;⾼粱酒;⽩⼲酒（中国⽩酒）;⽩酒;由⾕物蒸馏的⽩酒;五加⽪酒（中国混合烈酒）;⻘稞酒;烧酒;开胃酒;蒸煮提取物（利⼝酒和烈酒）</t>
  </si>
  <si>
    <t>黔台华</t>
  </si>
  <si>
    <t>贵州万醉楼酒业有限公司</t>
  </si>
  <si>
    <t>烧酒;烈酒（饮料）;清酒（⽇本⽶酒）;果酒（含酒精）;鸡尾酒;葡萄酒;酒精饮料（啤酒除外）;⻩酒;⽶酒;⽩酒</t>
  </si>
  <si>
    <t>谷凹酒坊</t>
  </si>
  <si>
    <t>贵州仁怀介子酒业有限公司</t>
  </si>
  <si>
    <t>开胃酒;烈酒（饮料）;清酒（⽇本⽶酒）;威⼠忌;⽩酒;酒精饮料（啤酒除外）;⽶酒;烧酒;果酒（含酒精）;葡萄酒</t>
  </si>
  <si>
    <t>直流原</t>
  </si>
  <si>
    <t>鄂尔多斯市和誉商贸有限公司</t>
  </si>
  <si>
    <t>酒精饮料（啤酒除外）;威⼠忌;⽩兰地;葡萄酒;烈酒（饮料）;⽩酒;⻩酒;含⽔果酒精饮料;果酒（含酒精）;伏特加酒</t>
  </si>
  <si>
    <t>VERSTUE LEKFEN 瓦萨琪勒芬</t>
  </si>
  <si>
    <t>南昌市骅庭贸易有限公司</t>
  </si>
  <si>
    <t>汽酒;蒸馏饮料;葡萄酒;伏特加酒;⻩酒;含⽔果酒精饮料;⽩酒;威⼠忌;烈酒（饮料）;⽩兰地</t>
  </si>
  <si>
    <t>焺緂道</t>
  </si>
  <si>
    <t>烧酒;⾷⽤酒精;威⼠忌;⽩酒;烈酒（饮料）;含⽔果酒精饮料;⽶酒;⻘稞酒;果酒（含酒精）;⻩酒</t>
  </si>
  <si>
    <t>岳灵娘</t>
  </si>
  <si>
    <t>含酒精的饮料（啤酒除外）;⾷⽤酒精;朗姆酒（酒精饮料）;葡萄酒;烈酒;果酒;⽩酒;伏特加酒;酒精饮料原汁;⽶酒</t>
  </si>
  <si>
    <t>帅者</t>
  </si>
  <si>
    <t>果酒（含酒精）;⻩酒;⽩酒;⾼粱酒;烈酒;⾷⽤酒精;⽶酒;葡萄酒;烧酒;清酒</t>
  </si>
  <si>
    <t>玉坛梦</t>
  </si>
  <si>
    <t>谢武昌</t>
  </si>
  <si>
    <t>开胃酒;果酒（含酒精）;⽩酒;清酒（⽇本⽶酒）;⻩酒;威⼠忌;烈酒;鸡尾酒;葡萄酒;酒精饮料（啤酒除外）</t>
  </si>
  <si>
    <t>母子谣</t>
  </si>
  <si>
    <t>山东母子谣品牌管理有限公司</t>
  </si>
  <si>
    <t>露酒;含⽔果酒精饮料;开胃酒;利⼝酒;⾷⽤酒精;⽩酒;葡萄酒;除啤酒外的酒精饮料;已调味的蒸馏酒;果酒</t>
  </si>
  <si>
    <t>鼎溪谷</t>
  </si>
  <si>
    <t>果酒（含酒精）;餐后酒（利⼝酒和烈酒）;烈酒（饮料）;酒精饮料（啤酒除外）;葡萄酒;酒精饮料原汁;⽶酒;⻩酒;烧酒;⽩酒</t>
  </si>
  <si>
    <t>糖沁御品</t>
  </si>
  <si>
    <t>广东创优御品绿色食品有限公司</t>
  </si>
  <si>
    <t>葡萄酒;⻘梅酒;果酒（含酒精）;汽酒;⾷⽤酒精;鸡尾酒;烧酒;清酒;⽶酒;⻩酒</t>
  </si>
  <si>
    <t>贵州道牌酒业有限公司</t>
  </si>
  <si>
    <t>刺五加酒;⽩酒;由⾕物蒸馏的⽩酒;葡萄酒;烧酒（烈酒）;⽩⼲酒（中国⽩酒）;含酒精的饮料（啤酒除外）;烈酒（饮料）;⽼酒（中国蒸馏烈酒）;⾼粱酒</t>
  </si>
  <si>
    <t>布鲁大师浅蓝</t>
  </si>
  <si>
    <t>上海落蓝科技有限公司</t>
  </si>
  <si>
    <t>威⼠忌;烈酒（饮料）;红葡萄酒;果酒;⽩酒;鸡尾酒;伏特加酒;利⼝酒;清酒（⽇本⽶酒）;⽶酒</t>
  </si>
  <si>
    <t>布鲁大师渐蓝</t>
  </si>
  <si>
    <t>利⼝酒;清酒（⽇本⽶酒）;红葡萄酒;伏特加酒;⽩酒;果酒;烈酒（饮料）;鸡尾酒;威⼠忌;⽶酒</t>
  </si>
  <si>
    <t>周波</t>
  </si>
  <si>
    <t>葡萄酒;果酒（含酒精）;预先混合的酒精饮料（以啤酒为主的除外）;含酒精的⽓泡⽔;含⽔果酒精饮料;酒精饮料（啤酒除外）;威⼠忌;酒精饮料浓缩汁;⽩酒;烈酒（饮料）</t>
  </si>
  <si>
    <t>倍美途</t>
  </si>
  <si>
    <t>赵春江</t>
  </si>
  <si>
    <t>含酒精的饮料（啤酒除外）;⽩酒;⽶酒;果酒;蒸馏饮料;烈酒;葡萄酒;预先混合的酒精饮料（以啤酒为主的除外）;烧酒;⻩酒</t>
  </si>
  <si>
    <t>酣乐酣酝五味</t>
  </si>
  <si>
    <t>贵州酣乐酒业有限公司</t>
  </si>
  <si>
    <t>葡萄酒;酒精饮料（啤酒除外）;⽩酒;伏特加酒;⽩兰地;果酒（含酒精）;清酒（⽇本⽶酒）;⻩酒;鸡尾酒;酒精饮料原汁</t>
  </si>
  <si>
    <t>知三味</t>
  </si>
  <si>
    <t>知三（上海）网络科技有限公司</t>
  </si>
  <si>
    <t>酒精饮料原汁;⽶酒;⾷⽤酒精;烈酒（饮料）;果酒（含酒精）;⻘稞酒;⻩酒;烧酒;葡萄酒;⽩酒</t>
  </si>
  <si>
    <t>重庆江小白品牌管理有限公司</t>
  </si>
  <si>
    <t>威⼠忌;烧酒;葡萄酒;果酒（含酒精）;⽶酒;⽩酒;⾼粱酒;烈酒（饮料）;酒精饮料（啤酒除外）;鸡尾酒</t>
  </si>
  <si>
    <t>贵凰喜宴</t>
  </si>
  <si>
    <t>贵州贵凰酒业有限公司</t>
  </si>
  <si>
    <t>⽩酒;⽶酒;果酒（含酒精）;威⼠忌;葡萄酒;酒精饮料（啤酒除外）;烈酒（饮料）;酒精饮料浓缩汁;酒精饮料原汁;开胃酒</t>
  </si>
  <si>
    <t>阅马台</t>
  </si>
  <si>
    <t>中农发牡丹江军马场有限公司</t>
  </si>
  <si>
    <t>酒精饮料原汁;酒精饮料（啤酒除外）;⽩酒;烧酒;已调味的蒸馏酒;⽶酒;汽酒;葡萄酒;蜂蜜酒;果酒</t>
  </si>
  <si>
    <t>郑玉珠</t>
  </si>
  <si>
    <t>梅酒;⽩酒;⽩⼲酒（中国⽩酒）;含酒精的饮料（啤酒除外）;⻩酒;果酒;烧酒;红葡萄酒;⾼粱酒;烈酒</t>
  </si>
  <si>
    <t>梁山海</t>
  </si>
  <si>
    <t>赖陆英</t>
  </si>
  <si>
    <t>鸡尾酒;蒸馏饮料;⽩酒;⽶酒;烈酒;开胃酒;烧酒;⾼粱酒;利⼝酒;威⼠忌</t>
  </si>
  <si>
    <t>零一万物</t>
  </si>
  <si>
    <t>北京零一万物信息技术有限公司</t>
  </si>
  <si>
    <t>⽩兰地;⽶酒;葡萄酒;酒精饮料（啤酒除外）;伏特加酒;酒精饮料原汁;⽩酒;⻩酒;烧酒;烈酒（饮料）</t>
  </si>
  <si>
    <t>韩洲古城</t>
  </si>
  <si>
    <t>曲薇</t>
  </si>
  <si>
    <t>鸡尾酒;烈酒;⻩酒;⽶酒;⽩酒;清酒（⽇本⽶酒）;酒精饮料（啤酒除外）;果酒（含酒精）;葡萄酒;烧酒</t>
  </si>
  <si>
    <t>临江山</t>
  </si>
  <si>
    <t>苏海云</t>
  </si>
  <si>
    <t>⻩酒;酒精饮料（啤酒除外）;⽶酒;烈酒（饮料）;⽩酒;葡萄酒;烧酒;蒸馏饮料;果酒;酒精饮料原汁</t>
  </si>
  <si>
    <t>史前人</t>
  </si>
  <si>
    <t>浦江县梦佳怡贸易有限公司</t>
  </si>
  <si>
    <t>酒精饮料（啤酒除外）;烈酒;⾼粱酒;⽶酒;⽼酒（中国蒸馏烈酒）;⽩酒;烧酒;⻩酒;苦艾酒;⽩⼲酒（中国⽩酒）</t>
  </si>
  <si>
    <t>CENZHUO</t>
  </si>
  <si>
    <t>杨钰鑫</t>
  </si>
  <si>
    <t>果酒（含酒精）;烧酒（烈酒）;由⾕物蒸馏的⽩酒;⽶酒;含⽔果酒精饮料;⻘梅酒;含酒精的饮料（啤酒除外）;⽩⼲酒（中国⽩酒）;⽩酒;⽼酒（中国蒸馏烈酒）</t>
  </si>
  <si>
    <t>旭魂</t>
  </si>
  <si>
    <t>高挺</t>
  </si>
  <si>
    <t>⽩酒;烈酒（饮料）;酒精饮料原汁;酒精饮料（啤酒除外）;烧酒;果酒（含酒精）;⽶酒;⻩酒;葡萄酒;餐后酒（利⼝酒和烈酒）</t>
  </si>
  <si>
    <t>易星选</t>
  </si>
  <si>
    <t>中国石化销售股份有限公司广东石油分公司</t>
  </si>
  <si>
    <t>⽩酒;清酒（⽇本⽶酒）;葡萄酒;威⼠忌;酒精饮料原汁;酒精饮料（啤酒除外）;⽶酒;⻩酒;鸡尾酒;果酒（含酒精）</t>
  </si>
  <si>
    <t>蓝田玉涌泉</t>
  </si>
  <si>
    <t>程振松</t>
  </si>
  <si>
    <t>葡萄酒;鸡尾酒;果酒（含酒精）;⽶酒;⽩兰地;威⼠忌;酒精饮料（啤酒除外）;烈酒（饮料）;伏特加酒;⽩酒</t>
  </si>
  <si>
    <t>扎几扎零食</t>
  </si>
  <si>
    <t>西昌永恒之火文化旅游有限公司</t>
  </si>
  <si>
    <t>鸡尾酒;烧酒;以葡萄酒为主的开胃酒;⽩酒;果酒（含酒精）;烈酒（饮料）;⻩酒;葡萄酒;⽶酒;酒精饮料（啤酒除外）</t>
  </si>
  <si>
    <t>龙鳯印炎地正酿</t>
  </si>
  <si>
    <t>北京美人溪生物科技有限公司</t>
  </si>
  <si>
    <t>果酒（含酒精）;鸡尾酒;烈酒（饮料）;⻩酒;酒精饮料（啤酒除外）;烧酒;清酒（⽇本⽶酒）;⽶酒;葡萄酒;⽩酒</t>
  </si>
  <si>
    <t>JIANG CANG QING</t>
  </si>
  <si>
    <t>含⽔果酒精饮料;⽶酒;蒸煮提取物（利⼝酒和烈酒）;葡萄酒;果酒（含酒精）;⻩酒;烈酒（饮料）;酒精饮料原汁;⽩酒;蒸馏饮料</t>
  </si>
  <si>
    <t>百宝湖四库全书</t>
  </si>
  <si>
    <t>河南百宝湖实业有限公司</t>
  </si>
  <si>
    <t>鸡尾酒;烈酒（饮料）;⽶酒;⻩酒;果酒（含酒精）;开胃酒;⾕物制蒸馏酒精饮料;葡萄酒;以葡萄酒为主的饮料;⽩酒</t>
  </si>
  <si>
    <t>大漠拓江</t>
  </si>
  <si>
    <t>果酒（含酒精）;葡萄酒;⽩兰地;烈酒（饮料）;⽩酒;酒精饮料（啤酒除外）;鸡尾酒;威⼠忌;⽶酒;伏特加酒</t>
  </si>
  <si>
    <t>临冬烈</t>
  </si>
  <si>
    <t>关红英</t>
  </si>
  <si>
    <t>汽酒;⾷⽤酒精;⽩酒;⽶酒;烧酒;蜂蜜酒;⾼粱酒;由⾕物蒸馏的⽩酒;⻩酒;⻘稞酒</t>
  </si>
  <si>
    <t>衡昌烧坊中道</t>
  </si>
  <si>
    <t>开胃酒;由⾕物蒸馏的⽩酒;⻘稞酒;五加⽪酒（中国混合烈酒）;⾼粱酒;⽩酒;⻩酒;烧酒;蒸煮提取物（利⼝酒和烈酒）;⽩⼲酒（中国⽩酒）</t>
  </si>
  <si>
    <t>骆驼稀酒</t>
  </si>
  <si>
    <t>内蒙古骆驼酒业集团股份有限公司</t>
  </si>
  <si>
    <t>葡萄酒;烈酒（饮料）;烧酒;⾷⽤酒精;⽼酒（中国蒸馏烈酒）;酒精饮料（啤酒除外）;⻘稞酒;⻩酒;⽩酒;果酒（含酒精）</t>
  </si>
  <si>
    <t>懿品帝皇</t>
  </si>
  <si>
    <t>贵州懿品电子商务有限公司</t>
  </si>
  <si>
    <t>果酒（含酒精）;葡萄酒;预先混合的酒精饮料（以啤酒为主的除外）;⽩酒;朗姆酒;⽶酒;⻩酒;烧酒;威⼠忌;鸡尾酒</t>
  </si>
  <si>
    <t>K-FOOD 韩之香</t>
  </si>
  <si>
    <t>青岛爱特物流有限公司</t>
  </si>
  <si>
    <t>烧酒;果酒（含酒精）;烈酒（饮料）;⽩酒;清酒（⽇本⽶酒）;⽶酒;葡萄酒;利⼝酒;酒精饮料（啤酒除外）;鸡尾酒</t>
  </si>
  <si>
    <t>陈学明</t>
  </si>
  <si>
    <t>⾷⽤酒精;⻩酒;果酒;⽩酒;葡萄酒;烈酒;威⼠忌;⽶酒;烧酒;蜂蜜酒</t>
  </si>
  <si>
    <t>谷中逢</t>
  </si>
  <si>
    <t>董娜</t>
  </si>
  <si>
    <t>葡萄酒;酒精饮料（啤酒除外）;⽶酒;餐后酒（利⼝酒和烈酒）;⻩酒;⽩酒;果酒（含酒精）;烈酒（饮料）;酒精饮料原汁;烧酒</t>
  </si>
  <si>
    <t>蕾明阳</t>
  </si>
  <si>
    <t>深圳市龙华区懿峰烟酒商行</t>
  </si>
  <si>
    <t>⽩酒;开胃酒;⾕物制蒸馏酒精饮料;果酒;葡萄酒;⾼粱酒;⻩酒;⻘稞酒;⽶酒;蜂蜜酒</t>
  </si>
  <si>
    <t>柔情凤</t>
  </si>
  <si>
    <t>通江县向善文化传播有限公司</t>
  </si>
  <si>
    <t>果酒;葡萄酒;⾼粱酒;⽶酒;⻩酒;清酒（⽇本⽶酒）;含酒精的饮料（啤酒除外）;露酒;果酒（含酒精）;⽩酒</t>
  </si>
  <si>
    <t>BMTSR</t>
  </si>
  <si>
    <t>葡萄酒;⽶酒;蒸馏饮料;果酒;含酒精的饮料（啤酒除外）;预先混合的酒精饮料（以啤酒为主的除外）;烈酒;烧酒;⻩酒;⽩酒</t>
  </si>
  <si>
    <t>回忆凤凰</t>
  </si>
  <si>
    <t>全利</t>
  </si>
  <si>
    <t>⽩兰地;⽶酒;⾷⽤酒精;烧酒;果酒（含酒精）;开胃酒;鸡尾酒;烈酒（饮料）;清酒（⽇本⽶酒）;利⼝酒</t>
  </si>
  <si>
    <t>礼令</t>
  </si>
  <si>
    <t>葡萄酒;鸡尾酒;⽩酒;蒸馏饮料;威⼠忌;朗姆酒;开胃酒;果酒;含⽔果酒精饮料;⻩酒</t>
  </si>
  <si>
    <t>绿花赋</t>
  </si>
  <si>
    <t>成都金政酒业有限公司</t>
  </si>
  <si>
    <t>⻘稞酒;苦味酒;⽩酒;葡萄酒;⻩酒;开胃酒;烧酒;⽶酒;⾕物制蒸馏酒精饮料;酒精饮料浓缩汁</t>
  </si>
  <si>
    <t>泉州玖贰壹文化传媒有限公司</t>
  </si>
  <si>
    <t>果酒（含酒精）;⽶酒;烈酒（饮料）;苦味酒;伏特加酒;苹果酒;⽢蔗制酒精饮料;鸡尾酒;葡萄酒;蒸馏饮料</t>
  </si>
  <si>
    <t>布鲁大师落蓝</t>
  </si>
  <si>
    <t>伏特加酒;烈酒（饮料）;⽩酒;鸡尾酒;果酒;红葡萄酒;威⼠忌;清酒（⽇本⽶酒）;利⼝酒;⽶酒</t>
  </si>
  <si>
    <t>钻都</t>
  </si>
  <si>
    <t>倪振明</t>
  </si>
  <si>
    <t>⻩酒;含⽔果酒精饮料;葡萄酒;酒精饮料（啤酒除外）;烧酒;⽶酒;⾷⽤酒精;果酒（含酒精）;蜂蜜酒;⽩酒</t>
  </si>
  <si>
    <t>波尼克</t>
  </si>
  <si>
    <t>含⽔果酒精饮料;⻩酒;威⼠忌;伏特加酒;利⼝酒;⽩兰地;酒精饮料（啤酒除外）;朗姆酒;葡萄酒;⽩酒</t>
  </si>
  <si>
    <t>粮上仙</t>
  </si>
  <si>
    <t>酒精饮料浓缩汁;⽩酒;⾼粱酒;蒸馏饮料;⻩酒;利⼝酒;清酒（⽇本⽶酒）;烈酒;⽶酒;开胃酒</t>
  </si>
  <si>
    <t>沂字轩</t>
  </si>
  <si>
    <t>苏恒</t>
  </si>
  <si>
    <t>果酒（含酒精）;蒸馏饮料;烈酒;酒精饮料（啤酒除外）;露酒;红葡萄酒;葡萄酒;酒精饮料原汁;⽩酒;⻩酒</t>
  </si>
  <si>
    <t>咸昌烧坊</t>
  </si>
  <si>
    <t>王灿</t>
  </si>
  <si>
    <t>以葡萄酒为主的饮料;⽼酒（中国蒸馏烈酒）;由⾕物蒸馏的⽩酒;蒸馏饮料;果酒（含酒精）;烧酒;⻩酒;⽩酒;⾼粱酒;含⽔果酒精饮料</t>
  </si>
  <si>
    <t>朗陵天中一号</t>
  </si>
  <si>
    <t>河南朗陵罐酒有限公司</t>
  </si>
  <si>
    <t>⽩酒;开胃酒;葡萄酒;利⼝酒;⽼酒（中国蒸馏烈酒）;烈酒（饮料）;烧酒;⾷⽤酒精;酒精饮料（啤酒除外）;鸡尾酒</t>
  </si>
  <si>
    <t>重庆鹅辣辣品牌管理有限公司</t>
  </si>
  <si>
    <t>果酒（含酒精）;⽩酒;威⼠忌;⽶酒;果酒;⽩兰地;⾼粱酒;葡萄酒;⻩酒</t>
  </si>
  <si>
    <t>古液斟</t>
  </si>
  <si>
    <t>深圳市爵邦实业有限公司</t>
  </si>
  <si>
    <t>蒸煮提取物（利⼝酒和烈酒）;威⼠忌;酒精饮料（啤酒除外）;葡萄酒;伏特加酒;⽩兰地;开胃酒;烈酒（饮料）;鸡尾酒;果酒（含酒精）</t>
  </si>
  <si>
    <t>大闹天宫</t>
  </si>
  <si>
    <t>光彩未来控股有限公司</t>
  </si>
  <si>
    <t>开胃酒;伏特加酒;佐餐酒;清酒;鸡尾酒;⽩兰地;⽶酒;含酒精⽔果饮料;⻘稞酒;葡萄酒;朗姆潘趣酒;⽩⼲酒（中国⽩酒）;清酒（⽇本⽶酒）;威⼠忌;烧酒;⻩酒;果酒（含酒精）;⽩酒;蒸馏饮料;烈酒</t>
  </si>
  <si>
    <t>冷谦</t>
  </si>
  <si>
    <t>预先混合的酒精饮料（以啤酒为主的除外）;⾕物制蒸馏酒精饮料;⽩酒;露酒;酒精饮料（啤酒除外）;果酒（含酒精）;威⼠忌;⽶酒;烧酒;⻩酒</t>
  </si>
  <si>
    <t>京方丹</t>
  </si>
  <si>
    <t>⽩酒;朗姆酒;烈酒（饮料）;清酒（⽇本⽶酒）;樱桃酒;含⽔果酒精饮料;伏特加酒;⻩酒;杜松⼦酒;酒精饮料（啤酒除外）</t>
  </si>
  <si>
    <t>藤沁</t>
  </si>
  <si>
    <t>北京启心科技有限公司</t>
  </si>
  <si>
    <t>红葡萄酒;葡萄汽酒;起泡红葡萄酒;不起泡葡萄酒;起泡⽩葡萄酒;⽶酒;威⼠忌;⽩酒;调制好的葡萄酒鸡尾酒;葡萄酒</t>
  </si>
  <si>
    <t>时间馥窖</t>
  </si>
  <si>
    <t>酒精饮料（啤酒除外）;果酒（含酒精）;酒精饮料原汁;⽶酒;烈酒（饮料）;威⼠忌;开胃酒;酒精饮料浓缩汁;⽩酒;葡萄酒</t>
  </si>
  <si>
    <t>快界</t>
  </si>
  <si>
    <t>黄园园</t>
  </si>
  <si>
    <t>酒精饮料（啤酒除外）;烧酒;⻩酒;⽩酒;⾼粱酒;葡萄酒;利⼝酒;⽶酒;蒸馏饮料;果酒</t>
  </si>
  <si>
    <t>罥 烟眉</t>
  </si>
  <si>
    <t>槛外葩鸟（广州）文化发展有限公司</t>
  </si>
  <si>
    <t>鸡尾酒;酒精饮料（啤酒除外）;清酒（⽇本⽶酒）;果酒（含酒精）;咖啡利⼝酒;威⼠忌;含⽔果酒精饮料;以葡萄酒为主的饮料;含酒精⽔果饮料;蒸馏饮料</t>
  </si>
  <si>
    <t>江西滕王阁药业有限公司</t>
  </si>
  <si>
    <t>含酒精的饮料（啤酒除外）</t>
  </si>
  <si>
    <t>酣乐酣醵八方</t>
  </si>
  <si>
    <t>伏特加酒;酒精饮料原汁;⽩兰地;⻩酒;⽩酒;酒精饮料（啤酒除外）;果酒（含酒精）;清酒（⽇本⽶酒）;鸡尾酒;葡萄酒</t>
  </si>
  <si>
    <t>温之需</t>
  </si>
  <si>
    <t>胡四文</t>
  </si>
  <si>
    <t>⻩酒;⻘稞酒;威⼠忌;烧酒;⽶酒;烈酒（饮料）;⽩酒;⾷⽤酒精;果酒（含酒精）;含⽔果酒精饮料</t>
  </si>
  <si>
    <t>JOKYO 贞享</t>
  </si>
  <si>
    <t>北京正沃科技有限公司</t>
  </si>
  <si>
    <t>威⼠忌;果酒（含酒精）;⽩酒;葡萄酒;蒸馏饮料;烈酒（饮料）;烧酒;⽶酒;鸡尾酒;酒精饮料（啤酒除外）</t>
  </si>
  <si>
    <t>六时渡</t>
  </si>
  <si>
    <t>冯树汉</t>
  </si>
  <si>
    <t>酒精饮料（啤酒除外）;梅酒;果酒（含酒精）;⻩酒;利⼝酒;⽶酒;⽩酒;汽酒;开胃酒;葡萄汽酒</t>
  </si>
  <si>
    <t>酣乐酣醺六感</t>
  </si>
  <si>
    <t>鸡尾酒;葡萄酒;酒精饮料（啤酒除外）;酒精饮料原汁;⽩酒;⻩酒;伏特加酒;⽩兰地;果酒（含酒精）;清酒（⽇本⽶酒）</t>
  </si>
  <si>
    <t>LONGAVI</t>
  </si>
  <si>
    <t>葡萄源记（上海）酒业有限公司</t>
  </si>
  <si>
    <t>蒸馏饮料;汽酒;果酒（含酒精）;开胃酒;清酒（⽇本⽶酒）;⽩兰地;含⽔果酒精饮料;鸡尾酒;酒精饮料（啤酒除外）;葡萄酒</t>
  </si>
  <si>
    <t>霸业·沧海</t>
  </si>
  <si>
    <t>马会勇</t>
  </si>
  <si>
    <t>⻩酒;⽩酒;伏特加酒;葡萄酒;烧酒;威⼠忌;酒精饮料原汁;⽶酒;果酒（含酒精）;鸡尾酒</t>
  </si>
  <si>
    <t>黄绍福康</t>
  </si>
  <si>
    <t>黄绍福</t>
  </si>
  <si>
    <t>鸡尾酒;⽶酒;蒸馏饮料;酒精饮料原汁;含⽔果酒精饮料;⽩酒;果酒（含酒精）;酒精饮料（啤酒除外）;朗姆酒;烈酒（饮料）</t>
  </si>
  <si>
    <t>代笠</t>
  </si>
  <si>
    <t>贵州省仁怀市怀才酒业销售有限公司</t>
  </si>
  <si>
    <t>含酒精⽔果饮料;含酒精蛋奶酒;露酒;蒸馏饮料;薄荷酒;含酒精的⽔果鸡尾酒饮料;含奶油利⼝酒;汽酒;樱桃⽩兰地;⻩酒</t>
  </si>
  <si>
    <t>清竹池</t>
  </si>
  <si>
    <t>黄敏</t>
  </si>
  <si>
    <t>开胃酒;烈酒（饮料）;利⼝酒;⽶酒;烧酒;⻩酒;⽩兰地;酒精饮料（啤酒除外）;⽩酒;汽酒</t>
  </si>
  <si>
    <t>自邮制造</t>
  </si>
  <si>
    <t>北京北邮资产经营有限公司</t>
  </si>
  <si>
    <t>含酒精的⽔果鸡尾酒饮料;葡萄酒;⽩酒;果酒（含酒精）;⽶酒;蒸馏饮料;烧酒;开胃酒;蜂蜜酒;⻩酒</t>
  </si>
  <si>
    <t>秾甸园</t>
  </si>
  <si>
    <t>沈阳秾甸园初级农产品贸易有限公司</t>
  </si>
  <si>
    <t>利⼝酒;以葡萄酒为主的饮料;蒸馏饮料;葡萄酒;果酒（含酒精）;⽩酒;⻩酒;烧酒;⽶酒</t>
  </si>
  <si>
    <t>青岛万怡国际酒业有限公司</t>
  </si>
  <si>
    <t>果酒（含酒精）;鸡尾酒;利⼝酒;葡萄酒;朗姆酒;酒精饮料（啤酒除外）;伏特加酒;汽酒;烈酒（饮料）;⽩兰地</t>
  </si>
  <si>
    <t>阿布猪 ABUPIG</t>
  </si>
  <si>
    <t>宽夫实业（深圳）有限公司</t>
  </si>
  <si>
    <t>开胃酒;含⽔果酒精饮料;果酒（含酒精）;蒸煮提取物（利⼝酒和烈酒）;酒精饮料（啤酒除外）;葡萄酒;酒精饮料浓缩汁;⽩酒;蒸馏饮料;烧酒</t>
  </si>
  <si>
    <t>神调师</t>
  </si>
  <si>
    <t>清酒（⽇本⽶酒）;⻩酒;含酒精的饮料（啤酒除外）;果酒;⽩酒;露酒;⽶酒;葡萄酒;果酒（含酒精）;⾼粱酒</t>
  </si>
  <si>
    <t>虔蓉擂茶妹</t>
  </si>
  <si>
    <t>曾水英</t>
  </si>
  <si>
    <t>烧酒;酒精饮料浓缩汁;酒精饮料（啤酒除外）;⾷⽤酒精;蒸馏饮料;开胃酒;⽩酒;⽶酒;⻩酒;果酒（含酒精）</t>
  </si>
  <si>
    <t>醉两汉汉光武帝</t>
  </si>
  <si>
    <t>徐州国玺酒业有限公司</t>
  </si>
  <si>
    <t>⽶酒;⾕物制蒸馏酒精饮料;⽩酒;酒精饮料（啤酒除外）;烈酒（饮料）;⻩酒;果酒;预先混合的酒精饮料（以啤酒为主的除外）;⾷⽤酒精;葡萄酒</t>
  </si>
  <si>
    <t>色优庄园</t>
  </si>
  <si>
    <t>郑华忠</t>
  </si>
  <si>
    <t>烧酒;蜂蜜酒;果酒（含酒精）;鸡尾酒;⽩酒;利⼝酒;⽩兰地;⽶酒;⻩酒;葡萄酒</t>
  </si>
  <si>
    <t>密调师</t>
  </si>
  <si>
    <t>含酒精的饮料（啤酒除外）;⾼粱酒;⽩酒;果酒;葡萄酒;⽶酒;果酒（含酒精）;⻩酒;清酒（⽇本⽶酒）;露酒</t>
  </si>
  <si>
    <t>靖喻</t>
  </si>
  <si>
    <t>梁军塬</t>
  </si>
  <si>
    <t>威⼠忌;烈酒（饮料）;烧酒;⻘稞酒;⽶酒;⽩酒;⻩酒;含⽔果酒精饮料;果酒（含酒精）;⾷⽤酒精</t>
  </si>
  <si>
    <t>塞罕鹿鸣</t>
  </si>
  <si>
    <t>围场满族蒙古族自治县塞罕麓鸣鹿产品销售中心</t>
  </si>
  <si>
    <t>⽩酒;露酒;开胃酒;葡萄酒;汽酒;利⼝酒;酒精饮料（啤酒除外）;刺五加酒;⽩⼲酒（中国⽩酒）;果酒</t>
  </si>
  <si>
    <t>兴邦麦肯基</t>
  </si>
  <si>
    <t>李松庆</t>
  </si>
  <si>
    <t>果酒;⽩酒;鸡尾酒;葡萄酒;威⼠忌;⽶酒;汽酒;烧酒;甜酒;梅酒</t>
  </si>
  <si>
    <t>兴中愿</t>
  </si>
  <si>
    <t>范惠玲</t>
  </si>
  <si>
    <t>开胃酒;⻩酒;鸡尾酒;清酒（⽇本⽶酒）;威⼠忌;葡萄酒;酒精饮料（啤酒除外）;⽩酒;烈酒;果酒（含酒精）</t>
  </si>
  <si>
    <t>夏镇八景</t>
  </si>
  <si>
    <t>北京先体国际体育文化交流中心有限公司</t>
  </si>
  <si>
    <t>⽩酒;⻩酒;酒精饮料（啤酒除外）;汽酒;⾼粱酒;⽼酒（中国蒸馏烈酒）;⽩⼲酒（中国⽩酒）;葡萄酒;烈酒（饮料）;⽶酒;烧酒（烈酒）</t>
  </si>
  <si>
    <t>名公</t>
  </si>
  <si>
    <t>贵州名公酒业有限公司</t>
  </si>
  <si>
    <t>清酒;⻩酒;酒精饮料（啤酒除外）;葡萄酒;果酒;⽩酒;烈酒;⻘稞酒;烧酒;⽶酒</t>
  </si>
  <si>
    <t>水乡灯火</t>
  </si>
  <si>
    <t>江苏玖玖惠众贸易有限公司</t>
  </si>
  <si>
    <t>⽩兰地;⽩酒;果酒（含酒精）;⻩酒;鸡尾酒;汽酒;⾷⽤酒精;⽶酒;烧酒;蒸馏饮料</t>
  </si>
  <si>
    <t>豫窖福</t>
  </si>
  <si>
    <t>邓州市平成咨询有限公司</t>
  </si>
  <si>
    <t>清酒;⽩酒;烈酒;葡萄酒;烧酒;汽酒;⾷⽤酒精;果酒;⽶酒;⻩酒</t>
  </si>
  <si>
    <t>中海进得</t>
  </si>
  <si>
    <t>河南关心酒业有限公司</t>
  </si>
  <si>
    <t>⽼酒（中国蒸馏烈酒）;由⾕物蒸馏的⽩酒;果酒（含酒精）;⽩酒;葡萄酒;酒精饮料原汁;⻩酒;蒸煮提取物（利⼝酒和烈酒）;烧酒;⽩⼲酒（中国⽩酒）</t>
  </si>
  <si>
    <t>凤宴礼宾</t>
  </si>
  <si>
    <t>青岛鑫福缘酿酒有限公司</t>
  </si>
  <si>
    <t>葡萄酒;⽩酒;酒精饮料（啤酒除外）;⾷⽤酒精;汽酒;烧酒;鸡尾酒;⽶酒;果酒;⾼粱酒</t>
  </si>
  <si>
    <t>华赞诗酒年华</t>
  </si>
  <si>
    <t>贵州华赞酒业有限公司</t>
  </si>
  <si>
    <t>葡萄酒;⽶酒;利⼝酒;烧酒;鸡尾酒;果酒;威⼠忌;⻩酒;⽩酒;⻘稞酒</t>
  </si>
  <si>
    <t>8672</t>
  </si>
  <si>
    <t>柑⾹酒;⽩酒;⽶酒;鸡尾酒;含⽔果酒精饮料;樱桃酒;果酒（含酒精）;⻩酒;露酒;葡萄酒</t>
  </si>
  <si>
    <t>大芹</t>
  </si>
  <si>
    <t>福建大芹陆宜酒业有限公司</t>
  </si>
  <si>
    <t>蒸煮提取物（利⼝酒和烈酒）;含⽔果酒精饮料;伏特加酒;葡萄酒;酒精饮料（啤酒除外）;威⼠忌;开胃酒;清酒（⽇本⽶酒）;⽶酒;蒸馏饮料</t>
  </si>
  <si>
    <t>鼎庄鼎公馆</t>
  </si>
  <si>
    <t>鼎庄（遵义）酒业集团有限公司</t>
  </si>
  <si>
    <t>⽶酒;汽酒;开胃酒;鸡尾酒;⻩酒;⽩酒;葡萄酒;烈酒（饮料）;烧酒;果酒</t>
  </si>
  <si>
    <t>梅圆合</t>
  </si>
  <si>
    <t>重庆圆坊酒业有限公司</t>
  </si>
  <si>
    <t>烈酒（饮料）;酒精饮料（啤酒除外）;⽶酒;烧酒;清酒（⽇本⽶酒）;威⼠忌;⽩酒;果酒（含酒精）;开胃酒;葡萄酒</t>
  </si>
  <si>
    <t>柳郎春</t>
  </si>
  <si>
    <t>舍得酒业股份有限公司</t>
  </si>
  <si>
    <t>烧酒;果酒（含酒精）;开胃酒;⽩酒;⾷⽤酒精;酒精饮料（啤酒除外）;烈酒（饮料）;葡萄酒;利⼝酒;蒸煮提取物（利⼝酒和烈酒）</t>
  </si>
  <si>
    <t>周年台</t>
  </si>
  <si>
    <t>贵州省仁怀市茅台镇南宾酒业有限公司</t>
  </si>
  <si>
    <t>⽶酒;葡萄酒;烈酒（饮料）;⽩酒;含酒精⽔果饮料;果酒（含酒精）;烧酒;⻘稞酒;⾼粱酒;⻩酒</t>
  </si>
  <si>
    <t>五花马</t>
  </si>
  <si>
    <t>南京苏芽农业科技有限公司</t>
  </si>
  <si>
    <t>葡萄酒;蜂蜜酒;烈酒;开胃酒;⽶酒;果酒（含酒精）;蒸馏饮料;汽酒;⽩酒;⻩酒</t>
  </si>
  <si>
    <t>新通途</t>
  </si>
  <si>
    <t>陈艳</t>
  </si>
  <si>
    <t>苦味酒;蜂蜜酒;⻘稞酒;清酒（⽇本⽶酒）;果酒（含酒精）;烧酒;杜松⼦酒;⽩兰地;⽩酒;⾷⽤酒精</t>
  </si>
  <si>
    <t>衡昌玉</t>
  </si>
  <si>
    <t>五加⽪酒（中国混合烈酒）;⻘稞酒;⽩⼲酒（中国⽩酒）;⽩酒;⻩酒;⾼粱酒;烧酒;开胃酒;由⾕物蒸馏的⽩酒;蒸煮提取物（利⼝酒和烈酒）</t>
  </si>
  <si>
    <t>酷牌酷十五</t>
  </si>
  <si>
    <t>马百忠</t>
  </si>
  <si>
    <t>烈酒（饮料）;鸡尾酒;⾷⽤酒精;利⼝酒;开胃酒;含⽔果酒精饮料;⽩酒;果酒（含酒精）;酒精饮料（啤酒除外）;⽶酒</t>
  </si>
  <si>
    <t>晋杏绵</t>
  </si>
  <si>
    <t>⽩酒;⽶酒;威⼠忌;烧酒;烈酒（饮料）;⻩酒;⾷⽤酒精;⻘稞酒;含⽔果酒精饮料;果酒（含酒精）</t>
  </si>
  <si>
    <t>桷台</t>
  </si>
  <si>
    <t>含酒精的饮料（啤酒除外）;果酒（含酒精）;⽩⼲酒（中国⽩酒）;酒精饮料（啤酒除外）;鸡尾酒;⽩酒;⻩酒;由⾕物蒸馏的⽩酒;蒸馏饮料;葡萄酒</t>
  </si>
  <si>
    <t>苍炎</t>
  </si>
  <si>
    <t>河南苍炎科技有限公司</t>
  </si>
  <si>
    <t>⾼粱酒;清酒;葡萄酒;⽩酒;鸡尾酒;⻩酒;果酒;汽酒;⻘梅酒;酒精饮料（啤酒除外）</t>
  </si>
  <si>
    <t>微隆</t>
  </si>
  <si>
    <t>胡向兴</t>
  </si>
  <si>
    <t>蒸煮提取物（利⼝酒和烈酒）;梅酒;开胃酒;葡萄酒;⽩酒;⻩酒;果酒;果酒（含酒精）;烧酒;⽶酒</t>
  </si>
  <si>
    <t>THE SINGLETON WARM ASCENT</t>
  </si>
  <si>
    <t>壶中魂</t>
  </si>
  <si>
    <t>威⼠忌;⾷⽤酒精;烧酒;⻩酒;烈酒（饮料）;果酒（含酒精）;⻘稞酒;⽩酒;⽶酒;含⽔果酒精饮料</t>
  </si>
  <si>
    <t>科智</t>
  </si>
  <si>
    <t>祁贵林</t>
  </si>
  <si>
    <t>葡萄酒;酒精饮料（啤酒除外）;果酒（含酒精）;鸡尾酒;烧酒;⻩酒;⽩酒;⽩兰地;⾷⽤酒精;烈酒（饮料）</t>
  </si>
  <si>
    <t>华商报</t>
  </si>
  <si>
    <t>蜂蜜酒;开胃酒;⻩酒;⽩酒;葡萄酒;果酒（含酒精）;苹果酒;⽶酒;梨酒;烧酒</t>
  </si>
  <si>
    <t>贵力康</t>
  </si>
  <si>
    <t>贵阳康养职业大学</t>
  </si>
  <si>
    <t>亚⼒酒;薄荷酒;伏特加酒;烧酒;⻩酒;果酒（含酒精）;蒸馏饮料;酒精饮料浓缩汁;⽶酒;⽩酒</t>
  </si>
  <si>
    <t>御品帝王钦</t>
  </si>
  <si>
    <t>⽶酒;威⼠忌;烧酒;⽩酒;鸡尾酒;预先混合的酒精饮料（以啤酒为主的除外）;⻩酒;果酒（含酒精）;葡萄酒;朗姆酒</t>
  </si>
  <si>
    <t>老榧村</t>
  </si>
  <si>
    <t>竺美红</t>
  </si>
  <si>
    <t>酒精饮料（啤酒除外）;预先混合的酒精饮料（以啤酒为主的除外）;酒精饮料原汁;蒸馏饮料;果酒（含酒精）;⽩酒;葡萄酒;清酒（⽇本⽶酒）;⾷⽤酒精;威⼠忌</t>
  </si>
  <si>
    <t>钟楼秀</t>
  </si>
  <si>
    <t>西安汉玺酒业有限公司</t>
  </si>
  <si>
    <t>⽩酒;开胃酒;葡萄酒;清酒（⽇本⽶酒）;鸡尾酒;烈酒（饮料）;酒精饮料（啤酒除外）;⻩酒;烧酒;果酒（含酒精）</t>
  </si>
  <si>
    <t>聚梦星</t>
  </si>
  <si>
    <t>贵州聚梦星传媒有限公司</t>
  </si>
  <si>
    <t>烧酒;⽩酒;鸡尾酒;葡萄酒;威⼠忌;果酒（含酒精）;伏特加酒;蒸馏饮料;⻩酒;⽶酒</t>
  </si>
  <si>
    <t>若念</t>
  </si>
  <si>
    <t>开胃酒;烈酒;⽶酒;酒精饮料浓缩汁;果酒;朗姆酒;鸡尾酒;利⼝酒;⽩酒;蒸馏饮料</t>
  </si>
  <si>
    <t>令三十</t>
  </si>
  <si>
    <t>贵州贵酱文化发展有限公司</t>
  </si>
  <si>
    <t>酒精饮料（啤酒除外）;烧酒;⽩酒;果酒（含酒精）;烈酒（饮料）;清酒（⽇本⽶酒）;⾷⽤酒精;葡萄酒;⻩酒;蒸馏饮料</t>
  </si>
  <si>
    <t>晋倾</t>
  </si>
  <si>
    <t>⻘稞酒;威⼠忌;⽩酒;⾷⽤酒精;含⽔果酒精饮料;⽶酒;果酒（含酒精）;烈酒（饮料）;⻩酒;烧酒</t>
  </si>
  <si>
    <t>董伟</t>
  </si>
  <si>
    <t>清酒（⽇本⽶酒）;果酒（含酒精）;开胃酒;酒精饮料（啤酒除外）;⻩酒;葡萄酒;⽩兰地;预先混合的酒精饮料（以啤酒为主的除外）;⽶酒;⽩酒</t>
  </si>
  <si>
    <t>炎黄龙匠</t>
  </si>
  <si>
    <t>金建光</t>
  </si>
  <si>
    <t>葡萄酒;威⼠忌;⻩酒;⽩酒;果酒（含酒精）;鸡尾酒;⽶酒;⽩兰地;烧酒;蒸馏饮料</t>
  </si>
  <si>
    <t>酷零酷食</t>
  </si>
  <si>
    <t>杜爱林</t>
  </si>
  <si>
    <t>酒精饮料（啤酒除外）;⽶酒;鸡尾酒;葡萄酒;以葡萄酒为主的饮料;含⽔果酒精饮料;⽩酒;蒸馏饮料;蜂蜜酒;果酒（含酒精）</t>
  </si>
  <si>
    <t>养元浔</t>
  </si>
  <si>
    <t>海口龙华多夕米食品经营部（个体工商户）</t>
  </si>
  <si>
    <t>果酒;威⼠忌;梅酒;烧酒;开胃酒;酒精饮料（啤酒除外）;⽩酒;葡萄酒;⻩酒;⽶酒</t>
  </si>
  <si>
    <t>稻中魂</t>
  </si>
  <si>
    <t>烧酒;⽩酒;⻩酒;⾷⽤酒精;含⽔果酒精饮料;⽶酒;果酒（含酒精）;烈酒（饮料）;⻘稞酒;威⼠忌</t>
  </si>
  <si>
    <t>饮中珍</t>
  </si>
  <si>
    <t>⻩酒;⽶酒;果酒（含酒精）;烈酒（饮料）;含⽔果酒精饮料;⽩酒;⾷⽤酒精;威⼠忌;烧酒;⻘稞酒</t>
  </si>
  <si>
    <t>客家闽公馆</t>
  </si>
  <si>
    <t>黄志雄</t>
  </si>
  <si>
    <t>鸡尾酒;⻩酒;葡萄酒;果酒;清酒;⽩兰地;威⼠忌;开胃酒;⽩酒;酒精饮料（啤酒除外）</t>
  </si>
  <si>
    <t>匠心年代</t>
  </si>
  <si>
    <t>贵州沿台酒业有限公司</t>
  </si>
  <si>
    <t>葡萄酒;⽩酒;烈酒（饮料）;酒精饮料（啤酒除外）;⽼酒（中国蒸馏烈酒）;⻩酒;果酒（含酒精）;蒸馏饮料;鸡尾酒;汽酒</t>
  </si>
  <si>
    <t>浙先</t>
  </si>
  <si>
    <t>黄鹤归来（湖北）品牌运营管理有限公司</t>
  </si>
  <si>
    <t>果酒（含酒精）;杨梅酒;鸡尾酒;烈酒（饮料）;⻩酒;⽶酒;⽩酒;葡萄酒;烧酒;清酒（⽇本⽶酒）</t>
  </si>
  <si>
    <t>衡昌盛典</t>
  </si>
  <si>
    <t>⽩⼲酒（中国⽩酒）;⻘稞酒;烧酒;⽩酒;⻩酒;蒸煮提取物（利⼝酒和烈酒）;⾼粱酒;由⾕物蒸馏的⽩酒;五加⽪酒（中国混合烈酒）;开胃酒</t>
  </si>
  <si>
    <t>刘文菲</t>
  </si>
  <si>
    <t>北京佤乡源文化服务有限公司临沧分公司</t>
  </si>
  <si>
    <t>果酒;红葡萄酒;葡萄酒;含酒精⽔果饮料;黑覆盆⼦酒;⽶酒;⽩葡萄酒;⽔果汽酒;樱桃⽩兰地;⻘梅酒</t>
  </si>
  <si>
    <t>大龙匠</t>
  </si>
  <si>
    <t>⽩兰地;烧酒;葡萄酒;威⼠忌;⽩酒;鸡尾酒;⻩酒;果酒（含酒精）;蒸馏饮料;⽶酒</t>
  </si>
  <si>
    <t>喻园芳华</t>
  </si>
  <si>
    <t>贵州酒无之境酒业有限公司</t>
  </si>
  <si>
    <t>⽩酒;葡萄酒;⻩酒;清酒（⽇本⽶酒）;酒精饮料（啤酒除外）;鸡尾酒;果酒（含酒精）;烈酒（饮料）;⽶酒;烧酒</t>
  </si>
  <si>
    <t>杏林叶</t>
  </si>
  <si>
    <t>汾阳市杏林酒业有限公司</t>
  </si>
  <si>
    <t>⽶酒;葡萄酒;⻩酒;⽩酒;清酒（⽇本⽶酒）;烈酒（饮料）;酒精饮料（啤酒除外）;果酒（含酒精）;烧酒;鸡尾酒</t>
  </si>
  <si>
    <t>谷萦</t>
  </si>
  <si>
    <t>盘锦硕沅农业技术有限公司</t>
  </si>
  <si>
    <t>⽩⼲酒（中国⽩酒）;⾼粱酒;含酒精的饮料（啤酒除外）;⽶酒;⽼酒（中国蒸馏烈酒）;清酒;由⾕物蒸馏的⽩酒;烧酒;含酒精的⽔果鸡尾酒饮料;烈酒（饮料）</t>
  </si>
  <si>
    <t>SEBERYA RESERVEA</t>
  </si>
  <si>
    <t>开胃酒;⾼粱酒;葡萄酒;苹果酒;烧酒;⽩酒;鸡尾酒;⽶酒;⻩酒;⻘稞酒</t>
  </si>
  <si>
    <t>翔龙展翅</t>
  </si>
  <si>
    <t>期福（厦门）贸易有限公司</t>
  </si>
  <si>
    <t>烈酒（饮料）;烧酒;⽩酒;蒸馏饮料;⾼粱酒;酒精饮料（啤酒除外）;伏特加酒;威⼠忌;葡萄酒;清酒（⽇本⽶酒）</t>
  </si>
  <si>
    <t>帝尊心</t>
  </si>
  <si>
    <t>田碧娟</t>
  </si>
  <si>
    <t>甜果酒;草莓酒;开胃酒;⽩酒;蜂蜜酒;苹果酒;⽶酒;⽩兰地;⽩葡萄酒;红葡萄酒</t>
  </si>
  <si>
    <t>DLKJ</t>
  </si>
  <si>
    <t>海口力立科技有限公司</t>
  </si>
  <si>
    <t>⽶酒;⽩兰地;鸡尾酒;葡萄酒;⻩酒;以蒸馏酒为主的开胃酒;蒸煮提取物（利⼝酒和烈酒）;烧酒;⽩酒;果酒（含酒精）</t>
  </si>
  <si>
    <t>精彩苔</t>
  </si>
  <si>
    <t>葡萄酒;⽩酒;含酒精的饮料（啤酒除外）;⻩酒;⽶酒;汽酒;果酒;威⼠忌;⽼酒（中国蒸馏烈酒）;烧酒</t>
  </si>
  <si>
    <t>红芹梅</t>
  </si>
  <si>
    <t>酒精饮料（啤酒除外）;伏特加酒;含⽔果酒精饮料;威⼠忌;清酒（⽇本⽶酒）;开胃酒;⽶酒;葡萄酒;蒸馏饮料;蒸煮提取物（利⼝酒和烈酒）</t>
  </si>
  <si>
    <t>领浙</t>
  </si>
  <si>
    <t>杨梅酒;清酒（⽇本⽶酒）;⽶酒;⻩酒;⽩酒;葡萄酒;烈酒（饮料）;鸡尾酒;烧酒;果酒（含酒精）</t>
  </si>
  <si>
    <t>鑫胜民</t>
  </si>
  <si>
    <t>清酒;威⼠忌;葡萄酒;⾼粱酒;⽶酒;烧酒;⽩酒;由⾕物蒸馏的⽩酒;⽩兰地;⻩酒</t>
  </si>
  <si>
    <t>澳基奇</t>
  </si>
  <si>
    <t>淘气口袋（上海）科技有限公司</t>
  </si>
  <si>
    <t>含⽔果酒精饮料;鸡尾酒;酒精饮料（啤酒除外）;果酒（含酒精）;烈酒（饮料）;⻩酒;⽩酒;开胃酒;葡萄酒;蒸馏饮料</t>
  </si>
  <si>
    <t>江阔</t>
  </si>
  <si>
    <t>黑龙江省江阔汽车销售服务有限公司</t>
  </si>
  <si>
    <t>含酒精的饮料（啤酒除外）;葡萄潘趣酒;⽩酒;由⾕物蒸馏的⽩酒;烈酒浓缩汁;⻩酒;天然汽酒;威⼠忌;果酒（含酒精）</t>
  </si>
  <si>
    <t>将楚歌</t>
  </si>
  <si>
    <t>伏特加酒;开胃酒;蒸馏饮料;⽶酒;果酒;烈酒;⻩酒;葡萄酒;利⼝酒;⽩酒</t>
  </si>
  <si>
    <t>晋玉琼</t>
  </si>
  <si>
    <t>⾷⽤酒精;威⼠忌;⽩酒;含⽔果酒精饮料;烈酒（饮料）;⽶酒;⻘稞酒;烧酒;果酒（含酒精）;⻩酒</t>
  </si>
  <si>
    <t>一枝榧</t>
  </si>
  <si>
    <t>⽩酒;葡萄酒;威⼠忌;蒸馏饮料;预先混合的酒精饮料（以啤酒为主的除外）;⾷⽤酒精;果酒（含酒精）;清酒（⽇本⽶酒）;酒精饮料（啤酒除外）;酒精饮料原汁</t>
  </si>
  <si>
    <t>客来闽公馆</t>
  </si>
  <si>
    <t>⽩酒;果酒;威⼠忌;开胃酒;清酒;葡萄酒;鸡尾酒;⽩兰地;酒精饮料（啤酒除外）;⻩酒</t>
  </si>
  <si>
    <t>紫和名</t>
  </si>
  <si>
    <t>陈晓英</t>
  </si>
  <si>
    <t>果酒（含酒精）;苹果酒;鸡尾酒;葡萄酒;⽩酒;利⼝酒;威⼠忌;烧酒;⻩酒;烈酒（饮料）</t>
  </si>
  <si>
    <t>寻辞</t>
  </si>
  <si>
    <t>威⼠忌;开胃酒;烧酒;⽩兰地;⽶酒;蒸馏饮料;酒精饮料（啤酒除外）;烈酒;利⼝酒;⽩酒</t>
  </si>
  <si>
    <t>南站梦想</t>
  </si>
  <si>
    <t>多有米企顾咨询（菏泽）有限公司</t>
  </si>
  <si>
    <t>含⽔果酒精饮料;果酒;开胃酒;甜酒;烈酒（饮料）;⽩酒;含酒精的饮料（啤酒除外）;汽酒;葡萄酒;鸡尾酒</t>
  </si>
  <si>
    <t>WUBONJOE</t>
  </si>
  <si>
    <t>贺李敏</t>
  </si>
  <si>
    <t>清酒（⽇本⽶酒）;酒精饮料（啤酒除外）;烈酒;开胃酒;⽩酒;葡萄酒;威⼠忌;果酒（含酒精）;鸡尾酒;⻩酒</t>
  </si>
  <si>
    <t>上丰基酒</t>
  </si>
  <si>
    <t>祁桂明</t>
  </si>
  <si>
    <t>鸡尾酒;烈酒（饮料）;⽩酒;酒精饮料原汁;烧酒;葡萄酒;蜂蜜酒;⽶酒;含⽔果酒精饮料;果酒（含酒精）</t>
  </si>
  <si>
    <t>亨哥</t>
  </si>
  <si>
    <t>靳泰亨</t>
  </si>
  <si>
    <t>⽩酒;果酒（含酒精）;鸡尾酒;⽶酒;烈酒（饮料）;烧酒;酒精饮料（啤酒除外）;⻩酒;⽼酒（中国蒸馏烈酒）;葡萄酒</t>
  </si>
  <si>
    <t>吉祥基</t>
  </si>
  <si>
    <t>利⼝酒;烈酒（饮料）;果酒（含酒精）;苹果酒;葡萄酒;烧酒;⻩酒;⽩酒;鸡尾酒;威⼠忌</t>
  </si>
  <si>
    <t>东极莓之恋</t>
  </si>
  <si>
    <t>铁岭鹿芳轩农业发展有限公司</t>
  </si>
  <si>
    <t>露酒;烈酒;⾼粱酒;果酒(含酒精);⽩酒;⽩兰地;⽶酒;清酒（⽇本⽶酒）;果酒;除啤酒外的酒精饮料</t>
  </si>
  <si>
    <t>鹭客睐闽公馆</t>
  </si>
  <si>
    <t>⽩兰地;酒精饮料（啤酒除外）;清酒;⻩酒;开胃酒;葡萄酒;鸡尾酒;⽩酒;威⼠忌;果酒</t>
  </si>
  <si>
    <t>品恩</t>
  </si>
  <si>
    <t>王实</t>
  </si>
  <si>
    <t>⽶酒;含酒精的饮料（啤酒除外）;葡萄酒;果酒;清酒;⽩⼲酒（中国⽩酒）;烧酒;汽酒;⽩酒;⻩酒</t>
  </si>
  <si>
    <t>晋盼</t>
  </si>
  <si>
    <t>⽩酒;含⽔果酒精饮料;⾷⽤酒精;烧酒;⽶酒;⻘稞酒;威⼠忌;烈酒（饮料）;⻩酒;果酒（含酒精）</t>
  </si>
  <si>
    <t>万企融</t>
  </si>
  <si>
    <t>福州融盛融文化传播有限公司</t>
  </si>
  <si>
    <t>邹六喜</t>
  </si>
  <si>
    <t>莆田市荔城区神仙珠宝商贸行</t>
  </si>
  <si>
    <t>⽩酒;⽩兰地;酒精饮料（啤酒除外）;⻩酒;⽶酒;威⼠忌;鸡尾酒;葡萄酒;烈酒（饮料）;蒸馏饮料</t>
  </si>
  <si>
    <t>近龙鸟</t>
  </si>
  <si>
    <t>酒精饮料（啤酒除外）;朝鲜族⽶酒;葡萄酒;酸酒（低等葡萄酒）;含⽔果酒精饮料;⽶酒;预先混合的酒精饮料（以啤酒为主的除外）;⽢蔗制酒精饮料;⾕物制蒸馏酒精饮料;以葡萄酒为主的饮料</t>
  </si>
  <si>
    <t>万物富酥</t>
  </si>
  <si>
    <t>上海华上实业有限公司</t>
  </si>
  <si>
    <t>⽩酒;⻨芽威⼠忌;含⽔果酒精饮料;⽶酒;⽼酒（中国蒸馏烈酒）;⽩葡萄酒;威⼠忌;⻩酒;果酒（含酒精）;⽔果汽酒</t>
  </si>
  <si>
    <t>藏世基</t>
  </si>
  <si>
    <t>应义锋</t>
  </si>
  <si>
    <t>威⼠忌;果酒(含酒精);以葡萄酒为主的饮料;含酒精的饮料(啤酒除外);⻩酒;葡萄酒;⽩酒;⽶酒;⽩兰地;甜酒</t>
  </si>
  <si>
    <t>席宴一品香</t>
  </si>
  <si>
    <t>陕西康晟兴旺商贸有限公司</t>
  </si>
  <si>
    <t>葡萄酒;烈酒（饮料）;威⼠忌;烧酒;梅酒;⽩兰地;⽶酒;⽩酒;果酒（含酒精）;⾼粱酒</t>
  </si>
  <si>
    <t>酣辰上品</t>
  </si>
  <si>
    <t>贵州螺江酒业有限公司</t>
  </si>
  <si>
    <t>⽼酒（中国蒸馏烈酒）;烧酒;⽩酒;⽩⼲酒（中国⽩酒）;葡萄酒;已调味的蒸馏酒;⻩酒;果酒;五加⽪酒（中国混合烈酒）;开胃酒</t>
  </si>
  <si>
    <t>馥二十</t>
  </si>
  <si>
    <t>烧酒;⽶酒;果酒（含酒精）;烈酒（饮料）;⻩酒;⽩酒;葡萄酒;含⽔果酒精饮料;鸡尾酒;酒精饮料浓缩汁</t>
  </si>
  <si>
    <t>吴家密</t>
  </si>
  <si>
    <t>高唐书婳酒业有限公司</t>
  </si>
  <si>
    <t>⽩⼲酒（中国⽩酒）;⾼粱酒;⽼酒（中国蒸馏烈酒）;⽩酒;⻩酒;甜酒;烈酒（饮料）;烧酒;葡萄酒;⽶酒</t>
  </si>
  <si>
    <t>以盟会酉</t>
  </si>
  <si>
    <t>贵州古胤坊酒业（集团）有限公司</t>
  </si>
  <si>
    <t>⾷⽤酒精;⾼粱酒;⽼酒（中国蒸馏烈酒）;果酒（含酒精）;⽩⼲酒（中国⽩酒）;⽶酒;烧酒;葡萄酒;⽩酒;酒精饮料（啤酒除外）</t>
  </si>
  <si>
    <t>无央</t>
  </si>
  <si>
    <t>贵州中煜科技有限公司</t>
  </si>
  <si>
    <t>⽩⼲酒（中国⽩酒）;⻩酒;⾼粱酒;伏特加酒;果酒;烈酒;⽩酒;清酒（⽇本⽶酒）;酒精饮料（啤酒除外）;⽶酒</t>
  </si>
  <si>
    <t>湘佬醉</t>
  </si>
  <si>
    <t>周鑫</t>
  </si>
  <si>
    <t>烧酒;果酒;⾼粱酒;⽼酒（中国蒸馏烈酒）;含酒精的饮料（啤酒除外）;⻩酒;⽩酒;果酒（含酒精）;酒精饮料（啤酒除外）;⽩⼲酒（中国⽩酒）</t>
  </si>
  <si>
    <t>汝小酌</t>
  </si>
  <si>
    <t>索青庆</t>
  </si>
  <si>
    <t>鸡尾酒;果酒;烈酒;⽼酒（中国蒸馏烈酒）;⽩酒;⽶酒;⻩酒;⽩⼲酒（中国⽩酒）;含酒精的充⽓饮料（啤酒除外）;葡萄酒</t>
  </si>
  <si>
    <t>圭否</t>
  </si>
  <si>
    <t>赖镇辉</t>
  </si>
  <si>
    <t>果酒（含酒精）;⾕物制蒸馏酒精饮料;⽩兰地;烧酒;蒸馏饮料;⽶酒;开胃酒;威⼠忌;葡萄酒;鸡尾酒</t>
  </si>
  <si>
    <t>黔北程窖</t>
  </si>
  <si>
    <t>黄彪</t>
  </si>
  <si>
    <t>⽶酒;⻩酒;果酒（含酒精）;⽩酒;利⼝酒;烧酒;葡萄酒;汽酒;开胃酒;露酒</t>
  </si>
  <si>
    <t>转眼</t>
  </si>
  <si>
    <t>果酒（含酒精）;葡萄酒;烈酒（饮料）;威⼠忌;⽩酒;蒸馏饮料;鸡尾酒;⽩兰地;⾷⽤酒精;⽶酒</t>
  </si>
  <si>
    <t>瑰花仙</t>
  </si>
  <si>
    <t>符轩跃</t>
  </si>
  <si>
    <t>⽩酒;葡萄酒;酒精饮料（啤酒除外）;蒸馏饮料;鸡尾酒;威⼠忌;甜酒;利⼝酒;果酒（含酒精）;⻩酒</t>
  </si>
  <si>
    <t>GENTISSIMO</t>
  </si>
  <si>
    <t>杰罗尊达股份公司</t>
  </si>
  <si>
    <t>酒精饮料（啤酒除外）;⽩兰地;梨酒;烈酒;利⼝酒;鸡尾酒;酒精饮料原汁;葡萄酒;酒精饮料浓缩汁;苹果酒</t>
  </si>
  <si>
    <t>丫头砰砰</t>
  </si>
  <si>
    <t>阿勒泰地区广宁贸易发展有限公司</t>
  </si>
  <si>
    <t>清酒;⽩兰地;⽶酒;威⼠忌;鸡尾酒;葡萄酒;酒精饮料原汁;⻩酒;⽩酒;果酒（含酒精）</t>
  </si>
  <si>
    <t>晚色</t>
  </si>
  <si>
    <t>果酒（含酒精）;⽩兰地;烈酒（饮料）;鸡尾酒;蒸馏饮料;威⼠忌;⽶酒;⾷⽤酒精;⽩酒;葡萄酒</t>
  </si>
  <si>
    <t>醉芙王</t>
  </si>
  <si>
    <t>开胃酒;苹果酒;⽩酒;鸡尾酒;⽩兰地;⽶酒;⻩酒;薄荷酒;利⼝酒;威⼠忌</t>
  </si>
  <si>
    <t>西柏人家</t>
  </si>
  <si>
    <t>河北军创善达商务服务有限公司</t>
  </si>
  <si>
    <t>烧酒;⻩酒;烧酒（烈酒）;⽩葡萄酒;⽶酒;⻘稞酒;⾼粱酒;⽩酒;红葡萄酒;⽩⼲酒（中国⽩酒）</t>
  </si>
  <si>
    <t>邦农盈</t>
  </si>
  <si>
    <t>高兴发</t>
  </si>
  <si>
    <t>含⽔果酒精饮料;以葡萄酒为主的饮料;利⼝酒;⽩酒;⻩酒;开胃酒;烧酒;果酒(含酒精);酒精饮料原汁;预先混合的酒精饮料(以啤酒为主的除外）</t>
  </si>
  <si>
    <t>春壮美</t>
  </si>
  <si>
    <t>李春壮</t>
  </si>
  <si>
    <t>烈酒（饮料）;果酒（含酒精）;⽩⼲酒（中国⽩酒）;由⾕物蒸馏的⽩酒;烧酒;清酒;甜酒;松叶酒;加烈葡萄酒;⽩酒</t>
  </si>
  <si>
    <t>醒狮戏珠</t>
  </si>
  <si>
    <t>广东尊茅酒业有限公司</t>
  </si>
  <si>
    <t>果酒（含酒精）;葡萄酒;⽶酒;烧酒;利⼝酒;酒精饮料（啤酒除外）;⻩酒;⽩酒;⽼酒（中国蒸馏烈酒）;含⽔果酒精饮料</t>
  </si>
  <si>
    <t>藏禧门</t>
  </si>
  <si>
    <t>廖串妹</t>
  </si>
  <si>
    <t>⽩酒;烧酒;葡萄酒;烈酒（饮料）;⽩兰地;果酒（含酒精）;鸡尾酒;酒精饮料（啤酒除外）;⽶酒;威⼠忌</t>
  </si>
  <si>
    <t>围庄</t>
  </si>
  <si>
    <t>安徽玉罍府酒业有限公司</t>
  </si>
  <si>
    <t>⻩酒;葡萄酒;露酒;伏特加酒;⽶酒;⽩酒;果酒（含酒精）;酒精饮料（啤酒除外）;⾷⽤酒精;⽩⼲酒（中国⽩酒）</t>
  </si>
  <si>
    <t>海驰台</t>
  </si>
  <si>
    <t>唐益谊</t>
  </si>
  <si>
    <t>梅酒;烈酒;烧酒（烈酒）;⽼酒（中国蒸馏烈酒）;果酒;含酒精⽔果饮料;含酒精的饮料（啤酒除外）;以葡萄酒为主的饮料;甜酒;⽩酒</t>
  </si>
  <si>
    <t>东汉华祖</t>
  </si>
  <si>
    <t>张侠</t>
  </si>
  <si>
    <t>果酒（含酒精）;⽩酒;葡萄酒;烧酒;酒精饮料（啤酒除外）;烈酒（饮料）;⾷⽤酒精;⻩酒;⽶酒;威⼠忌</t>
  </si>
  <si>
    <t>忆洪城</t>
  </si>
  <si>
    <t>马驰</t>
  </si>
  <si>
    <t>威⼠忌;⽶酒;鸡尾酒;伏特加酒;烈酒（饮料）;清酒（⽇本⽶酒）;酒精饮料原汁;葡萄酒;酒精饮料（啤酒除外）;⽩酒</t>
  </si>
  <si>
    <t>吴家秘</t>
  </si>
  <si>
    <t>⾼粱酒;⽩⼲酒（中国⽩酒）;甜酒;⽩酒;烧酒;葡萄酒;⽼酒（中国蒸馏烈酒）;⽶酒;⻩酒;烈酒（饮料）</t>
  </si>
  <si>
    <t>疆中圣</t>
  </si>
  <si>
    <t>廖祖海</t>
  </si>
  <si>
    <t>鸡尾酒;酒精饮料（啤酒除外）;烈酒（饮料）;⽩酒;⽶酒;威⼠忌;葡萄酒;⽩兰地;烧酒;果酒（含酒精）</t>
  </si>
  <si>
    <t>京洲鲸落</t>
  </si>
  <si>
    <t>北京京洲万世贸易有限公司</t>
  </si>
  <si>
    <t>葡萄酒;⽼酒（中国蒸馏烈酒）;烧酒;⽩酒;果酒（含酒精）;⽶酒;酒精饮料（啤酒除外）;以蒸馏酒为主的开胃酒;⾼粱酒;⾷⽤酒精</t>
  </si>
  <si>
    <t>思古桥</t>
  </si>
  <si>
    <t>苏州市古吴春酒业有限公司</t>
  </si>
  <si>
    <t>葡萄酒;⽩酒;⾷⽤酒精;果酒（含酒精）;酒精饮料原汁;⽶酒;清酒;⻩酒;烧酒;酒精饮料（啤酒除外）</t>
  </si>
  <si>
    <t>散花潭</t>
  </si>
  <si>
    <t>果酒（含酒精）;鸡尾酒;烧酒;⽩酒;酒精饮料（啤酒除外）;葡萄酒;⽶酒;⻩酒;烈酒（饮料）;蒸煮提取物（利⼝酒和烈酒）</t>
  </si>
  <si>
    <t>果酒;蜂蜜酒;⽶酒;葡萄酒;烈酒;⽩酒;⻘稞酒;⻩酒;酸酒（低等葡萄酒）;烧酒</t>
  </si>
  <si>
    <t>九洲蔡氏</t>
  </si>
  <si>
    <t>贵州蔡家兴酒业有限公司</t>
  </si>
  <si>
    <t>⾕物制蒸馏酒精饮料;果酒（含酒精）;葡萄酒;烈酒（饮料）;露酒;餐后酒（利⼝酒和烈酒）;苹果酒;蒸馏饮料;⽩酒;⽶酒</t>
  </si>
  <si>
    <t>拥液纯</t>
  </si>
  <si>
    <t>彝良县拥液白酒庄园坊</t>
  </si>
  <si>
    <t>⽩酒;苦味酒;烧酒;⽶酒;⾷⽤酒精;葡萄酒;清酒（⽇本⽶酒）;⻘稞酒;果酒（含酒精）;酒精饮料浓缩汁</t>
  </si>
  <si>
    <t>永津红</t>
  </si>
  <si>
    <t>蒸馏饮料;⻩酒;⽼酒（中国蒸馏烈酒）;由⾕物蒸馏的⽩酒;⾼粱酒;含⽔果酒精饮料;以葡萄酒为主的饮料;⽩酒;烧酒;果酒（含酒精）</t>
  </si>
  <si>
    <t>京洲鹿鸣</t>
  </si>
  <si>
    <t>⾼粱酒;⽶酒;烧酒;葡萄酒;以蒸馏酒为主的开胃酒;⽼酒（中国蒸馏烈酒）;⾷⽤酒精;⽩酒;果酒（含酒精）;酒精饮料（啤酒除外）</t>
  </si>
  <si>
    <t>大工凌水湖</t>
  </si>
  <si>
    <t>大连天门山酒业有限公司</t>
  </si>
  <si>
    <t>果酒（含酒精）;葡萄酒;蒸馏饮料;⽶酒;⾼粱酒;⽩酒;⾷⽤酒精;⾕物制蒸馏酒精饮料;清酒;烧酒</t>
  </si>
  <si>
    <t>醍醐匠</t>
  </si>
  <si>
    <t>上海千川酱酒业有限公司</t>
  </si>
  <si>
    <t>伏特加酒;清酒;果酒;朗姆酒;⾷⽤酒精;烧酒;⽩酒;红葡萄酒;烈酒;⻩酒</t>
  </si>
  <si>
    <t>南粮沪</t>
  </si>
  <si>
    <t>北京大都京韵酿酒有限公司</t>
  </si>
  <si>
    <t>开胃酒;酒精饮料（啤酒除外）;⽶酒;烈酒（饮料）;⻩酒;烧酒;葡萄酒;⽩酒;果酒（含酒精）;⾷⽤酒精</t>
  </si>
  <si>
    <t>桑清醇酿</t>
  </si>
  <si>
    <t>桑浩钧</t>
  </si>
  <si>
    <t>烧酒（烈酒）;⽶酒;露酒;⾼粱酒;果酒（含酒精）;⽩酒;⾷⽤酒精;烧酒;⽼酒（中国蒸馏烈酒）;薄荷酒</t>
  </si>
  <si>
    <t>江风山月</t>
  </si>
  <si>
    <t>苏州亿美联信息科技有限公司</t>
  </si>
  <si>
    <t>果酒（含酒精）;蒸馏饮料;鸡尾酒;酒精饮料（啤酒除外）;酒精饮料原汁;汽酒;葡萄酒;⽩酒;⽩兰地;威⼠忌</t>
  </si>
  <si>
    <t>绵创</t>
  </si>
  <si>
    <t>王尔新</t>
  </si>
  <si>
    <t>⽶酒;酒精饮料原汁;⽩酒;烧酒;⻘梅酒;苦荞酒;果酒（含酒精）;以葡萄酒为主的饮料;杨梅酒;⻩酒</t>
  </si>
  <si>
    <t>贡谷春</t>
  </si>
  <si>
    <t>万年县紫衫农林开发有限公司</t>
  </si>
  <si>
    <t>⻩酒;葡萄酒;⽩酒;果酒;蒸馏饮料;烧酒;甜酒;烈酒;汽酒;⽶酒</t>
  </si>
  <si>
    <t>CPLBH POWER</t>
  </si>
  <si>
    <t>鸡尾酒;汽酒;蒸煮提取物（利⼝酒和烈酒）;⽩兰地;果酒（含酒精）;伏特加酒;威⼠忌;清酒;烧酒;葡萄酒</t>
  </si>
  <si>
    <t>凤觜韵</t>
  </si>
  <si>
    <t>四川牌坊缘酒业有限公司</t>
  </si>
  <si>
    <t>烈酒;葡萄酒;果酒;露酒;⾼粱酒;⻩酒;鸡尾酒;⽶酒;清酒;⽩酒</t>
  </si>
  <si>
    <t>皇津红扁壶</t>
  </si>
  <si>
    <t>王德芳</t>
  </si>
  <si>
    <t>烧酒;汽酒;清酒;⽩酒;⻩酒;利⼝酒;⽶酒;⽩兰地;葡萄酒;果酒（含酒精）</t>
  </si>
  <si>
    <t>皇津蓝扁壶</t>
  </si>
  <si>
    <t>⽩酒;葡萄酒;利⼝酒;⽶酒;⽩兰地;烧酒;果酒（含酒精）;汽酒;⻩酒;清酒</t>
  </si>
  <si>
    <t>乐得跳</t>
  </si>
  <si>
    <t>黄佑存</t>
  </si>
  <si>
    <t>⾼粱酒;⽩⼲酒（中国⽩酒）;烧酒;葡萄酒;果酒;烈酒;⽼酒（中国蒸馏烈酒）;⽶酒;⽩酒;红葡萄酒</t>
  </si>
  <si>
    <t>馡花令</t>
  </si>
  <si>
    <t>上海枂特环保科技有限公司</t>
  </si>
  <si>
    <t>薄荷酒;果酒（含酒精）;清酒（⽇本⽶酒）;酒精饮料（啤酒除外）;⻩酒;预先混合的酒精饮料（以啤酒为主的除外）;开胃酒;⽶酒;含⽔果酒精饮料;⾕物制蒸馏酒精饮料</t>
  </si>
  <si>
    <t>惊鸿悦</t>
  </si>
  <si>
    <t>祁淑静</t>
  </si>
  <si>
    <t>烈酒（饮料）;⽶酒;烧酒;葡萄酒;⻩酒;⾕物制蒸馏酒精饮料;清酒（⽇本⽶酒）;鸡尾酒;果酒（含酒精）;⽩酒</t>
  </si>
  <si>
    <t>严氏九月九</t>
  </si>
  <si>
    <t>严国贤</t>
  </si>
  <si>
    <t>⻩酒;果酒（含酒精）;威⼠忌;⽩兰地;⽩酒;鸡尾酒;⽶酒;伏特加酒;⽩⼲酒（中国⽩酒）;⾷⽤酒精</t>
  </si>
  <si>
    <t>宝峰塔</t>
  </si>
  <si>
    <t>路福英</t>
  </si>
  <si>
    <t>蒸煮提取物（利⼝酒和烈酒）;蒸馏饮料;⽩⼲酒（中国⽩酒）;⻩酒;⽩酒;⾕物制蒸馏酒精饮料;烧酒;⽶酒;⻘稞酒;⽼酒（中国蒸馏烈酒）</t>
  </si>
  <si>
    <t>黑龙江省名远酒业有限公司</t>
  </si>
  <si>
    <t>⻘稞酒;蒸馏饮料;果酒（含酒精）;⾕物制蒸馏酒精饮料;烧酒;露酒;烈酒（饮料）;酒精饮料原汁;酒精饮料（啤酒除外）;⽩酒</t>
  </si>
  <si>
    <t>圭缶</t>
  </si>
  <si>
    <t>果酒（含酒精）;⽩兰地;蒸馏饮料;鸡尾酒;⽶酒;烧酒;开胃酒;⾕物制蒸馏酒精饮料;威⼠忌;葡萄酒</t>
  </si>
  <si>
    <t>天存传承</t>
  </si>
  <si>
    <t>由⾕物蒸馏的⽩酒;五加⽪酒（中国混合烈酒）;烧酒;⽩⼲酒（中国⽩酒）;⽩酒;蒸煮提取物（利⼝酒和烈酒）;⾼粱酒;⻩酒;⻘稞酒;开胃酒</t>
  </si>
  <si>
    <t>锦君</t>
  </si>
  <si>
    <t>董建茵</t>
  </si>
  <si>
    <t>果酒;⽶酒;除啤酒外的酒精饮料;葡萄酒;⻩酒;烧酒;清酒;⽩酒;鸡尾酒;烈酒</t>
  </si>
  <si>
    <t>七宝熊猫酒·翡翠</t>
  </si>
  <si>
    <t>上海七宝酒厂有限公司</t>
  </si>
  <si>
    <t>果酒（含酒精）;⻩酒;葡萄酒;⽶酒;⾷⽤酒精;⽩酒;酒精饮料原汁;烧酒;酒精饮料（啤酒除外）;蒸馏饮料</t>
  </si>
  <si>
    <t>金种子福运</t>
  </si>
  <si>
    <t>果酒（含酒精）;烈酒（饮料）;烧酒;含⽔果酒精饮料;⽶酒;鸡尾酒;⻩酒;⽩酒;酒精饮料浓缩汁;葡萄酒</t>
  </si>
  <si>
    <t>萌谷大地</t>
  </si>
  <si>
    <t>天津泽坤金谷贸易有限公司</t>
  </si>
  <si>
    <t>烈酒（饮料）;葡萄酒;酒精饮料（啤酒除外）;烧酒;⻩酒;⽶酒;⽢蔗制烈酒;⽩酒;鸡尾酒;果酒（含酒精）</t>
  </si>
  <si>
    <t>馥十六</t>
  </si>
  <si>
    <t>⽶酒;果酒（含酒精）;烈酒（饮料）;酒精饮料浓缩汁;⻩酒;烧酒;鸡尾酒;含⽔果酒精饮料;葡萄酒;⽩酒</t>
  </si>
  <si>
    <t>非元</t>
  </si>
  <si>
    <t>香港华谊股份有限公司</t>
  </si>
  <si>
    <t>⽩酒;⾕物制蒸馏酒精饮料;烧酒;⾼粱酒;烈酒;⽩兰地;⻩酒;果酒;⽶酒;葡萄酒</t>
  </si>
  <si>
    <t>益鹿诲马贡</t>
  </si>
  <si>
    <t>吴川市梅源酒厂(普通合伙)</t>
  </si>
  <si>
    <t>葡萄酒;利⼝酒;含酒精的饮料（啤酒除外）;果酒（含酒精）;⽶酒;含酒精的⽔果鸡尾酒饮料;⻩酒;露酒;⽩酒;⾼粱酒</t>
  </si>
  <si>
    <t>TERRACED VINA LUIS FELIPE EDWARDS</t>
  </si>
  <si>
    <t>维娜路易斯费利佩爱德华兹有限公司</t>
  </si>
  <si>
    <t>橐台</t>
  </si>
  <si>
    <t>烧酒;⽩酒;葡萄酒;酒精饮料（啤酒除外）;⻩酒;清酒;预先混合的酒精饮料（以啤酒为主的除外）;⽶酒;蒸煮提取物（利⼝酒和烈酒）;开胃酒</t>
  </si>
  <si>
    <t>百贡王</t>
  </si>
  <si>
    <t>甘云</t>
  </si>
  <si>
    <t>威⼠忌;烧酒;鸡尾酒;葡萄酒;伏特加酒;⽩酒;⽶酒;果酒（含酒精）;烈酒（饮料）;⽩兰地</t>
  </si>
  <si>
    <t>程大明壹号坛</t>
  </si>
  <si>
    <t>遵义程大明白酒有限公司</t>
  </si>
  <si>
    <t>烧酒;⽩兰地;⽶酒;葡萄酒;蜂蜜酒;⻩酒;威⼠忌;⽩酒;开胃酒;果酒（含酒精）</t>
  </si>
  <si>
    <t>第九感</t>
  </si>
  <si>
    <t>广东仙津保健饮料食品有限公司</t>
  </si>
  <si>
    <t>茴芹酒（利⼝酒）;酒精饮料（啤酒除外）;含⽔果酒精饮料;预先混合的酒精饮料（以啤酒为主的除外）;茴⾹酒（利⼝酒）;鸡尾酒;酒精饮料浓缩汁;果酒（含酒精）;餐后酒（利⼝酒和烈酒）;酒精饮料原汁</t>
  </si>
  <si>
    <t>隆櫑</t>
  </si>
  <si>
    <t>黄月彩</t>
  </si>
  <si>
    <t>由⾕物蒸馏的⽩酒;⽼酒（中国蒸馏烈酒）;果酒;烧酒;⽩⼲酒（中国⽩酒）;⽶酒;⻩酒;⽩酒;甜果酒;烧酒（烈酒）</t>
  </si>
  <si>
    <t>黑风古镇烧坊</t>
  </si>
  <si>
    <t>黑龙江天禄酒业有限公司</t>
  </si>
  <si>
    <t>⽩酒;⻩酒;⽼酒（中国蒸馏烈酒）;葡萄酒;汽酒;蒸馏饮料;酒精饮料（啤酒除外）;烈酒（饮料）;果酒（含酒精）;鸡尾酒</t>
  </si>
  <si>
    <t>冰麟盏</t>
  </si>
  <si>
    <t>中山市凯图科技发展有限公司</t>
  </si>
  <si>
    <t>烈酒（饮料）;⻩酒;⽼酒（中国蒸馏烈酒）;⽩酒;蒸馏饮料;果酒（含酒精）;由⾕物蒸馏的⽩酒;⽩⼲酒（中国⽩酒）;杨梅酒;果酒</t>
  </si>
  <si>
    <t>赵樽</t>
  </si>
  <si>
    <t>肥乡区赵窖酿酒坊</t>
  </si>
  <si>
    <t>⽩酒;蒸馏饮料;鸡尾酒;⽶酒;烧酒;⻩酒;果酒（含酒精）;葡萄酒;烈酒（饮料）;酒精饮料（啤酒除外）</t>
  </si>
  <si>
    <t>JIN JIU PAI</t>
  </si>
  <si>
    <t>⽼酒（中国蒸馏烈酒）;酒精饮料（啤酒除外）;⽶酒;烧酒;清酒;葡萄酒;⻩酒;烈酒;果酒;⽩酒</t>
  </si>
  <si>
    <t>蔺酒情</t>
  </si>
  <si>
    <t>四川古蔺县蔺酒古酿酒类销售有限公司</t>
  </si>
  <si>
    <t>酒精饮料（啤酒除外）;⾼粱酒;烈酒;烧酒;⽩酒;果酒;甜酒;汽酒;开胃酒;⽶酒</t>
  </si>
  <si>
    <t>顺梦台</t>
  </si>
  <si>
    <t>陈婷婷</t>
  </si>
  <si>
    <t>开胃酒;鸡尾酒;葡萄酒;清酒（⽇本⽶酒）;威⼠忌;果酒（含酒精）;⽶酒;烧酒;⻩酒;⽩酒</t>
  </si>
  <si>
    <t>贞硬</t>
  </si>
  <si>
    <t>郑孔建</t>
  </si>
  <si>
    <t>烈酒（饮料）;葡萄酒;⾷⽤酒精;⽶酒;烧酒;开胃酒;鸡尾酒;⽩酒;⻩酒;⻘稞酒</t>
  </si>
  <si>
    <t>贵州佳沃品牌运营有限公司</t>
  </si>
  <si>
    <t>⽩酒;开胃酒;蒸馏饮料;葡萄酒;含⽔果酒精饮料;果酒（含酒精）;薄荷酒;威⼠忌;⻩酒;酒精饮料（啤酒除外）</t>
  </si>
  <si>
    <t>LAO ZIA TEO CHEW CAI</t>
  </si>
  <si>
    <t>蜂蜜酒;葡萄酒;威⼠忌;⻩酒;烈酒（饮料）;酒精饮料（啤酒除外）;⽩酒;⽶酒;烧酒;果酒（含酒精）</t>
  </si>
  <si>
    <t>渡水春</t>
  </si>
  <si>
    <t>陕西博美名汇连锁管理有限公司</t>
  </si>
  <si>
    <t>苦味酒;苹果酒;清酒;果酒（含酒精）;⽼酒（中国蒸馏烈酒）;酒精饮料（啤酒除外）;烧酒;⻩酒;⽩酒;⽶酒</t>
  </si>
  <si>
    <t>BEBOOK 百书</t>
  </si>
  <si>
    <t>温州深俊贸易有限公司</t>
  </si>
  <si>
    <t>⽩酒;酒精饮料（啤酒除外）;葡萄酒;果酒（含酒精）</t>
  </si>
  <si>
    <t>王岩候烈</t>
  </si>
  <si>
    <t>福建远鉴文化传播有限公司</t>
  </si>
  <si>
    <t>鸡尾酒;⽩兰地;⽶酒;⽩酒;葡萄酒;伏特加酒;⾷⽤酒精;果酒（含酒精）;烈酒（饮料）;威⼠忌</t>
  </si>
  <si>
    <t>无非</t>
  </si>
  <si>
    <t>烧酒;葡萄酒;鸡尾酒;酒精饮料（啤酒除外）;果酒（含酒精）;⽶酒;清酒（⽇本⽶酒）;⽩酒;威⼠忌;⽩兰地</t>
  </si>
  <si>
    <t>福如海长胜</t>
  </si>
  <si>
    <t>混合威⼠忌酒;露酒;⽩酒;⻩酒;⽩⼲酒（中国⽩酒）;⾼粱酒;果酒;汽酒;烈酒;⽼酒（中国蒸馏烈酒）</t>
  </si>
  <si>
    <t>VOLSTEAD</t>
  </si>
  <si>
    <t>威⼠忌;梅酒;鸡尾酒;酒精饮料（啤酒除外）;⽩酒;露酒;果酒（含酒精）;葡萄酒;清酒（⽇本⽶酒）;⽶酒</t>
  </si>
  <si>
    <t>福如海大贵</t>
  </si>
  <si>
    <t>露酒;⽩酒;果酒;酒精饮料原汁;甜酒;⻩酒;烈酒;汽酒;威⼠忌;⾼粱酒</t>
  </si>
  <si>
    <t>禾土粮烧方</t>
  </si>
  <si>
    <t>四川怀洲酒业有限公司</t>
  </si>
  <si>
    <t>⽼酒（中国蒸馏烈酒）;⽩酒;烧酒;⻩酒;甜酒;鸡尾酒;梨酒;果酒;⽶酒;烈酒</t>
  </si>
  <si>
    <t>囡十八</t>
  </si>
  <si>
    <t>烈酒（饮料）;⽩酒;酒精饮料（啤酒除外）;⽢蔗制烈酒;果酒;烧酒;鸡尾酒;葡萄酒;⻩酒;⽶酒</t>
  </si>
  <si>
    <t>汉夏老</t>
  </si>
  <si>
    <t>贵州汉夏酒业有限公司</t>
  </si>
  <si>
    <t>⽩酒;由⾕物蒸馏的⽩酒;葡萄酒;烈酒（饮料）;⽩⼲酒（中国⽩酒）;含酒精⽔果饮料;烈性⼲酒;果酒（含酒精）;烈酒;含⽔果酒精饮料</t>
  </si>
  <si>
    <t>广州市方舟进出口有限公司</t>
  </si>
  <si>
    <t>⾕物制蒸馏酒精饮料;朗姆酒;烈酒（饮料）;⽩兰地;威⼠忌;蒸馏饮料;果酒（含酒精）;伏特加酒;鸡尾酒;酒精饮料原汁</t>
  </si>
  <si>
    <t>福如海吉祥</t>
  </si>
  <si>
    <t>烈酒;⾼粱酒;汽酒;威⼠忌;甜酒;酒精饮料原汁;露酒;⽩酒;⻩酒;果酒</t>
  </si>
  <si>
    <t>五颗营</t>
  </si>
  <si>
    <t>王春良</t>
  </si>
  <si>
    <t>烧酒;⽩酒;⽶酒</t>
  </si>
  <si>
    <t>钱酒钱家福</t>
  </si>
  <si>
    <t>果酒;⻘稞酒;梅酒;含酒精的饮料（啤酒除外）;烧酒;⾼粱酒;⽶酒;⻩酒;⽩酒;葡萄酒</t>
  </si>
  <si>
    <t>汉唐徽</t>
  </si>
  <si>
    <t>果酒（含酒精）;开胃酒;葡萄酒;烈酒;酒精饮料（啤酒除外）;⽩酒;⻩酒;鸡尾酒;清酒（⽇本⽶酒）;威⼠忌</t>
  </si>
  <si>
    <t>竹江红</t>
  </si>
  <si>
    <t>石家庄绿神饮品有限公司</t>
  </si>
  <si>
    <t>⽶酒;清酒;⽩酒;烧酒;烈酒（饮料）;葡萄酒;果酒（含酒精）;酒精饮料（啤酒除外）;蒸馏饮料;酒精饮料浓缩汁</t>
  </si>
  <si>
    <t>哈迪邮爱•玫瑰邮票</t>
  </si>
  <si>
    <t>温州泽强商贸有限公司</t>
  </si>
  <si>
    <t>⽇本梅⼦酒;尼⽡（以⽢蔗为主的酒精饮料）;蒸煮提取物（利⼝酒和烈酒）;酒精饮料（啤酒除外）;鸡尾酒;威⼠忌;葡萄酒;以葡萄酒为主的开胃酒;⽩兰地;伏特加酒</t>
  </si>
  <si>
    <t>梦义田</t>
  </si>
  <si>
    <t>果酒（含酒精）;⻩酒;蒸馏饮料;葡萄酒;烧酒;酒精饮料（啤酒除外）;⽩酒;鸡尾酒;烈酒（饮料）;⽶酒</t>
  </si>
  <si>
    <t>多念</t>
  </si>
  <si>
    <t>贵州龙曲酒业有限责任公司</t>
  </si>
  <si>
    <t>烈酒（饮料）;⽶酒;蒸馏饮料;葡萄酒;苹果酒;果酒（含酒精）;餐后酒（利⼝酒和烈酒）;⽩酒;⾕物制蒸馏酒精饮料;露酒</t>
  </si>
  <si>
    <t>红螺湖</t>
  </si>
  <si>
    <t>北京国都国际商贸有限公司</t>
  </si>
  <si>
    <t>⻩酒;伏特加酒;含酒精的饮料（啤酒除外）;⽶酒;烧酒（烈酒）;⽩兰地;⽩酒;葡萄酒;清酒;⽼酒（中国蒸馏烈酒）</t>
  </si>
  <si>
    <t>周口汇兴农产品市场有限公司</t>
  </si>
  <si>
    <t>果酒（含酒精）;酒精饮料（啤酒除外）;烈酒（饮料）;利⼝酒;⽶酒;开胃酒;⽩酒;⻩酒;葡萄酒;烧酒</t>
  </si>
  <si>
    <t>善生堂高汀</t>
  </si>
  <si>
    <t>古田县同创贸易有限公司</t>
  </si>
  <si>
    <t>酒精饮料原汁;果酒（含酒精）;葡萄酒;⾷⽤酒精;⽶酒;蜂蜜酒;烧酒;⻩酒;苹果酒;⽩酒</t>
  </si>
  <si>
    <t>冠群贤</t>
  </si>
  <si>
    <t>肃宁县桂金商贸有限公司</t>
  </si>
  <si>
    <t>鸡尾酒;烧酒;⽩酒;清酒（⽇本⽶酒）;⻩酒;果酒（含酒精）;葡萄酒;烈酒（饮料）;⽶酒;⻘稞酒</t>
  </si>
  <si>
    <t>会群贤</t>
  </si>
  <si>
    <t>果酒（含酒精）;⻩酒;葡萄酒;清酒（⽇本⽶酒）;烈酒（饮料）;烧酒;⻘稞酒;⽩酒;鸡尾酒;⽶酒</t>
  </si>
  <si>
    <t>尚缨</t>
  </si>
  <si>
    <t>果酒;⾼粱酒;鸡尾酒;烧酒（烈酒）;⽶酒;酒精饮料（啤酒除外）;含酒精⽔果饮料;⽩酒;由⾕物蒸馏的⽩酒;葡萄酒</t>
  </si>
  <si>
    <t>麓星堡</t>
  </si>
  <si>
    <t>重庆欧酿进出口贸易有限公司</t>
  </si>
  <si>
    <t>桃红葡萄酒;烈酒;⽩葡萄酒;果酒（含酒精）;葡萄汽酒;葡萄酒;红葡萄酒;威⼠忌;起泡⽩葡萄酒;酒精饮料（啤酒除外）</t>
  </si>
  <si>
    <t>苐至尊</t>
  </si>
  <si>
    <t>清酒;⽩酒;⻩酒;果酒;葡萄酒;⽩兰地;烈酒;鸡尾酒;威⼠忌;⽶酒</t>
  </si>
  <si>
    <t>霸嘟嘟</t>
  </si>
  <si>
    <t>安徽徽之喜酒店管理有限公司</t>
  </si>
  <si>
    <t>苹果酒;清酒（⽇本⽶酒）;烧酒;开胃酒;薄荷酒;利⼝酒;⽩酒;果酒（含酒精）;酒精饮料（啤酒除外）;亚⼒酒</t>
  </si>
  <si>
    <t>越江阳明子</t>
  </si>
  <si>
    <t>贵州李宗师酒业集团有限公司</t>
  </si>
  <si>
    <t>葡萄酒;烈酒（饮料）;⽩酒;⽶酒;⾷⽤酒精;含⽔果酒精饮料;以葡萄酒为主的饮料;⻩酒;果酒（含酒精）;蒸馏饮料</t>
  </si>
  <si>
    <t>拱拢坪</t>
  </si>
  <si>
    <t>果酒（含酒精）;蒸馏饮料;⽩酒;含⽔果酒精饮料;酒精饮料（啤酒除外）;开胃酒;威⼠忌;⻩酒;葡萄酒;薄荷酒</t>
  </si>
  <si>
    <t>坛开玉</t>
  </si>
  <si>
    <t>陈乾清</t>
  </si>
  <si>
    <t>果酒（含酒精）;威⼠忌;酒精饮料原汁;鸡尾酒;含⽔果酒精饮料;烧酒;⽩酒;烈酒（饮料）;蒸馏饮料;清酒</t>
  </si>
  <si>
    <t>235 SELECTIONS</t>
  </si>
  <si>
    <t>鸟语花香（兰州）餐饮管理有限公司</t>
  </si>
  <si>
    <t>葡萄酒;烈酒（饮料）;⻩酒;清酒（⽇本⽶酒）;汽酒;烧酒;蒸馏饮料;⽩酒;⽶酒;果酒（含酒精）</t>
  </si>
  <si>
    <t>曲涛镇</t>
  </si>
  <si>
    <t>陈博凡</t>
  </si>
  <si>
    <t>烈酒（饮料）;蒸馏饮料;清酒;酒精饮料原汁;威⼠忌;烧酒;⽩酒;鸡尾酒;果酒（含酒精）;含⽔果酒精饮料</t>
  </si>
  <si>
    <t>论讲</t>
  </si>
  <si>
    <t>蒸馏饮料;蜂蜜酒;含⽔果酒精饮料;⽩酒;葡萄酒;⽩兰地;威⼠忌;⽶酒;果酒（含酒精）;鸡尾酒</t>
  </si>
  <si>
    <t>董香百草酒</t>
  </si>
  <si>
    <t>⽶酒;⽩酒;餐后酒（利⼝酒和烈酒）;葡萄酒;开胃酒;清酒（⽇本⽶酒）;果酒（含酒精）;酒精饮料（啤酒除外）;烧酒;梨酒</t>
  </si>
  <si>
    <t>兆坑原酿</t>
  </si>
  <si>
    <t>江三英</t>
  </si>
  <si>
    <t>⻘稞酒;⽶酒;果酒（含酒精）;⻩酒;⽩酒;⾷⽤酒精;蒸煮提取物（利⼝酒和烈酒）;葡萄酒;酒精饮料（啤酒除外）;烧酒</t>
  </si>
  <si>
    <t>韵梦台</t>
  </si>
  <si>
    <t>⽩酒;鸡尾酒;葡萄酒;果酒（含酒精）;威⼠忌;⽶酒;⻩酒;清酒（⽇本⽶酒）;烧酒;开胃酒</t>
  </si>
  <si>
    <t>淘工云仓</t>
  </si>
  <si>
    <t>浙江淘工供应链技术有限公司</t>
  </si>
  <si>
    <t>⽩兰地;葡萄酒;清酒（⽇本⽶酒）;酒精饮料（啤酒除外）;果酒（含酒精）;鸡尾酒;蜂蜜酒;烧酒;⽩酒;⻩酒</t>
  </si>
  <si>
    <t>关云红</t>
  </si>
  <si>
    <t>北京圣尊文化传播有限公司</t>
  </si>
  <si>
    <t>果酒;鸡尾酒;烈酒;甜酒;⽶酒;葡萄酒;伏特加酒;⻩酒;烧酒;⽩酒</t>
  </si>
  <si>
    <t>三寻三觅</t>
  </si>
  <si>
    <t>酒精饮料（啤酒除外）;开胃酒;含⽔果酒精饮料;⽶酒;甜果酒;果酒（含酒精）;⽩酒;含酒精⽔果饮料;蒸馏饮料;蜂蜜酒</t>
  </si>
  <si>
    <t>书牍</t>
  </si>
  <si>
    <t>王辉</t>
  </si>
  <si>
    <t>⽩酒;葡萄酒;⽶酒;鸡尾酒;威⼠忌;酒精饮料（啤酒除外）;⽩兰地;果酒;⻩酒;利⼝酒</t>
  </si>
  <si>
    <t>江南许氏</t>
  </si>
  <si>
    <t>罗雪梅</t>
  </si>
  <si>
    <t>⾼粱酒;由⾕物蒸馏的⽩酒;烧酒;⽶酒;果酒（含酒精）;⻘稞酒;⾕物制蒸馏酒精饮料;⽼酒（中国蒸馏烈酒）;⽩酒;⽩⼲酒（中国⽩酒）</t>
  </si>
  <si>
    <t>璜琳阁</t>
  </si>
  <si>
    <t>黄竟鹏</t>
  </si>
  <si>
    <t>酒精饮料（啤酒除外）;⾷⽤酒精;⽩酒;⻩酒;⽩兰地;威⼠忌;鸡尾酒;烈酒（饮料）;葡萄酒;⽶酒</t>
  </si>
  <si>
    <t>醉老春古</t>
  </si>
  <si>
    <t>马庆君</t>
  </si>
  <si>
    <t>⽩兰地;烧酒;鸡尾酒;葡萄酒;含⽔果酒精饮料;果酒;以葡萄酒为主的饮料;甜酒;清酒;⻩酒</t>
  </si>
  <si>
    <t>喇叭嫂</t>
  </si>
  <si>
    <t>吴操</t>
  </si>
  <si>
    <t>利⼝酒;⽩酒;酒精饮料（啤酒除外）;果酒（含酒精）;葡萄酒;⾕物制蒸馏酒精饮料;⾼粱酒;⽶酒;烧酒;清酒</t>
  </si>
  <si>
    <t>北部荒</t>
  </si>
  <si>
    <t>酒精饮料（啤酒除外）;红葡萄酒;⻩酒;果酒;含酒精的⽓泡⽔;酒精饮料原汁;以葡萄酒为主的饮料;含⽔果酒精饮料;威⼠忌;⽩酒</t>
  </si>
  <si>
    <t>株醴泉</t>
  </si>
  <si>
    <t>鸡尾酒;葡萄酒;清酒（⽇本⽶酒）;⻩酒;⽩⼲酒（中国⽩酒）;⽶酒;开胃酒;⽩酒;烧酒;威⼠忌</t>
  </si>
  <si>
    <t>女儿塔</t>
  </si>
  <si>
    <t>南京好女儿酒业有限公司</t>
  </si>
  <si>
    <t>鸡尾酒;果酒（含酒精）;清酒（⽇本⽶酒）;葡萄酒;⽩兰地;⽩酒;烈酒（饮料）;⻩酒;烧酒;酒精饮料（啤酒除外）</t>
  </si>
  <si>
    <t>汉懂帝</t>
  </si>
  <si>
    <t>罗昆鹏</t>
  </si>
  <si>
    <t>葡萄酒;⽶酒;果酒（含酒精）;开胃酒;含⽔果酒精饮料;酒精饮料（啤酒除外）;烧酒;鸡尾酒;烈酒;⽩酒</t>
  </si>
  <si>
    <t>中果红妙妙</t>
  </si>
  <si>
    <t>中果红（福建）食品工业有限公司</t>
  </si>
  <si>
    <t>⽩酒;薄荷酒;威⼠忌;烈酒（饮料）;葡萄酒;伏特加酒;鸡尾酒;果酒;烧酒;⽩兰地</t>
  </si>
  <si>
    <t>醒四方</t>
  </si>
  <si>
    <t>威⼠忌;⾼粱酒;⽩兰地;⽶酒;葡萄酒;⽩酒;鸡尾酒;开胃酒;烈酒（饮料）;烧酒</t>
  </si>
  <si>
    <t>京葵</t>
  </si>
  <si>
    <t>烧酒;⽩酒;甜酒;葡萄酒;酒精饮料（啤酒除外）;⾼粱酒;含酒精的鸡尾酒混合饮品;⽼酒（中国蒸馏烈酒）;果酒（含酒精）;露酒</t>
  </si>
  <si>
    <t>糯族</t>
  </si>
  <si>
    <t>郑冰杰</t>
  </si>
  <si>
    <t>烧酒;⻘梅酒;葡萄酒;汽酒;⻩酒;果酒（含酒精）;⽶酒;甜酒;清酒;⽩酒</t>
  </si>
  <si>
    <t>甜之蜜</t>
  </si>
  <si>
    <t>江西浩添农业综合开发有限公司</t>
  </si>
  <si>
    <t>⽩酒;苹果酒;烧酒;含酒精的⽓泡⽔;含⽔果酒精饮料;果酒（含酒精）;开胃酒;葡萄酒;⻩酒;酒精饮料原汁</t>
  </si>
  <si>
    <t>御享芳草</t>
  </si>
  <si>
    <t>国药药材（河南）中原药谷产业研究院管理有限公司</t>
  </si>
  <si>
    <t>开胃酒;蜂蜜酒;白酒;烧酒;酒精饮料原汁;谷物制蒸馏酒精饮料;汽酒;果酒（含酒精）;酒精饮料（啤酒除外）</t>
  </si>
  <si>
    <t>太医拜寿</t>
  </si>
  <si>
    <t>彭真</t>
  </si>
  <si>
    <t>白酒;红葡萄酒;露酒;蒸馏饮料;果酒（含酒精）;酒精饮料（啤酒除外）;烈酒（饮料）;酒精饮料原汁;黄酒;葡萄酒</t>
  </si>
  <si>
    <t>柿季缘</t>
  </si>
  <si>
    <t>邓志洪</t>
  </si>
  <si>
    <t>果酒（含酒精）;⽶酒;⻩酒;蒸馏饮料;⽩酒</t>
  </si>
  <si>
    <t>月老喇叭嫂</t>
  </si>
  <si>
    <t>⽶酒;果酒（含酒精）;清酒;⽩酒;⾕物制蒸馏酒精饮料;⾼粱酒;利⼝酒;烧酒;葡萄酒;酒精饮料（啤酒除外）</t>
  </si>
  <si>
    <t>君道运小池</t>
  </si>
  <si>
    <t>亳州市瀚瑞酒业有限公司</t>
  </si>
  <si>
    <t>⽶酒;杨梅酒;葡萄酒;烈酒（饮料）;⾼粱酒;⾷⽤酒精;⽩酒;果酒（含酒精）;⻩酒;烧酒</t>
  </si>
  <si>
    <t>澳缔庄园</t>
  </si>
  <si>
    <t>湖南法澳斯酒业有限公司</t>
  </si>
  <si>
    <t>烧酒;鸡尾酒;烈酒（饮料）;⽩酒;酒精饮料（啤酒除外）;⻩酒;果酒（含酒精）;葡萄酒;清酒（⽇本⽶酒）;⽶酒</t>
  </si>
  <si>
    <t>九曲仙</t>
  </si>
  <si>
    <t>王燕男</t>
  </si>
  <si>
    <t>葡萄酒;果酒;甜酒;⽶酒;烈酒;烧酒;酒精饮料（啤酒除外）;⻩酒;汽酒;⽩酒</t>
  </si>
  <si>
    <t>奈伯爵</t>
  </si>
  <si>
    <t>廖安国</t>
  </si>
  <si>
    <t>预先混合的酒精饮料（以啤酒为主的除外）;果酒（含酒精）;葡萄酒;⽶酒;⽩酒;烧酒;威⼠忌;烈酒（饮料）;利⼝酒;⻩酒</t>
  </si>
  <si>
    <t>湖南省岳阳市屈原管理区以梦为马设计有限公司</t>
  </si>
  <si>
    <t>⾷⽤酒精;汽酒;果酒（含酒精）;⻩酒;酒精饮料浓缩汁;含⽔果酒精饮料;⽩酒;烈酒（饮料）;⽶酒;⻘稞酒</t>
  </si>
  <si>
    <t>宜碗水</t>
  </si>
  <si>
    <t>熊世平</t>
  </si>
  <si>
    <t>葡萄酒;烧酒;⽼酒（中国蒸馏烈酒）;⽶酒;⾼粱酒;苦荞酒;酒精饮料（啤酒除外）;果酒（含酒精）;⻩酒;⽩酒</t>
  </si>
  <si>
    <t>SAINT-LONNIE</t>
  </si>
  <si>
    <t>珠海科乐克供应链有限公司</t>
  </si>
  <si>
    <t>⽩酒;果酒（含酒精）;烈酒（饮料）;威⼠忌;⽶酒;酒精饮料（啤酒除外）;蒸煮提取物（利⼝酒和烈酒）;开胃酒;清酒（⽇本⽶酒）;葡萄酒</t>
  </si>
  <si>
    <t>昆明有舍有得珠宝有限公司</t>
  </si>
  <si>
    <t>葡萄酒;⽩酒;蒸馏饮料;酒精饮料（啤酒除外）;果酒;清酒;开胃酒;烧酒;⽶酒;⻩酒</t>
  </si>
  <si>
    <t>曲芸</t>
  </si>
  <si>
    <t>福州市曲芸贸易有限公司</t>
  </si>
  <si>
    <t>烧酒;蜂蜜酒;苹果酒;⽶酒;⽩酒;果酒（含酒精）;葡萄酒;酒精饮料原汁;⾷⽤酒精;⻩酒</t>
  </si>
  <si>
    <t>紫砂流砂</t>
  </si>
  <si>
    <t>预先混合的酒精饮料（以啤酒为主的除外）;烧酒;葡萄酒;⾷⽤酒精;⻩酒;⽶酒;⽩酒;果酒（含酒精）;⻘稞酒;烈酒（饮料）</t>
  </si>
  <si>
    <t>HXHR</t>
  </si>
  <si>
    <t>弘鑫恒瑞(仁怀)工程技术有限公司</t>
  </si>
  <si>
    <t>⽼酒（中国蒸馏烈酒）;⾷⽤酒精;由⾕物蒸馏的⽩酒;⾼粱酒;⽶酒;甜酒;蒸馏饮料;⽩酒;果酒;烧酒（烈酒）</t>
  </si>
  <si>
    <t>万灵至宝 仙酒</t>
  </si>
  <si>
    <t>成都思齐源商贸有限公司</t>
  </si>
  <si>
    <t>蒸馏饮料;葡萄酒;⽶酒;开胃酒;清酒;⻩酒;烧酒;⽩酒;鸡尾酒;⽩兰地</t>
  </si>
  <si>
    <t>东升匠</t>
  </si>
  <si>
    <t>贵州造物者酒业有限公司</t>
  </si>
  <si>
    <t>果酒（含酒精）;⽩酒;蒸馏饮料;⾕物制蒸馏酒精饮料;酒精饮料（啤酒除外）;开胃酒;⽶酒;餐后酒（利⼝酒和烈酒）;⻘稞酒;含⽔果酒精饮料</t>
  </si>
  <si>
    <t>马荣仔</t>
  </si>
  <si>
    <t>葡萄酒;烈酒（饮料）;⽩酒;⾕物制蒸馏酒精饮料;⽼酒（中国蒸馏烈酒）;果酒（含酒精）;清酒;⻩酒;五加⽪酒（中国混合烈酒）;烧酒</t>
  </si>
  <si>
    <t>酌粮欢</t>
  </si>
  <si>
    <t>利⼝酒;威⼠忌;⽶酒;预先混合的酒精饮料（以啤酒为主的除外）;⻩酒;葡萄酒;烧酒;⽩酒;烈酒（饮料）;果酒（含酒精）</t>
  </si>
  <si>
    <t>多拉克</t>
  </si>
  <si>
    <t>浙江群团网络有限公司</t>
  </si>
  <si>
    <t>葡萄酒;清酒（⽇本⽶酒）;⽩酒;杜松⼦酒;朗姆酒;含酒精的饮料（啤酒除外）;蜂蜜酒;鸡尾酒;⽩兰地;卡沙萨酒;威⼠忌;⻩酒;果酒（含酒精）</t>
  </si>
  <si>
    <t>乘越</t>
  </si>
  <si>
    <t>王献举</t>
  </si>
  <si>
    <t>果酒（含酒精）;葡萄酒;⻩酒;⽩酒;⽶酒</t>
  </si>
  <si>
    <t>薏茹</t>
  </si>
  <si>
    <t>⽩⼲酒（中国⽩酒）;含酒精的饮料（啤酒除外）;苦荞酒;酒精饮料（啤酒除外）;烈酒（饮料）;⽼酒（中国蒸馏烈酒）;五加⽪酒（中国混合烈酒）;由⾕物蒸馏的⽩酒;烈酒;⽩酒</t>
  </si>
  <si>
    <t>社蕴</t>
  </si>
  <si>
    <t>⾕物制蒸馏酒精饮料;⾷⽤酒精;⽩酒;果酒（含酒精）;伏特加酒;葡萄酒;⽶酒;烧酒;⽩兰地;⻩酒</t>
  </si>
  <si>
    <t>将四方</t>
  </si>
  <si>
    <t>开胃酒;⽩酒;葡萄酒;鸡尾酒;⾼粱酒;烈酒（饮料）;⽩兰地;⽶酒;烧酒;威⼠忌</t>
  </si>
  <si>
    <t>玺熙之约</t>
  </si>
  <si>
    <t>滨州市诚坤商贸有限公司</t>
  </si>
  <si>
    <t>⾕物制蒸馏酒精饮料;烧酒;⽩酒;含⽔果酒精饮料;梨酒;果酒（含酒精）;⽶酒;开胃酒;葡萄酒;汽酒</t>
  </si>
  <si>
    <t>懿知了</t>
  </si>
  <si>
    <t>成都翰墨原创文化艺术有限公司</t>
  </si>
  <si>
    <t>烈酒（饮料）;开胃酒;⽩酒;葡萄酒;鸡尾酒;⽶酒;酒精饮料（啤酒除外）;烧酒;⻩酒;果酒（含酒精）</t>
  </si>
  <si>
    <t>儒通酒家</t>
  </si>
  <si>
    <t>清酒（⽇本⽶酒）;酒精饮料（啤酒除外）;果酒（含酒精）;开胃酒;烧酒;⽩酒;⻩酒;葡萄酒;⽶酒;含⽔果酒精饮料</t>
  </si>
  <si>
    <t>北汀荷间</t>
  </si>
  <si>
    <t>⾕物制蒸馏酒精饮料;开胃酒;含⽔果酒精饮料;⻩酒;⽩酒;⽶酒;⽇式甜⽶酒;果酒（含酒精）;预先混合的酒精饮料（以啤酒为主的除外）;清酒（⽇本⽶酒）</t>
  </si>
  <si>
    <t>慧在其中</t>
  </si>
  <si>
    <t>中启荣达国际文化发展（北京）有限公司</t>
  </si>
  <si>
    <t>⽩酒;⽶酒;⻘稞酒;⾼粱酒;葡萄酒;苦荞酒;清酒;果酒;⻩酒;⻘梅酒</t>
  </si>
  <si>
    <t>沧小泉</t>
  </si>
  <si>
    <t>苏州沧浪泉酒业有限公司</t>
  </si>
  <si>
    <t>烧酒;烈酒（饮料）;酒精饮料（啤酒除外）;⽩酒;葡萄酒;⽶酒;含酒精⽔果饮料;果酒（含酒精）;⻩酒;清酒</t>
  </si>
  <si>
    <t>黔家仙</t>
  </si>
  <si>
    <t>果酒（含酒精）;⽩酒;餐后酒（利⼝酒和烈酒）;葡萄酒;⻩酒;露酒;⽶酒;烈酒;⾼粱酒;烧酒</t>
  </si>
  <si>
    <t>丁欢酒坊</t>
  </si>
  <si>
    <t>丁志臣232126********2337</t>
  </si>
  <si>
    <t>果酒（含酒精）;酒精饮料（啤酒除外）;烧酒;茴芹酒（利⼝酒）;⾕物制蒸馏酒精饮料;⽩酒;⽶酒;⾷⽤酒精</t>
  </si>
  <si>
    <t>薏妃</t>
  </si>
  <si>
    <t>烈酒（饮料）;酒精饮料（啤酒除外）;含酒精的饮料（啤酒除外）;⽼酒（中国蒸馏烈酒）;苦荞酒;烈酒;⽩酒;五加⽪酒（中国混合烈酒）;由⾕物蒸馏的⽩酒;⽩⼲酒（中国⽩酒）</t>
  </si>
  <si>
    <t>给道</t>
  </si>
  <si>
    <t>⽩酒;⻩酒;清酒（⽇本⽶酒）;果酒（含酒精）;鸡尾酒;威⼠忌;烧酒;含⽔果酒精饮料;烈酒（饮料）;葡萄酒</t>
  </si>
  <si>
    <t>统薏</t>
  </si>
  <si>
    <t>烈酒;⽩酒;酒精饮料（啤酒除外）;⽩⼲酒（中国⽩酒）;由⾕物蒸馏的⽩酒;⽼酒（中国蒸馏烈酒）;烈酒（饮料）;含酒精的饮料（啤酒除外）;五加⽪酒（中国混合烈酒）;苦荞酒</t>
  </si>
  <si>
    <t>郎牌T系列</t>
  </si>
  <si>
    <t>果酒（含酒精）;葡萄酒;蒸馏饮料;⽼酒（中国蒸馏烈酒）;蒸煮提取物（利⼝酒和烈酒）;⽩酒;⾼粱酒;烈酒（饮料）;⻩酒;威⼠忌</t>
  </si>
  <si>
    <t>江南四月天</t>
  </si>
  <si>
    <t>⻩酒;清酒;露酒;汽酒;开胃酒;苦味酒;⽶酒;烧酒;⽩酒;烈酒</t>
  </si>
  <si>
    <t>茶对对</t>
  </si>
  <si>
    <t>赵双燕</t>
  </si>
  <si>
    <t>含⽔果酒精饮料;⽶酒;烧酒;⽩兰地;清酒;开胃酒;⽩酒;⻘梅酒;杨梅酒;烈酒</t>
  </si>
  <si>
    <t>AODIZHUANGYUAN</t>
  </si>
  <si>
    <t>鸡尾酒;烧酒;⽩酒;果酒（含酒精）;清酒（⽇本⽶酒）;⻩酒;⽶酒;葡萄酒;烈酒（饮料）;酒精饮料（啤酒除外）</t>
  </si>
  <si>
    <t>季婵沟</t>
  </si>
  <si>
    <t>成都市泰宏峰商贸有限公司</t>
  </si>
  <si>
    <t>⽩⼲酒（中国⽩酒）;⽶酒;汽酒;葡萄酒;梅酒;⻩酒;烧酒;⽩酒;⻘稞酒;果酒</t>
  </si>
  <si>
    <t>酒圣十三朝</t>
  </si>
  <si>
    <t>陕西酒聖品牌运营管理有限公司</t>
  </si>
  <si>
    <t>⻩酒;⽩酒;⽶酒;鸡尾酒;果酒（含酒精）;清酒（⽇本⽶酒）;葡萄酒;酒精饮料（啤酒除外）;烧酒;烈酒（饮料）</t>
  </si>
  <si>
    <t>千年冠</t>
  </si>
  <si>
    <t>陈敬业</t>
  </si>
  <si>
    <t>葡萄酒;⽩酒;果酒（含酒精）;⽶酒;烧酒;威⼠忌;酒精饮料（啤酒除外）;⻩酒;鸡尾酒;蒸馏饮料</t>
  </si>
  <si>
    <t>肃谷香</t>
  </si>
  <si>
    <t>王永亭230381********7310</t>
  </si>
  <si>
    <t>威⼠忌;汽酒;⾷⽤酒精;蒸馏饮料;⾕物制蒸馏酒精饮料;⽩酒;烈酒（饮料）;含⽔果酒精饮料;果酒（含酒精）;⽶酒</t>
  </si>
  <si>
    <t>郎牌T系列 LANG T COLLECTION</t>
  </si>
  <si>
    <t>果酒（含酒精）;葡萄酒;烈酒（饮料）;威⼠忌;蒸煮提取物（利⼝酒和烈酒）;蒸馏饮料;⽩酒;⾼粱酒;⻩酒;⽼酒（中国蒸馏烈酒）</t>
  </si>
  <si>
    <t>白贵平</t>
  </si>
  <si>
    <t>⽩酒;含⽔果酒精饮料;鸡尾酒;⻩酒;葡萄酒;⽶酒;果酒（含酒精）;⾕物制蒸馏酒精饮料;⽩兰地;威⼠忌</t>
  </si>
  <si>
    <t>重德载物</t>
  </si>
  <si>
    <t>黄佳浩</t>
  </si>
  <si>
    <t>⽩酒;⻩酒;⽩兰地;果酒（含酒精）;葡萄酒;⾷⽤酒精;鸡尾酒;烧酒;威⼠忌;⽶酒</t>
  </si>
  <si>
    <t>桃源日记</t>
  </si>
  <si>
    <t>昆明圆卡百货商行（个人独资）</t>
  </si>
  <si>
    <t>烧酒（烈酒）;酒精饮料（啤酒除外）;果酒;⽶酒;朗姆酒;⻘稞酒;⻩酒;⽩酒;清酒（⽇本⽶酒）;葡萄酒</t>
  </si>
  <si>
    <t>予君尝</t>
  </si>
  <si>
    <t>许全心</t>
  </si>
  <si>
    <t>果酒（含酒精）;开胃酒;威⼠忌;烧酒;⽩兰地;⻩酒;⽩酒;葡萄酒;酒精饮料（啤酒除外）;⽶酒</t>
  </si>
  <si>
    <t>圣皇飞仙</t>
  </si>
  <si>
    <t>⻩酒;葡萄酒;蜂蜜酒;烈酒（饮料）;含⽔果酒精饮料;烧酒;⽩酒;鸡尾酒;⽶酒;果酒（含酒精）</t>
  </si>
  <si>
    <t>森沙</t>
  </si>
  <si>
    <t>西安森沙医疗管理有限公司</t>
  </si>
  <si>
    <t>果酒（含酒精）;餐后酒（利⼝酒和烈酒）;朝鲜族⽶酒;⽩酒;烧酒;以葡萄酒为主的饮料;⻘稞酒;葡萄酒;⾕物制蒸馏酒精饮料;烈酒（饮料）</t>
  </si>
  <si>
    <t>优感</t>
  </si>
  <si>
    <t>龙宗旭</t>
  </si>
  <si>
    <t>⻩酒;酒精饮料（啤酒除外）;鸡尾酒;清酒（⽇本⽶酒）;开胃酒;烈酒;葡萄酒;果酒（含酒精）;⽩酒;威⼠忌</t>
  </si>
  <si>
    <t>TBDQYZ</t>
  </si>
  <si>
    <t>扬州市通宝电气有限公司</t>
  </si>
  <si>
    <t>⽩酒;葡萄酒;⽶酒;果酒（含酒精）</t>
  </si>
  <si>
    <t>忆樽喜</t>
  </si>
  <si>
    <t>龙广红</t>
  </si>
  <si>
    <t>鸡尾酒;蜂蜜酒;⻘稞酒;⻩酒;威⼠忌;烈酒（饮料）;烧酒;⽩酒;清酒（⽇本⽶酒）;开胃酒</t>
  </si>
  <si>
    <t>粱筑</t>
  </si>
  <si>
    <t>李亚宾</t>
  </si>
  <si>
    <t>⽩酒;鸡尾酒;葡萄酒;⽩兰地;⻩酒;烧酒;果酒;烈酒;利⼝酒;酒精饮料（啤酒除外）</t>
  </si>
  <si>
    <t>观天启</t>
  </si>
  <si>
    <t>刘伊然</t>
  </si>
  <si>
    <t>葡萄酒;汽酒;果酒（含酒精）;清酒（⽇本⽶酒）;烈酒（饮料）;⽶酒;⽩酒;⾷⽤酒精;酒精饮料（啤酒除外）;蒸馏饮料</t>
  </si>
  <si>
    <t>杨柳湾</t>
  </si>
  <si>
    <t>贵州老掌柜酿酒（集团）有限公司</t>
  </si>
  <si>
    <t>含酒精的饮料（啤酒除外）;⾕物制蒸馏酒精饮料;蒸馏饮料;烧酒;⻩酒;⽩酒;酒精饮料（啤酒除外）;⾷⽤酒精;⻘稞酒;餐后酒（利⼝酒和烈酒）</t>
  </si>
  <si>
    <t>淳黎</t>
  </si>
  <si>
    <t>贵州珍品酱酒业（集团）有限公司</t>
  </si>
  <si>
    <t>葡萄酒;⾷⽤酒精;⽩酒;鸡尾酒;蒸煮提取物（利⼝酒和烈酒）;含⽔果酒精饮料;烧酒;⽶酒;⽩⼲酒（中国⽩酒）;⻩酒</t>
  </si>
  <si>
    <t>潮客朗</t>
  </si>
  <si>
    <t>陈汉群</t>
  </si>
  <si>
    <t>果酒（含酒精）;开胃酒;⻩酒;烧酒;甜酒;⾼粱酒;烈酒;葡萄酒;⽩酒;⽶酒</t>
  </si>
  <si>
    <t>漕韵坊</t>
  </si>
  <si>
    <t>姜祖良</t>
  </si>
  <si>
    <t>果酒（含酒精）;酒精饮料（啤酒除外）;⽼酒（中国蒸馏烈酒）;⽩酒;以葡萄酒为主的饮料;朗姆酒;⻘稞酒;葡萄酒;⽶酒;⻩酒</t>
  </si>
  <si>
    <t>渠风</t>
  </si>
  <si>
    <t>山东渠风食品科技有限公司</t>
  </si>
  <si>
    <t>⽩兰地;威⼠忌;葡萄酒;⾷⽤酒精;蒸馏饮料;蒸煮提取物（利⼝酒和烈酒）;伏特加酒;烧酒;酒精饮料原汁</t>
  </si>
  <si>
    <t>围酉略</t>
  </si>
  <si>
    <t>杨林林</t>
  </si>
  <si>
    <t>⽶酒;含酒精⽔果饮料;薄荷酒;⻩酒;含酒精的⽓泡⽔;果酒（含酒精）;⽩酒;⻘稞酒;以葡萄酒为主的饮料;果酒</t>
  </si>
  <si>
    <t>骋先义兴</t>
  </si>
  <si>
    <t>瑞和酒业（山东）有限公司</t>
  </si>
  <si>
    <t>烧酒（烈酒）;⽶酒;果酒（含酒精）;烈酒（饮料）;酒精饮料（啤酒除外）;葡萄酒;⽩酒;鸡尾酒;清酒（⽇本⽶酒）;⻩酒</t>
  </si>
  <si>
    <t>玉竹溪</t>
  </si>
  <si>
    <t>黄月</t>
  </si>
  <si>
    <t>鸡尾酒;预先混合的酒精饮料（以啤酒为主的除外）;⾼粱酒;清酒;甜酒;⽩酒;烈酒;烧酒;⾷⽤酒精;⻩酒</t>
  </si>
  <si>
    <t>ASAHIMACHI</t>
  </si>
  <si>
    <t>朝日町葡萄酒有限会社</t>
  </si>
  <si>
    <t>汽酒;清酒（⽇本⽶酒）;樱桃酒;果酒（含酒精）;梨酒;苹果酒;葡萄酒;含⽔果酒精饮料;酒精饮料（啤酒除外）;利⼝酒</t>
  </si>
  <si>
    <t>宋河粮液纪年</t>
  </si>
  <si>
    <t>⽩酒;薄荷酒;鸡尾酒;果酒（含酒精）;葡萄酒;开胃酒;⽶酒;清酒（⽇本⽶酒）;酒精饮料（啤酒除外）;酒精饮料原汁</t>
  </si>
  <si>
    <t>杉木林</t>
  </si>
  <si>
    <t>王明顺</t>
  </si>
  <si>
    <t>汽酒;葡萄酒;⻘稞酒;⽩酒;⻩酒;鸡尾酒;烈酒（饮料）;含⽔果酒精饮料;⽶酒;果酒（含酒精）</t>
  </si>
  <si>
    <t>AIJO</t>
  </si>
  <si>
    <t>龚财</t>
  </si>
  <si>
    <t>预先混合的酒精饮料（以啤酒为主的除外）;以葡萄酒为主的饮料;果酒（含酒精）;⽩兰地;葡萄酒;含酒精的⽓泡⽔;⽩酒;酒精饮料（啤酒除外）;含酒精的饮料（啤酒除外）;⾕物制蒸馏酒精饮料</t>
  </si>
  <si>
    <t>联可口</t>
  </si>
  <si>
    <t>王美娟</t>
  </si>
  <si>
    <t>葡萄酒;⽩酒;果酒（含酒精）;酒精饮料（啤酒除外）;⽶酒;烈酒（饮料）;⾷⽤酒精;⻩酒;⽩兰地;威⼠忌</t>
  </si>
  <si>
    <t>余鲜森</t>
  </si>
  <si>
    <t>王玲菊</t>
  </si>
  <si>
    <t>⻩酒;伏特加酒;果酒;葡萄酒;蜂蜜酒;威⼠忌;⽶酒;⽩酒;杨梅酒;朗姆酒</t>
  </si>
  <si>
    <t>相扶归</t>
  </si>
  <si>
    <t>肖猛凯</t>
  </si>
  <si>
    <t>⽩酒;鸡尾酒;⻩酒;烈酒（饮料）;露酒;烧酒;果酒（含酒精）;⽶酒;酒精饮料（啤酒除外）;清酒（⽇本⽶酒）</t>
  </si>
  <si>
    <t>蕲家庄</t>
  </si>
  <si>
    <t>东莞市博诚企业管理有限公司</t>
  </si>
  <si>
    <t>以葡萄酒为主的饮料;汽酒;烧酒;⽶酒;⽩酒;⽢蔗制酒精饮料;⾕物制蒸馏酒精饮料</t>
  </si>
  <si>
    <t>辰堂霞</t>
  </si>
  <si>
    <t>方雪梅</t>
  </si>
  <si>
    <t>葡萄酒;⽶酒;果酒;杨梅酒;烧酒;含⽔果酒精饮料;⻘稞酒;⽩酒;⻩酒;甜酒</t>
  </si>
  <si>
    <t>映莲</t>
  </si>
  <si>
    <t>保酩汇（江苏）贸易有限公司</t>
  </si>
  <si>
    <t>蒸馏饮料;威⼠忌;朗姆酒;葡萄酒;伏特加酒;果酒;⽩酒;清酒;⽩兰地;酒精饮料（啤酒除外）</t>
  </si>
  <si>
    <t>龙贺玺</t>
  </si>
  <si>
    <t>果酒（含酒精）;葡萄酒;⽩兰地;⽩酒;蜂蜜酒;⽶酒;含⽔果酒精饮料;蒸馏饮料;鸡尾酒;威⼠忌</t>
  </si>
  <si>
    <t>泰棋</t>
  </si>
  <si>
    <t>王长勇（370112********8916）</t>
  </si>
  <si>
    <t>果酒（含酒精）;⻩酒;⽩酒;鸡尾酒;⾼粱酒;烈酒（饮料）;清酒（⽇本⽶酒）;⽶酒;烧酒;葡萄酒</t>
  </si>
  <si>
    <t>松云归</t>
  </si>
  <si>
    <t>张有莉</t>
  </si>
  <si>
    <t>烈酒（饮料）;葡萄酒;⻩酒;汽酒;酒精饮料原汁;⽶酒;利⼝酒;果酒（含酒精）;烧酒;⽩酒</t>
  </si>
  <si>
    <t>LOFETI MANOR 洛菲蒂庄园</t>
  </si>
  <si>
    <t>烈酒（饮料）;鸡尾酒;⽩酒;起泡⽩葡萄酒;开胃酒;蒸馏饮料;果酒（含酒精）;酒精饮料（啤酒除外）;利⼝酒;葡萄酒</t>
  </si>
  <si>
    <t>礼水印象</t>
  </si>
  <si>
    <t>庆元县永伟通用器材有限公司</t>
  </si>
  <si>
    <t>葡萄酒;⻩酒;⽩酒;佐餐酒;梅酒;⻘梅酒;⽶酒;烧酒;烈酒;杨梅酒</t>
  </si>
  <si>
    <t>沂春江</t>
  </si>
  <si>
    <t>威⼠忌;蜂蜜酒;⻘稞酒;鸡尾酒;⻩酒;开胃酒;烈酒（饮料）;烧酒;⽩酒;清酒（⽇本⽶酒）</t>
  </si>
  <si>
    <t>唐药百草</t>
  </si>
  <si>
    <t>李新国</t>
  </si>
  <si>
    <t>葡萄酒;酒精饮料浓缩汁;⻩酒;果酒（含酒精）;⽶酒;酒精饮料原汁;蒸馏饮料;酒精饮料（啤酒除外）;含⽔果酒精饮料;⽩酒</t>
  </si>
  <si>
    <t>路酩</t>
  </si>
  <si>
    <t>贵州路酩酒业有限公司</t>
  </si>
  <si>
    <t>⽩酒（酱⾹型）;⽶酒;烧酒;⻩酒;鸡尾酒;清酒（⽇本⽶酒）;⻘稞酒;⽩酒;开胃酒;烈酒（饮料）</t>
  </si>
  <si>
    <t>围法檀</t>
  </si>
  <si>
    <t>⽶酒;⻩酒;⽩酒;⻘稞酒;含酒精的⽓泡⽔;薄荷酒;以葡萄酒为主的饮料;含酒精⽔果饮料;果酒（含酒精）;果酒</t>
  </si>
  <si>
    <t>莱宁有福</t>
  </si>
  <si>
    <t>郝占彪</t>
  </si>
  <si>
    <t>开胃酒;鸡尾酒;葡萄酒;⽩酒;以葡萄酒为主的开胃酒;⽔果汽酒;果酒（含酒精）;含酒精的⽓泡⽔;含酒精⽔果饮料;⾼粱酒</t>
  </si>
  <si>
    <t>西贝佳</t>
  </si>
  <si>
    <t>崔耀红411121********2032</t>
  </si>
  <si>
    <t>⽶酒;⻘稞酒;⽩酒;果酒;烧酒;红葡萄酒;葡萄酒;⻩酒;⾼粱酒;⽼酒（中国蒸馏烈酒）</t>
  </si>
  <si>
    <t>贝西公主</t>
  </si>
  <si>
    <t>⽩酒;⽼酒（中国蒸馏烈酒）;葡萄酒;⽶酒;⾼粱酒;果酒;红葡萄酒;⻘稞酒;⻩酒;烧酒</t>
  </si>
  <si>
    <t>大坳双湾</t>
  </si>
  <si>
    <t>江西大坳湾农业有限公司</t>
  </si>
  <si>
    <t>⽶酒;葡萄酒;含⽔果酒精饮料;⾼粱酒;果酒（含酒精）;烧酒;含酒精的⽓泡⽔;⻩酒;酒精饮料（啤酒除外）;⽩酒</t>
  </si>
  <si>
    <t>暹饮醉</t>
  </si>
  <si>
    <t>特能医疗器械（广州）有限公司</t>
  </si>
  <si>
    <t>含⽔果酒精饮料;威⼠忌;烈酒（饮料）;以葡萄酒为主的饮料;⽩⼲酒（中国⽩酒）;除啤酒外的酒精饮料;烧酒;⽩兰地;⽩酒;果酒（含酒精）</t>
  </si>
  <si>
    <t>肆拾玖坊天地悦品</t>
  </si>
  <si>
    <t>肆拾玖坊（天津）电子商务有限公司</t>
  </si>
  <si>
    <t>鸡尾酒;甜果酒;葡萄酒;开胃酒;⽶酒;果酒（含酒精）;汽酒;⽩酒;樱桃酒;⻩酒</t>
  </si>
  <si>
    <t>朱海龙</t>
  </si>
  <si>
    <t>威⼠忌;⽶酒;鸡尾酒;蒸馏饮料;果酒（含酒精）;烧酒;葡萄酒;酒精饮料（啤酒除外）;烈酒（饮料）;⽩酒</t>
  </si>
  <si>
    <t>麦界（宁夏）啤酒酿造有限公司</t>
  </si>
  <si>
    <t>蜂蜜酒;苹果酒;⽩酒;酒精饮料（啤酒除外）;含⽔果酒精饮料;葡萄酒;已调味的⻨芽酿制的酒精饮料（啤酒除外）;樱桃酒;汽酒;果酒（含酒精）</t>
  </si>
  <si>
    <t>杨金贵</t>
  </si>
  <si>
    <t>⻩酒;杨梅酒;⽼酒（中国蒸馏烈酒）;⾼粱酒;果酒（含酒精）;⽩⼲酒（中国⽩酒）;⽶酒;烧酒;⽩酒;烈酒（饮料）</t>
  </si>
  <si>
    <t>旎渝派</t>
  </si>
  <si>
    <t>中堃（海南）投资控股有限公司</t>
  </si>
  <si>
    <t>清酒（⽇本⽶酒）;含酒精⽔果饮料;佐餐酒;⽶酒;⽇本波布蛇酒;⽇本松针酒;⽇式甜⽶酒;黑覆盆⼦酒;含⽔果酒精饮料;烧酒（烈酒）;含酒精的⽔果鸡尾酒饮料;预调甜酒;⽇本梅⼦酒;果酒（含酒精）;蜂蜜酒</t>
  </si>
  <si>
    <t>篮球客</t>
  </si>
  <si>
    <t>贵州省仁怀市篮球人酒业有限公司</t>
  </si>
  <si>
    <t>清酒（⽇本⽶酒）;⽩酒;樱桃酒;烈酒（饮料）;烧酒;鸡尾酒;葡萄酒;蜂蜜酒;果酒（含酒精）;开胃酒</t>
  </si>
  <si>
    <t>岁陈香就</t>
  </si>
  <si>
    <t>许嘉</t>
  </si>
  <si>
    <t>⽶酒;蒸馏饮料;烧酒;葡萄酒;含⽔果酒精饮料;⻩酒;以葡萄酒为主的饮料;预先混合的酒精饮料（以啤酒为主的除外）;⾕物制蒸馏酒精饮料;⽩酒</t>
  </si>
  <si>
    <t>洛神都</t>
  </si>
  <si>
    <t>河南洛神都酒业有限公司</t>
  </si>
  <si>
    <t>烧酒;烈酒;⽩⼲酒（中国⽩酒）;⽼酒（中国蒸馏烈酒）;⾼粱酒;⽶酒;利⼝酒;⻘稞酒;⽩酒;⻩酒</t>
  </si>
  <si>
    <t>楠竹简粮</t>
  </si>
  <si>
    <t>贵州楠竹熊猫酒业有限公司</t>
  </si>
  <si>
    <t>葡萄酒;⽶酒;⽩酒;烧酒;烈酒（饮料）;威⼠忌;果酒（含酒精）;清酒（⽇本⽶酒）;⻩酒;酒精饮料（啤酒除外）</t>
  </si>
  <si>
    <t>围酉策</t>
  </si>
  <si>
    <t>薄荷酒;以葡萄酒为主的饮料;含酒精的⽓泡⽔;果酒（含酒精）;含酒精⽔果饮料;⻩酒;⻘稞酒;⽩酒;果酒;⽶酒</t>
  </si>
  <si>
    <t>誉喜老掌柜</t>
  </si>
  <si>
    <t>⻩酒;酒精饮料（啤酒除外）;⾕物制蒸馏酒精饮料;餐后酒（利⼝酒和烈酒）;含酒精的饮料（啤酒除外）;蒸馏饮料;⾷⽤酒精;⻘稞酒;⽩酒;烧酒</t>
  </si>
  <si>
    <t>定足</t>
  </si>
  <si>
    <t>烧酒;鸡尾酒;果酒（含酒精）;葡萄酒;清酒（⽇本⽶酒）;含⽔果酒精饮料;烈酒（饮料）;⽩酒;⻩酒;威⼠忌</t>
  </si>
  <si>
    <t>辨臻</t>
  </si>
  <si>
    <t>玉儿叫</t>
  </si>
  <si>
    <t>果酒（含酒精）;⽶酒;⽩酒;⻩酒;葡萄酒;⽩兰地;威⼠忌;烧酒;清酒（⽇本⽶酒）;⻘稞酒</t>
  </si>
  <si>
    <t>汇馨丰</t>
  </si>
  <si>
    <t>罗海丰</t>
  </si>
  <si>
    <t>酒精饮料（啤酒除外）;⻩酒;果酒（含酒精）;朗姆酒;⽩酒;鸡尾酒;葡萄酒;⽶酒;威⼠忌;烧酒</t>
  </si>
  <si>
    <t>邹旺状元</t>
  </si>
  <si>
    <t>果酒;茴⾹酒（利⼝酒）;⻘稞酒;⻩酒;酸酒（低等葡萄酒）;⽩酒;⽶酒;苹果酒;蜂蜜酒;樱桃酒</t>
  </si>
  <si>
    <t>郭玉卫</t>
  </si>
  <si>
    <t>葡萄酒;蒸馏饮料;酒精饮料（啤酒除外）;酒精饮料原汁;⾷⽤酒精;清酒（⽇本⽶酒）;威⼠忌;⽩酒;果酒（含酒精）;预先混合的酒精饮料（以啤酒为主的除外）</t>
  </si>
  <si>
    <t>参度微笑</t>
  </si>
  <si>
    <t>白岩松</t>
  </si>
  <si>
    <t>果酒;⾕物制蒸馏酒精饮料;蜂蜜酒;葡萄酒;⽶酒;酒精饮料（啤酒除外）;蒸馏饮料;含⽔果酒精饮料;烧酒;⽩酒</t>
  </si>
  <si>
    <t>福鑫耀</t>
  </si>
  <si>
    <t>深圳市宝安区柚又科技有限公司</t>
  </si>
  <si>
    <t>清酒（⽇本⽶酒）;⽩酒;⻩酒;鸡尾酒;烧酒;利⼝酒;⽶酒;果酒（含酒精）;⻘稞酒;烈酒（饮料）</t>
  </si>
  <si>
    <t>金代青窖</t>
  </si>
  <si>
    <t>北京隆兴号方庄酒厂有限公司</t>
  </si>
  <si>
    <t>酒精饮料（啤酒除外）;⾼粱酒;⽶酒;果酒;⽼酒（中国蒸馏烈酒）;葡萄酒;⻩酒;⽩酒;烧酒;烈酒</t>
  </si>
  <si>
    <t>怀凤谣</t>
  </si>
  <si>
    <t>清酒（⽇本⽶酒）;蜂蜜酒;鸡尾酒;⽩酒;威⼠忌;⻩酒;烈酒（饮料）;烧酒;开胃酒;⻘稞酒</t>
  </si>
  <si>
    <t>滇阿玛</t>
  </si>
  <si>
    <t>文山阿玛农业发展有限公司</t>
  </si>
  <si>
    <t>果酒（含酒精）;⻩酒;⽶酒;清酒（⽇本⽶酒）;烈酒（饮料）;⽩酒;鸡尾酒;烧酒;葡萄酒;酒精饮料（啤酒除外）</t>
  </si>
  <si>
    <t>孝天聚换</t>
  </si>
  <si>
    <t>孝感孝天聚换商贸有限公司</t>
  </si>
  <si>
    <t>⽩酒;⽶酒;烧酒;⾷⽤酒精;含⽔果酒精饮料;预先混合的酒精饮料（以啤酒为主的除外）;葡萄酒;果酒（含酒精）;⻩酒;⻘稞酒</t>
  </si>
  <si>
    <t>ZUHAUS</t>
  </si>
  <si>
    <t>上海玩美祖合品牌管理有限公司</t>
  </si>
  <si>
    <t>朗姆酒;清酒;鸡尾酒;⽩酒;含⽔果酒精饮料;预先混合的酒精饮料（以啤酒为主的除外）;烧酒;甜酒;果酒;甜果酒</t>
  </si>
  <si>
    <t>守丰藏</t>
  </si>
  <si>
    <t>贵州省仁怀市守度酒业有限公司</t>
  </si>
  <si>
    <t>葡萄酒;⽩酒;⾕物制蒸馏酒精饮料;烈酒（饮料）;果酒（含酒精）;苹果酒;⽶酒;露酒;餐后酒（利⼝酒和烈酒）;蒸馏饮料</t>
  </si>
  <si>
    <t>且梦</t>
  </si>
  <si>
    <t>⽩酒;烈酒;⻩酒;开胃酒;鸡尾酒;葡萄酒;果酒（含酒精）;威⼠忌;酒精饮料（啤酒除外）;清酒（⽇本⽶酒）</t>
  </si>
  <si>
    <t>禾淮</t>
  </si>
  <si>
    <t>鸡尾酒;⽩⼲酒（中国⽩酒）;⻩酒;蒸煮提取物（利⼝酒和烈酒）;⽩酒;含⽔果酒精饮料;⾷⽤酒精;⽶酒;烧酒;葡萄酒</t>
  </si>
  <si>
    <t>陕西白云论道酒业销售有限公司</t>
  </si>
  <si>
    <t>⽩酒;⻘稞酒;烈酒;⽩⼲酒（中国⽩酒）;烧酒;⽼酒（中国蒸馏烈酒）;⽶酒;⻩酒;⾼粱酒;葡萄酒</t>
  </si>
  <si>
    <t>清畔客</t>
  </si>
  <si>
    <t>陕西天裕文创贸易有限公司</t>
  </si>
  <si>
    <t>⾼粱酒;⽩⼲酒（中国⽩酒）;含酒精⽔果饮料;除啤酒外的酒精饮料;葡萄酒;⽶酒;⻩酒;酒精饮料（啤酒除外）;清酒;果酒（含酒精）</t>
  </si>
  <si>
    <t>蕴九月</t>
  </si>
  <si>
    <t>蕴九月食品（烟台）有限公司</t>
  </si>
  <si>
    <t>葡萄酒;开胃酒;⾼粱酒;⽩兰地;⽶酒;以葡萄酒为主的饮料;果酒;甜酒;⽩酒;⻩酒</t>
  </si>
  <si>
    <t>李息全</t>
  </si>
  <si>
    <t>⾼粱酒;果酒;⽶酒;烧酒（烈酒）;酒精饮料（啤酒除外）;⽼酒（中国蒸馏烈酒）;⽩酒;⻩酒;由⾕物蒸馏的⽩酒;⽩⼲酒（中国⽩酒）</t>
  </si>
  <si>
    <t>酉围经世</t>
  </si>
  <si>
    <t>⻘稞酒;⽩酒;果酒;含酒精⽔果饮料;含酒精的⽓泡⽔;果酒（含酒精）;⽶酒;⻩酒;以葡萄酒为主的饮料;薄荷酒</t>
  </si>
  <si>
    <t>满即曲</t>
  </si>
  <si>
    <t>贺旭波</t>
  </si>
  <si>
    <t>烈酒（饮料）;烧酒;果酒（含酒精）;威⼠忌;⽩酒;鸡尾酒;含⽔果酒精饮料;清酒;蒸馏饮料;酒精饮料原汁</t>
  </si>
  <si>
    <t>月华妃 YOHAFAY</t>
  </si>
  <si>
    <t>苏江汇（徐州）药业有限公司</t>
  </si>
  <si>
    <t>利⼝酒;含⽔果酒精饮料;烧酒;开胃酒;鸡尾酒;葡萄酒;⽩酒;⽶酒;果酒（含酒精）;⽩兰地</t>
  </si>
  <si>
    <t>爽都</t>
  </si>
  <si>
    <t>贵州爽都双梦商贸有限公司</t>
  </si>
  <si>
    <t>⻩酒;⽩兰地;果酒（含酒精）;葡萄酒;烧酒;威⼠忌;⽩酒;鸡尾酒;⽶酒;蒸馏饮料</t>
  </si>
  <si>
    <t>金校 100</t>
  </si>
  <si>
    <t>启创未来文化发展有限公司</t>
  </si>
  <si>
    <t>葡萄酒;威⼠忌;⽩酒;果酒（含酒精）;⽇本梅⼦酒;蒸馏饮料;鸡尾酒;烈酒（饮料）;⽩兰地;清酒</t>
  </si>
  <si>
    <t>粹之源</t>
  </si>
  <si>
    <t>西安国浩风商贸有限公司</t>
  </si>
  <si>
    <t>酒精饮料（啤酒除外）;⽶酒;烧酒;⽩酒;含⽔果酒精饮料;葡萄酒;果酒（含酒精）;清酒（⽇本⽶酒）;蜂蜜酒;鸡尾酒</t>
  </si>
  <si>
    <t>SHAWTY</t>
  </si>
  <si>
    <t>武汉托帕斯文化创意有限公司</t>
  </si>
  <si>
    <t>⽩兰地;清酒（⽇本⽶酒）;⽶酒;⽩酒;鸡尾酒;葡萄酒;⻩酒;果酒（含酒精）;蜂蜜酒;含酒精的⽓泡⽔</t>
  </si>
  <si>
    <t>君欢行</t>
  </si>
  <si>
    <t>开胃酒;⻩酒;清酒（⽇本⽶酒）;威⼠忌;⽩酒;鸡尾酒;蜂蜜酒;烧酒;⻘稞酒;烈酒（饮料）</t>
  </si>
  <si>
    <t>果皇帝</t>
  </si>
  <si>
    <t>王慧</t>
  </si>
  <si>
    <t>烈酒（饮料）;杨梅酒;⽩酒;酒精饮料（啤酒除外）;⾷⽤酒精;烧酒;葡萄酒;⻩酒;⽶酒;果酒（含酒精）</t>
  </si>
  <si>
    <t>半也</t>
  </si>
  <si>
    <t>锡林郭勒盟察哈尔草原食品有限公司</t>
  </si>
  <si>
    <t>葡萄酒;⾷⽤酒精;烧酒;果酒（含酒精）;⽩酒;⻘稞酒;⻩酒;烈酒（饮料）;酒精饮料（啤酒除外）;酒精饮料原汁</t>
  </si>
  <si>
    <t>年月周</t>
  </si>
  <si>
    <t>湖南全人教育科技集团有限公司</t>
  </si>
  <si>
    <t>烈酒（饮料）;⽩兰地;⽶酒;含酒精的⽔果鸡尾酒饮料;酒精饮料（啤酒除外）;咖啡利⼝酒;果酒（含酒精）;烧酒（烈酒）;⽩酒;葡萄酒</t>
  </si>
  <si>
    <t>景莲</t>
  </si>
  <si>
    <t>蒸馏饮料;⽩酒;朗姆酒;⽩兰地;清酒;伏特加酒;威⼠忌;酒精饮料（啤酒除外）;葡萄酒;果酒</t>
  </si>
  <si>
    <t>玖琮</t>
  </si>
  <si>
    <t>贵州省仁怀市歌德颂尊酒业有限公司</t>
  </si>
  <si>
    <t>⽶酒;鸡尾酒;威⼠忌;蒸馏饮料;⽩酒;果酒（含酒精）;葡萄酒;酒精饮料（啤酒除外）;⾷⽤酒精;含⽔果酒精饮料</t>
  </si>
  <si>
    <t>TRASCENDENTE</t>
  </si>
  <si>
    <t>中浦耐杯(北京)贸易有限公司</t>
  </si>
  <si>
    <t>烈性⼲酒;蒸煮提取物（利⼝酒和烈酒）;蒸馏饮料;烈酒（饮料）;烈酒;除啤酒外的酒精饮料;鸡尾酒;含酒精的充⽓饮料（啤酒除外）;已调味的蒸馏酒;酒精饮料（啤酒除外）</t>
  </si>
  <si>
    <t>程成成</t>
  </si>
  <si>
    <t>河南中青科技有限公司</t>
  </si>
  <si>
    <t>开胃酒;苹果酒;果酒（含酒精）;蒸馏饮料;⽶酒;薄荷酒;⽩酒;樱桃酒;葡萄酒;鸡尾酒</t>
  </si>
  <si>
    <t>圣贤宾</t>
  </si>
  <si>
    <t>威⼠忌;葡萄酒;⻩酒;蒸馏饮料;⽩兰地;烧酒;⽩酒;果酒（含酒精）;鸡尾酒;⽶酒</t>
  </si>
  <si>
    <t>秋田小象</t>
  </si>
  <si>
    <t>上海秋田小象贸易有限公司</t>
  </si>
  <si>
    <t>清酒（⽇本⽶酒）;⽩酒;葡萄酒;果酒（含酒精）;蒸煮提取物（利⼝酒和烈酒）;朗姆酒;威⼠忌;利⼝酒;鸡尾酒;杜松⼦酒</t>
  </si>
  <si>
    <t>疆本味</t>
  </si>
  <si>
    <t>朱雪华</t>
  </si>
  <si>
    <t>酒精饮料浓缩汁;⻩酒;果酒（含酒精）;⽩酒;酒精饮料原汁;酒精饮料（啤酒除外）;⽶酒;含酒精⽔果饮料;蒸馏饮料;葡萄酒</t>
  </si>
  <si>
    <t>留炼</t>
  </si>
  <si>
    <t>汤瑞英</t>
  </si>
  <si>
    <t>含⽔果酒精饮料;果酒（含酒精）;葡萄酒;⽩酒;鸡尾酒;威⼠忌;清酒（⽇本⽶酒）;烧酒;烈酒（饮料）;⻩酒</t>
  </si>
  <si>
    <t>机到</t>
  </si>
  <si>
    <t>烧酒;清酒（⽇本⽶酒）;⽶酒;⻘稞酒;果酒（含酒精）;⽩酒;威⼠忌;⻩酒;⽩兰地;葡萄酒</t>
  </si>
  <si>
    <t>浅磨</t>
  </si>
  <si>
    <t>湖北省新华书店(集团)有限公司</t>
  </si>
  <si>
    <t>含⽔果酒精饮料;⽶酒;⻩酒;⽩酒;佐餐酒;清酒;果酒;葡萄酒;甜酒;烈酒（饮料）</t>
  </si>
  <si>
    <t>蕲水</t>
  </si>
  <si>
    <t>骆卿</t>
  </si>
  <si>
    <t>果酒（含酒精）;开胃酒;酒精饮料（啤酒除外）;⽶酒;汽酒;⾷⽤酒精;烧酒;⽩酒;葡萄酒;⻩酒</t>
  </si>
  <si>
    <t>佬粮叔</t>
  </si>
  <si>
    <t>酒精饮料（啤酒除外）;⽶酒;⽩酒;果酒（含酒精）;⽩兰地;清酒（⽇本⽶酒）;含⽔果酒精饮料;烧酒;蜂蜜酒;鸡尾酒</t>
  </si>
  <si>
    <t>金百尊</t>
  </si>
  <si>
    <t>贾永宾</t>
  </si>
  <si>
    <t>果酒（含酒精）;茴⾹酒（利⼝酒）;⽩兰地;⽶酒;苦味酒;⻘稞酒;利⼝酒;⽩酒;⻩酒;开胃酒</t>
  </si>
  <si>
    <t>醉点红</t>
  </si>
  <si>
    <t>鸡尾酒;烈酒（饮料）;烧酒;果酒（含酒精）;酒精饮料（啤酒除外）;⽶酒;⻩酒;⽩酒;清酒（⽇本⽶酒）;葡萄酒</t>
  </si>
  <si>
    <t>鞅围策</t>
  </si>
  <si>
    <t>薄荷酒;⽶酒;果酒;含酒精⽔果饮料;含酒精的⽓泡⽔;⽩酒;以葡萄酒为主的饮料;果酒（含酒精）;⻘稞酒;⻩酒</t>
  </si>
  <si>
    <t>围酉坛</t>
  </si>
  <si>
    <t>薄荷酒;⻩酒;⻘稞酒;含酒精⽔果饮料;以葡萄酒为主的饮料;果酒（含酒精）;⽶酒;⽩酒;含酒精的⽓泡⽔;果酒</t>
  </si>
  <si>
    <t>莲趣</t>
  </si>
  <si>
    <t>葡萄酒;清酒;蒸馏饮料;威⼠忌;朗姆酒;伏特加酒;酒精饮料（啤酒除外）;果酒;⽩酒;⽩兰地</t>
  </si>
  <si>
    <t>谷养王</t>
  </si>
  <si>
    <t>姜文</t>
  </si>
  <si>
    <t>烧酒;⽶酒;果酒（含酒精）;蜂蜜酒;含⽔果酒精饮料;鸡尾酒;⽩酒;酒精饮料（啤酒除外）;葡萄酒;清酒（⽇本⽶酒）</t>
  </si>
  <si>
    <t>呷哒爽</t>
  </si>
  <si>
    <t>安化和睦家庭农场</t>
  </si>
  <si>
    <t>烧酒;⾼粱酒;甜酒;葡萄酒;⽶酒;⽩酒;露酒;果酒（含酒精）;酒精饮料（啤酒除外）;果酒</t>
  </si>
  <si>
    <t>爱思美琪</t>
  </si>
  <si>
    <t>苹果酒;葡萄酒;利⼝酒;酒精饮料（啤酒除外）;含⽔果酒精饮料;果酒（含酒精）;樱桃酒;清酒（⽇本⽶酒）;汽酒;梨酒</t>
  </si>
  <si>
    <t>心荣煌</t>
  </si>
  <si>
    <t>储伟林</t>
  </si>
  <si>
    <t>烧酒;⽩酒;威⼠忌;蒸馏饮料;含⽔果酒精饮料;清酒;烈酒（饮料）;果酒（含酒精）;酒精饮料原汁;鸡尾酒</t>
  </si>
  <si>
    <t>泸酩河</t>
  </si>
  <si>
    <t>青岛慈初达贸易有限公司</t>
  </si>
  <si>
    <t>⽩⼲酒（中国⽩酒）;蒸馏饮料;⾕物制蒸馏酒精饮料;烧酒;⻩酒;⽼酒（中国蒸馏烈酒）;由⾕物蒸馏的⽩酒;酒精饮料（啤酒除外）;⽶酒;⽩酒</t>
  </si>
  <si>
    <t>华夏好兄弟</t>
  </si>
  <si>
    <t>邯郸市丛台区拼客贸易有限公司</t>
  </si>
  <si>
    <t>葡萄酒;汽酒;⽶酒;⻩酒;⾷⽤酒精;果酒;烧酒;甜酒;⽩酒;烧酒（烈酒）</t>
  </si>
  <si>
    <t>尚三品</t>
  </si>
  <si>
    <t>贵州九月酒商贸有限公司</t>
  </si>
  <si>
    <t>果酒（含酒精）;酒精饮料(啤酒除外);酒精饮料原汁;预先混合的酒精饮料(以啤酒为主的除外);葡萄酒;⾷⽤酒精;烈酒(饮料);⽩酒;烧酒;蒸馏饮料</t>
  </si>
  <si>
    <t>田园沃草</t>
  </si>
  <si>
    <t>刘灵燕</t>
  </si>
  <si>
    <t>烧酒;蒸馏饮料;蜂蜜酒;含⽔果酒精饮料;⽶酒;果酒（含酒精）;⻩酒;葡萄酒;⽩酒;蒸煮提取物（利⼝酒和烈酒）</t>
  </si>
  <si>
    <t>食味故乡</t>
  </si>
  <si>
    <t>烈酒（饮料）;苹果酒;甜酒;草莓酒;蜂蜜酒;烧酒;⾼粱酒;葡萄酒;桃红葡萄酒;⽩⼲酒（中国⽩酒）;果酒（含酒精）;樱桃酒;⽶酒;梅酒;红葡萄酒;果酒</t>
  </si>
  <si>
    <t>陶韵清花</t>
  </si>
  <si>
    <t>烈酒（饮料）;烧酒;露酒;果酒（含酒精）;⽩⼲酒（中国⽩酒）;由⾕物蒸馏的⽩酒;⾼粱酒;⽼酒（中国蒸馏烈酒）;⽩酒;烧酒（烈酒）</t>
  </si>
  <si>
    <t>陶大人</t>
  </si>
  <si>
    <t>佛山市禅城区金酒河酒业经营部</t>
  </si>
  <si>
    <t>烈酒（饮料）;含⽔果酒精饮料;烧酒;由⾕物蒸馏的⽩酒;⽩⼲酒（中国⽩酒）;⻩酒;⽩酒;⾼粱酒;烈酒;⽶酒</t>
  </si>
  <si>
    <t>井福谣</t>
  </si>
  <si>
    <t>烈酒（饮料）;蜂蜜酒;开胃酒;鸡尾酒;⻘稞酒;烧酒;⽩酒;⻩酒;威⼠忌;清酒（⽇本⽶酒）</t>
  </si>
  <si>
    <t>沧九舟</t>
  </si>
  <si>
    <t>鸡尾酒;⻘稞酒;烧酒;⻩酒;清酒（⽇本⽶酒）;蜂蜜酒;威⼠忌;⽩酒;开胃酒;烈酒（饮料）</t>
  </si>
  <si>
    <t>铁根</t>
  </si>
  <si>
    <t>三门峡市陕州区国瑞农业科技有限公司</t>
  </si>
  <si>
    <t>果酒（含酒精）;⽩兰地;⽩酒;⻩酒;汽酒;葡萄酒;餐后酒（利⼝酒和烈酒）;⽶酒;烧酒;开胃酒</t>
  </si>
  <si>
    <t>龙眼桥</t>
  </si>
  <si>
    <t>贵港市港北区百户长农业种植农民专业合作社</t>
  </si>
  <si>
    <t>⽩酒;⽶酒;烧酒（烈酒）;烧酒;⽼酒（中国蒸馏烈酒）;⻩酒;⽩⼲酒（中国⽩酒）</t>
  </si>
  <si>
    <t>纯妆主</t>
  </si>
  <si>
    <t>法国金皙儿生物科技有限公司</t>
  </si>
  <si>
    <t>清酒（⽇本⽶酒）;酒精饮料（啤酒除外）;葡萄酒;含⽔果酒精饮料;果酒（含酒精）;威⼠忌;朗姆酒;⽩酒;⻩酒;⽩兰地</t>
  </si>
  <si>
    <t>陆盛堂</t>
  </si>
  <si>
    <t>陈树理</t>
  </si>
  <si>
    <t>果酒（含酒精）;⽩酒;⻘梅酒;⽶酒;杨梅酒;露酒;酒精饮料（啤酒除外）;葡萄酒;含⽔果酒精饮料;果酒</t>
  </si>
  <si>
    <t>游鸣靓凤</t>
  </si>
  <si>
    <t>云阳县凤鸣镇上游村经济联合社</t>
  </si>
  <si>
    <t>⽩酒;清酒;⽶酒;⾼粱酒;烧酒;烈酒;葡萄酒;梅酒;汽酒;果酒</t>
  </si>
  <si>
    <t>惜底</t>
  </si>
  <si>
    <t>清酒（⽇本⽶酒）;⽩酒;⽩兰地;⻘稞酒;⽶酒;果酒（含酒精）;⻩酒;威⼠忌;葡萄酒;烧酒</t>
  </si>
  <si>
    <t>栏杆桥</t>
  </si>
  <si>
    <t>镇江伴山餐饮管理有限公司</t>
  </si>
  <si>
    <t>甜酒;果酒;烈酒浓缩汁;酒精饮料浓缩汁;清酒;⾷⽤酒精;⽩酒;由⾕物蒸馏的⽩酒;⻩酒;⽶酒</t>
  </si>
  <si>
    <t>SHUN XING TANG</t>
  </si>
  <si>
    <t>深圳顺杏堂生物有限公司</t>
  </si>
  <si>
    <t>果酒（含酒精）;苦味酒;餐后酒（利⼝酒和烈酒）;烈性⼲酒;烈酒（饮料）;含酒精⽔果饮料;酒精饮料（啤酒除外）;预先混合的酒精饮料（以啤酒为主的除外）;⽼酒（中国蒸馏烈酒）;⽶酒</t>
  </si>
  <si>
    <t>白大帅</t>
  </si>
  <si>
    <t>王春禹</t>
  </si>
  <si>
    <t>⻩酒;葡萄酒;⾷⽤酒精;⽶酒;威⼠忌;鸡尾酒;酒精饮料（啤酒除外）;甜酒;烈酒;⽩酒</t>
  </si>
  <si>
    <t>湖与南山鮨佳时</t>
  </si>
  <si>
    <t>湖南君滔房地产开发有限公司</t>
  </si>
  <si>
    <t>含⽔果酒精饮料;鸡尾酒;开胃酒;威⼠忌;⽶酒;⽩酒;葡萄酒;清酒;烧酒;⻩酒</t>
  </si>
  <si>
    <t>浙色天香</t>
  </si>
  <si>
    <t>潘晨</t>
  </si>
  <si>
    <t>葡萄酒;⻘稞酒;酒精饮料（啤酒除外）;烧酒;⾷⽤酒精;清酒（⽇本⽶酒）;鸡尾酒;⽩酒;⻩酒;果酒（含酒精）</t>
  </si>
  <si>
    <t>匠台烧春坊</t>
  </si>
  <si>
    <t>贵州匠台酒业集团股份有限公司</t>
  </si>
  <si>
    <t>⽶酒;鸡尾酒;蒸馏饮料;苹果酒;⻩酒;含⽔果酒精饮料;⽩酒;果酒（含酒精）;烈酒（饮料）;酒精饮料（啤酒除外）</t>
  </si>
  <si>
    <t>致顺泉</t>
  </si>
  <si>
    <t>广西义兴成建筑工程有限公司</t>
  </si>
  <si>
    <t>含⽔果酒精饮料;葡萄酒;开胃酒;果酒（含酒精）;⻩酒;威⼠忌;⽶酒;⽩酒;⾷⽤酒精;烧酒</t>
  </si>
  <si>
    <t>玄怀</t>
  </si>
  <si>
    <t>深圳酱之韵酒业有限公司</t>
  </si>
  <si>
    <t>⽩酒;酒精饮料（啤酒除外）;烧酒;鸡尾酒;果酒（含酒精）;⽶酒;葡萄酒;朗姆酒;汽酒;⻩酒</t>
  </si>
  <si>
    <t>孙胖子烧烤城</t>
  </si>
  <si>
    <t>孙志强</t>
  </si>
  <si>
    <t>鸡尾酒;⽶酒;酒精饮料（啤酒除外）;蒸馏饮料;葡萄酒;果酒（含酒精）;开胃酒;威⼠忌;⽩酒;⽩兰地</t>
  </si>
  <si>
    <t>镹爱四十三</t>
  </si>
  <si>
    <t>安徽焦陂酒业有限责任公司</t>
  </si>
  <si>
    <t>果酒;鸡尾酒;⽩酒;烈酒;⽶酒;酒精饮料浓缩汁;⻩酒;烧酒;葡萄酒;酒精饮料（啤酒除外）</t>
  </si>
  <si>
    <t>郕台</t>
  </si>
  <si>
    <t>张雪</t>
  </si>
  <si>
    <t>葡萄酒;蒸煮提取物（利⼝酒和烈酒）;⾷⽤酒精;果酒（含酒精）;烧酒;开胃酒;酒精饮料（啤酒除外）;⽩酒;⻩酒;⽶酒</t>
  </si>
  <si>
    <t>孙胖子</t>
  </si>
  <si>
    <t>鸡尾酒;开胃酒;⽩兰地;威⼠忌;酒精饮料（啤酒除外）;葡萄酒;蒸馏饮料;果酒（含酒精）;⽩酒;⽶酒</t>
  </si>
  <si>
    <t>回德仕古</t>
  </si>
  <si>
    <t>厦门市思明区回德仕古旅馆</t>
  </si>
  <si>
    <t>⽶酒;蒸馏饮料;鸡尾酒;烈酒（饮料）;葡萄酒;蜂蜜酒;⽩兰地;⾷⽤酒精;果酒（含酒精）;⽩酒</t>
  </si>
  <si>
    <t>中璀</t>
  </si>
  <si>
    <t>范敏</t>
  </si>
  <si>
    <t>⽼酒（中国蒸馏烈酒）;酒精饮料（啤酒除外）;⽩酒;含酒精的饮料（啤酒除外）;果酒;已调味的蒸馏酒;烧酒（烈酒）;⽩⼲酒（中国⽩酒）;⾼粱酒;由⾕物蒸馏的⽩酒</t>
  </si>
  <si>
    <t>策马挥戈</t>
  </si>
  <si>
    <t>宿迁市洋河镇蓝华酒业有限公司</t>
  </si>
  <si>
    <t>烈酒（饮料）;⽶酒;果酒（含酒精）;葡萄酒;⽩酒;⻩酒;蒸馏饮料;烈性⼲酒;⾕物制蒸馏酒精饮料;烧酒</t>
  </si>
  <si>
    <t>冈州宝莲</t>
  </si>
  <si>
    <t>珠海大洋快派食品有限责任公司</t>
  </si>
  <si>
    <t>果酒（含酒精）;⽩酒;烧酒;开胃酒;⽔果汽酒;威⼠忌;葡萄酒;⻩酒;⽶酒;鸡尾酒</t>
  </si>
  <si>
    <t>尹火火 市井小火锅 YIHUOHUO</t>
  </si>
  <si>
    <t>海口尹火火餐饮管理有限公司</t>
  </si>
  <si>
    <t>薄荷酒;⽢蔗制酒精饮料;杨梅酒;含酒精的⽓泡⽔;酒精饮料（啤酒除外）;⽩⼲酒（中国⽩酒）;⽔果汽酒;⽶酒;葡萄酒;⽩酒</t>
  </si>
  <si>
    <t>三丰密码</t>
  </si>
  <si>
    <t>陈定国</t>
  </si>
  <si>
    <t>⽩酒;葡萄酒;烧酒;⽶酒;⾼粱酒;⻩酒;果酒;开胃酒;佐餐酒;甜酒</t>
  </si>
  <si>
    <t>沅一食六记</t>
  </si>
  <si>
    <t>赣州铭兴实业有限公司</t>
  </si>
  <si>
    <t>含⽔果酒精饮料;葡萄酒;以葡萄酒为主的饮料;烧酒;清酒（⽇本⽶酒）;⾕物制蒸馏酒精饮料;⽩酒;⻩酒;⽶酒;餐后酒（利⼝酒和烈酒）</t>
  </si>
  <si>
    <t>邦丐生物科技（河北）有限公司</t>
  </si>
  <si>
    <t>威⼠忌;开胃酒;烈酒（饮料）;果酒（含酒精）;⻩酒;鸡尾酒;葡萄酒;利⼝酒;⽶酒;酒精饮料原汁</t>
  </si>
  <si>
    <t>凡惠鲜佳</t>
  </si>
  <si>
    <t>上海凡惠贸易有限公司</t>
  </si>
  <si>
    <t>清酒;葡萄酒;⻩酒;鸡尾酒;果酒;蒸煮提取物（利⼝酒和烈酒）;汽酒;⽶酒;酒精饮料（啤酒除外）;⽩酒</t>
  </si>
  <si>
    <t>御谐</t>
  </si>
  <si>
    <t>赵金法</t>
  </si>
  <si>
    <t>果酒（含酒精）;葡萄酒;威⼠忌;⽶酒;烈酒（饮料）;⾷⽤酒精;⽩酒;鸡尾酒;伏特加酒;⻩酒</t>
  </si>
  <si>
    <t>乌凤山堂</t>
  </si>
  <si>
    <t>欧阳文逵</t>
  </si>
  <si>
    <t>葡萄酒;酒精饮料（啤酒除外）;含⽔果酒精饮料;⽶酒;⽩酒;清酒;露酒;汽酒;⻩酒;果酒</t>
  </si>
  <si>
    <t>新客家久二叔</t>
  </si>
  <si>
    <t>梅州市金穗乐酒业有限公司</t>
  </si>
  <si>
    <t>烈酒（饮料）;利⼝酒;⽩酒;含⽔果酒精饮料;⻩酒;蒸馏饮料;酒精饮料（啤酒除外）;烧酒;开胃酒;⽶酒</t>
  </si>
  <si>
    <t>新客乡久叔</t>
  </si>
  <si>
    <t>烧酒;蒸馏饮料;利⼝酒;⽶酒;⻩酒;开胃酒;烈酒（饮料）;酒精饮料（啤酒除外）;含⽔果酒精饮料;⽩酒</t>
  </si>
  <si>
    <t>岭东昌醁</t>
  </si>
  <si>
    <t>赵文昌</t>
  </si>
  <si>
    <t>⽩⼲酒（中国⽩酒）;葡萄酒;烧酒;⽶酒;伏特加酒;⽩酒;鸡尾酒;果酒;⾼粱酒;烧酒（烈酒）</t>
  </si>
  <si>
    <t>坠龙池</t>
  </si>
  <si>
    <t>王树发</t>
  </si>
  <si>
    <t>伏特加酒;⽩酒;⽩兰地;汽酒;鸡尾酒;葡萄酒;威⼠忌;烈酒;果酒（含酒精）;露酒</t>
  </si>
  <si>
    <t>庭澜</t>
  </si>
  <si>
    <t>沈阳瑞柏酒店管理有限公司</t>
  </si>
  <si>
    <t>果酒（含酒精）;烧酒;⻘稞酒;鸡尾酒;⽩酒;烈酒（饮料）;⽶酒;葡萄酒;清酒（⽇本⽶酒）;⻩酒</t>
  </si>
  <si>
    <t>贵州省仁怀市梦玉酱酒业有限公司</t>
  </si>
  <si>
    <t>⽩酒;朗姆酒;⽩兰地;杜松⼦酒;梨酒;烈酒（饮料）;苦荞酒;烧酒;果酒（含酒精）;⽶酒</t>
  </si>
  <si>
    <t>米公爷</t>
  </si>
  <si>
    <t>王淑慧</t>
  </si>
  <si>
    <t>果酒（含酒精）;蒸馏饮料;酒精饮料（啤酒除外）;⽩酒;鸡尾酒;⻘稞酒;清酒（⽇本⽶酒）;葡萄酒;含⽔果酒精饮料;⽶酒</t>
  </si>
  <si>
    <t>裕太泉</t>
  </si>
  <si>
    <t>集安市鸭绿江酒业有限公司</t>
  </si>
  <si>
    <t>⾕物制蒸馏酒精饮料;⻩酒;⽼酒（中国蒸馏烈酒）;⽶酒;酒精饮料（啤酒除外）;葡萄酒;烧酒;朝鲜族⽶酒;⽩酒;⽩⼲酒（中国⽩酒）</t>
  </si>
  <si>
    <t>ALBYN</t>
  </si>
  <si>
    <t>深圳亿僔投资有限公司</t>
  </si>
  <si>
    <t>葡萄酒;葡萄潘趣酒;⽩兰地;烈酒浓缩汁;朗姆酒;伏特加酒;起泡⽩葡萄酒;烈酒;⽩酒;鸡尾酒</t>
  </si>
  <si>
    <t>克瑞琳夫卡</t>
  </si>
  <si>
    <t>威⼠忌;朗姆酒;烈酒（饮料）;利⼝酒;果酒（含酒精）;蒸馏饮料;甜酒;苦味酒;⽩酒;伏特加酒</t>
  </si>
  <si>
    <t>大浙门</t>
  </si>
  <si>
    <t>邱增好</t>
  </si>
  <si>
    <t>⽩酒;⻩酒;葡萄酒;烈酒（饮料）;酒精饮料（啤酒除外）;清酒（⽇本⽶酒）;⽶酒;果酒（含酒精）;鸡尾酒;烧酒</t>
  </si>
  <si>
    <t>皖色天香</t>
  </si>
  <si>
    <t>陈雪华</t>
  </si>
  <si>
    <t>烧酒;鸡尾酒;⽩酒;烈酒（饮料）;⻩酒;⽶酒;果酒（含酒精）;酒精饮料（啤酒除外）;葡萄酒;清酒（⽇本⽶酒）</t>
  </si>
  <si>
    <t>民旅</t>
  </si>
  <si>
    <t>黎伟</t>
  </si>
  <si>
    <t>果酒（含酒精）;蒸煮提取物（利⼝酒和烈酒）;⽩酒;⽶酒;酒精饮料原汁;⻩酒;葡萄酒;蒸馏饮料;烈酒（饮料）;含⽔果酒精饮料</t>
  </si>
  <si>
    <t>博世康</t>
  </si>
  <si>
    <t>湖南省博世康中医药有限公司</t>
  </si>
  <si>
    <t>蒸馏饮料;⾷⽤酒精;烧酒;⽶酒;葡萄酒;果酒（含酒精）;利⼝酒;⻩酒;清酒</t>
  </si>
  <si>
    <t>静桐</t>
  </si>
  <si>
    <t>宁夏昊悦兰酒庄有限公司</t>
  </si>
  <si>
    <t>预先混合的酒精饮料（以啤酒为主的除外）;起泡红葡萄酒;⽩兰地;葡萄酒;果酒;葡萄汽酒;已调味的蒸馏酒;甜果酒;酒精饮料（啤酒除外）;⽩酒</t>
  </si>
  <si>
    <t>JIAGU.COM</t>
  </si>
  <si>
    <t>四川应集科技有限公司</t>
  </si>
  <si>
    <t>⽩兰地;⾷⽤酒精;⽩酒;⽶酒;葡萄酒;蒸馏饮料;鸡尾酒;烈酒（饮料）;含酒精⽔果饮料;果酒（含酒精）</t>
  </si>
  <si>
    <t>暖新</t>
  </si>
  <si>
    <t>肖建坤</t>
  </si>
  <si>
    <t>利⼝酒;葡萄酒;酒精饮料（啤酒除外）;⽩兰地;预先混合的酒精饮料（以啤酒为主的除外）;果酒（含酒精）;⽶酒;⻩酒;鸡尾酒;⽩酒</t>
  </si>
  <si>
    <t>叶池中</t>
  </si>
  <si>
    <t>叶金花</t>
  </si>
  <si>
    <t>⻩酒;开胃酒;蜂蜜酒;⽶酒;烧酒;⽩酒;果酒（含酒精）;含⽔果酒精饮料;烈酒（饮料）;酒精饮料原汁</t>
  </si>
  <si>
    <t>恒利昌号</t>
  </si>
  <si>
    <t>罗贵</t>
  </si>
  <si>
    <t>鸡尾酒;烈酒（饮料）;⽶酒;果酒（含酒精）;⽩酒;⻘稞酒;杜松⼦酒;蜂蜜酒;⾕物制蒸馏酒精饮料;葡萄酒</t>
  </si>
  <si>
    <t>鸠鹏</t>
  </si>
  <si>
    <t>王春芸</t>
  </si>
  <si>
    <t>⽩酒;⻩酒;⾷⽤酒精;烧酒;含⽔果酒精饮料;⾕物制蒸馏酒精饮料;果酒（含酒精）;苦味酒;蜂蜜酒;⽶酒</t>
  </si>
  <si>
    <t>同贯昌</t>
  </si>
  <si>
    <t>赵红</t>
  </si>
  <si>
    <t>利⼝酒;葡萄酒;⽩酒;酒精饮料（啤酒除外）;⽶酒;鸡尾酒;烧酒;果酒（含酒精）;烈酒（饮料）;开胃酒</t>
  </si>
  <si>
    <t>誉妮有缘</t>
  </si>
  <si>
    <t>贵州古缘台酒业有限公司</t>
  </si>
  <si>
    <t>⽩酒;葡萄酒;⻘稞酒;⻩酒;烧酒;⽶酒;鸡尾酒;果酒（含酒精）;蜂蜜酒;威⼠忌</t>
  </si>
  <si>
    <t>HOUCALLER</t>
  </si>
  <si>
    <t>厦门豪客来餐饮管理有限公司</t>
  </si>
  <si>
    <t>⽩酒;葡萄酒;蒸馏饮料;鸡尾酒;酒精饮料（啤酒除外）;威⼠忌;⻩酒;含⽔果酒精饮料;清酒（⽇本⽶酒）;果酒</t>
  </si>
  <si>
    <t>老干御康</t>
  </si>
  <si>
    <t>娄芳林</t>
  </si>
  <si>
    <t>酒精饮料（啤酒除外）;⽩酒;⽶酒;果酒（含酒精）;含⽔果酒精饮料;葡萄酒;威⼠忌;蒸馏饮料;⽩兰地;⻩酒</t>
  </si>
  <si>
    <t>斟雄威</t>
  </si>
  <si>
    <t>重庆鸿坤堂健康咨询工作室</t>
  </si>
  <si>
    <t>烧酒（烈酒）;伏特加酒;含酒精的鸡尾酒混合饮品;预先混合的酒精饮料（以啤酒为主的除外）;⾼粱酒;鸡尾酒;烧酒;⽩⼲酒（中国⽩酒）;⽩酒;烈酒（饮料）</t>
  </si>
  <si>
    <t>翠酝堂</t>
  </si>
  <si>
    <t>王梅</t>
  </si>
  <si>
    <t>⾷⽤酒精;果酒（含酒精）;葡萄酒;⽶酒;烧酒;烈酒（饮料）;⽩酒;酒精饮料（啤酒除外）;⻩酒;含⽔果酒精饮料</t>
  </si>
  <si>
    <t>一河诗画</t>
  </si>
  <si>
    <t>贵州凯鸿佳水电物资有限公司</t>
  </si>
  <si>
    <t>⽩酒;⽶酒;葡萄酒;烧酒;⻩酒;烈酒（饮料）;清酒（⽇本⽶酒）;酒精饮料（啤酒除外）;⻘稞酒;果酒（含酒精）</t>
  </si>
  <si>
    <t>宝桢荣</t>
  </si>
  <si>
    <t>贵州一城一酒文化发展有限公司</t>
  </si>
  <si>
    <t>果酒（含酒精）;酒精饮料浓缩汁;⽩酒;烧酒;蒸煮提取物（利⼝酒和烈酒）;⽶酒;葡萄酒;酒精饮料（啤酒除外）;酒精饮料原汁;预先混合的酒精饮料（以啤酒为主的除外）</t>
  </si>
  <si>
    <t>金品朗</t>
  </si>
  <si>
    <t>烈酒（饮料）;葡萄酒;⽩酒;烧酒;⽶酒;⻩酒;开胃酒;鸡尾酒;含⽔果酒精饮料;利⼝酒</t>
  </si>
  <si>
    <t>正雄和天下</t>
  </si>
  <si>
    <t>袁渊</t>
  </si>
  <si>
    <t>⽩酒;烈酒;鸡尾酒;⾼粱酒;威⼠忌;⽼酒（中国蒸馏烈酒）;烧酒;⽶酒;葡萄酒;酒精饮料（啤酒除外）</t>
  </si>
  <si>
    <t>MEDISPO</t>
  </si>
  <si>
    <t>桂林恒保健康防护有限公司</t>
  </si>
  <si>
    <t>薄荷酒;茴芹酒（利⼝酒）;亚⼒酒;果酒（含酒精）;蒸馏饮料;苹果酒;苦味酒;茴⾹酒（利⼝酒）;鸡尾酒;开胃酒</t>
  </si>
  <si>
    <t>GONGXIAOWEIDAO</t>
  </si>
  <si>
    <t>福州供销好便利企业管理有限公司</t>
  </si>
  <si>
    <t>鸡尾酒;烈酒（饮料）;红葡萄酒;葡萄酒;含酒精⽔果饮料;⾷⽤酒精;⻩酒;果酒（含酒精）;汽酒;⽩酒</t>
  </si>
  <si>
    <t>虹器</t>
  </si>
  <si>
    <t>雷磊</t>
  </si>
  <si>
    <t>⽩酒;威⼠忌;果酒（含酒精）;鸡尾酒;⽶酒;预先混合的酒精饮料（以啤酒为主的除外）;烧酒;葡萄酒;含⽔果酒精饮料;⽩兰地</t>
  </si>
  <si>
    <t>九象金粮</t>
  </si>
  <si>
    <t>河南九象酒业有限公司</t>
  </si>
  <si>
    <t>⻘稞酒;⽩酒;酒精饮料浓缩汁;汽酒;酒精饮料原汁;酒精饮料（啤酒除外）;⻩酒;烧酒;⽶酒;⾷⽤酒精</t>
  </si>
  <si>
    <t>瓷色天香</t>
  </si>
  <si>
    <t>葡萄酒;⻩酒;烧酒;威⼠忌;鸡尾酒;酒精饮料（啤酒除外）;⽩酒;果酒（含酒精）;⽩兰地;清酒（⽇本⽶酒）</t>
  </si>
  <si>
    <t>VENSENEY</t>
  </si>
  <si>
    <t>果酒;含酒精的饮料（啤酒除外）;⽩兰地;蒸馏饮料;预先混合的酒精饮料（以啤酒为主的除外）;酒精饮料（啤酒除外）;⾕物制蒸馏酒精饮料;酒精饮料原汁;威⼠忌;葡萄酒</t>
  </si>
  <si>
    <t>金丰御</t>
  </si>
  <si>
    <t>农高科创研究院（山西）有限公司</t>
  </si>
  <si>
    <t>⽩酒;⻩酒;⾼粱酒;甜酒;果酒;烧酒;清酒;鸡尾酒;葡萄酒;⽶酒</t>
  </si>
  <si>
    <t>鑫宏易</t>
  </si>
  <si>
    <t>荆寿柏</t>
  </si>
  <si>
    <t>果酒;⽩酒;鸡尾酒;烧酒;葡萄酒;酒精饮料（啤酒除外）;蜂蜜酒;⻩酒;含酒精⽔果饮料;⽶酒</t>
  </si>
  <si>
    <t>永宁道台</t>
  </si>
  <si>
    <t>四川生源酒业集团有限公司</t>
  </si>
  <si>
    <t>葡萄酒;露酒;烈酒（饮料）;蒸馏饮料;餐后酒（利⼝酒和烈酒）;苹果酒;果酒（含酒精）;⽩酒;⽶酒;⾕物制蒸馏酒精饮料</t>
  </si>
  <si>
    <t>阿乐泰</t>
  </si>
  <si>
    <t>阿勒泰地区二牧场酒业有限公司</t>
  </si>
  <si>
    <t>蒸煮提取物（利⼝酒和烈酒）;果酒（含酒精）;⽩酒;⽶酒;鸡尾酒;烧酒;⻩酒;开胃酒;葡萄酒;含⽔果酒精饮料</t>
  </si>
  <si>
    <t>果酒（含酒精）;烧酒;⻩酒;蒸煮提取物（利⼝酒和烈酒）;含⽔果酒精饮料;鸡尾酒;开胃酒;⽩酒;⽶酒;葡萄酒</t>
  </si>
  <si>
    <t>一蝉臻颜</t>
  </si>
  <si>
    <t>长兴武馨悟艺农业科技有限公司</t>
  </si>
  <si>
    <t>果酒（含酒精）;葡萄酒;含⽔果酒精饮料;⽶酒;酒精饮料（啤酒除外）;⽩酒;预先混合的酒精饮料（以啤酒为主的除外）;苦味酒;已调味的⻨芽酿制的酒精饮料（啤酒除外）;⻩酒</t>
  </si>
  <si>
    <t>嗨纪</t>
  </si>
  <si>
    <t>伍若愚</t>
  </si>
  <si>
    <t>利⼝酒;葡萄酒;烈酒（饮料）;⽩酒;预先混合的酒精饮料（以啤酒为主的除外）;威⼠忌;果酒（含酒精）;⻩酒;烧酒;⽶酒</t>
  </si>
  <si>
    <t>庆酌梦</t>
  </si>
  <si>
    <t>周成敏</t>
  </si>
  <si>
    <t>烧酒（烈酒）;葡萄酒;酒精饮料（啤酒除外）;⾷⽤酒精;⽩酒;⽶酒;烧酒;果酒（含酒精）;酒精饮料浓缩汁;蒸煮提取物（利⼝酒和烈酒）</t>
  </si>
  <si>
    <t>邯泸</t>
  </si>
  <si>
    <t>邯郸老窖酒业有限公司</t>
  </si>
  <si>
    <t>鸡尾酒;含⽔果酒精饮料;果酒（含酒精）;蜂蜜酒;烈酒（饮料）;⽶酒;⽩酒;葡萄酒;酒精饮料（啤酒除外）;烧酒</t>
  </si>
  <si>
    <t>龙樽凤玺酎 凤玺龙樽 龙樽凤玺</t>
  </si>
  <si>
    <t>⻩酒;⽼酒（中国蒸馏烈酒）;烈酒;烧酒;⽶酒;葡萄酒;酒精饮料（啤酒除外）;清酒;果酒;⽩酒</t>
  </si>
  <si>
    <t>迎宋</t>
  </si>
  <si>
    <t>贵州省仁怀市迎宋酒业有限公司</t>
  </si>
  <si>
    <t>果酒（含酒精）;露酒;⽩酒;⾕物制蒸馏酒精饮料;餐后酒（利⼝酒和烈酒）;葡萄酒;烈酒（饮料）;蒸馏饮料;⽶酒;苹果酒</t>
  </si>
  <si>
    <t>东涧谷</t>
  </si>
  <si>
    <t>王东磊</t>
  </si>
  <si>
    <t>开胃酒;五加⽪酒（中国混合烈酒）;⾼粱酒;果酒（含酒精）;⽩⼲酒（中国⽩酒）;烈酒（饮料）;烧酒（烈酒）;⾕物制蒸馏酒精饮料;⽩酒;⽼酒（中国蒸馏烈酒）</t>
  </si>
  <si>
    <t>潭色天香</t>
  </si>
  <si>
    <t>肖梦威</t>
  </si>
  <si>
    <t>葡萄酒;清酒（⽇本⽶酒）;⽩酒;开胃酒;果酒（含酒精）;⻩酒;鸡尾酒;烧酒;蜂蜜酒;酒精饮料（啤酒除外）</t>
  </si>
  <si>
    <t>庄泰吉</t>
  </si>
  <si>
    <t>霍山橡树电子商务有限责任公司</t>
  </si>
  <si>
    <t>含⽔果酒精饮料;⽶酒;⽩酒;烈酒（饮料）;五加⽪酒（中国混合烈酒）;⻩酒;黑覆盆⼦酒;樱桃酒;梨酒;果酒（含酒精）</t>
  </si>
  <si>
    <t>百隆雅金山</t>
  </si>
  <si>
    <t>王华宇</t>
  </si>
  <si>
    <t>汽酒;酒精饮料浓缩汁;预先混合的酒精饮料（以啤酒为主的除外）;酸酒（低等葡萄酒）;开胃酒;⽶酒;果酒（含酒精）;烧酒;酒精饮料（啤酒除外）;⽩酒</t>
  </si>
  <si>
    <t>州无忧</t>
  </si>
  <si>
    <t>薛俊卿</t>
  </si>
  <si>
    <t>⽶酒;苹果酒;汽酒;威⼠忌;鸡尾酒;⽩兰地;葡萄酒;果酒;⽩酒;烈酒</t>
  </si>
  <si>
    <t>鼎垣香</t>
  </si>
  <si>
    <t>⽩酒;酒精饮料（啤酒除外）;鸡尾酒;威⼠忌;⻩酒;烧酒;⽩兰地;⽶酒;葡萄酒;果酒（含酒精）</t>
  </si>
  <si>
    <t>岁领览</t>
  </si>
  <si>
    <t>康宏</t>
  </si>
  <si>
    <t>果酒（含酒精）;烈酒（饮料）;酒精饮料原汁;烧酒;清酒;鸡尾酒;⽩酒;威⼠忌;含⽔果酒精饮料;蒸馏饮料</t>
  </si>
  <si>
    <t>烈酒（饮料）;酸酒（低等葡萄酒）;杜松⼦酒;利⼝酒;葡萄酒;蜂蜜酒;⽩兰地;樱桃酒;蒸煮提取物（利⼝酒和烈酒）;柑⾹酒</t>
  </si>
  <si>
    <t>固善道</t>
  </si>
  <si>
    <t>陈德红</t>
  </si>
  <si>
    <t>烧酒;果酒（含酒精）;⻩酒;葡萄酒;⽶酒;清酒（⽇本⽶酒）;⻘稞酒;⾷⽤酒精;鸡尾酒;⽩酒</t>
  </si>
  <si>
    <t>加小将</t>
  </si>
  <si>
    <t>长沙加小酱酒业有限公司</t>
  </si>
  <si>
    <t>汽酒;果酒（含酒精）;烈酒;⽩兰地;威⼠忌;葡萄酒;⽩酒;利⼝酒;鸡尾酒;伏特加酒</t>
  </si>
  <si>
    <t>禹金龙</t>
  </si>
  <si>
    <t>王勤</t>
  </si>
  <si>
    <t>果酒（含酒精）;⽶酒;烧酒;清酒（⽇本⽶酒）;⽩酒;⻩酒;鸡尾酒;葡萄酒;酒精饮料（啤酒除外）;开胃酒</t>
  </si>
  <si>
    <t>兴农嫂</t>
  </si>
  <si>
    <t>辉县市果然好有机农场</t>
  </si>
  <si>
    <t>烧酒;⽩酒;⻩酒;烈酒（饮料）;葡萄酒;鸡尾酒;果酒（含酒精）;清酒（⽇本⽶酒）;⽶酒;酒精饮料（啤酒除外）</t>
  </si>
  <si>
    <t>袁鹏</t>
  </si>
  <si>
    <t>葡萄酒;清酒;⽶酒;酒精饮料（啤酒除外）;烧酒;⽩酒;果酒（含酒精）;⻩酒;烈酒（饮料）;鸡尾酒</t>
  </si>
  <si>
    <t>百亿行</t>
  </si>
  <si>
    <t>刘小英</t>
  </si>
  <si>
    <t>⾕物制蒸馏酒精饮料;⽩酒;鸡尾酒;烧酒;⻩酒;酒精饮料（啤酒除外）;⽶酒;⾼粱酒;果酒（含酒精）;烈酒（饮料）</t>
  </si>
  <si>
    <t>虞美娘</t>
  </si>
  <si>
    <t>贝拓（杭州）视觉科技有限公司</t>
  </si>
  <si>
    <t>含⽔果酒精饮料;果酒（含酒精）;预先混合的酒精饮料（以啤酒为主的除外）;酒精饮料（啤酒除外）;⽩酒</t>
  </si>
  <si>
    <t>莲池行宫</t>
  </si>
  <si>
    <t>保定金名片酒业有限公司</t>
  </si>
  <si>
    <t>⽶酒;葡萄酒;清酒（⽇本⽶酒）;含⽔果酒精饮料;⽩酒;⻩酒;烈酒（饮料）;酒精饮料（啤酒除外）;烧酒;鸡尾酒</t>
  </si>
  <si>
    <t>汤沟苏雅</t>
  </si>
  <si>
    <t>⽩⼲酒（中国⽩酒）;酒精饮料（啤酒除外）;葡萄酒;⽶酒;蒸煮提取物（利⼝酒和烈酒）;⾷⽤酒精;⻩酒;开胃酒;果酒（含酒精）;⽩酒</t>
  </si>
  <si>
    <t>SOUL HORN</t>
  </si>
  <si>
    <t>临沧易德物业服务有限公司</t>
  </si>
  <si>
    <t>葡萄酒;⽶酒;含⽔果酒精饮料;汽酒;甜酒;甜果酒;梅酒;果酒（含酒精）;鸡尾酒;⽩酒</t>
  </si>
  <si>
    <t>富果恋</t>
  </si>
  <si>
    <t>陕西裕丰昌沃在佳食品有限责任公司</t>
  </si>
  <si>
    <t>黑醋栗酒</t>
  </si>
  <si>
    <t>漳酒</t>
  </si>
  <si>
    <t>蔡海伟</t>
  </si>
  <si>
    <t>烧酒;梅酒;开胃酒;⽩⼲酒（中国⽩酒）;⻩酒;⽩酒;由⾕物蒸馏的⽩酒;⾼粱酒;果酒（含酒精）;葡萄酒</t>
  </si>
  <si>
    <t>醍小庄</t>
  </si>
  <si>
    <t>邢台吉采网络科技有限公司</t>
  </si>
  <si>
    <t>⻩酒;果酒（含酒精）;梨酒;⽢蔗制酒精饮料;预先混合的酒精饮料（以啤酒为主的除外）;⽩兰地;⽩酒;以葡萄酒为主的饮料;含⽔果酒精饮料;葡萄酒</t>
  </si>
  <si>
    <t>甄香润</t>
  </si>
  <si>
    <t>莱阳市瀚文商贸有限公司</t>
  </si>
  <si>
    <t>⽩兰地;梨酒;⽩酒;蒸馏饮料;果酒（含酒精）;葡萄酒;⾷⽤酒精;烈酒（饮料）;烧酒;蒸煮提取物（利⼝酒和烈酒）</t>
  </si>
  <si>
    <t>憨品</t>
  </si>
  <si>
    <t>葡萄酒;烧酒;⽩酒;⽼酒（中国蒸馏烈酒）;露酒;⽶酒;⻘稞酒;清酒;苦荞酒;果酒</t>
  </si>
  <si>
    <t>烎火春</t>
  </si>
  <si>
    <t>果酒（含酒精）;葡萄酒;⽩酒;⻩酒;蒸馏饮料;由⾕物蒸馏的⽩酒;含酒精的充⽓饮料（啤酒除外）;除啤酒外的酒精饮料;鸡尾酒;⽩⼲酒（中国⽩酒）</t>
  </si>
  <si>
    <t>京蒙情缘</t>
  </si>
  <si>
    <t>内蒙古蒙能投资有限公司</t>
  </si>
  <si>
    <t>果酒（含酒精）;开胃酒;⽼酒（中国蒸馏烈酒）;葡萄酒;⻩酒;蒸馏饮料;⻘稞酒;烧酒;⽶酒;⽩酒</t>
  </si>
  <si>
    <t>汤沟亿当垆</t>
  </si>
  <si>
    <t>蒸煮提取物（利⼝酒和烈酒）;⽩⼲酒（中国⽩酒）;⽶酒;酒精饮料（啤酒除外）;⾷⽤酒精;果酒（含酒精）;葡萄酒;⽩酒;开胃酒;⻩酒</t>
  </si>
  <si>
    <t>五俺答</t>
  </si>
  <si>
    <t>⽩酒;烈酒;甜酒;葡萄酒;⽶酒;果酒;⻘稞酒;鸡尾酒;酒精饮料原汁;烧酒</t>
  </si>
  <si>
    <t>渝买买</t>
  </si>
  <si>
    <t>渝买买（重庆）商贸有限公司</t>
  </si>
  <si>
    <t>烧酒;鸡尾酒;烈酒;⽩酒;威⼠忌;⻩酒;果酒;⽶酒;清酒;葡萄酒</t>
  </si>
  <si>
    <t>捷宝利 JIEPOLLY</t>
  </si>
  <si>
    <t>广州市驴骑户外用品有限公司</t>
  </si>
  <si>
    <t>开胃酒;鸡尾酒;果酒（含酒精）;含⽔果酒精饮料;葡萄酒;⽶酒;酒精饮料（啤酒除外）;⽩酒;烧酒;⻩酒</t>
  </si>
  <si>
    <t>溪涛酒</t>
  </si>
  <si>
    <t>王元君</t>
  </si>
  <si>
    <t>果酒（含酒精）;酒精饮料（啤酒除外）;⻩酒;含⽔果酒精饮料;威⼠忌;葡萄酒;⽩酒;开胃酒;蒸馏饮料;薄荷酒</t>
  </si>
  <si>
    <t>霸王九吉</t>
  </si>
  <si>
    <t>贵州赖恒荣酒业有限公司</t>
  </si>
  <si>
    <t>⽩⼲酒（中国⽩酒）;威⼠忌;⾼粱酒;红葡萄酒;含酒精⽔果饮料;⽶酒;⽩酒;清酒;果酒;梅酒</t>
  </si>
  <si>
    <t>徽老头</t>
  </si>
  <si>
    <t>黄山徽老头食品有限公司</t>
  </si>
  <si>
    <t>果酒;红葡萄酒;烈酒;烧酒;烈酒（饮料）;甜酒;预先混合的酒精饮料（以啤酒为主的除外）;⽶酒;果酒（含酒精）;⽩酒</t>
  </si>
  <si>
    <t>正祥元</t>
  </si>
  <si>
    <t>黑龙江正祥元生物科技有限公司</t>
  </si>
  <si>
    <t>⽩兰地;鸡尾酒;⽩酒;烧酒;威⼠忌;烈酒（饮料）;葡萄酒;⻩酒;果酒（含酒精）;⽶酒</t>
  </si>
  <si>
    <t>贵州仁怀纵揽酒业有限公司</t>
  </si>
  <si>
    <t>果酒（含酒精）;⽩酒;清酒;已调味的蒸馏酒;葡萄酒;⽶酒;含酒精的饮料（啤酒除外）;⻩酒;预先混合的酒精饮料（以啤酒为主的除外）;烧酒（烈酒）</t>
  </si>
  <si>
    <t>NUCENER</t>
  </si>
  <si>
    <t>深圳市翰青科技有限公司</t>
  </si>
  <si>
    <t>⽩兰地;威⼠忌;⽩酒;葡萄酒;⽶酒</t>
  </si>
  <si>
    <t>碧波星</t>
  </si>
  <si>
    <t>果酒;含⽔果酒精饮料;威⼠忌;⽩兰地;⻩酒;鸡尾酒;含酒精的⽔果鸡尾酒饮料;⽩酒;葡萄酒;⽶酒</t>
  </si>
  <si>
    <t>莲池十二景</t>
  </si>
  <si>
    <t>⻩酒;⽩酒;⽶酒;葡萄酒;鸡尾酒;含⽔果酒精饮料;烈酒（饮料）;酒精饮料（啤酒除外）;烧酒;清酒（⽇本⽶酒）</t>
  </si>
  <si>
    <t>慰缭子</t>
  </si>
  <si>
    <t>贵州老工匠酒业有限公司</t>
  </si>
  <si>
    <t>⽼酒（中国蒸馏烈酒）;烧酒;利⼝酒;⻩酒;果酒;⽩酒;清酒;⽩兰地;葡萄酒;⽶酒</t>
  </si>
  <si>
    <t>印象观果</t>
  </si>
  <si>
    <t>贵州观果酒业有限公司</t>
  </si>
  <si>
    <t>酒精饮料（啤酒除外）;⽩酒;烧酒;开胃酒;⽶酒;⻩酒;果酒（含酒精）;葡萄酒;⽩兰地;由⾕物蒸馏的⽩酒</t>
  </si>
  <si>
    <t>仙贡琼</t>
  </si>
  <si>
    <t>黄圣</t>
  </si>
  <si>
    <t>果酒（含酒精）;威⼠忌;蒸馏饮料;清酒;含⽔果酒精饮料;烈酒（饮料）;鸡尾酒;烧酒;酒精饮料原汁;⽩酒</t>
  </si>
  <si>
    <t>五祉矶</t>
  </si>
  <si>
    <t>葡萄酒;⻩酒;蒸馏饮料;果酒（含酒精）;含酒精的充⽓饮料（啤酒除外）;由⾕物蒸馏的⽩酒;除啤酒外的酒精饮料;鸡尾酒;⽩酒;⽩⼲酒（中国⽩酒）</t>
  </si>
  <si>
    <t>浓家小坛福</t>
  </si>
  <si>
    <t>贵州省仁怀市福人德酒业有限公司</t>
  </si>
  <si>
    <t>⻘稞酒;⽩酒;酒精饮料（啤酒除外）;葡萄酒;烧酒;清酒（⽇本⽶酒）;威⼠忌;伏特加酒;⻩酒;利⼝酒</t>
  </si>
  <si>
    <t>科宫传奇</t>
  </si>
  <si>
    <t>⽩酒;烈酒（饮料）;伏特加酒;利⼝酒;苦味酒;威⼠忌;朗姆酒;果酒（含酒精）;蒸馏饮料;甜酒</t>
  </si>
  <si>
    <t>郑州泽言文化传媒有限公司</t>
  </si>
  <si>
    <t>⽶酒;果酒;烈酒;⽩酒;⻩酒;含酒精的充⽓饮料（啤酒除外）;⽩⼲酒（中国⽩酒）;鸡尾酒;葡萄酒;⽼酒（中国蒸馏烈酒）</t>
  </si>
  <si>
    <t>纽麦泉</t>
  </si>
  <si>
    <t>高儒海</t>
  </si>
  <si>
    <t>烧酒;烈酒（饮料）;果酒（含酒精）;鸡尾酒;含⽔果酒精饮料;威⼠忌;酒精饮料原汁;蒸馏饮料;⽩酒;清酒</t>
  </si>
  <si>
    <t>水栏兴聚缘</t>
  </si>
  <si>
    <t>胡虎</t>
  </si>
  <si>
    <t>果酒;已调味的⻨芽酿制的酒精饮料（啤酒除外）;⽶酒;⾕物制蒸馏酒精饮料;⽼酒（中国蒸馏烈酒）;除啤酒外的酒精饮料;⻘稞酒;⽩酒;⻩酒;⾼粱酒</t>
  </si>
  <si>
    <t>楼仁权</t>
  </si>
  <si>
    <t>苟廷权(522101********5416)</t>
  </si>
  <si>
    <t>⽩⼲酒（中国⽩酒）;烈酒;⽶酒;利⼝酒;含⽔果酒精饮料;鸡尾酒;蒸煮提取物（利⼝酒和烈酒）;果酒（含酒精）;烈酒（饮料）;⽩酒</t>
  </si>
  <si>
    <t>荷韵太极</t>
  </si>
  <si>
    <t>邯郸九溪贸易有限公司</t>
  </si>
  <si>
    <t>葡萄酒;烈酒（饮料）;清酒（⽇本⽶酒）;烧酒;⽩酒;鸡尾酒;酒精饮料（啤酒除外）;⻩酒;⽶酒;果酒（含酒精）</t>
  </si>
  <si>
    <t>九象今粮</t>
  </si>
  <si>
    <t>⾷⽤酒精;⽩酒;酒精饮料原汁;酒精饮料（啤酒除外）;⽶酒;汽酒;⻩酒;⻘稞酒;烧酒;酒精饮料浓缩汁</t>
  </si>
  <si>
    <t>莅尊</t>
  </si>
  <si>
    <t>宜宾奎斧匠人装饰工程有限公司</t>
  </si>
  <si>
    <t>果酒（含酒精）;⻩酒;⾷⽤酒精;蒸馏饮料;酒精饮料（啤酒除外）;葡萄酒;⽶酒;烧酒;开胃酒;⽩酒</t>
  </si>
  <si>
    <t>KIMBLAND</t>
  </si>
  <si>
    <t>烈酒;⽩酒;朗姆酒;烈酒浓缩汁;起泡⽩葡萄酒;葡萄酒;葡萄潘趣酒;伏特加酒;⽩兰地;鸡尾酒</t>
  </si>
  <si>
    <t>九廷臻</t>
  </si>
  <si>
    <t>鄂尔多斯市九廷装饰装修有限公司</t>
  </si>
  <si>
    <t>葡萄酒;烈酒（饮料）;清酒（⽇本⽶酒）;果酒（含酒精）;甜酒;烧酒;酒精饮料（啤酒除外）;⽩酒;⻩酒;⽶酒</t>
  </si>
  <si>
    <t>克理姆琳夫卡</t>
  </si>
  <si>
    <t>甜酒;果酒（含酒精）;烈酒（饮料）;蒸馏饮料;利⼝酒;朗姆酒;伏特加酒;⽩酒;威⼠忌;苦味酒</t>
  </si>
  <si>
    <t>昱珩</t>
  </si>
  <si>
    <t>深圳市亿草堂中医药科技有限公司</t>
  </si>
  <si>
    <t>鸡尾酒;酒精饮料（啤酒除外）;⽩酒;果酒（含酒精）;烈酒（饮料）;以葡萄酒为主的开胃酒;葡萄酒;烧酒;⻩酒;⽶酒</t>
  </si>
  <si>
    <t>闻豪</t>
  </si>
  <si>
    <t>烈酒（饮料）;威⼠忌;鸡尾酒;酒精饮料（啤酒除外）;葡萄酒;⽩酒;烧酒;⽶酒;果酒（含酒精）;⽩兰地</t>
  </si>
  <si>
    <t>囍九运</t>
  </si>
  <si>
    <t>烧酒;葡萄酒;果酒（含酒精）;烈酒（饮料）;⽶酒;威⼠忌;鸡尾酒;⽩酒;酒精饮料（啤酒除外）;⽩兰地</t>
  </si>
  <si>
    <t>关东舒</t>
  </si>
  <si>
    <t>程中祥</t>
  </si>
  <si>
    <t>开胃酒;以葡萄酒为主的开胃酒;薄荷酒;酒精饮料原汁;由⾕物蒸馏的⽩酒;⽼酒（中国蒸馏烈酒）;烧酒（烈酒）;五加⽪酒（中国混合烈酒）;烧酒;已调味的蒸馏酒</t>
  </si>
  <si>
    <t>禧福年</t>
  </si>
  <si>
    <t>上官丰卫</t>
  </si>
  <si>
    <t>鸡尾酒;⻩酒;葡萄酒;酒精饮料（啤酒除外）;⽩酒;烧酒;蒸馏饮料;果酒;清酒;⽶酒</t>
  </si>
  <si>
    <t>CULUNM 卡伦姆</t>
  </si>
  <si>
    <t>酒精饮料（啤酒除外）;⽶酒;烈酒（饮料）;果酒（含酒精）;⽩酒;鸡尾酒;烧酒;葡萄酒;⽩兰地;威⼠忌</t>
  </si>
  <si>
    <t>汉佗台</t>
  </si>
  <si>
    <t>谢事成</t>
  </si>
  <si>
    <t>含酒精的饮料（啤酒除外）;⻩酒;佐餐酒;汽酒;⽩酒;果酒;葡萄酒;⽩⼲酒（中国⽩酒）;烧酒;⽶酒</t>
  </si>
  <si>
    <t>酩亚</t>
  </si>
  <si>
    <t>聂学奇</t>
  </si>
  <si>
    <t>⽶酒;果酒（含酒精）;鸡尾酒;起泡⽩葡萄酒;甜酒;⽩兰地;⽩酒;烈酒;葡萄酒;威⼠忌</t>
  </si>
  <si>
    <t>湘瑶裕</t>
  </si>
  <si>
    <t>赵行刚</t>
  </si>
  <si>
    <t>⽶酒;⽩酒;⽩兰地;烧酒;蒸馏⽶酒（泡盛酒）;开胃酒;鸡尾酒;葡萄酒;⻩酒;含酒精的饮料（啤酒除外）</t>
  </si>
  <si>
    <t>醺泱</t>
  </si>
  <si>
    <t>蒸煮提取物（利⼝酒和烈酒）;葡萄酒;⽩酒;烧酒（烈酒）;果酒（含酒精）;烧酒;⽶酒;酒精饮料浓缩汁;酒精饮料（啤酒除外）;⾷⽤酒精</t>
  </si>
  <si>
    <t>乾余</t>
  </si>
  <si>
    <t>济南乾余酿造有限公司</t>
  </si>
  <si>
    <t>伏特加酒;含酒精的⽓泡⽔;以葡萄酒为主的饮料;⽩酒;⽶酒;⻩酒;烧酒;利⼝酒;开胃酒;葡萄酒</t>
  </si>
  <si>
    <t>鹞子沟</t>
  </si>
  <si>
    <t>青海优旦农牧科技有限公司</t>
  </si>
  <si>
    <t>烈酒（饮料）;鸡尾酒;果酒（含酒精）;开胃酒;酒精饮料（啤酒除外）;葡萄酒;⻩酒;烧酒;⽩酒;⽶酒</t>
  </si>
  <si>
    <t>亿夫神草</t>
  </si>
  <si>
    <t>云南仁福医药科技有限公司</t>
  </si>
  <si>
    <t>⾕物制蒸馏酒精饮料;酒精饮料（啤酒除外）;酒精饮料原汁;餐后酒（利⼝酒和烈酒）;汽酒;⾷⽤酒精;⽩酒;⽶酒;⻩酒;果酒（含酒精）</t>
  </si>
  <si>
    <t>清花炎黄</t>
  </si>
  <si>
    <t>⽩酒;酒精饮料（啤酒除外）;朗姆酒;鸡尾酒;葡萄酒;伏特加酒;烧酒;果酒（含酒精）;清酒（⽇本⽶酒）;⻩酒</t>
  </si>
  <si>
    <t>KAYSNYDER</t>
  </si>
  <si>
    <t>凯斯耐德（香港）有限公司</t>
  </si>
  <si>
    <t>薄荷酒;开胃酒;苹果酒;亚⼒酒;蒸馏饮料;茴芹酒（利⼝酒）;茴⾹酒（利⼝酒）;餐后酒（利⼝酒和烈酒）;果酒（含酒精）;苦味酒</t>
  </si>
  <si>
    <t>法乐兹</t>
  </si>
  <si>
    <t>香港法乐兹食品集团有限公司</t>
  </si>
  <si>
    <t>⽩酒;果酒（含酒精）;⻩酒;酒精饮料（啤酒除外）;汽酒;威⼠忌;鸡尾酒;葡萄酒;⽶酒;烧酒</t>
  </si>
  <si>
    <t>泰州梅澜芳华文化演艺有限公司</t>
  </si>
  <si>
    <t>酒精饮料（啤酒除外）;⻩酒;蒸煮提取物（利⼝酒和烈酒）;果酒（含酒精）;烈酒（饮料）;⽩酒;威⼠忌;清酒;⽶酒</t>
  </si>
  <si>
    <t>御粮东海</t>
  </si>
  <si>
    <t>连云港华博农业开发有限公司</t>
  </si>
  <si>
    <t>威⼠忌;⾷⽤酒精;⽶酒;果酒（含酒精）;清酒（⽇本⽶酒）;⻩酒;⽩酒;酒精饮料（啤酒除外）;⽩兰地;鸡尾酒</t>
  </si>
  <si>
    <t>果州福</t>
  </si>
  <si>
    <t>高君</t>
  </si>
  <si>
    <t>威⼠忌;蒸馏饮料;⽩兰地;⻩酒;烧酒;⽩酒;葡萄酒;⽶酒;果酒（含酒精）;鸡尾酒</t>
  </si>
  <si>
    <t>虞醉红</t>
  </si>
  <si>
    <t>含⽔果酒精饮料;预先混合的酒精饮料（以啤酒为主的除外）;酒精饮料（啤酒除外）;⽩酒;果酒（含酒精）</t>
  </si>
  <si>
    <t>钦廉 YAM LIM</t>
  </si>
  <si>
    <t>深圳市钦廉文化有限公司</t>
  </si>
  <si>
    <t>葡萄酒;⻩酒;烧酒（烈酒）;果酒（含酒精）;含酒精的⽔果鸡尾酒饮料;⽶酒;酒精饮料（啤酒除外）;⽩酒;烈酒（饮料）;威⼠忌</t>
  </si>
  <si>
    <t>苏珠今遇</t>
  </si>
  <si>
    <t>徐州天草天牧商贸有限公司</t>
  </si>
  <si>
    <t>烧酒;开胃酒;鸡尾酒;⽩酒;⻩酒;果酒（含酒精）;葡萄酒;⽔果汽酒;⽶酒;威⼠忌</t>
  </si>
  <si>
    <t>SKYWORTH 创维</t>
  </si>
  <si>
    <t>创维集团有限公司</t>
  </si>
  <si>
    <t>果酒（含酒精）;鸡尾酒;酒精饮料浓缩汁;葡萄酒;⾷⽤酒精;清酒（⽇本⽶酒）;烧酒;蒸馏饮料;酒精饮料（啤酒除外）;⽩酒</t>
  </si>
  <si>
    <t>雀满</t>
  </si>
  <si>
    <t>郭洪光</t>
  </si>
  <si>
    <t>清酒;⽩酒;鸡尾酒;酒精饮料原汁;含⽔果酒精饮料;威⼠忌;烈酒（饮料）;果酒（含酒精）;蒸馏饮料;烧酒</t>
  </si>
  <si>
    <t>两株树</t>
  </si>
  <si>
    <t>徐天耀</t>
  </si>
  <si>
    <t>⽩酒;烈酒（饮料）;⽢蔗制烈酒;烧酒;⻩酒;葡萄酒;⽶酒;鸡尾酒;酒精饮料（啤酒除外）;果酒（含酒精）</t>
  </si>
  <si>
    <t>京都安顺堂</t>
  </si>
  <si>
    <t>江西安顺堂生物科技有限公司</t>
  </si>
  <si>
    <t>鸡尾酒;酒精饮料（啤酒除外）;⽶酒;利⼝酒;⻩酒;葡萄酒;果酒（含酒精）;蒸馏饮料;⽩酒;含⽔果酒精饮料</t>
  </si>
  <si>
    <t>诺卡酷帕奇</t>
  </si>
  <si>
    <t>威⼠忌;葡萄酒;鸡尾酒;果酒;⻩酒;果酒（含酒精）;烈酒（饮料）;⽩酒;酒精饮料（啤酒除外）;开胃酒</t>
  </si>
  <si>
    <t>雍帝贡</t>
  </si>
  <si>
    <t>朋礼加</t>
  </si>
  <si>
    <t>葡萄酒;烧酒（烈酒）;⾼粱酒;⽩酒;露酒;⻩酒;蒸馏饮料;⽶酒;烧酒;果酒（含酒精）</t>
  </si>
  <si>
    <t>云同台</t>
  </si>
  <si>
    <t>罗铭希</t>
  </si>
  <si>
    <t>⽶酒;烈酒（饮料）;烧酒;葡萄酒;果酒（含酒精）;⽩兰地;酒精饮料（啤酒除外）;⽩酒;威⼠忌;鸡尾酒</t>
  </si>
  <si>
    <t>晏十九</t>
  </si>
  <si>
    <t>湖南国晏酒业有限公司</t>
  </si>
  <si>
    <t>鸡尾酒;⽩⼲酒（中国⽩酒）;酒精饮料（啤酒除外）;⽶酒;烧酒;含⽔果酒精饮料;蜂蜜酒;葡萄酒;⽩酒;⾕物制蒸馏酒精饮料</t>
  </si>
  <si>
    <t>墨坞</t>
  </si>
  <si>
    <t>酒精饮料（啤酒除外）;⽩酒;烧酒;鸡尾酒;⽶酒;果酒（含酒精）;威⼠忌;烈酒（饮料）;葡萄酒;⽩兰地</t>
  </si>
  <si>
    <t>泛系</t>
  </si>
  <si>
    <t>云南泛茶茶业有限公司</t>
  </si>
  <si>
    <t>薄荷酒;⽩酒;茴芹酒（利⼝酒）;苦味酒;鸡尾酒;苹果酒;开胃酒;蒸馏饮料;葡萄酒;亚⼒酒</t>
  </si>
  <si>
    <t>刘彻醉</t>
  </si>
  <si>
    <t>王家云</t>
  </si>
  <si>
    <t>烈酒（饮料）;葡萄酒;清酒（⽇本⽶酒）;⻩酒;⻘稞酒;鸡尾酒;⽩酒;烧酒;⽶酒;烈酒</t>
  </si>
  <si>
    <t>ALLMAX</t>
  </si>
  <si>
    <t>领凇（香港）营养品有限公司</t>
  </si>
  <si>
    <t>⽩酒;蒸馏饮料;甜酒;甜果酒;⾷⽤酒精;⽶酒;烈酒;葡萄酒;含⽔果酒精饮料;酒精饮料（啤酒除外）</t>
  </si>
  <si>
    <t>咪喽公文包</t>
  </si>
  <si>
    <t>丘成蕃</t>
  </si>
  <si>
    <t>⽩酒;餐后酒（利⼝酒和烈酒）;果酒（含酒精）;开胃酒;薄荷酒;烧酒;鸡尾酒;樱桃酒;利⼝酒;含⽔果酒精饮料</t>
  </si>
  <si>
    <t>山西晋汾大曲酒业有限公司</t>
  </si>
  <si>
    <t>酒精饮料（啤酒除外）;⻩酒;⽩酒;果酒（含酒精）;⽶酒;含酒精的鸡尾酒混合饮品;蒸馏饮料;烈酒（饮料）;葡萄酒;蜂蜜酒</t>
  </si>
  <si>
    <t>长安澜</t>
  </si>
  <si>
    <t>陕西洛雪品牌管理有限公司</t>
  </si>
  <si>
    <t>烈酒（饮料）;烧酒;⽩酒;葡萄酒;⽼酒（中国蒸馏烈酒）;⽶酒;酒精饮料（啤酒除外）;蒸馏饮料;⻩酒;果酒</t>
  </si>
  <si>
    <t>词也</t>
  </si>
  <si>
    <t>朱大男320525********4113</t>
  </si>
  <si>
    <t>汽酒;清酒（⽇本⽶酒）;葡萄酒;⽶酒;果酒（含酒精）;⻘稞酒;烈酒（饮料）;烧酒;⽩酒;⻩酒</t>
  </si>
  <si>
    <t>炮也</t>
  </si>
  <si>
    <t>烧酒;清酒（⽇本⽶酒）;烈酒（饮料）;⽶酒;果酒（含酒精）;⽩酒;⻘稞酒;⻩酒;汽酒;葡萄酒</t>
  </si>
  <si>
    <t>吾魁酒</t>
  </si>
  <si>
    <t>王剑青</t>
  </si>
  <si>
    <t>蜂蜜酒;⻩酒;梨酒;⽶酒;果酒（含酒精）;苹果酒;开胃酒;含⽔果酒精饮料;⽩酒;预先混合的酒精饮料（以啤酒为主的除外）</t>
  </si>
  <si>
    <t>大鄂门</t>
  </si>
  <si>
    <t>许和杰</t>
  </si>
  <si>
    <t>⻩酒;烧酒;鸡尾酒;酒精饮料（啤酒除外）;蜂蜜酒;葡萄酒;清酒（⽇本⽶酒）;⽩酒;果酒（含酒精）;开胃酒</t>
  </si>
  <si>
    <t>光化特</t>
  </si>
  <si>
    <t>酒精饮料原汁;酒精饮料（啤酒除外）;⽶酒;⽩兰地;⾷⽤酒精;⽩酒;蒸馏饮料;烈酒（饮料）;⾕物制蒸馏酒精饮料;酒精饮料浓缩汁</t>
  </si>
  <si>
    <t>减酒贡 年份贡酒</t>
  </si>
  <si>
    <t>安徽福满门酿酒有限责任公司</t>
  </si>
  <si>
    <t>开胃酒;蜂蜜酒;葡萄酒;⽩酒;果酒（含酒精）;烧酒;清酒（⽇本⽶酒）;酒精饮料（啤酒除外）;烈酒;⽩⼲酒（中国⽩酒）</t>
  </si>
  <si>
    <t>骄韵年</t>
  </si>
  <si>
    <t>刘赛虎</t>
  </si>
  <si>
    <t>烈酒（饮料）;清酒（⽇本⽶酒）;酒精饮料（啤酒除外）;烧酒;⽶酒;葡萄酒;⻩酒;⽩酒;果酒（含酒精）;鸡尾酒</t>
  </si>
  <si>
    <t>跨都</t>
  </si>
  <si>
    <t>钟孟相</t>
  </si>
  <si>
    <t>薄荷酒;⽩酒;果酒（含酒精）;含⽔果酒精饮料;⽩兰地;酒精饮料（啤酒除外）;烧酒;鸡尾酒;⽶酒;开胃酒</t>
  </si>
  <si>
    <t>东方上古玄</t>
  </si>
  <si>
    <t>广州市上古中医针灸研究有限公司</t>
  </si>
  <si>
    <t>蒸煮提取物（利⼝酒和烈酒）;果酒（含酒精）;⻩酒;酒精饮料（啤酒除外）;⽶酒;烈酒（饮料）;葡萄酒;⽩酒;鸡尾酒;威⼠忌</t>
  </si>
  <si>
    <t>明晋老</t>
  </si>
  <si>
    <t>晋小燕</t>
  </si>
  <si>
    <t>酒精饮料（啤酒除外）;⻩酒;甜果酒;烈酒（饮料）;葡萄酒;酒精饮料原汁;⻘稞酒;⽩酒;果酒（含酒精）;薄荷酒</t>
  </si>
  <si>
    <t>逛单</t>
  </si>
  <si>
    <t>广州市港巧商贸有限公司</t>
  </si>
  <si>
    <t>果酒（含酒精）;鸡尾酒;⽩酒;烈酒（饮料）;⻩酒;烧酒;蒸煮提取物（利⼝酒和烈酒）;葡萄酒;酒精饮料（啤酒除外）;⽶酒</t>
  </si>
  <si>
    <t>TOP SABOX 翘储</t>
  </si>
  <si>
    <t>勾彬</t>
  </si>
  <si>
    <t>果酒（含酒精）;酒精饮料（啤酒除外）;烧酒;蒸馏饮料;⽶酒;⽩酒;酒精饮料浓缩汁;烈酒（饮料）;葡萄酒;含⽔果酒精饮料</t>
  </si>
  <si>
    <t>慕龙华</t>
  </si>
  <si>
    <t>黄峥嵘</t>
  </si>
  <si>
    <t>果酒（含酒精）;烈酒（饮料）;米酒;黄酒;白酒;葡萄酒;谷物制蒸馏酒精饮料;烧酒;鸡尾酒;酒精饮料（啤酒除外）</t>
  </si>
  <si>
    <t>老师湾</t>
  </si>
  <si>
    <t>⽶酒;⾕物制蒸馏酒精饮料;果酒（含酒精）;⽩酒;酸酒（低等葡萄酒）;蜂蜜酒;含⽔果酒精饮料;烈酒（饮料）</t>
  </si>
  <si>
    <t>湘腾</t>
  </si>
  <si>
    <t>葡萄酒;露酒;果酒（含酒精）;⽶酒;烧酒（烈酒）;⽩酒;⾼粱酒;蒸馏饮料;烧酒;⻩酒</t>
  </si>
  <si>
    <t>益脑餐饮管理（镇雄县）有限公司</t>
  </si>
  <si>
    <t>⽩酒;鸡尾酒;酒精饮料（啤酒除外）;⽶酒;⻩酒;⻘稞酒;⾕物制蒸馏酒精饮料;果酒（含酒精）;开胃酒;烧酒</t>
  </si>
  <si>
    <t>御㚅</t>
  </si>
  <si>
    <t>深圳市安斯特科技有限公司</t>
  </si>
  <si>
    <t>开胃酒;鸡尾酒;果酒（含酒精）;葡萄酒;⽩酒;餐后酒（利⼝酒和烈酒）;⽶酒;威⼠忌;酒精饮料（啤酒除外）;⻘稞酒</t>
  </si>
  <si>
    <t>彭八百</t>
  </si>
  <si>
    <t>李志梅</t>
  </si>
  <si>
    <t>果酒（含酒精）;⽩酒;⽶酒;葡萄酒;露酒;蜂蜜酒;⻩酒;⾼粱酒;烧酒;烈酒（饮料）</t>
  </si>
  <si>
    <t>叁拾寻一味喜上喜</t>
  </si>
  <si>
    <t>北京叁拾一味商贸有限公司</t>
  </si>
  <si>
    <t>⽩酒;果酒（含酒精）;⽩兰地;威⼠忌;烈酒（饮料）;伏特加酒;⻩酒;⽶酒;葡萄酒;酒精饮料（啤酒除外）</t>
  </si>
  <si>
    <t>红线团</t>
  </si>
  <si>
    <t>朗姆酒;⾷⽤酒精;烈酒（饮料）;威⼠忌;⾕物制蒸馏酒精饮料;⽩兰地;⻩酒;葡萄酒;果酒（含酒精）;伏特加酒</t>
  </si>
  <si>
    <t>冠群芳金冠经典</t>
  </si>
  <si>
    <t>葡萄酒;苹果酒;酒精饮料（啤酒除外）;烈酒（饮料）;鸡尾酒;⽶酒;⽩酒;烧酒;果酒（含酒精）;酒精饮料原汁</t>
  </si>
  <si>
    <t>观台</t>
  </si>
  <si>
    <t>贵州杨师傅酒业有限公司</t>
  </si>
  <si>
    <t>葡萄酒;⽶酒;露酒;果酒（含酒精）;⽩酒;烈酒（饮料）;餐后酒（利⼝酒和烈酒）;蒸馏饮料;⾕物制蒸馏酒精饮料;苹果酒</t>
  </si>
  <si>
    <t>凸三娘</t>
  </si>
  <si>
    <t>北京地心引力网络科技有限公司</t>
  </si>
  <si>
    <t>果酒（含酒精）;酒精饮料（啤酒除外）;鸡尾酒;葡萄酒;蜂蜜酒;⽩酒;烈酒（饮料）;⽶酒;汽酒;⻩酒</t>
  </si>
  <si>
    <t>阳安烧坊</t>
  </si>
  <si>
    <t>李彦良51102********6821X</t>
  </si>
  <si>
    <t>烧酒;⽩酒;含⽔果酒精饮料;烈酒（饮料）;鸡尾酒;⽶酒;果酒（含酒精）;薄荷酒;苹果酒;酒精饮料原汁</t>
  </si>
  <si>
    <t>疆爱疆恋</t>
  </si>
  <si>
    <t>新疆音像出版社</t>
  </si>
  <si>
    <t>⽶酒;⽩酒;⽩兰地;开胃酒;蜂蜜酒;烧酒;⻩酒;果酒;利⼝酒;葡萄酒</t>
  </si>
  <si>
    <t>彩好超</t>
  </si>
  <si>
    <t>易胜彩(广东)票务服务有限公司</t>
  </si>
  <si>
    <t>酒精饮料原汁;⽩酒;蒸馏饮料;酒精饮料（啤酒除外）;⽩葡萄酒;红葡萄酒;⻩酒;葡萄酒;烈酒;果酒（含酒精）</t>
  </si>
  <si>
    <t>仝羽轩</t>
  </si>
  <si>
    <t>王芳410821********3026</t>
  </si>
  <si>
    <t>果酒（含酒精）;烈酒（饮料）;酒精饮料（啤酒除外）;含⽔果酒精饮料;酒精饮料原汁;葡萄酒;烧酒;⽩酒;⽶酒;开胃酒</t>
  </si>
  <si>
    <t>齐迎客</t>
  </si>
  <si>
    <t>烟台百禾品牌管理有限公司</t>
  </si>
  <si>
    <t>果酒（含酒精）;葡萄酒;烈酒（饮料）;酒精饮料（啤酒除外）;苹果酒;樱桃酒;⽩酒;⻩酒;梨酒;烧酒</t>
  </si>
  <si>
    <t>葡萄酒;烧酒;⽩酒;⻘稞酒;⻩酒;汽酒;果酒（含酒精）;⽶酒;烈酒（饮料）;清酒（⽇本⽶酒）</t>
  </si>
  <si>
    <t>科尔沐</t>
  </si>
  <si>
    <t>果酒（含酒精）;鸡尾酒;威⼠忌;汽酒;⻩酒;⾷⽤酒精;葡萄酒;酒精饮料原汁;酒精饮料（啤酒除外）;⽶酒</t>
  </si>
  <si>
    <t>沧侯</t>
  </si>
  <si>
    <t>侯兴旺</t>
  </si>
  <si>
    <t>鸡尾酒;威士忌;蒸煮提取物（利口酒和烈酒）;白酒;黄酒;酒精饮料（啤酒除外）;葡萄酒;白兰地;酒精饮料原汁;果酒（含酒精）</t>
  </si>
  <si>
    <t>食太牢</t>
  </si>
  <si>
    <t>上海七带九棘供应链有限公司</t>
  </si>
  <si>
    <t>⽩兰地;果酒（含酒精）;苹果酒;⽶酒;伏特加酒;⽩酒;⻩酒;烧酒;开胃酒;葡萄酒</t>
  </si>
  <si>
    <t>长乐烧乐 12</t>
  </si>
  <si>
    <t>广东长乐烧酒业股份有限公司</t>
  </si>
  <si>
    <t>蜂蜜酒;⾷⽤酒精;果酒（含酒精）;葡萄酒;蒸煮提取物（利⼝酒和烈酒）;开胃酒;烧酒;⽶酒;⽩酒;⻩酒</t>
  </si>
  <si>
    <t>璂乆</t>
  </si>
  <si>
    <t>葡萄酒;威⼠忌;酒精饮料（啤酒除外）;餐后酒（利⼝酒和烈酒）;开胃酒;⽩酒;鸡尾酒;⻘稞酒;果酒（含酒精）;⽶酒</t>
  </si>
  <si>
    <t>宝义烧坊</t>
  </si>
  <si>
    <t>开胃酒;果酒（含酒精）;酒精饮料浓缩汁;酒精饮料（啤酒除外）;烧酒;蒸煮提取物（利⼝酒和烈酒）;⻩酒;葡萄酒;酒精饮料原汁;⽩酒</t>
  </si>
  <si>
    <t>怡树芳华</t>
  </si>
  <si>
    <t>秦皇岛白马庄葡萄酒有限公司</t>
  </si>
  <si>
    <t>葡萄酒;烧酒;⽩兰地;⽩酒;利⼝酒;⽶酒;酒精饮料（啤酒除外）;⻩酒;威⼠忌;果酒</t>
  </si>
  <si>
    <t>园漪</t>
  </si>
  <si>
    <t>湖南漪园旅游开发有限公司</t>
  </si>
  <si>
    <t>葡萄酒;清酒（⽇本⽶酒）;汽酒;鸡尾酒;烧酒;⽩酒;酒精饮料（啤酒除外）;含⽔果酒精饮料;蜂蜜酒;⽶酒</t>
  </si>
  <si>
    <t>帝召醇</t>
  </si>
  <si>
    <t>西安帝召醇酒业有限公司</t>
  </si>
  <si>
    <t>⻩酒;葡萄酒;由⾕物蒸馏的⽩酒;烈酒（饮料）;酒精饮料浓缩汁;鸡尾酒;⽩⼲酒（中国⽩酒）;⽩酒;⽩兰地;果酒（含酒精）</t>
  </si>
  <si>
    <t>衡状烧坊</t>
  </si>
  <si>
    <t>王珊</t>
  </si>
  <si>
    <t>清酒;伏特加酒;烧酒;⻩酒;葡萄酒;蜂蜜酒;威⼠忌;⽩酒;⽶酒;果酒</t>
  </si>
  <si>
    <t>广东泉曲酒业有限公司</t>
  </si>
  <si>
    <t>开胃酒;烈酒（饮料）;⽶酒;⻩酒;蒸煮提取物（利⼝酒和烈酒）;烧酒;果酒（含酒精）;利⼝酒;⽩酒;含⽔果酒精饮料</t>
  </si>
  <si>
    <t>饶水贡</t>
  </si>
  <si>
    <t>山东省建总控股有限公司</t>
  </si>
  <si>
    <t>威⼠忌;含⽔果酒精饮料;伏特加酒;鸡尾酒;⻩酒;⽩兰地;果酒（含酒精）;⽩酒;⾷⽤酒精;葡萄酒</t>
  </si>
  <si>
    <t>饶水御</t>
  </si>
  <si>
    <t>威⼠忌;⻩酒;⾷⽤酒精;含⽔果酒精饮料;果酒（含酒精）;⽩酒;鸡尾酒;⽩兰地;葡萄酒;伏特加酒</t>
  </si>
  <si>
    <t>金樽随</t>
  </si>
  <si>
    <t>果酒;⽼酒（中国蒸馏烈酒）;葡萄酒;⽶酒;⻩酒;⽩酒;清酒;含酒精的饮料（啤酒除外）;甜酒;烧酒</t>
  </si>
  <si>
    <t>九沧山</t>
  </si>
  <si>
    <t>清酒（日本米酒）;威士忌;果酒（含酒精）;白酒;鸡尾酒;葡萄酒;黄酒;开胃酒;烈酒;酒精饮料（啤酒除外）</t>
  </si>
  <si>
    <t>一泱</t>
  </si>
  <si>
    <t>清酒（⽇本⽶酒）;酒精饮料（啤酒除外）;⻩酒;⽩酒;果酒（含酒精）;威⼠忌;烈酒;葡萄酒;鸡尾酒;开胃酒</t>
  </si>
  <si>
    <t>钻家庄</t>
  </si>
  <si>
    <t>酒精饮料（啤酒除外）;威⼠忌;清酒（⽇本⽶酒）;⻩酒;⽩兰地;鸡尾酒;葡萄酒;⽩酒;烧酒;果酒（含酒精）</t>
  </si>
  <si>
    <t>复祖</t>
  </si>
  <si>
    <t>⻩酒;果酒;梨酒;葡萄酒;烈酒;梅酒;果酒（含酒精）;⽶酒;⽩酒;烧酒</t>
  </si>
  <si>
    <t>柏云黄龙</t>
  </si>
  <si>
    <t>果酒;清酒（⽇本⽶酒）;威⼠忌;酒精饮料（啤酒除外）;⽶酒;⻩酒;烧酒;⽩酒;葡萄酒;汽酒</t>
  </si>
  <si>
    <t>他的故乡</t>
  </si>
  <si>
    <t>⽢蔗制烈酒;⽶酒;烈酒（饮料）;鸡尾酒;烧酒;果酒（含酒精）;葡萄酒;⽩酒;⻩酒;酒精饮料（啤酒除外）</t>
  </si>
  <si>
    <t>孜诵坊</t>
  </si>
  <si>
    <t>菏泽柔香酒业有限公司</t>
  </si>
  <si>
    <t>果酒（含酒精）;⽶酒;⾼粱酒;⻩酒;⽩⼲酒（中国⽩酒）;⾕物制蒸馏酒精饮料;烈酒;烧酒;⽩酒;鸡尾酒</t>
  </si>
  <si>
    <t>公山有品</t>
  </si>
  <si>
    <t>南江公山有品农业发展有限公司</t>
  </si>
  <si>
    <t>烧酒;⽩酒;酒精饮料（啤酒除外）;果酒;⻩酒;开胃酒;⽶酒;烈酒;汽酒;葡萄酒</t>
  </si>
  <si>
    <t>金露兰</t>
  </si>
  <si>
    <t>广西东兰县金谷酒业有限公司</t>
  </si>
  <si>
    <t>⽶酒;⽩酒;葡萄酒;果酒（含酒精）;⻩酒;开胃酒;酒精饮料（啤酒除外）;⽩兰地;烧酒;甜酒</t>
  </si>
  <si>
    <t>重庆市宏图工业集团有限公司</t>
  </si>
  <si>
    <t>蒸馏饮料;预先混合的酒精饮料（以啤酒为主的除外）;蜂蜜酒;薄荷酒;酒精饮料浓缩汁;果酒（含酒精）;鸡尾酒;含⽔果酒精饮料;酒精饮料原汁;烈酒（饮料）</t>
  </si>
  <si>
    <t>曲上音</t>
  </si>
  <si>
    <t>张青洪</t>
  </si>
  <si>
    <t>⻩酒;蒸煮提取物（利⼝酒和烈酒）;⽩酒;酒精饮料（啤酒除外）;果酒;开胃酒;清酒（⽇本⽶酒）;葡萄酒;⽶酒;烧酒</t>
  </si>
  <si>
    <t>宋浆士</t>
  </si>
  <si>
    <t>清酒（⽇本⽶酒）;威⼠忌;葡萄酒;果酒（含酒精）;烈酒;酒精饮料（啤酒除外）;开胃酒;鸡尾酒;⻩酒;⽩酒</t>
  </si>
  <si>
    <t>吉色天香</t>
  </si>
  <si>
    <t>鸡尾酒;葡萄酒;烧酒;⻘稞酒;⽩酒;果酒（含酒精）;清酒（⽇本⽶酒）;⻩酒;酒精饮料（啤酒除外）;⾷⽤酒精</t>
  </si>
  <si>
    <t>资八将</t>
  </si>
  <si>
    <t>北京众智众德企业管理有限公司</t>
  </si>
  <si>
    <t>烈酒;⽼酒（中国蒸馏烈酒）;烈性⼲酒;烧酒（烈酒）;⽩⼲酒（中国⽩酒）;⽩酒;餐后酒（利⼝酒和烈酒）;烧酒;⾼粱酒;苦荞酒;由⾕物蒸馏的⽩酒;蒸煮提取物（利⼝酒和烈酒）;苦艾酒</t>
  </si>
  <si>
    <t>咸亨福雕</t>
  </si>
  <si>
    <t>绍兴咸亨酒业有限公司</t>
  </si>
  <si>
    <t>⽶酒;⽩酒;烧酒;汽酒;酒精饮料（啤酒除外）;果酒（含酒精）;葡萄酒;烈酒（饮料）;清酒（⽇本⽶酒）;⻩酒</t>
  </si>
  <si>
    <t>淼庐</t>
  </si>
  <si>
    <t>徐和枫</t>
  </si>
  <si>
    <t>含⽔果酒精饮料;⽶酒;烧酒;果酒（含酒精）;酒精饮料（啤酒除外）;⽩酒;开胃酒;葡萄酒;酒精饮料原汁;蒸馏饮料</t>
  </si>
  <si>
    <t>术青讲黄河</t>
  </si>
  <si>
    <t>⽩兰地;威⼠忌;⻩酒;⽩酒;伏特加酒;含⽔果酒精饮料;⾷⽤酒精;果酒（含酒精）;鸡尾酒;葡萄酒</t>
  </si>
  <si>
    <t>库车锦润农业发展开发集团有限公司</t>
  </si>
  <si>
    <t>蒸馏饮料;含⽔果酒精饮料;葡萄酒;酒精饮料（啤酒除外）;⽩酒;果酒（含酒精）;烧酒;利⼝酒;酒精饮料浓缩汁;鸡尾酒</t>
  </si>
  <si>
    <t>融者共盈</t>
  </si>
  <si>
    <t>融者共创建设管理集团有限公司</t>
  </si>
  <si>
    <t>烈酒（饮料）;蒸馏饮料;鸡尾酒;葡萄酒;烧酒;酒精饮料（啤酒除外）;酒精饮料原汁;果酒（含酒精）;⽩酒;含⽔果酒精饮料</t>
  </si>
  <si>
    <t>涂途</t>
  </si>
  <si>
    <t>贵州省仁怀市台海酿酒作坊</t>
  </si>
  <si>
    <t>酒精饮料原汁;⽩酒;蒸馏饮料;含⽔果酒精饮料;⽼酒（中国蒸馏烈酒）;甜酒;⾼粱酒;葡萄酒;蒸煮提取物（利⼝酒和烈酒）;酒精饮料（啤酒除外）</t>
  </si>
  <si>
    <t>京五毛</t>
  </si>
  <si>
    <t>北京五茅酒业有限公司</t>
  </si>
  <si>
    <t>烈酒（饮料）;⽶酒;酒精饮料浓缩汁;含⽔果酒精饮料;⽩酒;酒精饮料（啤酒除外）;烧酒;蒸馏饮料;葡萄酒;果酒（含酒精）</t>
  </si>
  <si>
    <t>宽窄高山</t>
  </si>
  <si>
    <t>中国国酒销售有限公司</t>
  </si>
  <si>
    <t>⻩酒;⽶酒;蜂蜜酒;果酒;汽酒;⽩酒;葡萄酒;酒精饮料原汁;鸡尾酒;除啤酒外的酒精饮料</t>
  </si>
  <si>
    <t>花漾月</t>
  </si>
  <si>
    <t>韩娅娥331022********1663</t>
  </si>
  <si>
    <t>烧酒;酒精饮料（啤酒除外）;汽酒;果酒（含酒精）;⽩酒;烈酒（饮料）;酒精饮料浓缩汁;⽶酒;⻩酒;葡萄酒</t>
  </si>
  <si>
    <t>杏家桓</t>
  </si>
  <si>
    <t>王志俭</t>
  </si>
  <si>
    <t>果酒（含酒精）;⽩兰地;酒精饮料（啤酒除外）;烧酒;⻩酒;露酒;⻘稞酒;⽩酒;鸡尾酒;⾷⽤酒精</t>
  </si>
  <si>
    <t>剑邺</t>
  </si>
  <si>
    <t>焦作舒悦商贸有限公司</t>
  </si>
  <si>
    <t>葡萄酒;⽩酒;清酒;开胃酒;果酒;⾕物制蒸馏酒精饮料;⽶酒;烧酒;除啤酒外的酒精饮料;预先混合的酒精饮料（以啤酒为主的除外）</t>
  </si>
  <si>
    <t>生命醉贵</t>
  </si>
  <si>
    <t>珠海正太制药有限公司</t>
  </si>
  <si>
    <t>葡萄酒;酒精饮料（啤酒除外）;烈酒;⽩酒;烧酒;清酒;蒸馏饮料;威⼠忌;⽶酒;⻩酒</t>
  </si>
  <si>
    <t>天定承</t>
  </si>
  <si>
    <t>俞林辉</t>
  </si>
  <si>
    <t>⽶酒;葡萄酒;清酒;果酒（含酒精）;甜酒;⽩酒;⻩酒;朗姆酒;伏特加酒;梅酒</t>
  </si>
  <si>
    <t>李哈马</t>
  </si>
  <si>
    <t>李开亮</t>
  </si>
  <si>
    <t>烈酒（饮料）;⽶酒;⽩酒;梅酒;清酒;汽酒;甜酒;以葡萄酒为主的饮料;烧酒;果酒（含酒精）</t>
  </si>
  <si>
    <t>璘乆</t>
  </si>
  <si>
    <t>果酒（含酒精）;⽶酒;葡萄酒;⻘稞酒;餐后酒（利⼝酒和烈酒）;威⼠忌;⽩酒;开胃酒;酒精饮料（啤酒除外）;鸡尾酒</t>
  </si>
  <si>
    <t>高蒌</t>
  </si>
  <si>
    <t>安徽博奥农业科技有限公司</t>
  </si>
  <si>
    <t>仝乾德</t>
  </si>
  <si>
    <t>含⽔果酒精饮料;果酒（含酒精）;⽩酒;酒精饮料原汁;酒精饮料（啤酒除外）;烧酒;⽶酒;葡萄酒;开胃酒;烈酒（饮料）</t>
  </si>
  <si>
    <t>禧灵兰</t>
  </si>
  <si>
    <t>除啤酒外的酒精饮料;烧酒;酒精饮料浓缩汁;⽶酒;⾷⽤酒精;清酒;含⽔果酒精饮料;⻩酒;⽩酒;果酒</t>
  </si>
  <si>
    <t>鹊圣漟</t>
  </si>
  <si>
    <t>内丘鹊圣堂酸枣仁生物科技有限责任公司</t>
  </si>
  <si>
    <t>⽩酒;以葡萄酒为主的饮料;⽶酒;起泡红葡萄酒;葡萄酒;鸡尾酒;含⽔果酒精饮料;除啤酒外的酒精饮料;果酒（含酒精）;威⼠忌</t>
  </si>
  <si>
    <t>晋善酉</t>
  </si>
  <si>
    <t>山西国青玢花酒文化有限公司</t>
  </si>
  <si>
    <t>⾕物制蒸馏酒精饮料;汽酒;葡萄酒;餐后酒（利⼝酒和烈酒）;鸡尾酒;含⽔果酒精饮料;烧酒;⾷⽤酒精;清酒（⽇本⽶酒）;⽩酒</t>
  </si>
  <si>
    <t>酒门好汉酒</t>
  </si>
  <si>
    <t>酒门酒业有限公司</t>
  </si>
  <si>
    <t>鸡尾酒;酒精饮料（啤酒除外）;⽩酒;果酒（含酒精）;⻘稞酒;烧酒;⽶酒;伏特加酒;威⼠忌;葡萄酒</t>
  </si>
  <si>
    <t>饶水</t>
  </si>
  <si>
    <t>⽩酒;⽩兰地;果酒（含酒精）;⻩酒;伏特加酒;葡萄酒;威⼠忌;⾷⽤酒精;含⽔果酒精饮料;鸡尾酒</t>
  </si>
  <si>
    <t>小纯书</t>
  </si>
  <si>
    <t>钱光发</t>
  </si>
  <si>
    <t>葡萄酒;⽶酒;烧酒;烈酒（饮料）;果酒（含酒精）;鸡尾酒;酒精饮料（啤酒除外）;⻩酒;蒸馏饮料;⽩酒</t>
  </si>
  <si>
    <t>鸳鸯剑</t>
  </si>
  <si>
    <t>葡萄酒;烧酒;⽶酒;汽酒;烈酒（饮料）;果酒（含酒精）;清酒（⽇本⽶酒）;⻘稞酒;⻩酒;⽩酒</t>
  </si>
  <si>
    <t>圣宝罗酷锐</t>
  </si>
  <si>
    <t>李攀峰</t>
  </si>
  <si>
    <t>鸡尾酒;葡萄酒;樱桃酒;混合威⼠忌酒;烧酒;⽩兰地;蜂蜜酒;餐后酒（利⼝酒和烈酒）;烈酒（饮料）;⽩酒</t>
  </si>
  <si>
    <t>慧谷春禾</t>
  </si>
  <si>
    <t>柏乡县慧谷春禾农业科技有限公司</t>
  </si>
  <si>
    <t>利⼝酒;烧酒;清酒（⽇本⽶酒）;⽩酒;⾷⽤酒精;葡萄酒;酒精饮料浓缩汁;⽶酒;酒精饮料（啤酒除外）;⻩酒</t>
  </si>
  <si>
    <t>鄂天</t>
  </si>
  <si>
    <t>策九数字科技(湖北)有限公司</t>
  </si>
  <si>
    <t>⽩酒;酒精饮料（啤酒除外）;烈酒;苹果酒;含酒精⽔果饮料;除啤酒外的酒精饮料;果酒（含酒精）;⻩酒;果酒;含⽔果酒精饮料</t>
  </si>
  <si>
    <t>玖玖重逢</t>
  </si>
  <si>
    <t>贵州玖城电子商务有限公司</t>
  </si>
  <si>
    <t>梨酒;甜果酒;露酒;杨梅酒;草莓酒;⻘梅酒;果酒（含酒精）;⻩酒;鸡尾酒;⽶酒</t>
  </si>
  <si>
    <t>一涎</t>
  </si>
  <si>
    <t>酒精饮料（啤酒除外）;⻩酒;⽩酒;开胃酒;果酒（含酒精）;威⼠忌;烈酒;鸡尾酒;葡萄酒;清酒（⽇本⽶酒）</t>
  </si>
  <si>
    <t>长乐烧乐18</t>
  </si>
  <si>
    <t>开胃酒;葡萄酒;烧酒;⻩酒;蒸煮提取物（利⼝酒和烈酒）;⽶酒;蜂蜜酒;⾷⽤酒精;⽩酒;果酒（含酒精）</t>
  </si>
  <si>
    <t>道生旗</t>
  </si>
  <si>
    <t>四川阳安酒业有限公司</t>
  </si>
  <si>
    <t>果酒（含酒精）;⽩酒;苹果酒;烈酒（饮料）;烧酒;含⽔果酒精饮料;鸡尾酒;⽶酒;薄荷酒;酒精饮料原汁</t>
  </si>
  <si>
    <t>丽龙姿</t>
  </si>
  <si>
    <t>酒精饮料（啤酒除外）;米酒;谷物制蒸馏酒精饮料;烧酒;黄酒;鸡尾酒;烈酒（饮料）;果酒（含酒精）;葡萄酒;白酒</t>
  </si>
  <si>
    <t>格希亚</t>
  </si>
  <si>
    <t>龙口天翌供应链有限公司</t>
  </si>
  <si>
    <t>酒精饮料原汁;威⼠忌;果酒（含酒精）;烈酒（饮料）;葡萄酒;鸡尾酒;烧酒;蒸煮提取物（利⼝酒和烈酒）;⽩酒;开胃酒</t>
  </si>
  <si>
    <t>福诚星樽 黄洋洋印</t>
  </si>
  <si>
    <t>广东福诚星樽酒业有限公司</t>
  </si>
  <si>
    <t>果酒（含酒精）;⾕物制蒸馏酒精饮料;⽩⼲酒（中国⽩酒）;由⾕物蒸馏的⽩酒;⽩兰地;⽩酒;已调味的⻨芽酿制的酒精饮料（啤酒除外）;烈酒（饮料）;烧酒;酒精饮料原汁</t>
  </si>
  <si>
    <t>阿镇暖城</t>
  </si>
  <si>
    <t>内蒙古荣畅能源有限公司</t>
  </si>
  <si>
    <t>⽼酒（中国蒸馏烈酒）;⽶酒;酒精饮料（啤酒除外）;由⾕物蒸馏的⽩酒;果酒;烧酒;葡萄酒;开胃酒;⽩⼲酒（中国⽩酒）;⽩酒</t>
  </si>
  <si>
    <t>鸿叶 石壁山</t>
  </si>
  <si>
    <t>宁国市鑫航酒业有限公司</t>
  </si>
  <si>
    <t>甜酒;⻩酒;⽶酒;烈酒（饮料）;果酒（含酒精）;⽼酒（中国蒸馏烈酒）;烧酒;由⾕物蒸馏的⽩酒;⾕物制蒸馏酒精饮料;⽩酒</t>
  </si>
  <si>
    <t>御孤台</t>
  </si>
  <si>
    <t>鸡尾酒;烈酒（饮料）;⽶酒;葡萄酒;果酒;果酒（含酒精）;清酒（⽇本⽶酒）;酒精饮料（啤酒除外）;⻩酒;⽩酒</t>
  </si>
  <si>
    <t>金樽筱</t>
  </si>
  <si>
    <t>⽶酒;甜酒;⻩酒;葡萄酒;清酒;果酒;⽼酒（中国蒸馏烈酒）;含酒精的饮料（啤酒除外）;⽩酒;烧酒</t>
  </si>
  <si>
    <t>吉姆百利</t>
  </si>
  <si>
    <t>沃族（蓬莱）葡萄酒庄有限公司</t>
  </si>
  <si>
    <t>鸡尾酒;伏特加酒;果酒（含酒精）;利⼝酒;葡萄酒;⽩兰地;朗姆酒;威⼠忌;酒精饮料（啤酒除外）;烈酒（饮料）</t>
  </si>
  <si>
    <t>察哈台</t>
  </si>
  <si>
    <t>酒精饮料浓缩汁;葡萄酒;鸡尾酒;⽩⼲酒（中国⽩酒）;⻩酒;烈酒（饮料）;由⾕物蒸馏的⽩酒;果酒（含酒精）;⽩兰地;⽩酒</t>
  </si>
  <si>
    <t>溪水芳香</t>
  </si>
  <si>
    <t>重庆市胜誉轩生态农业发展有限公司</t>
  </si>
  <si>
    <t>酒精饮料（啤酒除外）;含⽔果酒精饮料;烧酒;清酒;由⾕物蒸馏的⽩酒;⽼酒（中国蒸馏烈酒）;⽩⼲酒（中国⽩酒）;⽩酒;⾼粱酒;葡萄酒</t>
  </si>
  <si>
    <t>众兆康</t>
  </si>
  <si>
    <t>深圳市众之悦贸易有限公司</t>
  </si>
  <si>
    <t>酒精饮料（啤酒除外）;烧酒;烈酒;果酒（含酒精）;⽩酒;蜂蜜酒;樱桃酒;⽶酒;⻩酒;葡萄酒</t>
  </si>
  <si>
    <t>石杞河</t>
  </si>
  <si>
    <t>新疆杞明星枸杞产业发展有限公司</t>
  </si>
  <si>
    <t>⽔果汽酒;酒精饮料原汁;⽶酒;除啤酒外的酒精饮料;⽩酒;果酒（含酒精）;预先混合的酒精饮料（以啤酒为主的除外）;⾕物制蒸馏酒精饮料;⽩⼲酒（中国⽩酒）;含酒精⽔果饮料</t>
  </si>
  <si>
    <t>隆瑞永昌</t>
  </si>
  <si>
    <t>开胃酒;烈酒（饮料）;烧酒;酒精饮料（啤酒除外）;酒精饮料原汁;含⽔果酒精饮料;果酒（含酒精）;⽩酒;葡萄酒;⽶酒</t>
  </si>
  <si>
    <t>果酒（含酒精）;开胃酒;⽶酒;酒精饮料（啤酒除外）;餐后酒（利⼝酒和烈酒）;葡萄酒;威⼠忌;⻘稞酒;⽩酒;鸡尾酒</t>
  </si>
  <si>
    <t>阜民门</t>
  </si>
  <si>
    <t>孙亚清</t>
  </si>
  <si>
    <t>烧酒;蜂蜜酒;⽩酒;清酒（⽇本⽶酒）;果酒（含酒精）;鸡尾酒;含⽔果酒精饮料;葡萄酒;酒精饮料（啤酒除外）;⽶酒</t>
  </si>
  <si>
    <t>商兄</t>
  </si>
  <si>
    <t>罗捷</t>
  </si>
  <si>
    <t>果酒（含酒精）;鸡尾酒;威⼠忌;酒精饮料（啤酒除外）;烈酒;清酒（⽇本⽶酒）;开胃酒;葡萄酒;⻩酒;⽩酒</t>
  </si>
  <si>
    <t>白木久</t>
  </si>
  <si>
    <t>白杉酒造株式会社</t>
  </si>
  <si>
    <t>⽶酒;⽇本梅⼦酒;⾕物制蒸馏酒精饮料;⽇式甜⽶酒;烧酒;⻘梅酒;清酒（⽇本⽶酒）;⽇本波布蛇酒;清酒;⽇本松针酒</t>
  </si>
  <si>
    <t>光志鸡五</t>
  </si>
  <si>
    <t>酒精饮料（啤酒除外）;⽼酒（中国蒸馏烈酒）;果酒（含酒精）;⽩酒;葡萄酒;⻩酒;⾼粱酒;⽶酒;桑葚酒;露酒</t>
  </si>
  <si>
    <t>老许烧 酒</t>
  </si>
  <si>
    <t>许国雄</t>
  </si>
  <si>
    <t>⻩酒;由⾕物蒸馏的⽩酒;⽩酒;⽼酒（中国蒸馏烈酒）;预先混合的酒精饮料（以啤酒为主的除外）;餐后酒（利⼝酒和烈酒）;⾼粱酒;烈酒（饮料）;酒精饮料（啤酒除外）;⽩⼲酒（中国⽩酒）</t>
  </si>
  <si>
    <t>冬趣·四季莱福</t>
  </si>
  <si>
    <t>上海谷酿电子商务有限公司</t>
  </si>
  <si>
    <t>葡萄酒;威⼠忌;⽶酒;⻩酒;梨酒;酒精饮料（啤酒除外）;鸡尾酒;⽩酒;果酒;清酒（⽇本⽶酒）</t>
  </si>
  <si>
    <t>宸咏</t>
  </si>
  <si>
    <t>晋城市宸咏基团康养服务有限公司</t>
  </si>
  <si>
    <t>果酒（含酒精）;清酒（⽇本⽶酒）;⽶酒;鸡尾酒;⽩酒;蜂蜜酒;⽩兰地;⻘稞酒;⾼粱酒;葡萄酒</t>
  </si>
  <si>
    <t>录颜</t>
  </si>
  <si>
    <t>广州绪星生物科技有限公司</t>
  </si>
  <si>
    <t>梨酒;⻩酒;甜酒;清酒;⽶酒;⾼粱酒;果酒;⽩葡萄酒;⽩兰地;⽩酒</t>
  </si>
  <si>
    <t>长乐烧乐 16</t>
  </si>
  <si>
    <t>开胃酒;蜂蜜酒;⽶酒;烧酒;蒸煮提取物（利⼝酒和烈酒）;葡萄酒;果酒（含酒精）;⾷⽤酒精;⽩酒;⻩酒</t>
  </si>
  <si>
    <t>果酒（含酒精）;开胃酒;葡萄酒;酒精饮料（啤酒除外）;蒸煮提取物（利⼝酒和烈酒）;预先混合的酒精饮料（以啤酒为主的除外）;⽩酒;苦味酒;鸡尾酒;杜松⼦酒</t>
  </si>
  <si>
    <t>秦君赐</t>
  </si>
  <si>
    <t>王银超</t>
  </si>
  <si>
    <t>果酒（含酒精）;⽩酒;烈酒;开胃酒;清酒（⽇本⽶酒）;葡萄酒;威⼠忌;酒精饮料（啤酒除外）;⻩酒;鸡尾酒</t>
  </si>
  <si>
    <t>桴韵</t>
  </si>
  <si>
    <t>重庆桴之科科技发展有限公司</t>
  </si>
  <si>
    <t>起泡红葡萄酒;由⾕物蒸馏的⽩酒;⽩酒;⽶酒;⻩酒;⾼粱酒;⽩兰地;果酒;梅酒;⽩⼲酒（中国⽩酒）</t>
  </si>
  <si>
    <t>御召醇</t>
  </si>
  <si>
    <t>⽩⼲酒（中国⽩酒）;由⾕物蒸馏的⽩酒;果酒（含酒精）;⽩兰地;鸡尾酒;葡萄酒;酒精饮料浓缩汁;⽩酒;烈酒（饮料）;⻩酒</t>
  </si>
  <si>
    <t>好卓健</t>
  </si>
  <si>
    <t>谢朝溪441623********0611</t>
  </si>
  <si>
    <t>果酒;露酒;由⾕物蒸馏的⽩酒;⾼粱酒;梨酒;鸡尾酒;开胃酒;⽩酒;葡萄酒;⽶酒</t>
  </si>
  <si>
    <t>常武沁</t>
  </si>
  <si>
    <t>黄美军</t>
  </si>
  <si>
    <t>⽩酒;⽼酒（中国蒸馏烈酒）;杨梅酒;烧酒（烈酒）;起泡红葡萄酒;除啤酒外的酒精饮料;⾼粱酒;含酒精的⽔果鸡尾酒饮料;以葡萄酒为主的开胃酒;⽩⼲酒（中国⽩酒）</t>
  </si>
  <si>
    <t>赞也</t>
  </si>
  <si>
    <t>⻘稞酒;汽酒;清酒（⽇本⽶酒）;烧酒;葡萄酒;果酒（含酒精）;烈酒（饮料）;⽶酒;⻩酒;⽩酒</t>
  </si>
  <si>
    <t>衡虞烧坊</t>
  </si>
  <si>
    <t>陈看看</t>
  </si>
  <si>
    <t>烧酒;威⼠忌;清酒;果酒;⽶酒;伏特加酒;⽩酒;蜂蜜酒;⻩酒;葡萄酒</t>
  </si>
  <si>
    <t>2178</t>
  </si>
  <si>
    <t>张有智</t>
  </si>
  <si>
    <t>果酒（含酒精）;清酒（⽇本⽶酒）;鸡尾酒;酒精饮料（啤酒除外）;威⼠忌;⽩酒;烈酒（饮料）;开胃酒;⻩酒;葡萄酒</t>
  </si>
  <si>
    <t>楷凤</t>
  </si>
  <si>
    <t>徐传彬</t>
  </si>
  <si>
    <t>果酒（含酒精）;葡萄酒;露酒;清酒;烧酒;⽩酒;烈酒;⾼粱酒;⻩酒;⽶酒</t>
  </si>
  <si>
    <t>醉乾乡</t>
  </si>
  <si>
    <t>烈酒;除啤酒外的酒精饮料;果酒;⻩酒;清酒;⽩酒;⽶酒;葡萄酒;鸡尾酒;烧酒</t>
  </si>
  <si>
    <t>龙传王者</t>
  </si>
  <si>
    <t>⽩酒;含酒精的饮料（啤酒除外）;茴⾹酒（利⼝酒）;甜酒;⻩酒;由⾕物蒸馏的⽩酒;果酒（含酒精）;烧酒;⽶酒;烈酒</t>
  </si>
  <si>
    <t>⻘稞酒;⽩酒;餐后酒（利⼝酒和烈酒）;酒精饮料（啤酒除外）;⽶酒;果酒（含酒精）;威⼠忌;开胃酒;鸡尾酒;葡萄酒</t>
  </si>
  <si>
    <t>酩色天香</t>
  </si>
  <si>
    <t>清酒（⽇本⽶酒）;⻩酒;鸡尾酒;朗姆酒;伏特加酒;酒精饮料（啤酒除外）;⽩酒;烧酒;果酒（含酒精）;葡萄酒</t>
  </si>
  <si>
    <t>朝体组</t>
  </si>
  <si>
    <t>北京朝体空间体育场馆管理中心（普通合伙）</t>
  </si>
  <si>
    <t>⽶酒;⻨芽威⼠忌;咖啡利⼝酒;甜果酒;果酒（含酒精）;威⼠忌;甜酒;⽩酒;苹果酒;⽩兰地</t>
  </si>
  <si>
    <t>天生配</t>
  </si>
  <si>
    <t>丰亿国际贸易（广州）有限公司</t>
  </si>
  <si>
    <t>⽶酒;⻘稞酒;⽩⼲酒（中国⽩酒）;红葡萄酒;⾼粱酒;⽩酒;⽼酒（中国蒸馏烈酒）;⻩酒;由⾕物蒸馏的⽩酒;烧酒（烈酒）</t>
  </si>
  <si>
    <t>老陆原泡子</t>
  </si>
  <si>
    <t>⽶酒;⻩酒;⾼粱酒;甜酒;烈性⼲酒;⾷⽤酒精;⽩酒;含酒精⽔果饮料;葡萄酒;⽩⼲酒（中国⽩酒）</t>
  </si>
  <si>
    <t>原炮子</t>
  </si>
  <si>
    <t>⽩酒;含酒精⽔果饮料;甜酒;葡萄酒;烈性⼲酒;⽩⼲酒（中国⽩酒）;⾷⽤酒精;⽶酒;⾼粱酒;⻩酒</t>
  </si>
  <si>
    <t>融太和</t>
  </si>
  <si>
    <t>内蒙古福融汇酒业有限公司</t>
  </si>
  <si>
    <t>葡萄酒;⽩酒;果酒;鸡尾酒;⾼粱酒;⾷⽤酒精;烧酒;开胃酒;⻩酒;⻘稞酒</t>
  </si>
  <si>
    <t>谷久伴</t>
  </si>
  <si>
    <t>内蒙古蒙乡农牧业开发有限公司</t>
  </si>
  <si>
    <t>⽶酒;烧酒;葡萄酒;烈酒（饮料）;果酒（含酒精）;含酒精的⽓泡⽔;⽩酒;蜂蜜酒;含⽔果酒精饮料;酒精饮料（啤酒除外）</t>
  </si>
  <si>
    <t>开出花</t>
  </si>
  <si>
    <t>北京谛碧科技发展有限公司</t>
  </si>
  <si>
    <t>由⾕物蒸馏的⽩酒;⽩⼲酒（中国⽩酒）;⽩酒</t>
  </si>
  <si>
    <t>奥麦威</t>
  </si>
  <si>
    <t>安徽梨乐美酒业有限公司</t>
  </si>
  <si>
    <t>清酒（⽇本⽶酒）;酒精饮料（啤酒除外）;鸡尾酒;⽩酒;⻩酒;果酒（含酒精）;葡萄酒;杜松⼦酒;烈酒（饮料）;威⼠忌</t>
  </si>
  <si>
    <t>龙口市昊圣商贸有限公司</t>
  </si>
  <si>
    <t>威⼠忌;露酒;⽩兰地;葡萄酒;⽶酒;薄荷酒;汽酒;烈酒（饮料）;⽩酒;鸡尾酒</t>
  </si>
  <si>
    <t>零食圆梦家</t>
  </si>
  <si>
    <t>广州缤纷绘美信息科技有限公司</t>
  </si>
  <si>
    <t>果酒（含酒精）;开胃酒;酒精饮料（啤酒除外）;含⽔果酒精饮料;⽶酒;含酒精的⽓泡⽔;葡萄酒;烈酒（饮料）;威⼠忌;⽩酒</t>
  </si>
  <si>
    <t>拾斗归</t>
  </si>
  <si>
    <t>贵州省仁怀市拾斗归酒业有限公司</t>
  </si>
  <si>
    <t>果酒（含酒精）;烈酒（饮料）;⽩酒;⽶酒;葡萄酒;鸡尾酒;威⼠忌;酒精饮料（啤酒除外）;烧酒;⽩⼲酒（中国⽩酒）</t>
  </si>
  <si>
    <t>先仁</t>
  </si>
  <si>
    <t>贵州财多多会计服务有限公司</t>
  </si>
  <si>
    <t>威⼠忌;清酒;果酒（含酒精）;葡萄酒;蒸煮提取物（利⼝酒和烈酒）;⽩酒;⾼粱酒;烈酒;鸡尾酒;⽶酒</t>
  </si>
  <si>
    <t>贝尔盛世</t>
  </si>
  <si>
    <t>内蒙古吴李取闹餐饮管理服务有限公司</t>
  </si>
  <si>
    <t>含酒精⽔果饮料;红葡萄酒;⻨芽威⼠忌;⽶酒;⾼粱酒;鸡尾酒;烧酒;⽼酒（中国蒸馏烈酒）;⽩⼲酒（中国⽩酒）;果酒（含酒精）</t>
  </si>
  <si>
    <t>小清哝</t>
  </si>
  <si>
    <t>成都分子引力科技有限公司</t>
  </si>
  <si>
    <t>果酒（含酒精）;酒精饮料（啤酒除外）;果酒;由⾕物蒸馏的⽩酒;⽩⼲酒（中国⽩酒）;清酒;梅酒;⽩酒;⽶酒;⾼粱酒</t>
  </si>
  <si>
    <t>濮礼</t>
  </si>
  <si>
    <t>由⾕物蒸馏的⽩酒;⽼酒（中国蒸馏烈酒）;苦荞酒;苦味酒;⾼粱酒;柑⾹酒;⽩⼲酒（中国⽩酒）;⽩酒;茴⾹酒（利⼝酒）;开胃酒</t>
  </si>
  <si>
    <t>华廷义</t>
  </si>
  <si>
    <t>张松阳</t>
  </si>
  <si>
    <t>蒸煮提取物（利⼝酒和烈酒）;⽩⼲酒（中国⽩酒）;⽼酒（中国蒸馏烈酒）;红葡萄酒;⻩酒;五加⽪酒（中国混合烈酒）;⽩酒;烈酒（饮料）;烧酒;⽶酒</t>
  </si>
  <si>
    <t>华垦之冠</t>
  </si>
  <si>
    <t>新疆华垦乳业集团有限责任公司</t>
  </si>
  <si>
    <t>葡萄酒;蜂蜜酒;酒精饮料原汁;含⽔果酒精饮料;清酒;⽩酒;果酒（含酒精）;⽶酒;⻘稞酒;酒精饮料浓缩汁</t>
  </si>
  <si>
    <t>中鼎鸿</t>
  </si>
  <si>
    <t>徐贡献</t>
  </si>
  <si>
    <t>酒精饮料（啤酒除外）;⽩酒;威⼠忌;果酒（含酒精）;⽩兰地;烧酒;⽶酒;葡萄酒;鸡尾酒;烈酒（饮料）</t>
  </si>
  <si>
    <t>故乡的星星</t>
  </si>
  <si>
    <t>宁夏贺蓝赛酒业有限公司</t>
  </si>
  <si>
    <t>含酒精的⽔果鸡尾酒饮料;薄荷酒;⻩酒;清酒;果酒;鸡尾酒;⽩酒;⽶酒;葡萄酒;烧酒</t>
  </si>
  <si>
    <t>廖黄胜</t>
  </si>
  <si>
    <t>预先混合的酒精饮料（以啤酒为主的除外）;⻩酒;开胃酒;烈酒;⾼粱酒;梅酒;⽩酒;⽶酒;酒精饮料（啤酒除外）;含⽔果酒精饮料</t>
  </si>
  <si>
    <t>正素酌见</t>
  </si>
  <si>
    <t>贵州醉镇黔酒业有限公司</t>
  </si>
  <si>
    <t>苹果酒;烈酒（饮料）;蒸馏饮料;⽶酒;⽩酒;餐后酒（利⼝酒和烈酒）;⾕物制蒸馏酒精饮料;果酒（含酒精）;葡萄酒;露酒</t>
  </si>
  <si>
    <t>徐明强</t>
  </si>
  <si>
    <t>鸡尾酒;烧酒（烈酒）;葡萄酒;⽶酒;⻩酒;烈性⼲酒;烧酒;⾷⽤酒精;开胃酒;露酒</t>
  </si>
  <si>
    <t>天独坛酒</t>
  </si>
  <si>
    <t>贵州省仁怀市独坛酒业有限公司</t>
  </si>
  <si>
    <t>⽶酒;烈酒;⽩酒;葡萄酒;果酒;⽼酒（中国蒸馏烈酒）;酒精饮料（啤酒除外）;⾼粱酒;⻩酒;烧酒</t>
  </si>
  <si>
    <t>糯憨憨</t>
  </si>
  <si>
    <t>⻩酒;威⼠忌;葡萄酒;清酒（⽇本⽶酒）;烈酒（饮料）;鸡尾酒;酒精饮料（啤酒除外）;果酒（含酒精）;开胃酒;⽩酒</t>
  </si>
  <si>
    <t>黔程识锦</t>
  </si>
  <si>
    <t>贵州将军茅酒业有限公司</t>
  </si>
  <si>
    <t>果酒（含酒精）;烧酒;开胃酒;酒精饮料（啤酒除外）;⽩酒;葡萄酒;⻩酒;蒸煮提取物（利⼝酒和烈酒）;⽶酒;清酒（⽇本⽶酒）</t>
  </si>
  <si>
    <t>秋虎山</t>
  </si>
  <si>
    <t>张舒涵</t>
  </si>
  <si>
    <t>蜂蜜酒;葡萄酒;⽩兰地;苹果酒;⽶酒;威⼠忌;果酒（含酒精）;樱桃酒;酒精饮料原汁;⽩酒</t>
  </si>
  <si>
    <t>智统人</t>
  </si>
  <si>
    <t>孙海峰</t>
  </si>
  <si>
    <t>烈酒（饮料）;⽶酒;伏特加酒;⽩酒;⽩兰地;葡萄酒;鸡尾酒;清酒（⽇本⽶酒）;⻩酒;果酒（含酒精）</t>
  </si>
  <si>
    <t>富东小坝</t>
  </si>
  <si>
    <t>澜沧小坝照发茶叶农民专业合作社</t>
  </si>
  <si>
    <t>葡萄酒;烧酒;烈酒（饮料）;刺五加酒;甜酒;⽩酒;⾼粱酒;果酒;⽶酒;果酒（含酒精）</t>
  </si>
  <si>
    <t>榆乾好日子</t>
  </si>
  <si>
    <t>榆树市松北酒业有限公司</t>
  </si>
  <si>
    <t>⾼粱酒;刺五加酒;含酒精⽔果饮料;果酒（含酒精）;露酒;⽩⼲酒（中国⽩酒）;⽩酒;酒精饮料（啤酒除外）;烧酒;⽼酒（中国蒸馏烈酒）</t>
  </si>
  <si>
    <t>石堺</t>
  </si>
  <si>
    <t>内蒙古清渠实业有限公司</t>
  </si>
  <si>
    <t>葡萄酒;⽶酒;⽩酒;鸡尾酒;烈酒;烧酒;果酒（含酒精）;开胃酒;含⽔果酒精饮料;含酒精的⽓泡⽔</t>
  </si>
  <si>
    <t>开胃酒;烈酒;预先混合的酒精饮料（以啤酒为主的除外）;⾼粱酒;⽶酒;⻩酒;含⽔果酒精饮料;酒精饮料（啤酒除外）;⽩酒;梅酒</t>
  </si>
  <si>
    <t>韦德果</t>
  </si>
  <si>
    <t>开胃酒;⽶酒;鸡尾酒;威⼠忌;酒精饮料（啤酒除外）;⽩兰地;葡萄酒;果酒（含酒精）;⽩酒;⻩酒</t>
  </si>
  <si>
    <t>坛县令</t>
  </si>
  <si>
    <t>陈双丰</t>
  </si>
  <si>
    <t>威⼠忌;⻘稞酒;开胃酒;烈酒（饮料）;⻩酒;烧酒;清酒（⽇本⽶酒）;⽩酒;鸡尾酒;蜂蜜酒</t>
  </si>
  <si>
    <t>黔闪闪</t>
  </si>
  <si>
    <t>陈世田</t>
  </si>
  <si>
    <t>⽩酒;烈酒（饮料）;⻩酒;威⼠忌;开胃酒;葡萄酒;果酒（含酒精）;酒精饮料（啤酒除外）;清酒（⽇本⽶酒）;鸡尾酒</t>
  </si>
  <si>
    <t>李祥锴 XIANGKAI LI</t>
  </si>
  <si>
    <t>浆瑞康科技（甘肃）有限公司</t>
  </si>
  <si>
    <t>烈酒（饮料）;烧酒;酒精饮料（啤酒除外）;⽶酒;葡萄酒;果酒（含酒精）;含⽔果酒精饮料;⽩酒;汽酒;以葡萄酒为主的饮料</t>
  </si>
  <si>
    <t>帝琼川</t>
  </si>
  <si>
    <t>鸡尾酒;威⼠忌;⻘稞酒;蜂蜜酒;开胃酒;⽩酒;⻩酒;烈酒（饮料）;烧酒;清酒（⽇本⽶酒）</t>
  </si>
  <si>
    <t>海邦正气</t>
  </si>
  <si>
    <t>广东海氏食品有限公司</t>
  </si>
  <si>
    <t>烈酒（饮料）;鸡尾酒;威⼠忌;含⽔果酒精饮料;葡萄酒;开胃酒;⽩兰地;烈酒;果酒（含酒精）;烧酒</t>
  </si>
  <si>
    <t>紫珏庄园</t>
  </si>
  <si>
    <t>⻩酒;⽩酒;蒸煮提取物（利⼝酒和烈酒）;葡萄酒;⽶酒;烧酒;果酒（含酒精）;烈酒（饮料）;酒精饮料（啤酒除外）;酒精饮料原汁</t>
  </si>
  <si>
    <t>周司会</t>
  </si>
  <si>
    <t>清酒;葡萄酒;⽶酒;⾼粱酒;⽩酒;果酒（含酒精）;鸡尾酒;蒸煮提取物（利⼝酒和烈酒）;威⼠忌;烈酒</t>
  </si>
  <si>
    <t>得大富</t>
  </si>
  <si>
    <t>梁河县龙燊房地产开发有限公司</t>
  </si>
  <si>
    <t>葡萄酒;⽩酒;果酒;酒精饮料原汁;酒精饮料（啤酒除外）;含⽔果酒精饮料;含酒精的⽓泡⽔;⻩酒;甜酒;鸡尾酒</t>
  </si>
  <si>
    <t>瑶池欢</t>
  </si>
  <si>
    <t>蜂蜜酒;⽩酒;开胃酒;清酒（⽇本⽶酒）;⻩酒;烈酒（饮料）;威⼠忌;鸡尾酒;烧酒;⻘稞酒</t>
  </si>
  <si>
    <t>鍕恒</t>
  </si>
  <si>
    <t>张玉江</t>
  </si>
  <si>
    <t>⾷⽤酒精;⾼粱酒;烈酒;⽩⼲酒（中国⽩酒）;⽶酒;酒精饮料原汁;⽩酒;果酒;由⾕物蒸馏的⽩酒;烧酒</t>
  </si>
  <si>
    <t>果酒;酒精饮料原汁;烧酒;⽩酒;⻩酒;葡萄酒;酒精饮料（啤酒除外）;蒸煮提取物（利⼝酒和烈酒）;酒精饮料浓缩汁;开胃酒</t>
  </si>
  <si>
    <t>塔里万木春</t>
  </si>
  <si>
    <t>晋城市塔里万木春酒业有限公司</t>
  </si>
  <si>
    <t>⾼粱酒;开胃酒;⽶酒;⽩酒;烈酒;清酒;甜酒;果酒;烧酒;由⾕物蒸馏的⽩酒</t>
  </si>
  <si>
    <t>文氏清吟</t>
  </si>
  <si>
    <t>上海旨禹实业有限公司</t>
  </si>
  <si>
    <t>⻩酒;甜酒;鸡尾酒;⽶酒;⽩酒;酒精饮料（啤酒除外）;天然汽酒;梅酒;清酒（⽇本⽶酒）;烧酒</t>
  </si>
  <si>
    <t>滨众三合汇</t>
  </si>
  <si>
    <t>金普新区友谊街道金三尚互联网服务工作室（个体工商户）</t>
  </si>
  <si>
    <t>烈酒（饮料）;利⼝酒;鸡尾酒;烧酒;开胃酒;果酒（含酒精）;葡萄酒;⽩酒;清酒;⽶酒</t>
  </si>
  <si>
    <t>曲中觅 QUZHONGMIQUZHONGMI</t>
  </si>
  <si>
    <t>刘淋</t>
  </si>
  <si>
    <t>⽩酒;烈酒;酒精饮料（啤酒除外）;蒸馏饮料;⽶酒;威⼠忌;葡萄酒;果酒（含酒精）;清酒（⽇本⽶酒）;汽酒</t>
  </si>
  <si>
    <t>麓云台</t>
  </si>
  <si>
    <t>上海麓台酒业有限公司</t>
  </si>
  <si>
    <t>葡萄酒;⽩酒;烧酒;清酒（⽇本⽶酒）;含酒精的⽓泡⽔;⻩酒;酒精饮料（啤酒除外）;鸡尾酒;⽶酒;含⽔果酒精饮料</t>
  </si>
  <si>
    <t>省省熊</t>
  </si>
  <si>
    <t>湖北佳奥食品有限公司</t>
  </si>
  <si>
    <t>烈酒;果酒;酒精饮料（啤酒除外）;甜果酒;露酒;⾼粱酒;⽼酒（中国蒸馏烈酒）;⽩酒;⻩酒;烧酒</t>
  </si>
  <si>
    <t>撼蒙</t>
  </si>
  <si>
    <t>开胃酒;烈酒（饮料）;清酒（⽇本⽶酒）;果酒（含酒精）;葡萄酒;威⼠忌;鸡尾酒;⽩酒;酒精饮料（啤酒除外）;⻩酒</t>
  </si>
  <si>
    <t>正载</t>
  </si>
  <si>
    <t>贵州汇德鑫隆商贸有限公司</t>
  </si>
  <si>
    <t>开胃酒;⽶酒;烧酒;葡萄酒;酒精饮料（啤酒除外）;果酒（含酒精）;烈酒（饮料）;⽩酒;清酒（⽇本⽶酒）;⾕物制蒸馏酒精饮料</t>
  </si>
  <si>
    <t>林校长</t>
  </si>
  <si>
    <t>深圳市艺和艺术有限公司</t>
  </si>
  <si>
    <t>烧酒（烈酒）;清酒;⽼酒（中国蒸馏烈酒）;蜂蜜酒;果酒;威⼠忌;开胃酒;⽶酒;⽩酒;⽔果汽酒</t>
  </si>
  <si>
    <t>裴氏图腾</t>
  </si>
  <si>
    <t>葡萄酒;威⼠忌;酒精饮料（啤酒除外）;烧酒（烈酒）;⽩酒;烧酒;朗姆酒;伏特加酒;鸡尾酒;果酒（含酒精）</t>
  </si>
  <si>
    <t>米坞</t>
  </si>
  <si>
    <t>果酒（含酒精）;⽶酒;含酒精的⽓泡⽔;酒精饮料（啤酒除外）;蜂蜜酒;⽩酒;烈酒（饮料）;烧酒;葡萄酒;含⽔果酒精饮料</t>
  </si>
  <si>
    <t>暃晟</t>
  </si>
  <si>
    <t>河南尊邦酒业有限公司</t>
  </si>
  <si>
    <t>⻩酒;果酒（含酒精）;烧酒;烈酒;葡萄酒;露酒;⾼粱酒;⻘稞酒;樱桃酒;酒精饮料（啤酒除外）;⽩酒;⽶酒</t>
  </si>
  <si>
    <t>高会长</t>
  </si>
  <si>
    <t>辽宁足界文化传媒有限公司</t>
  </si>
  <si>
    <t>清酒（⽇本⽶酒）;⻩酒;⽩酒;烧酒;伏特加酒;鸡尾酒;⽩兰地;葡萄酒;威⼠忌;果酒（含酒精）</t>
  </si>
  <si>
    <t>椹想你</t>
  </si>
  <si>
    <t>民权县俊峰汽贸有限公司</t>
  </si>
  <si>
    <t>蜂蜜酒;⽩酒;蒸馏饮料;⽶酒;预先混合的酒精饮料（以啤酒为主的除外）;⻩酒;烧酒;果酒（含酒精）;含⽔果酒精饮料;葡萄酒</t>
  </si>
  <si>
    <t>龙回旺</t>
  </si>
  <si>
    <t>湖南省瑞源农业有限公司</t>
  </si>
  <si>
    <t>⽶酒;鸡尾酒;酒精饮料（啤酒除外）;甜酒;⽩酒;烧酒;⻩酒;⾼粱酒;果酒（含酒精）;⽩⼲酒（中国⽩酒）</t>
  </si>
  <si>
    <t>鞍城</t>
  </si>
  <si>
    <t>鞍山鞍城老窖酒业有限公司</t>
  </si>
  <si>
    <t>开胃酒;⽩酒;⻩酒;果酒（含酒精）;酒精饮料原汁;酒精饮料（啤酒除外）;烧酒;烈酒（饮料）;清酒（⽇本⽶酒）;⽩兰地</t>
  </si>
  <si>
    <t>尘世絮语</t>
  </si>
  <si>
    <t>王汉</t>
  </si>
  <si>
    <t>苹果酒;葡萄酒;含酒精⽔果饮料;果酒（含酒精）;⻩酒;茴⾹酒（利⼝酒）;鸡尾酒;⽶酒;蜂蜜酒;⽩酒</t>
  </si>
  <si>
    <t>小杏刀</t>
  </si>
  <si>
    <t>赵亚浩</t>
  </si>
  <si>
    <t>餐后酒（利⼝酒和烈酒）;⽶酒;烧酒;⻩酒;⽩酒;烈酒;含⽔果酒精饮料;葡萄酒;果酒（含酒精）;⾷⽤酒精</t>
  </si>
  <si>
    <t>侍梦</t>
  </si>
  <si>
    <t>度嘉商贸（云南）有限公司</t>
  </si>
  <si>
    <t>⽼酒（中国蒸馏烈酒）;由⾕物蒸馏的⽩酒;露酒;⽩酒;含酒精的充⽓饮料（啤酒除外）;⾼粱酒;葡萄汽酒</t>
  </si>
  <si>
    <t>窦后酒</t>
  </si>
  <si>
    <t>马婧</t>
  </si>
  <si>
    <t>⽩酒;酒精饮料（啤酒除外）;⽶酒;果酒（含酒精）;葡萄酒;清酒（⽇本⽶酒）;⻩酒;烧酒;烈酒（饮料）;鸡尾酒</t>
  </si>
  <si>
    <t>株田颜香</t>
  </si>
  <si>
    <t>清酒（⽇本⽶酒）;酒精饮料（啤酒除外）;⽶酒;⻩酒;天然汽酒;甜酒;鸡尾酒;烧酒;梅酒;⽩酒</t>
  </si>
  <si>
    <t>阗盏</t>
  </si>
  <si>
    <t>狂飙（焦作）供应链管理有限公司</t>
  </si>
  <si>
    <t>⽶酒;葡萄酒;苹果酒;⽩酒;樱桃酒;⾕物制蒸馏酒精饮料;果酒（含酒精）;⻘稞酒;⻩酒;烧酒</t>
  </si>
  <si>
    <t>太公志反璞</t>
  </si>
  <si>
    <t>⻩酒;酒精饮料原汁;⾕物制蒸馏酒精饮料;烈酒（饮料）;⽩酒;预先混合的酒精饮料（以啤酒为主的除外）;烧酒;汽酒;⾷⽤酒精;⻘稞酒</t>
  </si>
  <si>
    <t>佬江侯</t>
  </si>
  <si>
    <t>烧酒;鸡尾酒;开胃酒;威⼠忌;烈酒（饮料）;清酒（⽇本⽶酒）;蜂蜜酒;⽩酒;⻘稞酒;⻩酒</t>
  </si>
  <si>
    <t>五博士</t>
  </si>
  <si>
    <t>黄怀宇</t>
  </si>
  <si>
    <t>⾷⽤酒精;葡萄酒;烧酒;⽩酒;除啤酒外的酒精饮料;果酒（含酒精）;⻩酒;烈酒（饮料）;清酒（⽇本⽶酒）;酒精饮料（啤酒除外）</t>
  </si>
  <si>
    <t>壹厂古 壹厂大</t>
  </si>
  <si>
    <t>果酒（含酒精）;酒精饮料（啤酒除外）;葡萄酒;伏特加酒;⽩酒;鸡尾酒;烧酒;烈酒（饮料）;清酒（⽇本⽶酒）;⾷⽤酒精</t>
  </si>
  <si>
    <t>唯品水润</t>
  </si>
  <si>
    <t>兴化昊特机械厂</t>
  </si>
  <si>
    <t>⽶酒;⻩酒;露酒;鸡尾酒;果酒;汽酒;酒精饮料（啤酒除外）;⽩酒;甜酒;葡萄酒</t>
  </si>
  <si>
    <t>驾仙道</t>
  </si>
  <si>
    <t>重庆康菌泰生物科技股份有限公司</t>
  </si>
  <si>
    <t>果酒（含酒精）;酒精饮料（啤酒除外）;葡萄酒;⽩兰地;汽酒;清酒（⽇本⽶酒）;⻩酒;烧酒;⽩酒;威⼠忌</t>
  </si>
  <si>
    <t>POLYUER</t>
  </si>
  <si>
    <t>开胃酒;果酒;⽩⼲酒（中国⽩酒）;烧酒（烈酒）;威⼠忌;⽩兰地;⽩酒;鸡尾酒;葡萄酒;⻩酒</t>
  </si>
  <si>
    <t>中泛</t>
  </si>
  <si>
    <t>范伟洪</t>
  </si>
  <si>
    <t>果酒（含酒精）;⽶酒;⻩酒;已调味的⻨芽酿制的酒精饮料（啤酒除外）;烧酒;蒸馏饮料;葡萄酒;威⼠忌;酒精饮料原汁;⽩酒</t>
  </si>
  <si>
    <t>灵民渲</t>
  </si>
  <si>
    <t>张习斌</t>
  </si>
  <si>
    <t>⽩⼲酒（中国⽩酒）;⽩酒;⻘稞酒;⾕物制蒸馏酒精饮料;烧酒;苦荞酒;⽶酒;⾼粱酒;由⾕物蒸馏的⽩酒;苦味酒</t>
  </si>
  <si>
    <t>帝怀山</t>
  </si>
  <si>
    <t>葡萄酒;⽶酒;烧酒;⽩兰地;威⼠忌;鸡尾酒;果酒（含酒精）;⽩酒;烈酒（饮料）;酒精饮料（啤酒除外）</t>
  </si>
  <si>
    <t>太公志传奇</t>
  </si>
  <si>
    <t>烈酒（饮料）;⾕物制蒸馏酒精饮料;⻘稞酒;酒精饮料原汁;⽩酒;汽酒;预先混合的酒精饮料（以啤酒为主的除外）;⾷⽤酒精;⻩酒;烧酒</t>
  </si>
  <si>
    <t>鼎中王</t>
  </si>
  <si>
    <t>果酒（含酒精）;鸡尾酒;⽶酒;烈酒（饮料）;⽩兰地;葡萄酒;威⼠忌;⽩酒;烧酒;酒精饮料（啤酒除外）</t>
  </si>
  <si>
    <t>阿祖苗小馆</t>
  </si>
  <si>
    <t>贵州苗药药业有限公司</t>
  </si>
  <si>
    <t>由⾕物蒸馏的⽩酒;清酒;烈酒;⻩酒;⾷⽤酒精;除啤酒外的酒精饮料;蒸馏⽶酒（泡盛酒）;⽩酒;⽼酒（中国蒸馏烈酒）;烧酒</t>
  </si>
  <si>
    <t>逸龙志</t>
  </si>
  <si>
    <t>酒精饮料（啤酒除外）;烈酒（饮料）;果酒（含酒精）;⽶酒;⾕物制蒸馏酒精饮料;⻩酒;⽩酒;鸡尾酒;葡萄酒;烧酒</t>
  </si>
  <si>
    <t>蒙本萌</t>
  </si>
  <si>
    <t>山东国田农业发展有限公司</t>
  </si>
  <si>
    <t>蜂蜜酒;果酒（含酒精）;开胃酒;烧酒;⽩兰地;⽩酒;⻩酒;鸡尾酒;⽶酒;酒精饮料浓缩汁</t>
  </si>
  <si>
    <t>⽩酒;果酒（含酒精）;葡萄酒;⻩酒;烧酒;酒精饮料（啤酒除外）;清酒;鸡尾酒;烈酒（饮料）;⾷⽤酒精</t>
  </si>
  <si>
    <t>统典</t>
  </si>
  <si>
    <t>王心雨</t>
  </si>
  <si>
    <t>烈酒;⾼粱酒;烧酒;⽼酒（中国蒸馏烈酒）;⽩酒;威⼠忌;⻩酒;⻘稞酒;酒精饮料（啤酒除外）;⽶酒</t>
  </si>
  <si>
    <t>龙苐贡</t>
  </si>
  <si>
    <t>⻩酒;鸡尾酒;威⼠忌;果酒;烈酒;清酒;葡萄酒;⽩兰地;⽩酒;⽶酒</t>
  </si>
  <si>
    <t>三眼门桥</t>
  </si>
  <si>
    <t>王晓斌</t>
  </si>
  <si>
    <t>酒精饮料（啤酒除外）;清酒;蒸煮提取物（利⼝酒和烈酒）;开胃酒;烧酒;⽶酒;⻩酒;⽩酒;蒸馏饮料;烈酒（饮料）</t>
  </si>
  <si>
    <t>匠道黔台</t>
  </si>
  <si>
    <t>付六叶</t>
  </si>
  <si>
    <t>薄荷酒;⽩兰地;汽酒;⻩酒;威⼠忌;苦味酒;茴⾹酒;烧酒;葡萄酒;果酒（含酒精）</t>
  </si>
  <si>
    <t>成都巴蜀之南食品有限公司</t>
  </si>
  <si>
    <t>烈酒（饮料）;⽩酒;烧酒;威⼠忌;果酒（含酒精）;酒精饮料（啤酒除外）;⽶酒;鸡尾酒;⾼粱酒;葡萄酒</t>
  </si>
  <si>
    <t>何氏浩生（北京）国际中医药科学研究院</t>
  </si>
  <si>
    <t>果酒（含酒精）;⽩酒;含酒精的充⽓饮料（啤酒除外）;⻩酒;葡萄酒;酒精饮料（啤酒除外）;烈酒（饮料）;⽶酒;鸡尾酒;红葡萄酒</t>
  </si>
  <si>
    <t>一曲麒麟</t>
  </si>
  <si>
    <t>周琴</t>
  </si>
  <si>
    <t>葡萄酒;烈酒（饮料）;酒精饮料（啤酒除外）;⽶酒;果酒（含酒精）;清酒（⽇本⽶酒）;⻩酒;⽩酒;甜酒;烧酒</t>
  </si>
  <si>
    <t>凝凡饮</t>
  </si>
  <si>
    <t>海南海润医疗技术有限公司</t>
  </si>
  <si>
    <t>鸡尾酒;伏特加酒;威⼠忌;葡萄酒;⽩兰地;⽶酒;⽩酒;果酒;⻩酒;烧酒</t>
  </si>
  <si>
    <t>陕西朱鹮酒业有限公司</t>
  </si>
  <si>
    <t>⻩酒;⽶酒;⻘稞酒;果酒（含酒精）;⾷⽤酒精;清酒;蒸馏饮料;含酒精的饮料（啤酒除外）;汽酒;烈酒（饮料）</t>
  </si>
  <si>
    <t>锦海岸</t>
  </si>
  <si>
    <t>阿木古楞</t>
  </si>
  <si>
    <t>烈酒;葡萄酒;⽩酒;酒精饮料原汁;含⽔果酒精饮料;利⼝酒;⾷⽤酒精;⽼酒（中国蒸馏烈酒）;酒精饮料（啤酒除外）;烧酒</t>
  </si>
  <si>
    <t>响赋</t>
  </si>
  <si>
    <t>贵州渝赋酒业有限公司</t>
  </si>
  <si>
    <t>酒精饮料原汁;烧酒;烈酒（饮料）;⽶酒;⾕物制蒸馏酒精饮料;蒸馏饮料;汽酒;⽩酒;果酒（含酒精）;⻩酒</t>
  </si>
  <si>
    <t>鄂达生物</t>
  </si>
  <si>
    <t>湖北鄂达生物科技有限公司</t>
  </si>
  <si>
    <t>红葡萄酒;果酒（含酒精）;⽶酒;清酒;⻩酒;⾼粱酒;烈酒;⼲型苹果酒;苦荞酒;⽩酒</t>
  </si>
  <si>
    <t>振丰烧坊</t>
  </si>
  <si>
    <t>贵州省仁怀市振丰烧坊酒业（集团）有限公司</t>
  </si>
  <si>
    <t>酒精饮料（啤酒除外）;烈酒（饮料）;⾼粱酒;⽩酒;⻩酒;烧酒;葡萄酒;鸡尾酒;果酒（含酒精）;⽶酒</t>
  </si>
  <si>
    <t>TERRA OCCITANA</t>
  </si>
  <si>
    <t>君乐世家</t>
  </si>
  <si>
    <t>传匠守艺</t>
  </si>
  <si>
    <t>贵州大成众创酒业股份有限公司</t>
  </si>
  <si>
    <t>烧酒;⻘稞酒;⽶酒;威⼠忌;果酒（含酒精）;⽩酒;清酒（⽇本⽶酒）;鸡尾酒;葡萄酒;⻩酒</t>
  </si>
  <si>
    <t>益亩叁</t>
  </si>
  <si>
    <t>⽩酒;⾕物制蒸馏酒精饮料;预先混合的酒精饮料（以啤酒为主的除外）;酒精饮料（啤酒除外）;开胃酒;蒸馏饮料;果酒（含酒精）;餐后酒（利⼝酒和烈酒）;酒精饮料原汁;烈酒（饮料）</t>
  </si>
  <si>
    <t>严氏老幺</t>
  </si>
  <si>
    <t>武汉市江汉区严氏老幺烧梅店</t>
  </si>
  <si>
    <t>烧酒;果酒（含酒精）;苹果酒;薄荷酒;酒精饮料原汁;含⽔果酒精饮料;已调味的⻨芽酿制的酒精饮料（啤酒除外）;⽶酒;葡萄酒;⻩酒</t>
  </si>
  <si>
    <t>欧蔓莎</t>
  </si>
  <si>
    <t>昌黎县白马酒业有限公司</t>
  </si>
  <si>
    <t>酒精饮料（啤酒除外）;开胃酒;鸡尾酒;葡萄酒;烧酒;⽩酒;果酒（含酒精）;酒精饮料原汁;⽶酒;威⼠忌</t>
  </si>
  <si>
    <t>霏悦樽</t>
  </si>
  <si>
    <t>河南倡硕实业集团有限公司</t>
  </si>
  <si>
    <t>烧酒;⽩酒;酒精饮料（啤酒除外）;葡萄酒;烈酒（饮料）;⽶酒;果酒（含酒精）;鸡尾酒;威⼠忌;⾼粱酒</t>
  </si>
  <si>
    <t>梵海黔源</t>
  </si>
  <si>
    <t>贵州御知康农业科技有限公司</t>
  </si>
  <si>
    <t>⽩酒;由⾕物蒸馏的⽩酒;⽶酒;果酒（含酒精）;果酒;⽩⼲酒（中国⽩酒）;含酒精的饮料（啤酒除外）;甜果酒;含⽔果酒精饮料;⻩酒</t>
  </si>
  <si>
    <t>康特罗奇</t>
  </si>
  <si>
    <t>上海业肯贸易有限公司</t>
  </si>
  <si>
    <t>酒精饮料（啤酒除外）;威⼠忌;伏特加酒;鸡尾酒;⽩兰地;果酒（含酒精）;烈酒（饮料）;汽酒;葡萄酒;朗姆酒</t>
  </si>
  <si>
    <t>徳道兴福</t>
  </si>
  <si>
    <t>李奎亮</t>
  </si>
  <si>
    <t>果酒(含酒精);⽶酒;⾷⽤酒精;酒精饮料(啤酒除外);烧酒;⽩酒;开胃酒;葡萄酒;清酒;鸡尾酒</t>
  </si>
  <si>
    <t>玉锦春</t>
  </si>
  <si>
    <t>崇州市天一酒业有限公司</t>
  </si>
  <si>
    <t>葡萄酒;烈酒（饮料）;⽩兰地;朗姆酒;果酒（含酒精）;⽩酒;鸡尾酒;威⼠忌;酒精饮料（啤酒除外）;伏特加酒</t>
  </si>
  <si>
    <t>MEDTRONIC</t>
  </si>
  <si>
    <t>蒸馏饮料;⾷⽤酒精;汽酒;酒精饮料浓缩汁;烈酒（饮料）;酒精饮料（啤酒除外）;含⽔果酒精饮料;预先混合的酒精饮料（以啤酒为主的除外）;鸡尾酒;葡萄酒</t>
  </si>
  <si>
    <t>泊海情</t>
  </si>
  <si>
    <t>鄂尔多斯市亿茂农牧业开发有限公司</t>
  </si>
  <si>
    <t>葡萄酒;⽩酒;烈酒（饮料）;⽶酒;酒精饮料（啤酒除外）;甜酒;果酒（含酒精）;清酒（⽇本⽶酒）;⻩酒;烧酒</t>
  </si>
  <si>
    <t>仟福生</t>
  </si>
  <si>
    <t>福建仟福生茶业有限公司</t>
  </si>
  <si>
    <t>含⽔果酒精饮料;果酒;⽩酒;葡萄酒;⻩酒;梅酒;烧酒;烈酒;⽶酒;鸡尾酒</t>
  </si>
  <si>
    <t>大琅喝</t>
  </si>
  <si>
    <t>贵州赖世玲正衡酒业有限公司</t>
  </si>
  <si>
    <t>清酒;蒸煮提取物（利⼝酒和烈酒）;鸡尾酒;⾷⽤酒精;酒精饮料（啤酒除外）;含⽔果酒精饮料;开胃酒;烈酒（饮料）;烧酒;⽩酒</t>
  </si>
  <si>
    <t>双生花</t>
  </si>
  <si>
    <t>贵州唐庄酿酒有限公司</t>
  </si>
  <si>
    <t>烧酒;果酒（含酒精）;烈酒（饮料）;鸡尾酒;⻩酒;酒精饮料（啤酒除外）;甜果酒;威⼠忌;⽩酒;葡萄酒</t>
  </si>
  <si>
    <t>盛夏红</t>
  </si>
  <si>
    <t>吴忠市君达物资印刷有限公司</t>
  </si>
  <si>
    <t>威⼠忌;⻩酒;利⼝酒;⽩酒;烈酒（饮料）;葡萄酒;鸡尾酒;朗姆酒;清酒（⽇本⽶酒）;⽩兰地</t>
  </si>
  <si>
    <t>太公志传承</t>
  </si>
  <si>
    <t>烈酒（饮料）;预先混合的酒精饮料（以啤酒为主的除外）;⾷⽤酒精;酒精饮料原汁;汽酒;⻩酒;⻘稞酒;烧酒;⾕物制蒸馏酒精饮料;⽩酒</t>
  </si>
  <si>
    <t>K1-ONEAPOLLO</t>
  </si>
  <si>
    <t>朱明娟</t>
  </si>
  <si>
    <t>葡萄酒;烧酒;果酒（含酒精）;薄荷酒;含酒精的⽓泡⽔;蜂蜜酒;威⼠忌;开胃酒;鸡尾酒;⽩酒</t>
  </si>
  <si>
    <t>百草盛聚缘</t>
  </si>
  <si>
    <t>朱国林</t>
  </si>
  <si>
    <t>酒精饮料（啤酒除外）;利⼝酒;⻩酒;咖啡利⼝酒;⽩酒;奶油利⼝酒;预先混合的酒精饮料（以啤酒为主的除外）;果酒;甜酒;露酒</t>
  </si>
  <si>
    <t>昼夜的飞鸟</t>
  </si>
  <si>
    <t>北京德信恒泰商业管理有限公司</t>
  </si>
  <si>
    <t>葡萄酒;烈酒（饮料）;⽩兰地;清酒（⽇本⽶酒）;伏特加酒;威⼠忌;⻩酒;⽩酒;朗姆酒;⽶酒</t>
  </si>
  <si>
    <t>厅坊源</t>
  </si>
  <si>
    <t>安岳县忠义镇厅房村股份经济合作社</t>
  </si>
  <si>
    <t>⻘稞酒;⽩酒;蒸馏饮料;含⽔果酒精饮料;葡萄酒;果酒（含酒精）;甜酒;⽶酒;⽩⼲酒（中国⽩酒）;⾼粱酒</t>
  </si>
  <si>
    <t>盐扶嘉</t>
  </si>
  <si>
    <t>云阳县云安镇文化服务中心</t>
  </si>
  <si>
    <t>烈酒;⾷⽤酒精;烧酒;汽酒;⽩酒;果酒;⾼粱酒;葡萄酒;清酒;⽶酒</t>
  </si>
  <si>
    <t>月山壁窖</t>
  </si>
  <si>
    <t>陈法科</t>
  </si>
  <si>
    <t>酒精饮料（啤酒除外）;酒精饮料原汁;烈酒;蒸馏饮料;⻩酒;⽶酒;汽酒;葡萄酒;果酒（含酒精）;⽩酒</t>
  </si>
  <si>
    <t>美兰东麓</t>
  </si>
  <si>
    <t>宁夏人体健康科学研究院</t>
  </si>
  <si>
    <t>威⼠忌;⽶酒;⽩酒;葡萄酒;⾷⽤酒精;含⽔果酒精饮料;烈酒（饮料）;以葡萄酒为主的饮料;⻩酒;烧酒</t>
  </si>
  <si>
    <t>金六喜</t>
  </si>
  <si>
    <t>烈酒（饮料）;烧酒;⾷⽤酒精;⽩酒;⻘稞酒;清酒（⽇本⽶酒）;酒精饮料（啤酒除外）;⻩酒;葡萄酒;果酒（含酒精）</t>
  </si>
  <si>
    <t>燕台慕兰</t>
  </si>
  <si>
    <t>山东燕台酒业有限责任公司</t>
  </si>
  <si>
    <t>葡萄酒;⾼粱酒;果酒（含酒精）;开胃酒;烧酒（烈酒）;⽼酒（中国蒸馏烈酒）;酒精饮料（啤酒除外）;露酒;汽酒;⽩酒</t>
  </si>
  <si>
    <t>旺旺甜霸</t>
  </si>
  <si>
    <t>陈图旺</t>
  </si>
  <si>
    <t>含⽔果酒精饮料;⾕物制蒸馏酒精饮料;葡萄酒;果酒（含酒精）;甜酒;樱桃酒;⽩酒;预调甜酒;甜果酒;⽶酒</t>
  </si>
  <si>
    <t>南华庄圣</t>
  </si>
  <si>
    <t>东明庄圣酒业有限公司</t>
  </si>
  <si>
    <t>⽶酒;葡萄酒;烧酒;⻩酒;烈酒;甜酒;⽩酒;苦荞酒;⾼粱酒;⻘稞酒</t>
  </si>
  <si>
    <t>唐诗洞</t>
  </si>
  <si>
    <t>四川杜甫酒业集团股份有限公司</t>
  </si>
  <si>
    <t>⻩酒;葡萄酒;⽩酒;薄荷酒;烧酒;烈酒（饮料）;果酒（含酒精）;酒精饮料（啤酒除外）;清酒（⽇本⽶酒）;威⼠忌</t>
  </si>
  <si>
    <t>招财美</t>
  </si>
  <si>
    <t>⽩酒;果酒（含酒精）;酒精饮料（啤酒除外）;烧酒;⽶酒;烈酒（饮料）;⽢蔗制烈酒;葡萄酒;⻩酒;鸡尾酒</t>
  </si>
  <si>
    <t>尊牛倌</t>
  </si>
  <si>
    <t>贵州尊牛倌餐饮管理有限责任公司</t>
  </si>
  <si>
    <t>含⽔果酒精饮料;⽶酒;⻩酒;⽩酒;⽩兰地;烈酒（饮料）;含酒精的⽓泡⽔;酒精饮料浓缩汁;果酒（含酒精）;葡萄酒</t>
  </si>
  <si>
    <t>荣邦光辉</t>
  </si>
  <si>
    <t>酒精饮料（啤酒除外）;⻩酒;蜂蜜酒;⽩酒;含⽔果酒精饮料;⽶酒;以葡萄酒为主的饮料;烧酒;果酒（含酒精）;汽酒</t>
  </si>
  <si>
    <t>喷空</t>
  </si>
  <si>
    <t>周红坡</t>
  </si>
  <si>
    <t>⻘稞酒;果酒（含酒精）;清酒（⽇本⽶酒）;⻩酒;薄荷酒;葡萄酒;烧酒;⽩酒;⽩兰地;酒精饮料（啤酒除外）</t>
  </si>
  <si>
    <t>粮水缘</t>
  </si>
  <si>
    <t>刘荣波</t>
  </si>
  <si>
    <t>⽶酒;烧酒;开胃酒;葡萄酒;⾼粱酒;甜酒;⽩⼲酒（中国⽩酒）;果酒（含酒精）;⽩酒;杨梅酒</t>
  </si>
  <si>
    <t>酩朝香传</t>
  </si>
  <si>
    <t>孙磊</t>
  </si>
  <si>
    <t>葡萄酒;⻩酒;烈酒;鸡尾酒;⽩酒;清酒（⽇本⽶酒）;酒精饮料（啤酒除外）;果酒（含酒精）;开胃酒;威⼠忌</t>
  </si>
  <si>
    <t>梅满天下</t>
  </si>
  <si>
    <t>诏安梅满天下食品有限公司</t>
  </si>
  <si>
    <t>⽩酒;烈酒（饮料）;威⼠忌;葡萄酒;⾷⽤酒精;果酒（含酒精）;苹果酒;酒精饮料（啤酒除外）;⻩酒;蒸馏饮料</t>
  </si>
  <si>
    <t>干寨代岗</t>
  </si>
  <si>
    <t>随县惠利农作物种植有限公司</t>
  </si>
  <si>
    <t>果酒;含酒精的饮料（啤酒除外）;鸡尾酒;甜酒;葡萄酒;⻩酒;⾷⽤酒精;⽩酒;烈酒（饮料）;烧酒</t>
  </si>
  <si>
    <t>由⾕物蒸馏的⽩酒;开胃酒;鸡尾酒;⽩酒;汽酒;⽼酒（中国蒸馏烈酒）;烈酒;⾼粱酒;⻩酒;果酒</t>
  </si>
  <si>
    <t>壹刻拾味</t>
  </si>
  <si>
    <t>⽩酒;葡萄酒;烈酒（饮料）;清酒（⽇本⽶酒）;⻩酒;伏特加酒;⽩兰地;威⼠忌;⽶酒;朗姆酒</t>
  </si>
  <si>
    <t>悦云山古露</t>
  </si>
  <si>
    <t>悦伴（贵州）科技有限公司</t>
  </si>
  <si>
    <t>⾼粱酒;⽼酒（中国蒸馏烈酒）;酒精饮料（啤酒除外）;烈酒;威⼠忌;葡萄酒;⽩酒;烧酒;鸡尾酒;⽶酒</t>
  </si>
  <si>
    <t>星爆</t>
  </si>
  <si>
    <t>鸡尾酒;果酒（含酒精）;蜂蜜酒;酒精饮料（啤酒除外）;⽩酒;清酒;薄荷酒;利⼝酒;汽酒;预先混合的酒精饮料（以啤酒为主的除外）</t>
  </si>
  <si>
    <t>龙䤉</t>
  </si>
  <si>
    <t>陇药皇甫谧制药（甘肃）有限公司</t>
  </si>
  <si>
    <t>⻩酒;果酒;烧酒;⽼酒（中国蒸馏烈酒）;露酒;甜酒;蒸馏⽶酒（泡盛酒）;⽶酒;清酒;汽酒</t>
  </si>
  <si>
    <t>䤉宗</t>
  </si>
  <si>
    <t>⽶酒;蒸馏⽶酒（泡盛酒）;清酒;露酒;汽酒;烧酒;甜酒;⽼酒（中国蒸馏烈酒）;⻩酒;果酒</t>
  </si>
  <si>
    <t>东泰隆西烧锅</t>
  </si>
  <si>
    <t>内蒙古优然牧场农牧业科技发展有限公司</t>
  </si>
  <si>
    <t>果酒（含酒精）;⾷⽤酒精;⻩酒;烧酒;酒精饮料（啤酒除外）;葡萄酒;⽶酒;⽩酒;已调味的蒸馏酒;⾕物制蒸馏酒精饮料</t>
  </si>
  <si>
    <t>鸣仕</t>
  </si>
  <si>
    <t>青岛岛耳河水产品专业合作社</t>
  </si>
  <si>
    <t>⾷⽤酒精;⽶酒;汽酒;烈酒（饮料）;⽩酒;蒸馏饮料;酒精饮料（啤酒除外）;清酒（⽇本⽶酒）;果酒;葡萄酒</t>
  </si>
  <si>
    <t>永庆生平</t>
  </si>
  <si>
    <t>保定闻鼎酒业有限公司</t>
  </si>
  <si>
    <t>⾼粱酒;黑覆盆⼦酒;由⾕物蒸馏的⽩酒;含酒精的⽔果鸡尾酒饮料;⻘稞酒;茴⾹酒;苦艾酒;苦荞酒;露酒;草莓酒</t>
  </si>
  <si>
    <t>JIN LIU XI</t>
  </si>
  <si>
    <t>赛力士</t>
  </si>
  <si>
    <t>广州振华国际商贸有限公司</t>
  </si>
  <si>
    <t>⻩酒;以葡萄酒为主的饮料;果酒（含酒精）;⽩兰地;烈酒（饮料）;⽩酒;酒精饮料（啤酒除外）;威⼠忌;朗姆酒;⾷⽤酒精</t>
  </si>
  <si>
    <t>捕味者</t>
  </si>
  <si>
    <t>上海润荪文化传播有限公司</t>
  </si>
  <si>
    <t>除啤酒外的酒精饮料;⾷⽤酒精;烧酒;葡萄酒;⽩酒;⽶酒;露酒;⻩酒;清酒;烈酒;⾼粱酒</t>
  </si>
  <si>
    <t>千潭洞</t>
  </si>
  <si>
    <t>⽩酒;果酒（含酒精）;清酒（⽇本⽶酒）;⾼粱酒;⽶酒;伏特加酒;烧酒;朗姆酒;⽩葡萄酒;⻘稞酒</t>
  </si>
  <si>
    <t>寿山纪</t>
  </si>
  <si>
    <t>酒精饮料（啤酒除外）;烧酒;蒸馏饮料;葡萄酒;鸡尾酒;烈酒（饮料）;⽩酒;⽶酒;⻩酒;果酒（含酒精）</t>
  </si>
  <si>
    <t>龙世鉴</t>
  </si>
  <si>
    <t>雷闽</t>
  </si>
  <si>
    <t>葡萄酒;烧酒;酒精饮料原汁;果酒（含酒精）;烈酒（饮料）;⽶酒;⻩酒;⽩酒;酒精饮料（啤酒除外）;餐后酒（利⼝酒和烈酒）</t>
  </si>
  <si>
    <t>雾苏冰红</t>
  </si>
  <si>
    <t>烟台高升酒业有限公司</t>
  </si>
  <si>
    <t>⻩酒;⽩兰地;含⽔果酒精饮料;酒精饮料（啤酒除外）;利⼝酒;伏特加酒;果酒（含酒精）;葡萄酒;⽩酒;威⼠忌</t>
  </si>
  <si>
    <t>井坪海来好</t>
  </si>
  <si>
    <t>陈伟14060********9997X</t>
  </si>
  <si>
    <t>⽶酒;⻩酒;⽩酒;⾼粱酒;除啤酒外的酒精饮料;烈酒;⾷⽤酒精;露酒;由⾕物蒸馏的⽩酒;烧酒</t>
  </si>
  <si>
    <t>八派园</t>
  </si>
  <si>
    <t>钟意文化传媒（深圳）有限公司</t>
  </si>
  <si>
    <t>果酒（含酒精）;鸡尾酒;薄荷酒;葡萄酒;⻘稞酒;烧酒;⽩兰地;⽩酒;威⼠忌;⽶酒</t>
  </si>
  <si>
    <t>陶潭坤</t>
  </si>
  <si>
    <t>⽶酒;朗姆酒;清酒（⽇本⽶酒）;⽩葡萄酒;⻘稞酒;伏特加酒;⽩酒;果酒（含酒精）;⾼粱酒;烧酒</t>
  </si>
  <si>
    <t>贡䤉</t>
  </si>
  <si>
    <t>⽶酒;清酒;甜酒;烧酒;⽼酒（中国蒸馏烈酒）;露酒;汽酒;蒸馏⽶酒（泡盛酒）;果酒;⻩酒</t>
  </si>
  <si>
    <t>御凤年</t>
  </si>
  <si>
    <t>宋余棚</t>
  </si>
  <si>
    <t>鸡尾酒;烧酒;⻩酒;酒精饮料（啤酒除外）;含⽔果酒精饮料;⻘稞酒;⽩酒;果酒（含酒精）;葡萄酒;⽶酒</t>
  </si>
  <si>
    <t>贵百窖</t>
  </si>
  <si>
    <t>高燕</t>
  </si>
  <si>
    <t>葡萄酒;⻘稞酒;⽩酒;⽩兰地;威⼠忌;⻩酒;烧酒;鸡尾酒;烈酒;⽶酒</t>
  </si>
  <si>
    <t>坪洋众安</t>
  </si>
  <si>
    <t>广东坪洋众安腊味食品科技有限公司</t>
  </si>
  <si>
    <t>⻩酒;⽩酒;葡萄酒;⽶酒;烧酒;餐后酒（利⼝酒和烈酒）;开胃酒;果酒（含酒精）;酒精饮料（啤酒除外）;威⼠忌</t>
  </si>
  <si>
    <t>思稠知露</t>
  </si>
  <si>
    <t>北京品酒汇贸易有限公司</t>
  </si>
  <si>
    <t>薄荷酒;甜酒;酒精饮料（啤酒除外）;汽酒;含⽔果酒精饮料;餐后酒（利⼝酒和烈酒）;含酒精的⽔果鸡尾酒饮料;开胃酒;果酒;葡萄汽酒;含酒精的充⽓饮料（啤酒除外）;果酒（含酒精）;朗姆酒;威⼠忌;含酒精的饮料（啤酒除外）;鸡尾酒;烈酒（饮料）;利⼝酒;葡萄酒</t>
  </si>
  <si>
    <t>瑶鹰泉</t>
  </si>
  <si>
    <t>覃和</t>
  </si>
  <si>
    <t>⽩酒;清酒（⽇本⽶酒）;葡萄酒;蒸煮提取物（利⼝酒和烈酒）;除啤酒外的酒精饮料;⽶酒;利⼝酒;烧酒;茴⾹酒（利⼝酒）;烈酒</t>
  </si>
  <si>
    <t>紫云川</t>
  </si>
  <si>
    <t>鸡尾酒;葡萄酒;清酒（⽇本⽶酒）;果酒（含酒精）;⻩酒;酒精饮料（啤酒除外）;⽩酒;烈酒;威⼠忌;开胃酒</t>
  </si>
  <si>
    <t>桑膳逸品</t>
  </si>
  <si>
    <t>天津红花峪商贸有限公司</t>
  </si>
  <si>
    <t>葡萄酒;含⽔果酒精饮料;酒精饮料原汁;甜果酒;含酒精⽔果饮料;蜂蜜酒;烈酒（饮料）;⽩酒;果酒（含酒精）;⽔果汽酒</t>
  </si>
  <si>
    <t>卧龙腾飞</t>
  </si>
  <si>
    <t>葡萄酒;伏特加酒;清酒（⽇本⽶酒）;鸡尾酒;⽩酒;果酒（含酒精）;⽩兰地;酒精饮料（啤酒除外）;烧酒;⾷⽤酒精</t>
  </si>
  <si>
    <t>北国颂冰花</t>
  </si>
  <si>
    <t>哈尔滨小酒喔酒类供应链管理有限公司</t>
  </si>
  <si>
    <t>⽩酒;烧酒;果酒;酒精饮料（啤酒除外）;鸡尾酒;葡萄酒;⾷⽤酒精;甜果酒;烈酒;⽶酒</t>
  </si>
  <si>
    <t>京杭小龙哥</t>
  </si>
  <si>
    <t>刘玉成</t>
  </si>
  <si>
    <t>果酒（含酒精）;樱桃酒;预先混合的酒精饮料（以啤酒为主的除外）;酒精饮料浓缩汁;酒精饮料（啤酒除外）;含酒精⽔果饮料;苹果酒;含⽔果酒精饮料;以葡萄酒为主的饮料;含酒精的充⽓饮料（啤酒除外）</t>
  </si>
  <si>
    <t>陇䤉</t>
  </si>
  <si>
    <t>烧酒;甜酒;⻩酒;清酒;汽酒;果酒;蒸馏⽶酒（泡盛酒）;⽼酒（中国蒸馏烈酒）;⽶酒;露酒</t>
  </si>
  <si>
    <t>响革醇</t>
  </si>
  <si>
    <t>兴义市响革古寨来喜种养殖农民专业合作社</t>
  </si>
  <si>
    <t>果酒（含酒精）;⽩兰地;威⼠忌;鸡尾酒;⽩酒;烧酒;⻩酒;葡萄酒;蒸馏饮料;⽶酒</t>
  </si>
  <si>
    <t>喻禾醉</t>
  </si>
  <si>
    <t>刘松林</t>
  </si>
  <si>
    <t>烧酒;鸡尾酒;开胃酒;⽩酒;⻩酒;⽶酒;葡萄酒;伏特加酒;酒精饮料（啤酒除外）;烈酒（饮料）</t>
  </si>
  <si>
    <t>西极猎鹰</t>
  </si>
  <si>
    <t>刘晨</t>
  </si>
  <si>
    <t>鸡尾酒;⽶酒;葡萄酒;⽩酒;烧酒;⽩兰地;⻩酒;果酒（含酒精）;利⼝酒;开胃酒</t>
  </si>
  <si>
    <t>裕樽台</t>
  </si>
  <si>
    <t>宋曰胜</t>
  </si>
  <si>
    <t>鸡尾酒;⻘稞酒;葡萄酒;烧酒;果酒（含酒精）;酒精饮料（啤酒除外）;含⽔果酒精饮料;⽶酒;⽩酒;⻩酒</t>
  </si>
  <si>
    <t>秋景里</t>
  </si>
  <si>
    <t>毕素芳</t>
  </si>
  <si>
    <t>烈酒（饮料）;烧酒;苹果酒;鸡尾酒;⽩兰地;开胃酒;⽩酒;果酒（含酒精）;葡萄酒;含⽔果酒精饮料</t>
  </si>
  <si>
    <t>晟溪云弘</t>
  </si>
  <si>
    <t>云弘食品（辽宁）有限公司</t>
  </si>
  <si>
    <t>烧酒;预先混合的酒精饮料（以啤酒为主的除外）;由⾕物蒸馏的⽩酒;⽩酒;⾼粱酒;葡萄酒;⽶酒;⾷⽤酒精;酒精饮料（啤酒除外）;果酒</t>
  </si>
  <si>
    <t>闯立</t>
  </si>
  <si>
    <t>甘肃闯立农业开发有限公司</t>
  </si>
  <si>
    <t>苹果酒;果酒（含酒精）;烈酒（饮料）;酒精饮料（啤酒除外）;葡萄酒;含⽔果酒精饮料;烈酒;⽩酒;汽酒;⽶酒</t>
  </si>
  <si>
    <t>厦门由源优品商贸有限公司</t>
  </si>
  <si>
    <t>果酒（含酒精）;蒸煮提取物（利⼝酒和烈酒）;葡萄酒;酒精饮料原汁;⽩兰地;蒸馏饮料;⽩酒;汽酒;酒精饮料（啤酒除外）;烈酒（饮料）</t>
  </si>
  <si>
    <t>鼎柬</t>
  </si>
  <si>
    <t>中京恒瑞国际控股(集团)有限公司</t>
  </si>
  <si>
    <t>⾕物制蒸馏酒精饮料;⾷⽤酒精;⽶酒;果酒（含酒精）;开胃酒;⻩酒;已调味的⻨芽酿制的酒精饮料（啤酒除外）;葡萄酒;烈酒（饮料）;⽩酒</t>
  </si>
  <si>
    <t>图塔布兰德</t>
  </si>
  <si>
    <t>上海欢酌国际贸易有限公司</t>
  </si>
  <si>
    <t>酒精饮料（啤酒除外）;利⼝酒;蒸煮提取物（利⼝酒和烈酒）;果酒（含酒精）;⽩兰地;汽酒;葡萄酒;预先混合的酒精饮料（以啤酒为主的除外）;⽩酒;酒精饮料原汁</t>
  </si>
  <si>
    <t>禾加伍记</t>
  </si>
  <si>
    <t>伍长江</t>
  </si>
  <si>
    <t>⽩酒;⾕物制蒸馏酒精饮料;⻩酒;⽼酒（中国蒸馏烈酒）;⾼粱酒;含酒精的饮料（啤酒除外）;⻘稞酒;果酒（含酒精）;葡萄酒;⾷⽤酒精</t>
  </si>
  <si>
    <t>健鲁康南</t>
  </si>
  <si>
    <t>临沂玖鸿泉商贸有限公司</t>
  </si>
  <si>
    <t>威⼠忌;清酒（⽇本⽶酒）;开胃酒;烈酒;⻩酒;⽩酒;葡萄酒;鸡尾酒;果酒（含酒精）;酒精饮料（啤酒除外）</t>
  </si>
  <si>
    <t>粮大吉</t>
  </si>
  <si>
    <t>果酒（含酒精）;⻩酒;葡萄酒;鸡尾酒;烈酒;威⼠忌;酒精饮料（啤酒除外）;开胃酒;⽩酒;清酒（⽇本⽶酒）</t>
  </si>
  <si>
    <t>研生九体方</t>
  </si>
  <si>
    <t>江西正和大健康产业有限公司</t>
  </si>
  <si>
    <t>⽩酒;开胃酒;蒸馏饮料;餐后酒（利⼝酒和烈酒）;蝮蛇酒;⾷⽤酒精;果酒;酒精饮料（啤酒除外）;甜酒;⽶酒</t>
  </si>
  <si>
    <t>江苏大曲酒业有限公司</t>
  </si>
  <si>
    <t>果酒（含酒精）;伏特加酒;酒精饮料（啤酒除外）;⾷⽤酒精;清酒（⽇本⽶酒）;葡萄酒;⽩兰地;烧酒;⽩酒;鸡尾酒</t>
  </si>
  <si>
    <t>陕西省饮凤酒有限公司</t>
  </si>
  <si>
    <t>⽶酒;果酒（含酒精）;烧酒;烈酒;⾷⽤酒精;葡萄酒;⽩⼲酒（中国⽩酒）;⽩酒;酒精饮料原汁;⽼酒（中国蒸馏烈酒）</t>
  </si>
  <si>
    <t>烧酒;⽼酒（中国蒸馏烈酒）;⾷⽤酒精;⽩⼲酒（中国⽩酒）;果酒（含酒精）;⽩酒;酒精饮料原汁;葡萄酒;⽶酒;烈酒</t>
  </si>
  <si>
    <t>亚颂府圣宴</t>
  </si>
  <si>
    <t>葡萄酒;利⼝酒;苹果酒;汽酒;⽩兰地;樱桃酒;⽩酒;威⼠忌;鸡尾酒;含⽔果酒精饮料</t>
  </si>
  <si>
    <t>蒙麤</t>
  </si>
  <si>
    <t>内蒙古远泽管理咨询有限公司</t>
  </si>
  <si>
    <t>⽶酒;⻩酒;酒精饮料（啤酒除外）;烧酒;葡萄酒;烈酒（饮料）;⻘稞酒;⾷⽤酒精;开胃酒;果酒（含酒精）</t>
  </si>
  <si>
    <t>生茂烧坊</t>
  </si>
  <si>
    <t>山西宁裕瑞商贸有限公司</t>
  </si>
  <si>
    <t>汽酒;烧酒;⽩酒;⽶酒;⽩兰地;伏特加酒;葡萄酒;利⼝酒;开胃酒;苹果酒</t>
  </si>
  <si>
    <t>遇见漫生活</t>
  </si>
  <si>
    <t>航证（云南）商业发展有限公司</t>
  </si>
  <si>
    <t>⾕物制蒸馏酒精饮料;果酒（含酒精）;开胃酒;葡萄酒;⽩酒;烧酒;⾷⽤酒精;餐后酒（利⼝酒和烈酒）;⽶酒;烈酒（饮料）</t>
  </si>
  <si>
    <t>尹百台</t>
  </si>
  <si>
    <t>⽩兰地;⽶酒;鸡尾酒;烈酒;烧酒;⽩酒;⻩酒;葡萄酒;威⼠忌;⻘稞酒</t>
  </si>
  <si>
    <t>贵中界</t>
  </si>
  <si>
    <t>兴仁市百德镇老百姓纯酿酒坊</t>
  </si>
  <si>
    <t>烧酒;⽩酒;⽼酒（中国蒸馏烈酒）;葡萄酒;⻩酒;⽶酒;蒸煮提取物（利⼝酒和烈酒）;果酒;⽩兰地;清酒</t>
  </si>
  <si>
    <t>镇九方</t>
  </si>
  <si>
    <t>罗弼圭</t>
  </si>
  <si>
    <t>烈酒;果酒（含酒精）;鸡尾酒;葡萄酒;⻩酒;威⼠忌;酒精饮料（啤酒除外）;⽩酒;开胃酒;清酒（⽇本⽶酒）</t>
  </si>
  <si>
    <t>孟曲匠</t>
  </si>
  <si>
    <t>罗家程</t>
  </si>
  <si>
    <t>烈酒;果酒（含酒精）;鸡尾酒;威⼠忌;葡萄酒;开胃酒;酒精饮料（啤酒除外）;清酒（⽇本⽶酒）;⻩酒;⽩酒</t>
  </si>
  <si>
    <t>茉和</t>
  </si>
  <si>
    <t>山东天地仁和酒店管理有限公司</t>
  </si>
  <si>
    <t>⽩酒;鸡尾酒;酒精饮料（啤酒除外）;⽩兰地;果酒（含酒精）;⻩酒;葡萄酒;威⼠忌;清酒</t>
  </si>
  <si>
    <t>中室</t>
  </si>
  <si>
    <t>黄晓为</t>
  </si>
  <si>
    <t>⽩酒;烈酒;⾼粱酒;果酒（含酒精）;⻩酒;⽶酒;烧酒;汽酒;葡萄酒;酒精饮料（啤酒除外）</t>
  </si>
  <si>
    <t>芸安白兔井</t>
  </si>
  <si>
    <t>⾷⽤酒精;⽶酒;果酒;汽酒;烈酒;⾼粱酒;清酒;烧酒;葡萄酒;⽩酒</t>
  </si>
  <si>
    <t>唐诗选</t>
  </si>
  <si>
    <t>果酒（含酒精）;酒精饮料（啤酒除外）;烈酒（饮料）;烧酒;清酒（⽇本⽶酒）;⻩酒;薄荷酒;威⼠忌;葡萄酒;⽩酒</t>
  </si>
  <si>
    <t>原风衡昌年</t>
  </si>
  <si>
    <t>郑州市盒品会包装制品有限公司</t>
  </si>
  <si>
    <t>⽶酒;⾼粱酒;鸡尾酒;⽩酒;果酒;葡萄酒;含酒精的饮料（啤酒除外）;蜂蜜酒;⻩酒;烧酒</t>
  </si>
  <si>
    <t>翠紫秋唐</t>
  </si>
  <si>
    <t>广州糖枫餐饮管理有限公司</t>
  </si>
  <si>
    <t>酒精饮料（啤酒除外）;清酒;⽶酒;⾼粱酒;开胃酒;⻩酒;⽼酒（中国蒸馏烈酒）;葡萄酒;果酒;⽩酒</t>
  </si>
  <si>
    <t>敢当谷</t>
  </si>
  <si>
    <t>山东伟民文化产业有限公司</t>
  </si>
  <si>
    <t>葡萄酒;酒精饮料浓缩汁;以葡萄酒为主的饮料;含酒精的充⽓饮料（啤酒除外）;含酒精的饮料（啤酒除外）;⽶酒;预先混合的酒精饮料（以啤酒为主的除外）;⽩酒;含⽔果酒精饮料;果酒（含酒精）</t>
  </si>
  <si>
    <t>金谷牧歌</t>
  </si>
  <si>
    <t>扎鲁特旗金德农牧业科技发展有限公司</t>
  </si>
  <si>
    <t>葡萄酒;烈酒（饮料）;酒精饮料原汁;烧酒;⽶酒;酒精饮料（啤酒除外）;清酒;果酒（含酒精）;含⽔果酒精饮料;开胃酒</t>
  </si>
  <si>
    <t>宁裕瑞</t>
  </si>
  <si>
    <t>开胃酒;利⼝酒;清酒（⽇本⽶酒）;⽩酒;果酒（含酒精）;葡萄酒;⽶酒;烧酒;⻘稞酒;⻩酒</t>
  </si>
  <si>
    <t>亚颂府宗师</t>
  </si>
  <si>
    <t>葡萄酒;苹果酒;汽酒;含⽔果酒精饮料;威⼠忌;⽩酒;鸡尾酒;利⼝酒;樱桃酒;⽩兰地</t>
  </si>
  <si>
    <t>京诚汇</t>
  </si>
  <si>
    <t>北京清源通达商务服务有限公司</t>
  </si>
  <si>
    <t>烈酒（饮料）;⽶酒;⽩酒;鸡尾酒;烧酒;⽩兰地;伏特加酒;果酒（含酒精）;葡萄酒;利⼝酒</t>
  </si>
  <si>
    <t>天青瓷</t>
  </si>
  <si>
    <t>山西青花国酒厂股份有限公司</t>
  </si>
  <si>
    <t>餐后酒（利⼝酒和烈酒）;⽶酒;露酒;果酒（含酒精）;烈酒（饮料）;葡萄酒;蒸馏饮料;⽩酒;⾕物制蒸馏酒精饮料;苹果酒</t>
  </si>
  <si>
    <t>濠江赢酒庄园</t>
  </si>
  <si>
    <t>烈酒;⻩酒;果酒;烧酒;⻘稞酒;葡萄酒;⽶酒;⽩酒;威⼠忌;鸡尾酒</t>
  </si>
  <si>
    <t>三吕故居</t>
  </si>
  <si>
    <t>江苏中为数字科技有限公司</t>
  </si>
  <si>
    <t>葡萄酒;薄荷酒;蒸馏饮料;⽶酒;⽩酒;⻩酒;⾷⽤酒精;清酒（⽇本⽶酒）;威⼠忌;伏特加酒</t>
  </si>
  <si>
    <t>䤉小焷</t>
  </si>
  <si>
    <t>甜酒;⽶酒;露酒;果酒;⻩酒;⽼酒（中国蒸馏烈酒）;清酒;汽酒;蒸馏⽶酒（泡盛酒）;烧酒</t>
  </si>
  <si>
    <t>裕康臣</t>
  </si>
  <si>
    <t>葡萄酒;含⽔果酒精饮料;⻘稞酒;⽶酒;烧酒;⻩酒;鸡尾酒;酒精饮料（啤酒除外）;⽩酒;果酒（含酒精）</t>
  </si>
  <si>
    <t>虞姬神</t>
  </si>
  <si>
    <t>江苏虞姬农业科技有限公司</t>
  </si>
  <si>
    <t>烧酒;⻩酒;⽶酒;⽩酒;酒精饮料（啤酒除外）;葡萄酒;⽩⼲酒（中国⽩酒）;由⾕物蒸馏的⽩酒;已调味的蒸馏酒;果酒</t>
  </si>
  <si>
    <t>知酒居口粮</t>
  </si>
  <si>
    <t>河南知酒居酒业有限公司</t>
  </si>
  <si>
    <t>利⼝酒;烈酒（饮料）;⽶酒;酒精饮料（啤酒除外）;果酒;烧酒;⽩酒;葡萄酒;开胃酒;汽酒</t>
  </si>
  <si>
    <t>寮誉华</t>
  </si>
  <si>
    <t>安宁市名誉批发零售店（个体工商户）</t>
  </si>
  <si>
    <t>鸡尾酒;葡萄酒;烧酒（烈酒）;利⼝酒;⽩酒;⽶酒;⻩酒;清酒;果酒;露酒</t>
  </si>
  <si>
    <t>瑞龙腾飞</t>
  </si>
  <si>
    <t>果酒（含酒精）;鸡尾酒;⽩兰地;酒精饮料（啤酒除外）;⾷⽤酒精;烧酒;⽩酒;清酒（⽇本⽶酒）;伏特加酒;葡萄酒</t>
  </si>
  <si>
    <t>流之律</t>
  </si>
  <si>
    <t>广州兴屿化妆品有限公司</t>
  </si>
  <si>
    <t>含⽔果酒精饮料;酒精饮料（啤酒除外）;威⼠忌;葡萄酒;⻩酒;烧酒;⽩酒;蒸馏饮料;烈酒（饮料）;果酒（含酒精）</t>
  </si>
  <si>
    <t>涌粤合</t>
  </si>
  <si>
    <t>宁波菲来涌科技有限公司</t>
  </si>
  <si>
    <t>⻩酒;伏特加酒;烧酒;果酒;葡萄酒;⽩兰地;威⼠忌;⽩酒;清酒;蒸馏饮料</t>
  </si>
  <si>
    <t>四川蜀王御液酒业有限公司</t>
  </si>
  <si>
    <t>葡萄酒;开胃酒;威⼠忌;酒精饮料（啤酒除外）;鸡尾酒;果酒（含酒精）;清酒;蜂蜜酒;⽶酒;⽩酒</t>
  </si>
  <si>
    <t>万香齐力</t>
  </si>
  <si>
    <t>酒精饮料（啤酒除外）;⽩酒;⽶酒;烈酒;⾼粱酒;葡萄酒;⽼酒（中国蒸馏烈酒）;果酒;⻩酒;烧酒</t>
  </si>
  <si>
    <t>有良芯仁</t>
  </si>
  <si>
    <t>果酒（含酒精）;鸡尾酒;葡萄酒;烈酒（饮料）;⽩酒;烧酒;清酒（⽇本⽶酒）;酒精饮料（啤酒除外）;⻩酒;⽶酒</t>
  </si>
  <si>
    <t>COLOR COLLECTOR</t>
  </si>
  <si>
    <t>清酒（⽇本⽶酒）;葡萄酒;⻩酒;汽酒;⽩酒;威⼠忌;⽩兰地;鸡尾酒;烧酒;果酒（含酒精）</t>
  </si>
  <si>
    <t>火嗨嗨</t>
  </si>
  <si>
    <t>陈震</t>
  </si>
  <si>
    <t>⾷⽤酒精;鸡尾酒;利⼝酒;蒸馏饮料;⽩酒;葡萄酒;⻩酒;⽶酒;酒精饮料浓缩汁;果酒</t>
  </si>
  <si>
    <t>JING LIU XI</t>
  </si>
  <si>
    <t>清酒;葡萄酒;⾕物制蒸馏酒精饮料;果酒（含酒精）;⽶酒;⽩酒;蒸煮提取物（利⼝酒和烈酒）;酒精饮料（啤酒除外）;⾷⽤酒精;⽩兰地</t>
  </si>
  <si>
    <t>御用保森</t>
  </si>
  <si>
    <t>蒸馏饮料;果酒;开胃酒;餐后酒（利⼝酒和烈酒）;⽩酒;甜酒;蝮蛇酒;酒精饮料（啤酒除外）;⾷⽤酒精;⽶酒</t>
  </si>
  <si>
    <t>䤉暖</t>
  </si>
  <si>
    <t>⽶酒;果酒;汽酒;⽼酒（中国蒸馏烈酒）;⻩酒;露酒;烧酒;甜酒;蒸馏⽶酒（泡盛酒）;清酒</t>
  </si>
  <si>
    <t>䤉宗经典</t>
  </si>
  <si>
    <t>缸掼掼</t>
  </si>
  <si>
    <t>方承俊</t>
  </si>
  <si>
    <t>柑⾹酒;⽶酒;蒸煮提取物（利⼝酒和烈酒）;开胃酒;含⽔果酒精饮料;烧酒;利⼝酒;尼⽡（以⽢蔗为主的酒精饮料）;果酒;烈酒（饮料）</t>
  </si>
  <si>
    <t>燕台紫韵</t>
  </si>
  <si>
    <t>开胃酒;果酒（含酒精）;汽酒;⽩酒;露酒;烧酒（烈酒）;葡萄酒;酒精饮料（啤酒除外）;⾼粱酒;⽼酒（中国蒸馏烈酒）</t>
  </si>
  <si>
    <t>宫䤉</t>
  </si>
  <si>
    <t>果酒;蒸馏⽶酒（泡盛酒）;⻩酒;烧酒;汽酒;⽼酒（中国蒸馏烈酒）;⽶酒;清酒;露酒;甜酒</t>
  </si>
  <si>
    <t>冬象</t>
  </si>
  <si>
    <t>东莞市尚文酒业有限公司</t>
  </si>
  <si>
    <t>葡萄酒;清酒（⽇本⽶酒）;朗姆酒;⻩酒;⽩酒;伏特加酒;鸡尾酒;⽩兰地;威⼠忌;果酒（含酒精）</t>
  </si>
  <si>
    <t>K.G.MATZEN</t>
  </si>
  <si>
    <t>格马逊环境技术（上海）有限公司</t>
  </si>
  <si>
    <t>果酒（含酒精）;蒸馏饮料;含⽔果酒精饮料;酒精饮料原汁;葡萄酒;⾷⽤酒精;⽶酒;⽩酒;苦味酒;烈酒（饮料）</t>
  </si>
  <si>
    <t>藏美</t>
  </si>
  <si>
    <t>高偀轩</t>
  </si>
  <si>
    <t>⻘稞酒;葡萄酒;⻩酒;⽶酒;含酒精的⽔果鸡尾酒饮料;酒精饮料（啤酒除外）;烈酒;含⽔果酒精饮料;果酒（含酒精）;烧酒</t>
  </si>
  <si>
    <t>L‘AM ECRI</t>
  </si>
  <si>
    <t>邱剑</t>
  </si>
  <si>
    <t>蒸馏饮料;清酒（⽇本⽶酒）;含酒精⽔果饮料;咖啡利⼝酒;含⽔果酒精饮料;鸡尾酒;果酒（含酒精）;以葡萄酒为主的饮料;酒精饮料（啤酒除外）;威⼠忌</t>
  </si>
  <si>
    <t>知久居口粮</t>
  </si>
  <si>
    <t>烈酒（饮料）;⽶酒;葡萄酒;开胃酒;酒精饮料（啤酒除外）;利⼝酒;果酒;⽩酒;汽酒;烧酒</t>
  </si>
  <si>
    <t>WIOE</t>
  </si>
  <si>
    <t>西湖大学光电研究院</t>
  </si>
  <si>
    <t>烧酒（烈酒）;清酒（⽇本⽶酒）;威⼠忌;⽶酒;⽩兰地;葡萄酒;果酒（含酒精）;⻩酒;⽩酒;鸡尾酒</t>
  </si>
  <si>
    <t>火龙九紫</t>
  </si>
  <si>
    <t>江苏佑启文化发展有限公司</t>
  </si>
  <si>
    <t>⾷⽤酒精;烧酒;⽩酒;苦艾酒;⾼粱酒;蜂蜜酒;果酒;除啤酒外的酒精饮料;杨梅酒;⽶酒</t>
  </si>
  <si>
    <t>杏霸藏</t>
  </si>
  <si>
    <t>赵红玉</t>
  </si>
  <si>
    <t>果酒（含酒精）;开胃酒;⻩酒;⽩兰地;⽩酒;烧酒;葡萄酒;烈酒;酒精饮料（啤酒除外）;⽶酒</t>
  </si>
  <si>
    <t>简伴</t>
  </si>
  <si>
    <t>汝南县融情商贸有限公司</t>
  </si>
  <si>
    <t>苦味酒;清酒（⽇本⽶酒）;⽢蔗制酒精饮料;⻘稞酒;⾕物制蒸馏酒精饮料;朝鲜族⽶酒;⻩酒;⽩酒;威⼠忌;开胃酒</t>
  </si>
  <si>
    <t>少归</t>
  </si>
  <si>
    <t>天台上天酒业有限公司</t>
  </si>
  <si>
    <t>烧酒;⽼酒（中国蒸馏烈酒）;酒精饮料原汁;含⽔果酒精饮料;⻩酒;⾷⽤酒精;果酒（含酒精）;开胃酒;⽶酒;⽩酒</t>
  </si>
  <si>
    <t>梅蒂斯</t>
  </si>
  <si>
    <t>吉林省通利石膏装饰饰品有限公司</t>
  </si>
  <si>
    <t>烈酒（饮料）;⽩兰地;⽩酒;果酒（含酒精）;⻩酒;葡萄酒;威⼠忌;鸡尾酒;⽶酒;开胃酒</t>
  </si>
  <si>
    <t>朗宝行</t>
  </si>
  <si>
    <t>东莞市朗宝行商贸有限公司</t>
  </si>
  <si>
    <t>烧酒;烈酒（饮料）;开胃酒;⽶酒;⻩酒;⽩酒;葡萄酒;含⽔果酒精饮料;酒精饮料（啤酒除外）;鸡尾酒</t>
  </si>
  <si>
    <t>艾乐喝</t>
  </si>
  <si>
    <t>海南福宝堂健康管理有限公司</t>
  </si>
  <si>
    <t>烧酒;烈酒（饮料）;利⼝酒;果酒（含酒精）;⽩酒;预先混合的酒精饮料（以啤酒为主的除外）;露酒;⻩酒;含酒精的饮料（啤酒除外）;⽼酒（中国蒸馏烈酒）</t>
  </si>
  <si>
    <t>甘䤉</t>
  </si>
  <si>
    <t>⻩酒;清酒;露酒;蒸馏⽶酒（泡盛酒）;烧酒;甜酒;⽼酒（中国蒸馏烈酒）;果酒;汽酒;⽶酒</t>
  </si>
  <si>
    <t>䤉宗典藏</t>
  </si>
  <si>
    <t>⽶酒;清酒;汽酒;蒸馏⽶酒（泡盛酒）;甜酒;果酒;⻩酒;露酒;烧酒;⽼酒（中国蒸馏烈酒）</t>
  </si>
  <si>
    <t>黔稻河</t>
  </si>
  <si>
    <t>丰传志</t>
  </si>
  <si>
    <t>酒精饮料（啤酒除外）;烧酒;⽩酒;餐后酒（利⼝酒和烈酒）;⻩酒;⽶酒;果酒（含酒精）;葡萄酒;酒精饮料原汁;烈酒（饮料）</t>
  </si>
  <si>
    <t>飞翔的星</t>
  </si>
  <si>
    <t>自贡盐马帮酒庄有限公司</t>
  </si>
  <si>
    <t>葡萄酒;酒精饮料（啤酒除外）;含⽔果酒精饮料;烈酒（饮料）;⻘稞酒;烧酒;果酒（含酒精）;蜂蜜酒;蒸馏饮料;汽酒</t>
  </si>
  <si>
    <t>禧伯世澶</t>
  </si>
  <si>
    <t>广州禧伯世澶投资有限公司</t>
  </si>
  <si>
    <t>清酒（⽇本⽶酒）;伏特加酒;酒精饮料（啤酒除外）;果酒（含酒精）;⽩酒;⽩兰地;威⼠忌;含酒精的⽓泡⽔;⻩酒;葡萄酒</t>
  </si>
  <si>
    <t>鸿蕴梯田</t>
  </si>
  <si>
    <t>解鸿平332523********3335</t>
  </si>
  <si>
    <t>葡萄酒;烈酒（饮料）;⽢蔗制烈酒;果酒（含酒精）;鸡尾酒;酒精饮料（啤酒除外）;烧酒;⽩酒;⻩酒;⽶酒</t>
  </si>
  <si>
    <t>拉乌鲁</t>
  </si>
  <si>
    <t>北京乌鲁生物科技有限公司</t>
  </si>
  <si>
    <t>⽩酒;威⼠忌;果酒;梅酒;鸡尾酒;含⽔果酒精饮料;烧酒;葡萄酒;樱桃酒;清酒</t>
  </si>
  <si>
    <t>环山熊</t>
  </si>
  <si>
    <t>毕节山中泉酒业有限公司</t>
  </si>
  <si>
    <t>葡萄酒;⽩酒;酒精饮料（啤酒除外）;果酒（含酒精）;⾼粱酒;烧酒;⻩酒;鸡尾酒;烈酒（饮料）;⽶酒</t>
  </si>
  <si>
    <t>卡蒂凡</t>
  </si>
  <si>
    <t>四川卡蒂凡门窗有限公司</t>
  </si>
  <si>
    <t>果酒（含酒精）;葡萄酒;甜酒;⽩酒;含酒精⽔果饮料;⻩酒;以蒸馏酒为主的开胃酒;⾷⽤酒精;⽶酒;烧酒（烈酒）</t>
  </si>
  <si>
    <t>康小凤</t>
  </si>
  <si>
    <t>⽶酒;含⽔果酒精饮料;⻩酒;鸡尾酒;烧酒;⽩酒;果酒（含酒精）;酒精饮料（啤酒除外）;葡萄酒;⻘稞酒</t>
  </si>
  <si>
    <t>鲁杨</t>
  </si>
  <si>
    <t>山东利健实业有限公司</t>
  </si>
  <si>
    <t>开胃酒;酒精饮料（啤酒除外）;⾼粱酒;果酒（含酒精）;烈酒（饮料）;烧酒;⽩酒;甜酒;葡萄酒;⽩兰地</t>
  </si>
  <si>
    <t>甬宋</t>
  </si>
  <si>
    <t>宁波态喜食品有限公司</t>
  </si>
  <si>
    <t>酒精饮料（啤酒除外）;⽶酒;苹果酒;果酒（含酒精）;⽩酒;葡萄酒;⻩酒;含⽔果酒精饮料;烧酒;利⼝酒</t>
  </si>
  <si>
    <t>七贤风骨</t>
  </si>
  <si>
    <t>烈酒（饮料）;⻩酒;葡萄酒;朗姆酒;⽩兰地;清酒（⽇本⽶酒）;威⼠忌;⽩酒;⽶酒;伏特加酒</t>
  </si>
  <si>
    <t>日长喜久</t>
  </si>
  <si>
    <t>绍兴华夏互动广告有限公司</t>
  </si>
  <si>
    <t>烧酒;樱桃酒;汽酒;清酒（⽇本⽶酒）;⽶酒;果酒（含酒精）;⽩酒;开胃酒;蜂蜜酒;⻩酒</t>
  </si>
  <si>
    <t>小清既净</t>
  </si>
  <si>
    <t>葡萄酒;伏特加酒;⽩兰地;威⼠忌;朗姆酒;⽩酒;烈酒（饮料）;清酒（⽇本⽶酒）;⽶酒;⻩酒</t>
  </si>
  <si>
    <t>新民凤香</t>
  </si>
  <si>
    <t>陕西紫凤酒业股份有限公司</t>
  </si>
  <si>
    <t>葡萄酒;⽶酒;⽩酒;烈酒;⽩兰地;烧酒;⻩酒;果酒（含酒精）;酒精饮料（啤酒除外）;清酒</t>
  </si>
  <si>
    <t>御小泉</t>
  </si>
  <si>
    <t>⻘稞酒;酒精饮料（啤酒除外）;⽩酒;含⽔果酒精饮料;⻩酒;鸡尾酒;烧酒;果酒（含酒精）;⽶酒;葡萄酒</t>
  </si>
  <si>
    <t>毛姆礼帽</t>
  </si>
  <si>
    <t>含酒精⽔果饮料;果酒（含酒精）;蒸馏饮料;清酒（⽇本⽶酒）;酒精饮料（啤酒除外）;咖啡利⼝酒;以葡萄酒为主的饮料;鸡尾酒;含⽔果酒精饮料;威⼠忌</t>
  </si>
  <si>
    <t>丛返</t>
  </si>
  <si>
    <t>深圳趣野文化传媒工作室</t>
  </si>
  <si>
    <t>苦味酒;酒精饮料原汁;蒸煮提取物（利⼝酒和烈酒）;薄荷酒;酒精饮料浓缩汁;柑⾹酒;威⼠忌;果酒（含酒精）;⽶酒;葡萄酒</t>
  </si>
  <si>
    <t>陕西皇甫谧餐饮管理有限公司</t>
  </si>
  <si>
    <t>葡萄酒;⻩酒;⽩酒;果酒（含酒精）;汽酒;烧酒;⽶酒;酒精饮料（啤酒除外）;朗姆酒;鸡尾酒</t>
  </si>
  <si>
    <t>胥辞</t>
  </si>
  <si>
    <t>彭南</t>
  </si>
  <si>
    <t>⽩酒;利⼝酒;⽶酒;葡萄酒;⻩酒;威⼠忌;烈酒（饮料）;预先混合的酒精饮料（以啤酒为主的除外）;果酒（含酒精）;烧酒</t>
  </si>
  <si>
    <t>海德隆</t>
  </si>
  <si>
    <t>上海海德隆流体设备制造有限公司</t>
  </si>
  <si>
    <t>红葡萄酒;⽩兰地;果酒;⽩⼲酒（中国⽩酒）;⻩酒;甜酒;鸡尾酒;威⼠忌;⽩酒;⽶酒</t>
  </si>
  <si>
    <t>JAGERMEISTER</t>
  </si>
  <si>
    <t>马斯特·扎格米斯特欧洲公司</t>
  </si>
  <si>
    <t>咖啡利⼝酒</t>
  </si>
  <si>
    <t>老堂江峰一窖</t>
  </si>
  <si>
    <t>信阳市平桥区江峰一窖酒业坊</t>
  </si>
  <si>
    <t>清酒;甜酒;苦荞酒;⾼粱酒;⻩酒;烈性⼲酒;⽶酒;烧酒;果酒;⽩酒</t>
  </si>
  <si>
    <t>八派</t>
  </si>
  <si>
    <t>⽩兰地;威⼠忌;⽶酒;烧酒;薄荷酒;果酒（含酒精）;鸡尾酒;葡萄酒;⻘稞酒;⽩酒</t>
  </si>
  <si>
    <t>馀家烧房</t>
  </si>
  <si>
    <t>夜郎古酒业有限公司</t>
  </si>
  <si>
    <t>酒精饮料（啤酒除外）;⽩酒;⾷⽤酒精;烧酒;⾼粱酒;清酒;葡萄酒;⻩酒;果酒;⽶酒</t>
  </si>
  <si>
    <t>楚山韵浓</t>
  </si>
  <si>
    <t>肖一帆</t>
  </si>
  <si>
    <t>果酒;⻩酒;烧酒;葡萄酒;酒精饮料（啤酒除外）;鸡尾酒;汽酒;烈酒;⽶酒;⽩酒</t>
  </si>
  <si>
    <t>酉前</t>
  </si>
  <si>
    <t>威⼠忌;⻘稞酒;⽩酒;烈酒;⽶酒;葡萄酒;⽩兰地;鸡尾酒;⻩酒;烧酒</t>
  </si>
  <si>
    <t>方孝孺</t>
  </si>
  <si>
    <t>毛嗲嗲（北京）酒业有限公司</t>
  </si>
  <si>
    <t>烧酒;葡萄酒;果酒（含酒精）;含酒精的饮料（啤酒除外）;苹果酒;⻩酒;蒸馏饮料;⽩酒;⽶酒;开胃酒</t>
  </si>
  <si>
    <t>时曼</t>
  </si>
  <si>
    <t>梁喜艳</t>
  </si>
  <si>
    <t>开胃酒;葡萄酒;⾷⽤酒精;酒精饮料（啤酒除外）;果酒（含酒精）;烧酒;清酒（⽇本⽶酒）;汽酒;⽩兰地;⽩酒</t>
  </si>
  <si>
    <t>乐勋布兰德</t>
  </si>
  <si>
    <t>葡萄酒;汽酒;⽩兰地;酒精饮料（啤酒除外）;蒸煮提取物（利⼝酒和烈酒）;酒精饮料原汁;利⼝酒;预先混合的酒精饮料（以啤酒为主的除外）;⽩酒;果酒（含酒精）</t>
  </si>
  <si>
    <t>苹果酒;⻩酒;烈酒（饮料）;⾷⽤酒精;蒸馏饮料;葡萄酒;酒精饮料（啤酒除外）;果酒（含酒精）;⽩酒;威⼠忌</t>
  </si>
  <si>
    <t>梅满天下 MEI MAN WORLD</t>
  </si>
  <si>
    <t>葡萄酒;酒精饮料（啤酒除外）;苹果酒;蒸馏饮料;⾷⽤酒精;威⼠忌;果酒（含酒精）;烈酒（饮料）;⽩酒;⻩酒</t>
  </si>
  <si>
    <t>吴卓林</t>
  </si>
  <si>
    <t>⽶酒;开胃酒;果酒;⾼粱酒;鸡尾酒;⽩酒;烈酒（饮料）;烧酒;⻩酒;葡萄酒</t>
  </si>
  <si>
    <t>馨冉悦</t>
  </si>
  <si>
    <t>盛海英</t>
  </si>
  <si>
    <t>威⼠忌;果酒;酒精饮料（啤酒除外）;烈酒（饮料）;烈酒;鸡尾酒;⽩酒;⽼酒（中国蒸馏烈酒）;烧酒;⽶酒</t>
  </si>
  <si>
    <t>匠酒客</t>
  </si>
  <si>
    <t>匠酒客国际酒业贸易（成都）有限公司</t>
  </si>
  <si>
    <t>鸡尾酒;烧酒;葡萄酒;⽩酒;⻩酒;⽶酒;果酒（含酒精）;⽩兰地;威⼠忌;蒸馏饮料</t>
  </si>
  <si>
    <t>玺泉</t>
  </si>
  <si>
    <t>果酒（含酒精）;烈酒（饮料）;汽酒;葡萄酒;⽩酒;酒精饮料（啤酒除外）;清酒（⽇本⽶酒）;伏特加酒;⻩酒;⽩兰地</t>
  </si>
  <si>
    <t>铜磐</t>
  </si>
  <si>
    <t>郑楷</t>
  </si>
  <si>
    <t>⽩酒;⽶酒;威⼠忌;⻩酒;清酒（⽇本⽶酒）;烧酒;果酒（含酒精）;蜂蜜酒;烈酒（饮料）;葡萄酒</t>
  </si>
  <si>
    <t>寸悦卡丽斯蒂</t>
  </si>
  <si>
    <t>四川华派传媒有限公司</t>
  </si>
  <si>
    <t>威⼠忌;葡萄酒;甜果酒;烈酒（饮料）;清酒;除啤酒外的酒精饮料;⽩兰地;⽩酒;⻩酒;⽶酒</t>
  </si>
  <si>
    <t>醉美水狮河</t>
  </si>
  <si>
    <t>习水县水狮河酱酒销售有限公司</t>
  </si>
  <si>
    <t>⽩酒;⽩兰地;烧酒;烈酒;威⼠忌;葡萄酒;开胃酒;⾷⽤酒精;果酒;⽶酒</t>
  </si>
  <si>
    <t>织里童装</t>
  </si>
  <si>
    <t>湖州市吴兴区织里童装商会</t>
  </si>
  <si>
    <t>⽶酒;朗姆酒;果酒（含酒精）;酒精饮料（啤酒除外）;⾕物制蒸馏酒精饮料;鸡尾酒;伏特加酒;以葡萄酒为主的饮料;苹果酒;蒸馏饮料</t>
  </si>
  <si>
    <t>织里</t>
  </si>
  <si>
    <t>⽶酒;蒸馏饮料;果酒（含酒精）;酒精饮料（啤酒除外）;苹果酒;伏特加酒;以葡萄酒为主的饮料;鸡尾酒;⾕物制蒸馏酒精饮料;朗姆酒</t>
  </si>
  <si>
    <t>丽之缘</t>
  </si>
  <si>
    <t>江苏两相缘酒业有限公司</t>
  </si>
  <si>
    <t>烧酒;葡萄酒;果酒（含酒精）;⽩酒;烈酒（饮料）;苹果酒;⻩酒;⾼粱酒;含酒精的饮料（啤酒除外）;⽶酒</t>
  </si>
  <si>
    <t>大运易快网</t>
  </si>
  <si>
    <t>利⼝酒;烧酒;鸡尾酒;果酒（含酒精）;⾼粱酒;亚⼒酒;苹果酒;⽶酒;⽩酒;开胃酒</t>
  </si>
  <si>
    <t>五掼荟</t>
  </si>
  <si>
    <t>⾕物制蒸馏酒精饮料;果酒（含酒精）;蒸馏饮料;⽶酒;餐后酒（利⼝酒和烈酒）;烈酒（饮料）;露酒;⽩酒;葡萄酒;苹果酒</t>
  </si>
  <si>
    <t>晋圣酒庄</t>
  </si>
  <si>
    <t>葡萄酒;清酒（⽇本⽶酒）;酒精饮料（啤酒除外）;威⼠忌;⾷⽤酒精;⾕物制蒸馏酒精饮料;⻩酒;⽩酒;⽩兰地;⽶酒</t>
  </si>
  <si>
    <t>吴窖品味</t>
  </si>
  <si>
    <t>泸州市吴家酒酒业有限公司</t>
  </si>
  <si>
    <t>含⽔果酒精饮料;果酒（含酒精）;清酒（⽇本⽶酒）;⽩酒;蒸煮提取物（利⼝酒和烈酒）;烧酒;酒精饮料（啤酒除外）;⽶酒;⻩酒;葡萄酒</t>
  </si>
  <si>
    <t>夏良庆龙</t>
  </si>
  <si>
    <t>果酒（含酒精）;⻩酒;清酒（⽇本⽶酒）;酒精饮料（啤酒除外）;⽼酒（中国蒸馏烈酒）;开胃酒;利⼝酒;葡萄酒;⽶酒;⽩酒</t>
  </si>
  <si>
    <t>聚正隆</t>
  </si>
  <si>
    <t>贵州聚正隆雕刻工艺有限公司</t>
  </si>
  <si>
    <t>⽩酒;⽩⼲酒(中国⽩酒);烧酒(烈酒);由⾕物蒸馏的⽩酒;⾷⽤酒精;⾼粱酒;烈酒;⽼酒(中国蒸馏烈酒);⽶酒;⻩酒</t>
  </si>
  <si>
    <t>奥麦帝</t>
  </si>
  <si>
    <t>北京九香合商贸有限公司</t>
  </si>
  <si>
    <t>汽酒;甜果酒;含酒精的鸡尾酒混合饮品;果酒（含酒精）;烧酒;⾕物制蒸馏酒精饮料;预先混合的酒精饮料（以啤酒为主的除外）;含⽔果酒精饮料;⽩酒;⽶酒</t>
  </si>
  <si>
    <t>王宴九州</t>
  </si>
  <si>
    <t>深圳市燕鹿科技有限公司</t>
  </si>
  <si>
    <t>苦荞酒;⽼酒（中国蒸馏烈酒）;葡萄酒;⾷⽤酒精;⻘梅酒;⽩⼲酒（中国⽩酒）;露酒;⽩酒;酒精饮料（啤酒除外）;⾼粱酒</t>
  </si>
  <si>
    <t>邛杖丝路花雨</t>
  </si>
  <si>
    <t>成都邛杖酒业有限公司</t>
  </si>
  <si>
    <t>蜂蜜酒;葡萄酒;⽩酒;酒精饮料（啤酒除外）;⽶酒;烈酒（饮料）;果酒（含酒精）;⾷⽤酒精;⽼酒（中国蒸馏烈酒）;酒精饮料原汁</t>
  </si>
  <si>
    <t>清杏源</t>
  </si>
  <si>
    <t>汾阳市汾泉涌酒业有限公司</t>
  </si>
  <si>
    <t>薄荷酒;烈酒（饮料）;⻩酒;⽩酒;含⽔果酒精饮料;烧酒;果酒（含酒精）;茴芹酒（利⼝酒）;⽶酒;酒精饮料（啤酒除外）</t>
  </si>
  <si>
    <t>百廷十世</t>
  </si>
  <si>
    <t>深圳烨创酒业有限公司</t>
  </si>
  <si>
    <t>烧酒;⽩酒;果酒（含酒精）;葡萄酒;酒精饮料（啤酒除外）;伏特加酒;⾷⽤酒精;威⼠忌;利⼝酒;⽩兰地</t>
  </si>
  <si>
    <t>100 PHRASES POUR EVENTAILS</t>
  </si>
  <si>
    <t>比泽尔·埃尔韦</t>
  </si>
  <si>
    <t>酒精饮料浓缩汁;酒精饮料（啤酒除外）;烈酒（饮料）;开胃酒;葡萄酒</t>
  </si>
  <si>
    <t>飒礼赫</t>
  </si>
  <si>
    <t>汪殿海</t>
  </si>
  <si>
    <t>鸡尾酒;利⼝酒;伏特加酒;⽩兰地;果酒（含酒精）;⽩酒;威⼠忌;开胃酒;葡萄酒;朗姆酒</t>
  </si>
  <si>
    <t>明宇豪</t>
  </si>
  <si>
    <t>刘洪明</t>
  </si>
  <si>
    <t>⽼酒（中国蒸馏烈酒）;⽩⼲酒（中国⽩酒）;烧酒（烈酒）;已调味的⻨芽酿制的酒精饮料（啤酒除外）;⾷⽤酒精;⾼粱酒;⽩酒;红葡萄酒;⻩酒;酒精饮料（啤酒除外）</t>
  </si>
  <si>
    <t>AMYWRONG</t>
  </si>
  <si>
    <t>上海翔喆实业有限公司</t>
  </si>
  <si>
    <t>葡萄酒;⽩兰地;果酒（含酒精）;威⼠忌;汽酒;⽶酒;⻩酒;⽩酒;烈酒（饮料）;清酒（⽇本⽶酒）</t>
  </si>
  <si>
    <t>武红亚</t>
  </si>
  <si>
    <t>酒精饮料（啤酒除外）;威⼠忌;葡萄酒;鸡尾酒;清酒（⽇本⽶酒）;烈酒（饮料）;⽩酒;⽶酒;⻩酒;⽩兰地</t>
  </si>
  <si>
    <t>果辞</t>
  </si>
  <si>
    <t>汤德彬</t>
  </si>
  <si>
    <t>果酒（含酒精）;利⼝酒;含酒精⽔果饮料;蒸馏饮料;⽩酒;威⼠忌;酒精饮料（啤酒除外）;⻘梅酒;葡萄酒;鸡尾酒</t>
  </si>
  <si>
    <t>大连奥姆文化传播有限公司</t>
  </si>
  <si>
    <t>鸡尾酒;⽩兰地;威⼠忌;⽶酒;果酒;⽩酒;葡萄酒;伏特加酒;⾼粱酒;⻩酒</t>
  </si>
  <si>
    <t>陈龙川状元</t>
  </si>
  <si>
    <t>浙江马牌工贸有限公司</t>
  </si>
  <si>
    <t>烧酒;果酒（含酒精）;⻩酒;⾷⽤酒精;清酒;⽩酒;蒸煮提取物（利⼝酒和烈酒）;葡萄酒;预先混合的酒精饮料（以啤酒为主的除外）;⽶酒</t>
  </si>
  <si>
    <t>朝相忆</t>
  </si>
  <si>
    <t>王恒</t>
  </si>
  <si>
    <t>葡萄酒;果酒（含酒精）;鸡尾酒;⽶酒;酒精饮料（啤酒除外）;威⼠忌;烈酒（饮料）;烧酒;⽩酒;⽩兰地</t>
  </si>
  <si>
    <t>笋乡飞哥</t>
  </si>
  <si>
    <t>湖南竹芝实业有限责任公司</t>
  </si>
  <si>
    <t>鸡尾酒;葡萄酒;蜂蜜酒;⽶酒;果酒;开胃酒;烈酒;⽩酒;酒精饮料（啤酒除外）;⾷⽤酒精</t>
  </si>
  <si>
    <t>欧亚鸲</t>
  </si>
  <si>
    <t>深圳市圣比利供应链有限责任公司</t>
  </si>
  <si>
    <t>朗姆酒;烧酒;烈酒;⽩酒;伏特加酒;烈酒（饮料）;⽩兰地;清酒（⽇本⽶酒）;威⼠忌;葡萄酒</t>
  </si>
  <si>
    <t>淼炎</t>
  </si>
  <si>
    <t>李思奇</t>
  </si>
  <si>
    <t>果酒;果酒（含酒精）;烧酒;酒精饮料（啤酒除外）;⾼粱酒;蒸馏饮料;含⽔果酒精饮料;⽩酒;甜果酒;⻘梅酒</t>
  </si>
  <si>
    <t>双山马家店</t>
  </si>
  <si>
    <t>祝勇</t>
  </si>
  <si>
    <t>柑⾹酒;⽩兰地;威⼠忌;烧酒;⽩酒;⻩酒;⽶酒;葡萄酒;伏特加酒;鸡尾酒</t>
  </si>
  <si>
    <t>璘玖</t>
  </si>
  <si>
    <t>鸡尾酒;⻘稞酒;⽩酒;餐后酒（利⼝酒和烈酒）;开胃酒;威⼠忌;酒精饮料（啤酒除外）;⽶酒;葡萄酒;果酒（含酒精）</t>
  </si>
  <si>
    <t>郑钱</t>
  </si>
  <si>
    <t>深圳市泽信行尚彩贸易有限公司</t>
  </si>
  <si>
    <t>葡萄酒;果酒;梅酒;⻩酒;⽩兰地;威⼠忌;伏特加酒;⽩酒</t>
  </si>
  <si>
    <t>徐思云尹记</t>
  </si>
  <si>
    <t>绍兴市藏玩文化艺术传播有限公司</t>
  </si>
  <si>
    <t>⻩酒;酒精饮料原汁;⾼粱酒;葡萄酒;⽩酒;⽩兰地;威⼠忌;⽶酒;烧酒;果酒（含酒精）</t>
  </si>
  <si>
    <t>汉圣</t>
  </si>
  <si>
    <t>贵州茅台镇汉圣酒业有限公司</t>
  </si>
  <si>
    <t>⾼粱酒;蒸馏饮料;酒精饮料原汁;酒精饮料（啤酒除外）;烧酒;⽩酒;预先混合的酒精饮料（以啤酒为主的除外）;烈酒;⽼酒（中国蒸馏烈酒）;⽶酒</t>
  </si>
  <si>
    <t>画凌烟</t>
  </si>
  <si>
    <t>廖玉山</t>
  </si>
  <si>
    <t>⾷⽤酒精;⽩酒;葡萄酒;果酒;⾼粱酒;⽶酒;烧酒;汽酒;⻩酒;⽼酒（中国蒸馏烈酒）</t>
  </si>
  <si>
    <t>闯海</t>
  </si>
  <si>
    <t>海南中视投资控股有限公司</t>
  </si>
  <si>
    <t>烈酒（饮料）;葡萄酒;开胃酒;蒸馏饮料;⽩酒;⽶酒;⾷⽤酒精;预先混合的酒精饮料（以啤酒为主的除外）;果酒（含酒精）;酒精饮料（啤酒除外）</t>
  </si>
  <si>
    <t>十午春</t>
  </si>
  <si>
    <t>临沂正睿医疗科技有限公司</t>
  </si>
  <si>
    <t>开胃酒;⽶酒;烧酒;⽩酒;⻩酒;葡萄酒;鸡尾酒;酒精饮料（啤酒除外）;蒸馏饮料;利⼝酒</t>
  </si>
  <si>
    <t>飞滴</t>
  </si>
  <si>
    <t>⽶酒;利⼝酒;酒精饮料（啤酒除外）;⽩酒;⻩酒;果酒;⽩兰地;威⼠忌;葡萄酒;鸡尾酒</t>
  </si>
  <si>
    <t>世十</t>
  </si>
  <si>
    <t>烈酒（饮料）;甘蔗制烈酒;米酒;酒精饮料（啤酒除外）;烧酒;白酒;葡萄酒;果酒（含酒精）;黄酒;鸡尾酒</t>
  </si>
  <si>
    <t>紫津</t>
  </si>
  <si>
    <t>山东马踏湖饮品有限公司</t>
  </si>
  <si>
    <t>果酒（含酒精）;开胃酒;烈酒（饮料）;伏特加酒;酒精饮料（啤酒除外）;鸡尾酒;清酒（⽇本⽶酒）;⽩酒;葡萄酒;烧酒</t>
  </si>
  <si>
    <t>贵州则酒酒业集团有限公司</t>
  </si>
  <si>
    <t>露酒;⽩酒;烈酒（饮料）;⾕物制蒸馏酒精饮料;餐后酒（利⼝酒和烈酒）;苹果酒;蒸馏饮料;葡萄酒;果酒（含酒精）;⽶酒</t>
  </si>
  <si>
    <t>东酩珠</t>
  </si>
  <si>
    <t>符老康</t>
  </si>
  <si>
    <t>⽩酒;烈酒;酒精饮料（啤酒除外）;果酒（含酒精）;鸡尾酒;葡萄酒;⻩酒;威⼠忌;清酒（⽇本⽶酒）;开胃酒</t>
  </si>
  <si>
    <t>白小友</t>
  </si>
  <si>
    <t>威⼠忌;⽩酒;酒精饮料（啤酒除外）;烈酒;葡萄酒;开胃酒;清酒（⽇本⽶酒）;⻩酒;鸡尾酒;果酒（含酒精）</t>
  </si>
  <si>
    <t>巨和天下</t>
  </si>
  <si>
    <t>姚志敏</t>
  </si>
  <si>
    <t>含⽔果酒精饮料;烧酒;果酒（含酒精）;⽶酒;鸡尾酒;蒸馏饮料;烈酒（饮料）;⻩酒;红葡萄酒;⽩酒</t>
  </si>
  <si>
    <t>有渔有鱼有余</t>
  </si>
  <si>
    <t>烨臻河北药业有限公司</t>
  </si>
  <si>
    <t>⻩酒;烈酒;清酒（⽇本⽶酒）;⽩酒;蒸馏饮料;鸡尾酒;葡萄酒;酒精饮料（啤酒除外）;果酒;⽶酒</t>
  </si>
  <si>
    <t>北京金谷圣泉商贸有限公司</t>
  </si>
  <si>
    <t>⽩酒;果酒（含酒精）;鸡尾酒;葡萄酒;酒精饮料（啤酒除外）;⽩兰地;威⼠忌;酒精饮料原汁;茴⾹酒（利⼝酒）;烈酒（饮料）</t>
  </si>
  <si>
    <t>中骁</t>
  </si>
  <si>
    <t>烈酒;威⼠忌;⻩酒;⽩兰地;葡萄酒;⽶酒;鸡尾酒;⽩酒;烧酒;⻘稞酒</t>
  </si>
  <si>
    <t>华厦山河</t>
  </si>
  <si>
    <t>侯艳琳</t>
  </si>
  <si>
    <t>葡萄酒;鸡尾酒;含⽔果酒精饮料;⽩酒;果酒（含酒精）;烧酒;酒精饮料（啤酒除外）;⽶酒;清酒（⽇本⽶酒）;蜂蜜酒</t>
  </si>
  <si>
    <t>织里校服</t>
  </si>
  <si>
    <t>蒸馏饮料;伏特加酒;⽶酒;以葡萄酒为主的饮料;⾕物制蒸馏酒精饮料;鸡尾酒;朗姆酒;果酒（含酒精）;酒精饮料（啤酒除外）;苹果酒</t>
  </si>
  <si>
    <t>汉喜士</t>
  </si>
  <si>
    <t>烧酒;⻩酒;烈酒（饮料）;⽶酒;威⼠忌;⽩酒;葡萄酒;清酒（⽇本⽶酒）;蜂蜜酒;果酒（含酒精）</t>
  </si>
  <si>
    <t>VEISTONPINPHU</t>
  </si>
  <si>
    <t>厦门鑫利强贸易有限公司</t>
  </si>
  <si>
    <t>酒精饮料（啤酒除外）;⽶酒;⽩酒;⽩兰地;清酒;烧酒（烈酒）;威⼠忌;利⼝酒;葡萄酒;⾼粱酒</t>
  </si>
  <si>
    <t>明珠福匠</t>
  </si>
  <si>
    <t>杏花百年酒厂股份有限公司</t>
  </si>
  <si>
    <t>⻘稞酒;威⼠忌;⽶酒;⽩酒;葡萄酒;鸡尾酒;⻩酒;烧酒;果酒（含酒精）;含酒精的饮料（啤酒除外）</t>
  </si>
  <si>
    <t>明珠传晋</t>
  </si>
  <si>
    <t>⻩酒;⽶酒;鸡尾酒;⽩酒;果酒（含酒精）;⻘稞酒;烧酒;含酒精的饮料（啤酒除外）;威⼠忌;葡萄酒</t>
  </si>
  <si>
    <t>陕西青聚客贸易有限公司</t>
  </si>
  <si>
    <t>⽩酒;含⽔果酒精饮料;含酒精的⽓泡⽔;已调味的⻨芽酿制的酒精饮料（啤酒除外）;果酒（含酒精）;以葡萄酒为主的饮料;葡萄酒;酒精饮料原汁</t>
  </si>
  <si>
    <t>醉德弘</t>
  </si>
  <si>
    <t>胡进生</t>
  </si>
  <si>
    <t>酒精饮料（啤酒除外）;露酒;⾼粱酒;葡萄酒;⽩⼲酒（中国⽩酒）;⽶酒;果酒（含酒精）;蜂蜜酒;⽢蔗制烈酒;⽩酒</t>
  </si>
  <si>
    <t>贡福海</t>
  </si>
  <si>
    <t>果酒（含酒精）;开胃酒;烈酒（饮料）;葡萄酒;烧酒;⽩酒;清酒（⽇本⽶酒）;含⽔果酒精饮料;⽶酒;酒精饮料（啤酒除外）</t>
  </si>
  <si>
    <t>金钻星</t>
  </si>
  <si>
    <t>谢琛</t>
  </si>
  <si>
    <t>葡萄酒;⽶酒;⽩酒;⻩酒;酒精饮料（啤酒除外）;果酒（含酒精）;清酒;鸡尾酒;威⼠忌;烧酒</t>
  </si>
  <si>
    <t>元燊堂</t>
  </si>
  <si>
    <t>果酒（含酒精）;⽩兰地;清酒（⽇本⽶酒）;酒精饮料（啤酒除外）;⽩酒;烈酒（饮料）;⻩酒;伏特加酒;葡萄酒;汽酒</t>
  </si>
  <si>
    <t>卧手酒</t>
  </si>
  <si>
    <t>莫争酒业（杭州）股份有限公司</t>
  </si>
  <si>
    <t>威⼠忌;朗姆酒;伏特加酒;含⽔果酒精饮料;⽶酒;酒精饮料（啤酒除外）;⽩酒;⻩酒;果酒（含酒精）;预先混合的酒精饮料（以啤酒为主的除外）</t>
  </si>
  <si>
    <t>绿洲水狮河</t>
  </si>
  <si>
    <t>⽶酒;⽩兰地;⾷⽤酒精;威⼠忌;开胃酒;⽩酒;果酒;葡萄酒;烧酒;烈酒</t>
  </si>
  <si>
    <t>哪吒子均</t>
  </si>
  <si>
    <t>葡萄酒;⻩酒;果酒（含酒精）;⽶酒;露酒;酒精饮料（啤酒除外）;桑葚酒;⾼粱酒;⽩酒;⽼酒（中国蒸馏烈酒）</t>
  </si>
  <si>
    <t>酉理想</t>
  </si>
  <si>
    <t>白酒;烈酒;黄酒;酒精饮料（啤酒除外）;烧酒;老酒（中国蒸馏烈酒）;果酒;高粱酒;米酒;葡萄酒</t>
  </si>
  <si>
    <t>篆黔</t>
  </si>
  <si>
    <t>泸州篆黔酒类营销有限责任公司</t>
  </si>
  <si>
    <t>⻩酒;烧酒;葡萄酒;⽶酒;⽩酒;烈酒（饮料）;汽酒;果酒（含酒精）;⽩兰地;蒸馏饮料</t>
  </si>
  <si>
    <t>晋品侯</t>
  </si>
  <si>
    <t>余宝珍</t>
  </si>
  <si>
    <t>烈酒（饮料）;酒精饮料（啤酒除外）;⽩兰地;果酒（含酒精）;鸡尾酒;葡萄酒;威⼠忌;⽶酒;烧酒;⽩酒</t>
  </si>
  <si>
    <t>泽坤坊</t>
  </si>
  <si>
    <t>伏特加酒;烈酒（饮料）;汽酒;⻩酒;⽩酒;果酒（含酒精）;葡萄酒;⽩兰地;清酒（⽇本⽶酒）;酒精饮料（啤酒除外）</t>
  </si>
  <si>
    <t>华厦老泰斗</t>
  </si>
  <si>
    <t>蜂蜜酒;含⽔果酒精饮料;清酒（⽇本⽶酒）;烧酒;果酒（含酒精）;葡萄酒;⽩酒;⽶酒;鸡尾酒;酒精饮料（啤酒除外）</t>
  </si>
  <si>
    <t>明珠帝业</t>
  </si>
  <si>
    <t>含酒精的饮料（啤酒除外）;威⼠忌;⻩酒;⽶酒;葡萄酒;烧酒;⻘稞酒;⽩酒;果酒（含酒精）;鸡尾酒</t>
  </si>
  <si>
    <t>福琦</t>
  </si>
  <si>
    <t>保定兴泰投资有限公司</t>
  </si>
  <si>
    <t>⾷⽤酒精;⽩酒;⽶酒;⻩酒;⻘稞酒;葡萄酒;烧酒;开胃酒;鸡尾酒;果酒（含酒精）</t>
  </si>
  <si>
    <t>四海篆</t>
  </si>
  <si>
    <t>⻩酒;威⼠忌;⽩酒;葡萄酒;烧酒;果酒（含酒精）;清酒（⽇本⽶酒）;蜂蜜酒;烈酒（饮料）;⽶酒</t>
  </si>
  <si>
    <t>五象霖</t>
  </si>
  <si>
    <t>威⼠忌;酒精饮料（啤酒除外）;清酒（⽇本⽶酒）;⽩酒;果酒（含酒精）;⽩兰地;⾷⽤酒精;⻩酒;⽶酒;鸡尾酒</t>
  </si>
  <si>
    <t>瀛燳</t>
  </si>
  <si>
    <t>酒精饮料浓缩汁;含酒精的饮料（啤酒除外）;⽩酒;清酒;酒精饮料原汁;加烈葡萄酒;烈酒;葡萄汽酒;含酒精的充⽓饮料（啤酒除外）;以葡萄酒为主的开胃酒;葡萄酒;酒精饮料（啤酒除外）;起泡红葡萄酒;起泡⽩葡萄酒;⻩酒</t>
  </si>
  <si>
    <t>椰海嘉客</t>
  </si>
  <si>
    <t>⽶酒;⽩兰地;威⼠忌;⽩酒;⻩酒;果酒;鸡尾酒;葡萄酒;利⼝酒;酒精饮料（啤酒除外）</t>
  </si>
  <si>
    <t>小湖清</t>
  </si>
  <si>
    <t>李雪龙</t>
  </si>
  <si>
    <t>果酒（含酒精）;烧酒;⾼粱酒;⽶酒;汽酒;⻩酒;鸡尾酒;⽩酒;葡萄酒;含酒精⽔果饮料</t>
  </si>
  <si>
    <t>粮相欢</t>
  </si>
  <si>
    <t>柳成勇</t>
  </si>
  <si>
    <t>⻩酒;烈酒（饮料）;鸡尾酒;蜂蜜酒;⻘稞酒;开胃酒;清酒（⽇本⽶酒）;威⼠忌;⽩酒;烧酒</t>
  </si>
  <si>
    <t>千亿运</t>
  </si>
  <si>
    <t>⽶酒;烧酒;⻩酒;清酒（⽇本⽶酒）;威⼠忌;果酒（含酒精）;葡萄酒;烈酒（饮料）;蜂蜜酒;⽩酒</t>
  </si>
  <si>
    <t>丞尚源</t>
  </si>
  <si>
    <t>山西龙城御品酒业有限公司</t>
  </si>
  <si>
    <t>⽩酒;伏特加酒;梨酒;果酒（含酒精）;⽩兰地;葡萄酒;⻩酒;威⼠忌;朗姆酒;酒精饮料（啤酒除外）</t>
  </si>
  <si>
    <t>茶淋峰</t>
  </si>
  <si>
    <t>衷培其</t>
  </si>
  <si>
    <t>⻩酒;清酒（⽇本⽶酒）;⽶酒;⾕物制蒸馏酒精饮料;⽩酒;酒精饮料（啤酒除外）;烧酒</t>
  </si>
  <si>
    <t>齐菲纳</t>
  </si>
  <si>
    <t>河南左邻数字科技有限公司</t>
  </si>
  <si>
    <t>酸酒（低等葡萄酒）;⾷⽤酒精;果酒;⻩酒;烧酒;葡萄酒;含⽔果酒精饮料;⾕物制蒸馏酒精饮料;以葡萄酒为主的饮料;⽩酒</t>
  </si>
  <si>
    <t>齐菲娅</t>
  </si>
  <si>
    <t>葡萄酒;⾕物制蒸馏酒精饮料;果酒;酸酒（低等葡萄酒）;⽩酒;⻩酒;以葡萄酒为主的饮料;烧酒;⾷⽤酒精;含⽔果酒精饮料</t>
  </si>
  <si>
    <t>诺世界国际贸易（深圳）有限公司</t>
  </si>
  <si>
    <t>⽩兰地;葡萄酒;⽩酒;⽶酒;果酒（含酒精）;苹果酒;⻩酒;餐后酒（利⼝酒和烈酒）;鸡尾酒;威⼠忌</t>
  </si>
  <si>
    <t>荡胸曾云</t>
  </si>
  <si>
    <t>宁夏秦汉韵文化发展有限公司</t>
  </si>
  <si>
    <t>⽩酒;清酒;果酒（含酒精）;⽩兰地;烧酒;含酒精的饮料（啤酒除外）;⽶酒;含酒精的⽓泡⽔;葡萄酒;⻩酒</t>
  </si>
  <si>
    <t>贵州麦特熙和商业管理（集团）有限公司</t>
  </si>
  <si>
    <t>酒精饮料（啤酒除外）;⻩酒;⾷⽤酒精;果酒（含酒精）;⽩兰地;葡萄酒;蜂蜜酒;威⼠忌;⽶酒;⽩酒</t>
  </si>
  <si>
    <t>葡萄酒;清酒（⽇本⽶酒）;烈酒（饮料）;威⼠忌;⽩酒;果酒（含酒精）;⽩兰地;⻩酒;汽酒;⽶酒</t>
  </si>
  <si>
    <t>泸上月梢</t>
  </si>
  <si>
    <t>保定舜展商贸有限公司</t>
  </si>
  <si>
    <t>⽩酒;⽩兰地;鸡尾酒;葡萄酒;朗姆酒;⻩酒;烧酒;威⼠忌;酒精饮料（啤酒除外）;果酒</t>
  </si>
  <si>
    <t>威⼠忌;蒸馏饮料;葡萄酒;酒精饮料（啤酒除外）;薄荷酒;⽩酒;苦味酒;伏特加酒;苹果酒;鸡尾酒</t>
  </si>
  <si>
    <t>阿卡邦大梁造</t>
  </si>
  <si>
    <t>王红升</t>
  </si>
  <si>
    <t>烧酒;蒸煮提取物（利⼝酒和烈酒）;⽼酒（中国蒸馏烈酒）;由⾕物蒸馏的⽩酒;已调味的蒸馏酒;蒸馏⽶酒（泡盛酒）;⽩酒;⾼粱酒;果酒;⽩⼲酒（中国⽩酒）</t>
  </si>
  <si>
    <t>将二十</t>
  </si>
  <si>
    <t>⽩酒;葡萄酒;果酒（含酒精）;⽶酒;鸡尾酒;烈酒（饮料）;⽢蔗制烈酒;烧酒;⻩酒;酒精饮料（啤酒除外）</t>
  </si>
  <si>
    <t>金酿凤</t>
  </si>
  <si>
    <t>⽩酒;酒精饮料（啤酒除外）;果酒（含酒精）;烧酒;⽶酒;葡萄酒;清酒;威⼠忌;鸡尾酒;⻩酒</t>
  </si>
  <si>
    <t>优钓班</t>
  </si>
  <si>
    <t>露酒;葡萄酒;⽩酒;蒸馏饮料;⽶酒;烈酒（饮料）;餐后酒（利⼝酒和烈酒）;果酒（含酒精）;⾕物制蒸馏酒精饮料;苹果酒</t>
  </si>
  <si>
    <t>钧春策</t>
  </si>
  <si>
    <t>威⼠忌;烈酒（饮料）;清酒（⽇本⽶酒）;烧酒;开胃酒;蜂蜜酒;⽩酒;鸡尾酒;⻩酒;⻘稞酒</t>
  </si>
  <si>
    <t>野人嘎嘎</t>
  </si>
  <si>
    <t>崔雷</t>
  </si>
  <si>
    <t>⻩酒;果酒（含酒精）;酒精饮料（啤酒除外）;⽶酒;含酒精的⽓泡⽔;⽩酒;威⼠忌;鸡尾酒;葡萄酒;⾕物制蒸馏酒精饮料</t>
  </si>
  <si>
    <t>寻山遇美</t>
  </si>
  <si>
    <t>滨州善兴医药科技有限公司</t>
  </si>
  <si>
    <t>⽩⼲酒（中国⽩酒）;⽶酒;草莓酒;⻩酒;⻘梅酒;红葡萄酒;⽼酒（中国蒸馏烈酒）;⽩酒;杨梅酒;果酒</t>
  </si>
  <si>
    <t>百鹭骋怀</t>
  </si>
  <si>
    <t>纪富怀</t>
  </si>
  <si>
    <t>预先混合的酒精饮料（以啤酒为主的除外）;⽩酒;⽶酒;鸡尾酒;威⼠忌;⽩兰地;酒精饮料（啤酒除外）;含⽔果酒精饮料;⻩酒;葡萄酒</t>
  </si>
  <si>
    <t>润玄坊</t>
  </si>
  <si>
    <t>广州润玄坊酒业有限公司</t>
  </si>
  <si>
    <t>烈酒（饮料）;⽩兰地;清酒（⽇本⽶酒）;⽩酒;⻩酒;伏特加酒;汽酒;葡萄酒;果酒（含酒精）;酒精饮料（啤酒除外）</t>
  </si>
  <si>
    <t>塞边浔</t>
  </si>
  <si>
    <t>鸡尾酒;清酒（⽇本⽶酒）;蜂蜜酒;⻘稞酒;⽩酒;烈酒（饮料）;烧酒;开胃酒;威⼠忌;⻩酒</t>
  </si>
  <si>
    <t>景中景</t>
  </si>
  <si>
    <t>清酒（⽇本⽶酒）;⽶酒;烧酒;⻩酒;葡萄酒;烈酒（饮料）;果酒（含酒精）;威⼠忌;蜂蜜酒;⽩酒</t>
  </si>
  <si>
    <t>義之砚</t>
  </si>
  <si>
    <t>刘连才</t>
  </si>
  <si>
    <t>酒精饮料（啤酒除外）;⽶酒;⽩兰地;伏特加酒;利⼝酒;薄荷酒;果酒（含酒精）;鸡尾酒;葡萄酒;⽩酒</t>
  </si>
  <si>
    <t>优年</t>
  </si>
  <si>
    <t>楚琼</t>
  </si>
  <si>
    <t>果酒（含酒精）;⽩酒;威⼠忌;⻘稞酒;鸡尾酒;⽩兰地;烧酒;⻩酒;⽶酒;葡萄酒</t>
  </si>
  <si>
    <t>山田元造</t>
  </si>
  <si>
    <t>⽩酒;烧酒;果酒（含酒精）;酒精饮料（啤酒除外）;清酒（⽇本⽶酒）;蒸馏饮料;开胃酒;⽶酒;葡萄酒;⻩酒</t>
  </si>
  <si>
    <t>垂纶</t>
  </si>
  <si>
    <t>葡萄酒;⾕物制蒸馏酒精饮料;⽶酒;果酒（含酒精）;餐后酒（利⼝酒和烈酒）;苹果酒;露酒;蒸馏饮料;烈酒（饮料）;⽩酒</t>
  </si>
  <si>
    <t>爱享咖</t>
  </si>
  <si>
    <t>张丽敏</t>
  </si>
  <si>
    <t>⽩酒;含酒精⽔果饮料;汽酒;⽩兰地;葡萄酒;⻩酒;蒸馏饮料;威⼠忌;果酒（含酒精）;酒精饮料（啤酒除外）</t>
  </si>
  <si>
    <t>虹凤酒</t>
  </si>
  <si>
    <t>王五成</t>
  </si>
  <si>
    <t>伏特加酒;⾷⽤酒精;⻩酒;葡萄酒;⽩酒;威⼠忌;⽩兰地;果酒（含酒精）;朗姆酒;烈酒（饮料）</t>
  </si>
  <si>
    <t>亿燊</t>
  </si>
  <si>
    <t>梁如徐</t>
  </si>
  <si>
    <t>⽩酒;酒精饮料（啤酒除外）;伏特加酒;汽酒;烈酒（饮料）;⽩兰地;清酒（⽇本⽶酒）;⻩酒;葡萄酒;果酒（含酒精）</t>
  </si>
  <si>
    <t>忠義江湖情</t>
  </si>
  <si>
    <t>袁德鹏</t>
  </si>
  <si>
    <t>⽩酒;蜂蜜酒;烈酒;清酒;烧酒;⻩酒;蒸煮提取物（利⼝酒和烈酒）;含⽔果酒精饮料;预先混合的酒精饮料（以啤酒为主的除外）;⽶酒</t>
  </si>
  <si>
    <t>汐韵坊</t>
  </si>
  <si>
    <t>青岛泉知道食品饮料有限公司</t>
  </si>
  <si>
    <t>果酒（含酒精）;鸡尾酒;清酒（⽇本⽶酒）;酒精饮料（啤酒除外）;⽩酒;⽩⼲酒（中国⽩酒）;⽶酒;含酒精的⽓泡⽔;烧酒;⾕物制蒸馏酒精饮料</t>
  </si>
  <si>
    <t>吴窖小酒馆儿</t>
  </si>
  <si>
    <t>⽶酒;酒精饮料（啤酒除外）;清酒（⽇本⽶酒）;⻩酒;含⽔果酒精饮料;葡萄酒;烧酒;⽩酒;果酒（含酒精）;蒸煮提取物（利⼝酒和烈酒）</t>
  </si>
  <si>
    <t>竹涧令</t>
  </si>
  <si>
    <t>清酒（⽇本⽶酒）;蜂蜜酒;烈酒（饮料）;⽩酒;鸡尾酒;开胃酒;威⼠忌;烧酒;⻩酒;⻘稞酒</t>
  </si>
  <si>
    <t>怡粱台</t>
  </si>
  <si>
    <t>葡萄酒;鸡尾酒;蒸馏饮料;⻩酒;⽶酒;⾼粱酒;⽩酒;果酒;烧酒;清酒</t>
  </si>
  <si>
    <t>朱色满园</t>
  </si>
  <si>
    <t>渝中区辣屋里餐饮店</t>
  </si>
  <si>
    <t>⽶酒;蒸馏饮料;含酒精的⽓泡⽔;苦味酒;含⽔果酒精饮料;酒精饮料（啤酒除外）;⾕物制蒸馏酒精饮料;烧酒;朗姆酒;果酒（含酒精）</t>
  </si>
  <si>
    <t>水韵乡贤</t>
  </si>
  <si>
    <t>沭阳县帝欣商贸有限公司</t>
  </si>
  <si>
    <t>鸡尾酒;⾼粱酒;⻩酒;⽶酒;⾕物制蒸馏酒精饮料;开胃酒;烈酒;⽩⼲酒（中国⽩酒）;葡萄酒;⽩酒</t>
  </si>
  <si>
    <t>鉴湖越台</t>
  </si>
  <si>
    <t>中国绍兴黄酒集团有限公司</t>
  </si>
  <si>
    <t>蒸煮提取物（利⼝酒和烈酒）;烈酒（饮料）;清酒（⽇本⽶酒）;烧酒;果酒（含酒精）;⽶酒;葡萄酒;⻩酒;甜酒;⽩酒</t>
  </si>
  <si>
    <t>皇润</t>
  </si>
  <si>
    <t>蒸馏饮料;烈酒;⽼酒（中国蒸馏烈酒）;⽩酒;⾼粱酒;酒精饮料原汁;酒精饮料（啤酒除外）;⽶酒;烧酒;预先混合的酒精饮料（以啤酒为主的除外）</t>
  </si>
  <si>
    <t>西藏拉加里酒店有限责任公司</t>
  </si>
  <si>
    <t>酒精饮料原汁;含酒精的⽓泡⽔;⻘稞酒;鸡尾酒;以葡萄酒为主的饮料;餐后酒（利⼝酒和烈酒）;果酒（含酒精）;⾕物制蒸馏酒精饮料;葡萄酒;⽩酒</t>
  </si>
  <si>
    <t>咏古今</t>
  </si>
  <si>
    <t>北京酒香天下科技有限公司</t>
  </si>
  <si>
    <t>葡萄酒;威⼠忌;开胃酒;⽩酒;鸡尾酒;果酒（含酒精）;⻩酒;烈酒;酒精饮料（啤酒除外）;清酒（⽇本⽶酒）</t>
  </si>
  <si>
    <t>百克萨普</t>
  </si>
  <si>
    <t>张小勇</t>
  </si>
  <si>
    <t>果酒（含酒精）;⽩酒;开胃酒;烈酒（饮料）;汽酒;蒸馏饮料;⽶酒;酒精饮料（啤酒除外）;葡萄酒;鸡尾酒</t>
  </si>
  <si>
    <t>烈酒（饮料）;⻩酒;蒸馏饮料;烧酒;⽩酒;含酒精的饮料（啤酒除外）;⾼粱酒;⽼酒（中国蒸馏烈酒）;⾷⽤酒精;烈酒</t>
  </si>
  <si>
    <t>吉钻</t>
  </si>
  <si>
    <t>徐州传承酱酒业有限公司</t>
  </si>
  <si>
    <t>开胃酒;清酒（⽇本⽶酒）;梨酒;利⼝酒;⻩酒;葡萄酒;威⼠忌;⻘稞酒;烧酒;⽩酒</t>
  </si>
  <si>
    <t>劲溪</t>
  </si>
  <si>
    <t>郭超飞</t>
  </si>
  <si>
    <t>利⼝酒;⽶酒;果酒（含酒精）;烈酒（饮料）;⾷⽤酒精;烧酒;⻩酒;开胃酒;餐后酒（利⼝酒和烈酒）;⽩酒</t>
  </si>
  <si>
    <t>茫涯印象</t>
  </si>
  <si>
    <t>果酒（含酒精）;含⽔果酒精饮料;烧酒;果酒;⾼粱酒;酒精饮料（啤酒除外）;⽶酒;⻩酒;⽩兰地;清酒</t>
  </si>
  <si>
    <t>吉势</t>
  </si>
  <si>
    <t>⽩酒;葡萄酒;⻩酒;清酒（⽇本⽶酒）;蜂蜜酒;烧酒;果酒（含酒精）;威⼠忌;⽶酒;烈酒（饮料）</t>
  </si>
  <si>
    <t>翠钓班</t>
  </si>
  <si>
    <t>葡萄酒;⽶酒;果酒（含酒精）;餐后酒（利⼝酒和烈酒）;露酒;蒸馏饮料;苹果酒;⽩酒;烈酒（饮料）;⾕物制蒸馏酒精饮料</t>
  </si>
  <si>
    <t>镇硕泥池</t>
  </si>
  <si>
    <t>江苏众立首贸易有限公司</t>
  </si>
  <si>
    <t>葡萄酒;⽩酒;果酒（含酒精）;鸡尾酒;含酒精的⽓泡⽔;烈酒（饮料）;预先混合的酒精饮料（以啤酒为主的除外）;烧酒;威⼠忌;⽶酒</t>
  </si>
  <si>
    <t>CKJKTANGFANG</t>
  </si>
  <si>
    <t>美国时装大师时尚集团有限公司</t>
  </si>
  <si>
    <t>⻩酒;⽶酒;烈酒;威⼠忌;果酒;酒精饮料（啤酒除外）;葡萄酒;红葡萄酒;⽩酒;烧酒</t>
  </si>
  <si>
    <t>裕粮州</t>
  </si>
  <si>
    <t>汪明广</t>
  </si>
  <si>
    <t>葡萄酒;清酒（⽇本⽶酒）;鸡尾酒;烈酒;⽩酒;⻩酒;开胃酒;威⼠忌;酒精饮料（啤酒除外）;果酒（含酒精）</t>
  </si>
  <si>
    <t>笋友缘</t>
  </si>
  <si>
    <t>桃江县竹缘林科开发有限公司</t>
  </si>
  <si>
    <t>鸡尾酒;开胃酒;葡萄酒;蜂蜜酒;⾷⽤酒精;酒精饮料（啤酒除外）;⽩酒;果酒;烈酒;⽶酒</t>
  </si>
  <si>
    <t>浓缘春</t>
  </si>
  <si>
    <t>君品珍酿酒业有限公司</t>
  </si>
  <si>
    <t>烧酒;开胃酒;梨酒;威⼠忌;⻩酒;利⼝酒;清酒（⽇本⽶酒）;⽩酒;葡萄酒;⻘稞酒</t>
  </si>
  <si>
    <t>文海芝味坊</t>
  </si>
  <si>
    <t>袁文海</t>
  </si>
  <si>
    <t>果酒（含酒精）;葡萄酒;甜酒;蜂蜜酒;⽶酒;⾼粱酒;果酒;⽩酒;露酒;红葡萄酒</t>
  </si>
  <si>
    <t>柚气质</t>
  </si>
  <si>
    <t>浙江柚气质生物科技有限公司</t>
  </si>
  <si>
    <t>汽酒;⽩酒;⽔果汽酒;蜂蜜酒;葡萄酒;⽶酒;含⽔果酒精饮料;果酒;含酒精的充⽓饮料（啤酒除外）;酒精饮料（啤酒除外）</t>
  </si>
  <si>
    <t>隐山岳</t>
  </si>
  <si>
    <t>⽶酒;蜂蜜酒;⽩酒;⻩酒;清酒（⽇本⽶酒）;威⼠忌;葡萄酒;烈酒（饮料）;烧酒;果酒（含酒精）</t>
  </si>
  <si>
    <t>五掼会</t>
  </si>
  <si>
    <t>餐后酒（利⼝酒和烈酒）;果酒（含酒精）;葡萄酒;烈酒（饮料）;⽶酒;露酒;苹果酒;⽩酒;蒸馏饮料;⾕物制蒸馏酒精饮料</t>
  </si>
  <si>
    <t>果然臣</t>
  </si>
  <si>
    <t>刘至丰</t>
  </si>
  <si>
    <t>果酒（含酒精）;蒸馏饮料;利⼝酒;威⼠忌;酒精饮料（啤酒除外）;含酒精⽔果饮料;葡萄酒;⻘梅酒;鸡尾酒;⽩酒</t>
  </si>
  <si>
    <t>岩醺</t>
  </si>
  <si>
    <t>梁亚洲</t>
  </si>
  <si>
    <t>酒精饮料（啤酒除外）;⽩酒;果酒（含酒精）;葡萄酒;⻩酒;烧酒;鸡尾酒;⽶酒;蒸馏饮料;威⼠忌</t>
  </si>
  <si>
    <t>戏味</t>
  </si>
  <si>
    <t>苏州亚太文旅投资有限公司</t>
  </si>
  <si>
    <t>葡萄酒;⻩酒;果酒（含酒精）;混合威⼠忌酒;含酒精的饮料（啤酒除外）;⽶酒;果酒;威⼠忌;预先混合的酒精饮料（以啤酒为主的除外）;⽩酒</t>
  </si>
  <si>
    <t>呈祥明珠</t>
  </si>
  <si>
    <t>威⼠忌;鸡尾酒;葡萄酒;⻘稞酒;含酒精的饮料（啤酒除外）;⽩酒;⽶酒;果酒（含酒精）;⻩酒;烧酒</t>
  </si>
  <si>
    <t>鹿颐臣</t>
  </si>
  <si>
    <t>刘敬强</t>
  </si>
  <si>
    <t>烧酒;葡萄酒;⽩酒;鸡尾酒;⻩酒;开胃酒;烈酒（饮料）;⽶酒;果酒（含酒精）;酒精饮料（啤酒除外）</t>
  </si>
  <si>
    <t>古人辞</t>
  </si>
  <si>
    <t>谭远</t>
  </si>
  <si>
    <t>酒精饮料（啤酒除外）;果酒（含酒精）;开胃酒;葡萄酒;⻩酒;⽩酒;鸡尾酒;清酒（⽇本⽶酒）;威⼠忌;烈酒</t>
  </si>
  <si>
    <t>天池岳</t>
  </si>
  <si>
    <t>烈酒（饮料）;梨酒;葡萄酒;⽩酒;苹果酒;含⽔果酒精饮料;⽶酒;⽩⼲酒（中国⽩酒）;果酒（含酒精）;烧酒</t>
  </si>
  <si>
    <t>谢村陈家</t>
  </si>
  <si>
    <t>洋县谢村老陈家原浆黄酒坊</t>
  </si>
  <si>
    <t>⻩酒;蒸煮提取物（利⼝酒和烈酒）;含⽔果酒精饮料;烈酒（饮料）;烧酒;⾷⽤酒精;⽩酒;果酒（含酒精）;⽶酒;汽酒</t>
  </si>
  <si>
    <t>川仰</t>
  </si>
  <si>
    <t>康宝宝</t>
  </si>
  <si>
    <t>酒精饮料（啤酒除外）;清酒（⽇本⽶酒）;果酒（含酒精）;葡萄酒;蜂蜜酒;烧酒;⽩酒;鸡尾酒;⽶酒;含⽔果酒精饮料</t>
  </si>
  <si>
    <t>宜钓</t>
  </si>
  <si>
    <t>⽶酒;烈酒（饮料）;蒸馏饮料;露酒;葡萄酒;果酒（含酒精）;苹果酒;餐后酒（利⼝酒和烈酒）;⽩酒;⾕物制蒸馏酒精饮料</t>
  </si>
  <si>
    <t>黄本黄</t>
  </si>
  <si>
    <t>毛淑娜</t>
  </si>
  <si>
    <t>烧酒;⻩酒;开胃酒;⽶酒;果酒;鸡尾酒;葡萄酒;酒精饮料浓缩汁;汽酒;⽩酒</t>
  </si>
  <si>
    <t>忠灶</t>
  </si>
  <si>
    <t>重庆市黔江区庭凯建材经营部</t>
  </si>
  <si>
    <t>苦味酒;酒精饮料（啤酒除外）;⻩酒;蜂蜜酒;以葡萄酒为主的饮料;汽酒;果酒（含酒精）;⽶酒;⽩酒;烧酒</t>
  </si>
  <si>
    <t>⽩酒;蒸馏饮料;⽶酒;烧酒;⾼粱酒;预先混合的酒精饮料（以啤酒为主的除外）;烈酒;⽼酒（中国蒸馏烈酒）;酒精饮料（啤酒除外）;酒精饮料原汁</t>
  </si>
  <si>
    <t>撒有屋</t>
  </si>
  <si>
    <t>清酒（⽇本⽶酒）;⽶酒;⽩酒;葡萄酒;烧酒;酒精饮料（啤酒除外）;果酒（含酒精）;⻩酒;开胃酒;蒸馏饮料</t>
  </si>
  <si>
    <t>源芝纪</t>
  </si>
  <si>
    <t>福建兆悦物流有限公司</t>
  </si>
  <si>
    <t>烈酒（饮料）;酒精饮料（啤酒除外）;⽶酒;⽩兰地;葡萄酒;⻘稞酒;蒸煮提取物（利⼝酒和烈酒）;开胃酒;含⽔果酒精饮料;清酒（⽇本⽶酒）</t>
  </si>
  <si>
    <t>守愚坊 年份贡酒</t>
  </si>
  <si>
    <t>⽶酒;果酒（含酒精）;樱桃酒;⻩酒;蜂蜜酒;梨酒;苹果酒;鸡尾酒;葡萄酒;⽩酒</t>
  </si>
  <si>
    <t>邑泽（厦门）酒业有限公司</t>
  </si>
  <si>
    <t>蒸煮提取物（利⼝酒和烈酒）;威⼠忌;朗姆酒;⽩兰地;鸡尾酒;酒精饮料浓缩汁;伏特加酒;果酒;葡萄酒;酒精饮料（啤酒除外）</t>
  </si>
  <si>
    <t>斌亮</t>
  </si>
  <si>
    <t>江门市蓬江区斌亮工艺盒有限公司</t>
  </si>
  <si>
    <t>果酒（含酒精）;葡萄酒;烧酒;预先混合的酒精饮料（以啤酒为主的除外）;鸡尾酒;⽩酒;⻩酒;除啤酒外的酒精饮料;酒精饮料（啤酒除外）;⽶酒</t>
  </si>
  <si>
    <t>河为源</t>
  </si>
  <si>
    <t>贵州播道企业管理有限公司</t>
  </si>
  <si>
    <t>蒸馏饮料;含⽔果酒精饮料;果酒（含酒精）;⻘稞酒;⽶酒;⻩酒;葡萄酒;酒精饮料（啤酒除外）;威⼠忌;⽩酒</t>
  </si>
  <si>
    <t>爱侣</t>
  </si>
  <si>
    <t>沈阳绿家族商务信息咨询有限公司</t>
  </si>
  <si>
    <t>⻩酒;酒精饮料（啤酒除外）;⽶酒;⽩酒;鸡尾酒;葡萄酒;清酒;烧酒;⽩兰地;果酒</t>
  </si>
  <si>
    <t>时光圆舞曲</t>
  </si>
  <si>
    <t>⽩酒;葡萄酒;清酒（⽇本⽶酒）;威⼠忌;伏特加酒;⽩兰地;⽶酒;⻩酒;烈酒（饮料）;酒精饮料（啤酒除外）</t>
  </si>
  <si>
    <t>安旅威</t>
  </si>
  <si>
    <t>深圳市金宝冠科技有限公司</t>
  </si>
  <si>
    <t>果酒（含酒精）;烈酒（饮料）;⻩酒;预先混合的酒精饮料（以啤酒为主的除外）;⽶酒;葡萄酒;⽩酒;利⼝酒;威⼠忌;烧酒</t>
  </si>
  <si>
    <t>晋泰破店</t>
  </si>
  <si>
    <t>山西汾州青花汾酒业股份有限公司</t>
  </si>
  <si>
    <t>预先混合的酒精饮料（以啤酒为主的除外）;⽩酒;果酒（含酒精）;清酒（⽇本⽶酒）;⽶酒;酒精饮料（啤酒除外）;烈酒（饮料）;葡萄酒;威⼠忌;开胃酒</t>
  </si>
  <si>
    <t>豪曼逸</t>
  </si>
  <si>
    <t>深圳市诚志宏鑫电子有限公司</t>
  </si>
  <si>
    <t>⽩葡萄酒;红葡萄酒;⽶酒;鸡尾酒;⽩酒;葡萄酒;⽩兰地;⻘稞酒;含酒精的饮料（啤酒除外）;以葡萄酒为主的开胃酒</t>
  </si>
  <si>
    <t>梓赫</t>
  </si>
  <si>
    <t>鄂尔多斯市梓赫工程服务有限公司</t>
  </si>
  <si>
    <t>葡萄酒;烈酒（饮料）;甜酒;果酒（含酒精）;⽩酒;烧酒;清酒（⽇本⽶酒）;⽶酒;⻩酒;酒精饮料（啤酒除外）</t>
  </si>
  <si>
    <t>笋精灵</t>
  </si>
  <si>
    <t>鸡尾酒;葡萄酒;烈酒;蜂蜜酒;酒精饮料（啤酒除外）;果酒;开胃酒;⽩酒;⽶酒;⾷⽤酒精</t>
  </si>
  <si>
    <t>君王威</t>
  </si>
  <si>
    <t>⻩酒;⽶酒;清酒;葡萄酒;酒精饮料（啤酒除外）;鸡尾酒;威⼠忌;⽩酒;烧酒;果酒（含酒精）</t>
  </si>
  <si>
    <t>安垲第</t>
  </si>
  <si>
    <t>上海静安城市更新建设发展有限公司</t>
  </si>
  <si>
    <t>薄荷酒;⻩酒;果酒（含酒精）;葡萄酒;鸡尾酒;⽩酒;酒精饮料（啤酒除外）;含⽔果酒精饮料;⽶酒;⾷⽤酒精</t>
  </si>
  <si>
    <t>膏及</t>
  </si>
  <si>
    <t>济南膏滋百年健康管理咨询有限公司</t>
  </si>
  <si>
    <t>烈酒;酒精饮料（啤酒除外）;果酒;甜酒;鸡尾酒;葡萄酒;清酒;⻩酒;⽶酒;⽩酒</t>
  </si>
  <si>
    <t>千赢</t>
  </si>
  <si>
    <t>烈酒;鸡尾酒;葡萄酒;开胃酒;果酒（含酒精）;⽩酒;清酒（⽇本⽶酒）;⻩酒;威⼠忌;酒精饮料（啤酒除外）</t>
  </si>
  <si>
    <t>晓萍大师</t>
  </si>
  <si>
    <t>⻩酒;葡萄酒;含⽔果酒精饮料;果酒（含酒精）;烧酒;⽩酒;蒸煮提取物（利⼝酒和烈酒）;酒精饮料（啤酒除外）;清酒（⽇本⽶酒）;⽶酒</t>
  </si>
  <si>
    <t>湘山可以</t>
  </si>
  <si>
    <t>桂林湘山酒业有限公司</t>
  </si>
  <si>
    <t>⽶酒;蒸馏饮料;酒精饮料（啤酒除外）;利⼝酒;⻩酒;⽩酒;果酒（含酒精）;预先混合的酒精饮料（以啤酒为主的除外）;葡萄酒;烈酒（饮料）</t>
  </si>
  <si>
    <t>阿卡邦大梁官</t>
  </si>
  <si>
    <t>⽩酒;⾼粱酒;⽼酒（中国蒸馏烈酒）;已调味的蒸馏酒;由⾕物蒸馏的⽩酒;果酒;⽩⼲酒（中国⽩酒）;蒸馏⽶酒（泡盛酒）;蒸煮提取物（利⼝酒和烈酒）;烧酒</t>
  </si>
  <si>
    <t>滇南御杰</t>
  </si>
  <si>
    <t>绿春田源酒业有限公司</t>
  </si>
  <si>
    <t>⽶酒;⻩酒;⽩酒;利⼝酒;威⼠忌;果酒（含酒精）;餐后酒（利⼝酒和烈酒）;开胃酒;葡萄酒;蜂蜜酒</t>
  </si>
  <si>
    <t>钱蚁</t>
  </si>
  <si>
    <t>安徽钱蚁药业有限公司</t>
  </si>
  <si>
    <t>⾼粱酒;杨梅酒;⻩酒;⽩酒;葡萄酒;蒸馏饮料;⾷⽤酒精;烧酒;苦味酒;蒸馏⽶酒（泡盛酒）</t>
  </si>
  <si>
    <t>福见天禧</t>
  </si>
  <si>
    <t>福建省福见天禧商贸有限公司</t>
  </si>
  <si>
    <t>葡萄酒;伏特加酒;烧酒;开胃酒;⻘稞酒;⻩酒;⽶酒;鸡尾酒;⽩酒;⽩兰地</t>
  </si>
  <si>
    <t>黔稻仙</t>
  </si>
  <si>
    <t>李向锋</t>
  </si>
  <si>
    <t>葡萄酒;威⼠忌;烈酒;鸡尾酒;酒精饮料（啤酒除外）;果酒（含酒精）;清酒（⽇本⽶酒）;⻩酒;⽩酒;开胃酒</t>
  </si>
  <si>
    <t>风渡风</t>
  </si>
  <si>
    <t>⽩⼲酒（中国⽩酒）;葡萄汽酒;⽩葡萄酒;葡萄酒;红葡萄酒;以葡萄酒为主的开胃酒;起泡⽩葡萄酒;⽩酒;以葡萄酒为主的饮料;起泡红葡萄酒</t>
  </si>
  <si>
    <t>喜鹊欢乐社</t>
  </si>
  <si>
    <t>李小波</t>
  </si>
  <si>
    <t>果酒;⽶酒;鸡尾酒;⽩酒;甜酒;酒精饮料（啤酒除外）;葡萄酒;烧酒;⻩酒;伏特加酒</t>
  </si>
  <si>
    <t>喜鹊惊喜社</t>
  </si>
  <si>
    <t>伏特加酒;⻩酒;果酒;烧酒;⽩酒;甜酒;酒精饮料（啤酒除外）;鸡尾酒;葡萄酒;⽶酒</t>
  </si>
  <si>
    <t>晋圣酒窖</t>
  </si>
  <si>
    <t>⽶酒;果酒（含酒精）;葡萄酒;清酒（⽇本⽶酒）;⽩酒;酒精饮料（啤酒除外）;⾷⽤酒精;⽩兰地;威⼠忌;⾕物制蒸馏酒精饮料</t>
  </si>
  <si>
    <t>GDUTER</t>
  </si>
  <si>
    <t>⽶酒;葡萄酒;⽩兰地;威⼠忌;⾼粱酒;烧酒（烈酒）;⽩酒;果酒;鸡尾酒;⻩酒</t>
  </si>
  <si>
    <t>小满味聚</t>
  </si>
  <si>
    <t>广州途烨贸易有限公司</t>
  </si>
  <si>
    <t>果酒（含酒精）;开胃酒;蒸馏饮料;果酒;鸡尾酒;烧酒;⻩酒;⽶酒;⽩酒;葡萄酒</t>
  </si>
  <si>
    <t>欢喜利</t>
  </si>
  <si>
    <t>漳州市德智明文化传播有限公司</t>
  </si>
  <si>
    <t>葡萄酒;⽩酒;果酒（含酒精）;含⽔果酒精饮料;⻘梅酒;杨梅酒;开胃酒;⽶酒;梅酒;⾕物制蒸馏酒精饮料</t>
  </si>
  <si>
    <t>徽酬</t>
  </si>
  <si>
    <t>亳州市徽运酒业有限公司</t>
  </si>
  <si>
    <t>⽩酒;⽩兰地;烈酒（饮料）;果酒（含酒精）;烈酒浓缩汁;⻩酒;烈酒;威⼠忌;⽶酒;伏特加酒</t>
  </si>
  <si>
    <t>叱咤四海</t>
  </si>
  <si>
    <t>罗云培</t>
  </si>
  <si>
    <t>鸡尾酒;果酒;开胃酒;酒精饮料（啤酒除外）;⻩酒;葡萄酒;烈酒（饮料）;清酒（⽇本⽶酒）;威⼠忌;⽩酒</t>
  </si>
  <si>
    <t>清云澜</t>
  </si>
  <si>
    <t>何素芬</t>
  </si>
  <si>
    <t>果酒（含酒精）;伏特加酒;朗姆酒;葡萄酒;⽩兰地;⻩酒;⾷⽤酒精;威⼠忌;烈酒（饮料）;⽩酒</t>
  </si>
  <si>
    <t>断舍李</t>
  </si>
  <si>
    <t>广州好买好卖网络科技有限公司</t>
  </si>
  <si>
    <t>含⽔果酒精饮料;烈酒（饮料）;烧酒;⽶酒;果酒（含酒精）;⻩酒;⽩酒;⻘稞酒;威⼠忌;⾷⽤酒精</t>
  </si>
  <si>
    <t>科仕帝 KSDI</t>
  </si>
  <si>
    <t>东莞市全民生物科技有限公司</t>
  </si>
  <si>
    <t>伏特加酒;烧酒;酒精饮料（啤酒除外）;以葡萄酒为主的饮料;⽶酒;⽩酒;葡萄酒;蒸馏⽶酒（泡盛酒）;果酒;⽩兰地</t>
  </si>
  <si>
    <t>盘岩沟</t>
  </si>
  <si>
    <t>汪治强</t>
  </si>
  <si>
    <t>⻩酒;⾼粱酒;露酒;⽶酒;烈酒;⽩酒;汽酒;⻘稞酒;果酒;烧酒</t>
  </si>
  <si>
    <t>西极博格达</t>
  </si>
  <si>
    <t>新疆西极生物科技有限公司</t>
  </si>
  <si>
    <t>⽩酒;果酒;⽩⼲酒（中国⽩酒）;⻘稞酒;⻩酒;汽酒;露酒;⽩葡萄酒;红葡萄酒;葡萄酒</t>
  </si>
  <si>
    <t>梅启坤</t>
  </si>
  <si>
    <t>梅婷婷</t>
  </si>
  <si>
    <t>烧酒;⽩酒;酒精饮料原汁;烈酒（饮料）;⽶酒;果酒（含酒精）;⾷⽤酒精;蒸馏饮料;葡萄酒;酒精饮料（啤酒除外）</t>
  </si>
  <si>
    <t>岭龙醇</t>
  </si>
  <si>
    <t>海南岭先酒业有限公司</t>
  </si>
  <si>
    <t>果酒;露酒;⽩酒;梅酒;⻩酒;清酒;杨梅酒;⽼酒（中国蒸馏烈酒）;⻘梅酒;葡萄汽酒</t>
  </si>
  <si>
    <t>牛二俩</t>
  </si>
  <si>
    <t>哇塞食品(上海)有限公司</t>
  </si>
  <si>
    <t>鸡尾酒;⽶酒;开胃酒;⽩兰地;⽩酒;葡萄酒;含⽔果酒精饮料;⻩酒;果酒（含酒精）;烧酒</t>
  </si>
  <si>
    <t>RRABIX</t>
  </si>
  <si>
    <t>鸡尾酒;汽酒;⽶酒;苹果酒;葡萄酒;果酒（含酒精）;威⼠忌;开胃酒;⽩酒;薄荷酒</t>
  </si>
  <si>
    <t>庆同贺</t>
  </si>
  <si>
    <t>⽩酒;⽶酒;⻘梅酒;果酒;⻩酒;露酒;⽩兰地;威⼠忌;葡萄酒;酒精饮料（啤酒除外）</t>
  </si>
  <si>
    <t>金泉山</t>
  </si>
  <si>
    <t>山西青瓷酒厂股份有限公司</t>
  </si>
  <si>
    <t>⽩酒;露酒;⾕物制蒸馏酒精饮料;清酒;⽼酒（中国蒸馏烈酒）;葡萄酒;果酒（含酒精）</t>
  </si>
  <si>
    <t>李家洺流</t>
  </si>
  <si>
    <t>张善正</t>
  </si>
  <si>
    <t>烧酒;由⾕物蒸馏的⽩酒;⽼酒（中国蒸馏烈酒）;⾼粱酒;烧酒（烈酒）;⽩酒;⽩⼲酒（中国⽩酒）;烈酒;烈酒（饮料）;⻩酒</t>
  </si>
  <si>
    <t>大隐邓氏醇</t>
  </si>
  <si>
    <t>果酒（含酒精）;汽酒;⻩酒;朗姆酒;⽩酒;葡萄酒;⽶酒;酒精饮料（啤酒除外）;烧酒;鸡尾酒</t>
  </si>
  <si>
    <t>赛百道</t>
  </si>
  <si>
    <t>程壤稼</t>
  </si>
  <si>
    <t>开胃酒;酒精饮料（啤酒除外）;鸡尾酒;烧酒;果酒（含酒精）;烈酒（饮料）;⽶酒;葡萄酒;⽩酒;威⼠忌</t>
  </si>
  <si>
    <t>缠溪乡愁</t>
  </si>
  <si>
    <t>王逃</t>
  </si>
  <si>
    <t>烧酒;果酒（含酒精）;樱桃酒;杨梅酒;鸡尾酒;⻩酒;蜂蜜酒;葡萄酒;⽶酒;⽩酒</t>
  </si>
  <si>
    <t>千上禧</t>
  </si>
  <si>
    <t>肖惠方</t>
  </si>
  <si>
    <t>酒精饮料（啤酒除外）;烧酒;葡萄酒;⽶酒;果酒（含酒精）;烈酒（饮料）;鸡尾酒;威⼠忌;⾼粱酒;⽩酒</t>
  </si>
  <si>
    <t>观要 酒</t>
  </si>
  <si>
    <t>杨小认</t>
  </si>
  <si>
    <t>⻘梅酒;露酒;⽩酒;烧酒;汽酒;果酒;⾷⽤酒精;含酒精的充⽓饮料（啤酒除外）;威⼠忌;含酒精的鸡尾酒混合饮品</t>
  </si>
  <si>
    <t>钱酒乾元</t>
  </si>
  <si>
    <t>⽩酒;葡萄酒;⾼粱酒;⻩酒;含酒精的饮料（啤酒除外）;⽶酒;⻘稞酒;烧酒;果酒;梅酒</t>
  </si>
  <si>
    <t>响滩情</t>
  </si>
  <si>
    <t>⻩酒;葡萄酒;以葡萄酒为主的饮料;⽶酒;⽩葡萄酒;⽩酒;烧酒;由⾕物蒸馏的⽩酒;果酒;⽩⼲酒（中国⽩酒）</t>
  </si>
  <si>
    <t>稻井山</t>
  </si>
  <si>
    <t>纪白冰</t>
  </si>
  <si>
    <t>葡萄酒;果酒（含酒精）;烧酒;⽩酒;⻩酒;利⼝酒;烈酒（饮料）;⽩⼲酒（中国⽩酒）;清酒;开胃酒</t>
  </si>
  <si>
    <t>GXUER</t>
  </si>
  <si>
    <t>⽩兰地;⽢蔗制酒精饮料;⽩酒;威⼠忌;烧酒（烈酒）;⻩酒;鸡尾酒;葡萄酒;果酒;⽶酒</t>
  </si>
  <si>
    <t>锐宠</t>
  </si>
  <si>
    <t>河北跃翀商贸有限公司</t>
  </si>
  <si>
    <t>清酒（⽇本⽶酒）;酒精饮料（啤酒除外）;⽶酒;⻩酒;⽩⼲酒（中国⽩酒）;⽩酒;开胃酒;烈酒（饮料）;烧酒;⾷⽤酒精</t>
  </si>
  <si>
    <t>思宇帆</t>
  </si>
  <si>
    <t>白艳锋</t>
  </si>
  <si>
    <t>预先混合的酒精饮料（以啤酒为主的除外）;烈酒（饮料）;⽩酒;果酒（含酒精）;汽酒;开胃酒;葡萄酒;⽶酒;⻩酒;含⽔果酒精饮料</t>
  </si>
  <si>
    <t>都江堰风物</t>
  </si>
  <si>
    <t>都江堰市国投城市建设有限责任公司</t>
  </si>
  <si>
    <t>露酒;蒸煮提取物（利⼝酒和烈酒）;烈酒（饮料）;⽩酒;含⽔果酒精饮料;果酒（含酒精）;酒精饮料（啤酒除外）;预先混合的酒精饮料（以啤酒为主的除外）;葡萄酒;鸡尾酒</t>
  </si>
  <si>
    <t>整壹金</t>
  </si>
  <si>
    <t>洛阳市纯良商贸有限公司</t>
  </si>
  <si>
    <t>烈酒（饮料）;酒精饮料原汁;清酒（⽇本⽶酒）;烧酒;⽶酒;⽩酒;果酒（含酒精）;葡萄酒;含⽔果酒精饮料;⻩酒</t>
  </si>
  <si>
    <t>怀龄岛</t>
  </si>
  <si>
    <t>刘灿</t>
  </si>
  <si>
    <t>酒精饮料（啤酒除外）;威⼠忌;烈酒（饮料）;⽶酒;⽩酒;鸡尾酒;烧酒;葡萄酒;果酒（含酒精）;⽩兰地</t>
  </si>
  <si>
    <t>梦思田</t>
  </si>
  <si>
    <t>田野</t>
  </si>
  <si>
    <t>⻩酒;烧酒;⽩酒;葡萄酒;果酒;苹果酒;酒精饮料原汁;烈酒（饮料）;⽶酒;鸡尾酒</t>
  </si>
  <si>
    <t>老典酒厂</t>
  </si>
  <si>
    <t>胡丛健</t>
  </si>
  <si>
    <t>⽶酒;朗姆酒;果酒（含酒精）;烧酒（烈酒）;⻩酒;鸡尾酒;烈酒（饮料）;⽩酒;葡萄酒;蒸馏饮料</t>
  </si>
  <si>
    <t>欣瑞携合</t>
  </si>
  <si>
    <t>招远市欣瑞携合生物科技有限公司</t>
  </si>
  <si>
    <t>葡萄酒;果酒;⽶酒;苹果酒;⽩酒;含⽔果酒精饮料;烈酒;蜂蜜酒;鸡尾酒;⻘稞酒</t>
  </si>
  <si>
    <t>新食坊</t>
  </si>
  <si>
    <t>杭州知闻网络科技有限公司</t>
  </si>
  <si>
    <t>酒精饮料（啤酒除外）;鸡尾酒;含⽔果酒精饮料;果酒（含酒精）;⾷⽤酒精;⽩酒;⽶酒;⻩酒;葡萄酒;⽩兰地</t>
  </si>
  <si>
    <t>今朝友</t>
  </si>
  <si>
    <t>山东恒华商贸有限公司</t>
  </si>
  <si>
    <t>果酒（含酒精）;⽶酒;烧酒;⾼粱酒;含酒精⽔果饮料;⽼酒（中国蒸馏烈酒）;⽩⼲酒（中国⽩酒）;⽩葡萄酒;⽩酒;葡萄酒</t>
  </si>
  <si>
    <t>周牧道</t>
  </si>
  <si>
    <t>李卓恒</t>
  </si>
  <si>
    <t>果酒（含酒精）;⽩酒;酒精饮料原汁;蒸馏饮料;鸡尾酒;烧酒;清酒;烈酒（饮料）;威⼠忌;含⽔果酒精饮料</t>
  </si>
  <si>
    <t>燕王梦</t>
  </si>
  <si>
    <t>⽩兰地;鸡尾酒;酒精饮料（啤酒除外）;烧酒;烈酒（饮料）;⽩酒;威⼠忌;⽶酒;果酒（含酒精）;葡萄酒</t>
  </si>
  <si>
    <t>白居易居中</t>
  </si>
  <si>
    <t>深圳市财富圈金融投资控股有限公司</t>
  </si>
  <si>
    <t>葡萄酒;烈酒（饮料）;⾷⽤酒精;蒸馏饮料;⽶酒;含酒精⽔果饮料;果酒（含酒精）;鸡尾酒;威⼠忌;⽩酒</t>
  </si>
  <si>
    <t>濮水乐鱼</t>
  </si>
  <si>
    <t>酒精饮料（啤酒除外）;⽶酒;葡萄酒;⻩酒;蒸煮提取物（利⼝酒和烈酒）;苹果酒;果酒（含酒精）;⽩酒;⻘稞酒;烈酒（饮料）</t>
  </si>
  <si>
    <t>醺池</t>
  </si>
  <si>
    <t>白玉祥</t>
  </si>
  <si>
    <t>葡萄酒;蒸馏饮料;酒精饮料（啤酒除外）;开胃酒;⽩酒;威⼠忌;⽶酒;⻩酒;果酒（含酒精）;鸡尾酒</t>
  </si>
  <si>
    <t>一锦坊•永乐</t>
  </si>
  <si>
    <t>广东国锦酒业有限公司</t>
  </si>
  <si>
    <t>⻩酒;烈酒（饮料）;酒精饮料（啤酒除外）;⽩酒;鸡尾酒;开胃酒;葡萄酒;烧酒;果酒（含酒精）;⽶酒</t>
  </si>
  <si>
    <t>宏品江山</t>
  </si>
  <si>
    <t>烈酒;汽酒;⻩酒;⽶酒;⽩酒;酒精饮料（啤酒除外）;以葡萄酒为主的饮料;葡萄酒;烧酒;甜酒</t>
  </si>
  <si>
    <t>水京坊</t>
  </si>
  <si>
    <t>新疆西域中天电子信息有限公司</t>
  </si>
  <si>
    <t>⽩⼲酒（中国⽩酒）;清酒;⾼粱酒;⽼酒（中国蒸馏烈酒）;露酒;烧酒;⻘稞酒;⻩酒;烈酒;⽩酒</t>
  </si>
  <si>
    <t>山西鼎晟众韦供应链管理有限公司</t>
  </si>
  <si>
    <t>果酒;利⼝酒;葡萄酒;清酒;蒸馏饮料;烧酒;⽶酒;酒精饮料原汁;⽩酒;烈酒</t>
  </si>
  <si>
    <t>赣灵泉</t>
  </si>
  <si>
    <t>南昌志新酒业有限公司</t>
  </si>
  <si>
    <t>烈酒（饮料）;葡萄酒;果酒（含酒精）;酒精饮料原汁;利⼝酒;⽶酒;⻩酒;威⼠忌;⽩兰地;⽩酒</t>
  </si>
  <si>
    <t>鹤沧澜</t>
  </si>
  <si>
    <t>沧州市鹤城酒类销售有限公司</t>
  </si>
  <si>
    <t>⻩酒;⽩酒;果酒（含酒精）;葡萄汽酒;开胃酒;汽酒;利⼝酒;酒精饮料（啤酒除外）;梅酒;⽶酒</t>
  </si>
  <si>
    <t>炎黄天香</t>
  </si>
  <si>
    <t>赵海霞</t>
  </si>
  <si>
    <t>⻩酒;⽩兰地;威⼠忌;鸡尾酒;⽩酒;果酒（含酒精）;烧酒;清酒（⽇本⽶酒）;酒精饮料（啤酒除外）;葡萄酒</t>
  </si>
  <si>
    <t>雁来雁往</t>
  </si>
  <si>
    <t>杜崇辉</t>
  </si>
  <si>
    <t>⽶酒;葡萄酒;鸡尾酒;酒精饮料（啤酒除外）;果酒（含酒精）;⻩酒;乳清酒;清酒（⽇本⽶酒）;⽩酒;烧酒</t>
  </si>
  <si>
    <t>老典银</t>
  </si>
  <si>
    <t>果酒（含酒精）;烈酒（饮料）;⽶酒;朗姆酒;鸡尾酒;⻩酒;葡萄酒;烧酒（烈酒）;⽩酒;蒸馏饮料</t>
  </si>
  <si>
    <t>长桥映月</t>
  </si>
  <si>
    <t>石库门文化发展（北京）有限公司</t>
  </si>
  <si>
    <t>葡萄酒;酒精饮料（啤酒除外）;⽩酒;⻩酒;含酒精的⽔果鸡尾酒饮料;果酒（含酒精）;利⼝酒;清酒;⽶酒;烧酒</t>
  </si>
  <si>
    <t>沅上台</t>
  </si>
  <si>
    <t>贵州中标建筑工程有限公司</t>
  </si>
  <si>
    <t>⽩酒;鸡尾酒;清酒（⽇本⽶酒）;酒精饮料（啤酒除外）;葡萄酒;⽶酒;烧酒;烈酒（饮料）;果酒（含酒精）;⻩酒</t>
  </si>
  <si>
    <t>汉满樽</t>
  </si>
  <si>
    <t>辣妹子食品股份有限公司</t>
  </si>
  <si>
    <t>葡萄酒;威⼠忌;烧酒;汽酒;苹果酒;⽩酒;果酒（含酒精）;含酒精⽔果饮料;酒精饮料（啤酒除外）;⽶酒</t>
  </si>
  <si>
    <t>云半生</t>
  </si>
  <si>
    <t>威⼠忌;鸡尾酒;⽶酒;⽩酒;葡萄酒;烈酒（饮料）;烧酒;果酒（含酒精）;⽩兰地;酒精饮料（啤酒除外）</t>
  </si>
  <si>
    <t>恒汇品</t>
  </si>
  <si>
    <t>邯郸市恒趣贸易有限公司</t>
  </si>
  <si>
    <t>清酒;葡萄酒;酒精饮料（啤酒除外）;果酒;烧酒;⽶酒;露酒;⻩酒;利⼝酒;⽩酒</t>
  </si>
  <si>
    <t>苏泰迅</t>
  </si>
  <si>
    <t>全昆鹏</t>
  </si>
  <si>
    <t>烈酒（饮料）;含⽔果酒精饮料;⽩酒;酒精饮料原汁;鸡尾酒;果酒（含酒精）;烧酒;威⼠忌;蒸馏饮料;清酒</t>
  </si>
  <si>
    <t>地纯庄园</t>
  </si>
  <si>
    <t>内蒙古佘太酒业股份有限公司</t>
  </si>
  <si>
    <t>利⼝酒;果酒;酒精饮料原汁;⽶酒;⾷⽤酒精;⻩酒;烧酒;酒精饮料浓缩汁;⽩酒;蒸煮提取物（利⼝酒和烈酒）</t>
  </si>
  <si>
    <t>醉秘咏</t>
  </si>
  <si>
    <t>张科锦</t>
  </si>
  <si>
    <t>烧酒;鸡尾酒;清酒（⽇本⽶酒）;果酒;酒精饮料（啤酒除外）;朗姆酒;利⼝酒;⽩酒;开胃酒;葡萄酒</t>
  </si>
  <si>
    <t>筠香</t>
  </si>
  <si>
    <t>筠连县祥牛农业科技发展有限公司</t>
  </si>
  <si>
    <t>烧酒;⽩酒;⾕物制蒸馏酒精饮料;⻩酒;葡萄酒;威⼠忌;酒精饮料（啤酒除外）;清酒;⽶酒;果酒</t>
  </si>
  <si>
    <t>贵酣禧</t>
  </si>
  <si>
    <t>邵石头</t>
  </si>
  <si>
    <t>葡萄酒;清酒（⽇本⽶酒）;朗姆酒;酒精饮料（啤酒除外）;开胃酒;⽩酒;果酒;利⼝酒;鸡尾酒;烧酒</t>
  </si>
  <si>
    <t>从前慢</t>
  </si>
  <si>
    <t>桐乡市从前慢江南餐饮管理有限公司</t>
  </si>
  <si>
    <t>酒精饮料浓缩汁;烧酒;⽩⼲酒（中国⽩酒）;果酒（含酒精）;起泡红葡萄酒;蒸馏⽶酒（泡盛酒）;由⾕物蒸馏的⽩酒;葡萄潘趣酒;⻩酒;苹果酒</t>
  </si>
  <si>
    <t>观大海</t>
  </si>
  <si>
    <t>⽩酒;葡萄酒;威⼠忌;烧酒;⽩兰地;鸡尾酒;果酒（含酒精）;酒精饮料（啤酒除外）;烈酒（饮料）;⽶酒</t>
  </si>
  <si>
    <t>豫见惊鸿</t>
  </si>
  <si>
    <t>河南彬焕网络技术有限公司</t>
  </si>
  <si>
    <t>果酒（含酒精）;汽酒;⽩酒;酒精饮料原汁;⽶酒;葡萄酒;含⽔果酒精饮料;⻩酒;烈酒（饮料）;烧酒</t>
  </si>
  <si>
    <t>官诞</t>
  </si>
  <si>
    <t>贵州省仁怀市王义丞酒业有限公司</t>
  </si>
  <si>
    <t>⽩酒;葡萄酒;烈酒（饮料）;烈酒;⾼粱酒;⻩酒;酒精饮料（啤酒除外）</t>
  </si>
  <si>
    <t>辽土优品</t>
  </si>
  <si>
    <t>葡萄酒;酒精饮料（啤酒除外）;鸡尾酒;果酒;烧酒;蜂蜜酒;⽶酒;含酒精⽔果饮料;⽩酒;⻩酒</t>
  </si>
  <si>
    <t>古黔忆</t>
  </si>
  <si>
    <t>葡萄酒;果酒;烧酒;利⼝酒;清酒（⽇本⽶酒）;朗姆酒;⽩酒;酒精饮料（啤酒除外）;鸡尾酒;开胃酒</t>
  </si>
  <si>
    <t>白居易无白</t>
  </si>
  <si>
    <t>含酒精⽔果饮料;果酒（含酒精）;烈酒（饮料）;⾷⽤酒精;威⼠忌;蒸馏饮料;鸡尾酒;⽶酒;葡萄酒;⽩酒</t>
  </si>
  <si>
    <t>郑红玉</t>
  </si>
  <si>
    <t>罗兵</t>
  </si>
  <si>
    <t>含⽔果酒精饮料;烧酒;烈酒（饮料）;红葡萄酒;鸡尾酒;⻩酒;⽩酒;酒精饮料（啤酒除外）;开胃酒;蒸馏饮料</t>
  </si>
  <si>
    <t>戈兰玉</t>
  </si>
  <si>
    <t>起泡⽩葡萄酒;⽩兰地;葡萄酒;除啤酒外的酒精饮料;加烈葡萄酒;⽩葡萄酒;桃红葡萄酒;以葡萄酒为主的饮料;⽩酒;红葡萄酒</t>
  </si>
  <si>
    <t>澧榜</t>
  </si>
  <si>
    <t>清酒（⽇本⽶酒）;⻘稞酒;⽩酒;开胃酒;蜂蜜酒;⻩酒;烈酒（饮料）;鸡尾酒;威⼠忌;烧酒</t>
  </si>
  <si>
    <t>雅琳娜</t>
  </si>
  <si>
    <t>江苏尊荣文化传媒有限公司</t>
  </si>
  <si>
    <t>烈酒（饮料）;⽩酒;果酒（含酒精）;⽩兰地;威⼠忌;酒精饮料（啤酒除外）;酒精饮料原汁;蒸煮提取物（利⼝酒和烈酒）;⻘稞酒;葡萄酒</t>
  </si>
  <si>
    <t>扎鲁河</t>
  </si>
  <si>
    <t>李双海</t>
  </si>
  <si>
    <t>果酒;酒精饮料原汁;⾷⽤酒精;开胃酒;⽩酒;烧酒;除啤酒外的酒精饮料;⾼粱酒;已调味的蒸馏酒;烈酒</t>
  </si>
  <si>
    <t>承源甜九</t>
  </si>
  <si>
    <t>果酒（含酒精）;汽酒;烈酒;甜酒;⽶酒;含⽔果酒精饮料;⻩酒;⽩酒;鸡尾酒;酒精饮料（啤酒除外）</t>
  </si>
  <si>
    <t>贵酣凤</t>
  </si>
  <si>
    <t>⽩酒;开胃酒;朗姆酒;清酒（⽇本⽶酒）;利⼝酒;葡萄酒;酒精饮料（啤酒除外）;鸡尾酒;烧酒;果酒</t>
  </si>
  <si>
    <t>亚颂府意境</t>
  </si>
  <si>
    <t>葡萄酒;酒精饮料（啤酒除外）;⽩兰地;朗姆酒;酒精饮料浓缩汁;酸酒（低等葡萄酒）;⽩酒;威⼠忌;伏特加酒;烈酒（饮料）</t>
  </si>
  <si>
    <t>AIAA</t>
  </si>
  <si>
    <t>威⼠忌;⽩兰地;樱桃酒;⽩酒;⻘稞酒;葡萄酒;烈酒（饮料）;⾕物制蒸馏酒精饮料;伏特加酒;果酒（含酒精）</t>
  </si>
  <si>
    <t>澜韵茗源</t>
  </si>
  <si>
    <t>深圳市宝丽健康产业发展有限公司</t>
  </si>
  <si>
    <t>鸡尾酒;葡萄酒;伏特加酒;果酒（含酒精）;⽩酒;⽩兰地;⽶酒;⻩酒;威⼠忌;烈酒（饮料）</t>
  </si>
  <si>
    <t>春壶道</t>
  </si>
  <si>
    <t>酒精饮料（啤酒除外）;⽶酒;葡萄酒;果酒（含酒精）;烈酒（饮料）;鸡尾酒;⽩兰地;⽩酒;烧酒;威⼠忌</t>
  </si>
  <si>
    <t>真真美美黑卡</t>
  </si>
  <si>
    <t>深圳真真美美科技有限公司</t>
  </si>
  <si>
    <t>果酒（含酒精）;烈酒;⻩酒;葡萄酒;烧酒;酒精饮料（啤酒除外）;开胃酒;含⽔果酒精饮料;⽶酒;⽩酒</t>
  </si>
  <si>
    <t>淇缨</t>
  </si>
  <si>
    <t>河间市博瑞建筑材料有限公司</t>
  </si>
  <si>
    <t>开胃酒;薄荷酒;⽶酒;苹果酒;烈酒;⽩酒;果酒</t>
  </si>
  <si>
    <t>山东德养堂健康产业有限公司</t>
  </si>
  <si>
    <t>果酒（含酒精）;蜂蜜酒;⽶酒;蒸馏饮料;⻘稞酒;葡萄酒;⽩酒;⻩酒;烧酒;烈酒</t>
  </si>
  <si>
    <t>纽带聚</t>
  </si>
  <si>
    <t>张兴文</t>
  </si>
  <si>
    <t>威⼠忌;⽩兰地;红葡萄酒;⻩酒;清酒;含⽔果酒精饮料;葡萄酒;烧酒;⽶酒;⽩酒</t>
  </si>
  <si>
    <t>朴和道乐</t>
  </si>
  <si>
    <t>河南朴和健康管理有限公司</t>
  </si>
  <si>
    <t>餐后酒（利⼝酒和烈酒）;烈酒（饮料）;威⼠忌;烧酒;果酒（含酒精）;⽩酒;⽩兰地;开胃酒;葡萄酒;⻩酒</t>
  </si>
  <si>
    <t>呵呵老</t>
  </si>
  <si>
    <t>果酒（含酒精）;鸡尾酒;⽩酒;苹果酒;⻩酒;葡萄酒;威⼠忌;烧酒;利⼝酒;烈酒（饮料）</t>
  </si>
  <si>
    <t>恒斟酒坊</t>
  </si>
  <si>
    <t>⻘梅酒;果酒（含酒精）;威⼠忌;露酒;⽩酒;⾼粱酒;清酒（⽇本⽶酒）;酒精饮料（啤酒除外）;⽶酒;⾕物制蒸馏酒精饮料</t>
  </si>
  <si>
    <t>SCHILD ESTATE</t>
  </si>
  <si>
    <t>烈酒（饮料）;亚⼒酒;利⼝酒;薄荷酒;威⼠忌;⽩兰地;酸酒（低等葡萄酒）;葡萄酒;开胃酒;朗姆酒</t>
  </si>
  <si>
    <t>老典窖</t>
  </si>
  <si>
    <t>朗姆酒;果酒（含酒精）;蒸馏饮料;烈酒（饮料）;⽩酒;⽶酒;葡萄酒;⻩酒;烧酒（烈酒）;鸡尾酒</t>
  </si>
  <si>
    <t>戈兰初度</t>
  </si>
  <si>
    <t>⽩兰地;⽩葡萄酒;起泡⽩葡萄酒;除啤酒外的酒精饮料;以葡萄酒为主的饮料;桃红葡萄酒;⽩酒;加烈葡萄酒;红葡萄酒;葡萄酒</t>
  </si>
  <si>
    <t>琼叙</t>
  </si>
  <si>
    <t>鸡尾酒;清酒（⽇本⽶酒）;蜂蜜酒;⽩酒;⻩酒;威⼠忌;烈酒（饮料）;烧酒;⻘稞酒;开胃酒</t>
  </si>
  <si>
    <t>大福华臻</t>
  </si>
  <si>
    <t>贵州遵投华臻酒业有限公司</t>
  </si>
  <si>
    <t>清酒（⽇本⽶酒）;蒸馏饮料;鸡尾酒;汽酒;酒精饮料（啤酒除外）;葡萄酒;⽶酒;⻩酒;⽩酒;烧酒</t>
  </si>
  <si>
    <t>书香徽学</t>
  </si>
  <si>
    <t>果酒（含酒精）;⽶酒;⽩酒;烧酒;酒精饮料（啤酒除外）;鸡尾酒;葡萄酒;⻩酒;烈酒（饮料）;清酒（⽇本⽶酒）</t>
  </si>
  <si>
    <t>悠悠野花池</t>
  </si>
  <si>
    <t>吉林蜂还巢食品科技有限公司</t>
  </si>
  <si>
    <t>⽩酒;汽酒;蜂蜜酒;果酒（含酒精）;⽶酒;酒精饮料（啤酒除外）;⻩酒;利⼝酒;含⽔果酒精饮料;葡萄酒</t>
  </si>
  <si>
    <t>观风轻品云淡</t>
  </si>
  <si>
    <t>陕西壹铭商贸有限公司</t>
  </si>
  <si>
    <t>清酒（⽇本⽶酒）;烈酒（饮料）;含⽔果酒精饮料;烧酒;烧酒（烈酒）;红葡萄酒;⽩酒;烈性⼲酒;预先混合的酒精饮料（以啤酒为主的除外）;⽼酒（中国蒸馏烈酒）</t>
  </si>
  <si>
    <t>庆辰</t>
  </si>
  <si>
    <t>酒精饮料（啤酒除外）;威⼠忌;烧酒;⽶酒;烈酒（饮料）;⽩兰地;⽩酒;鸡尾酒;果酒（含酒精）;葡萄酒</t>
  </si>
  <si>
    <t>沐苷爽</t>
  </si>
  <si>
    <t>云南斯玛特农业科技有限公司</t>
  </si>
  <si>
    <t>⾕物制蒸馏酒精饮料;烧酒;⻘稞酒;果酒（含酒精）;含⽔果酒精饮料;葡萄酒;含酒精的⽓泡⽔;⽩酒;⽶酒;鸡尾酒</t>
  </si>
  <si>
    <t>一锦坊·长乐</t>
  </si>
  <si>
    <t>⽶酒;开胃酒;葡萄酒;鸡尾酒;果酒（含酒精）;酒精饮料（啤酒除外）;⽩酒;烈酒（饮料）;烧酒;⻩酒</t>
  </si>
  <si>
    <t>鲜江</t>
  </si>
  <si>
    <t>亳州市前昆餐饮管理有限公司</t>
  </si>
  <si>
    <t>果酒;⽩⼲酒（中国⽩酒）;杨梅酒;烧酒;⾼粱酒;⽼酒（中国蒸馏烈酒）;葡萄酒;⻩酒;⽩酒;⽶酒</t>
  </si>
  <si>
    <t>亚颂府小白坛</t>
  </si>
  <si>
    <t>伏特加酒;朗姆酒;葡萄酒;酒精饮料（啤酒除外）;酒精饮料浓缩汁;威⼠忌;⽩酒;⽩兰地;酸酒（低等葡萄酒）;烈酒（饮料）</t>
  </si>
  <si>
    <t>百岁莱泰岁</t>
  </si>
  <si>
    <t>漳州百岁莱健康科技有限公司</t>
  </si>
  <si>
    <t>⻩酒;⽩酒;⾷⽤酒精;烈酒（饮料）;葡萄酒;⽶酒;果酒（含酒精）;含⽔果酒精饮料;⾼粱酒;含酒精的饮料（啤酒除外）</t>
  </si>
  <si>
    <t>鼎盛恒</t>
  </si>
  <si>
    <t>⻩酒;含⽔果酒精饮料;烈酒（饮料）;果酒（含酒精）;鸡尾酒;清酒（⽇本⽶酒）;烧酒;⽩酒;威⼠忌;葡萄酒</t>
  </si>
  <si>
    <t>解忧日记</t>
  </si>
  <si>
    <t>农良顾</t>
  </si>
  <si>
    <t>烧酒;果酒（含酒精）;⽶酒;汽酒;葡萄酒;烈酒（饮料）;酒精饮料原汁;⻩酒;⽩葡萄酒;⽩酒</t>
  </si>
  <si>
    <t>拿福</t>
  </si>
  <si>
    <t>湖北财富酒业有限责任公司</t>
  </si>
  <si>
    <t>葡萄酒;⽩酒;甜酒;果酒;蒸馏饮料;露酒;⻩酒;⽶酒;⾼粱酒;⾷⽤酒精</t>
  </si>
  <si>
    <t>樽问鼎</t>
  </si>
  <si>
    <t>清酒（⽇本⽶酒）;⻘稞酒;威⼠忌;果酒（含酒精）;⽩兰地;⻩酒;葡萄酒;烧酒;⽶酒;⽩酒</t>
  </si>
  <si>
    <t>星雨河</t>
  </si>
  <si>
    <t>郑州赛尚广告有限公司</t>
  </si>
  <si>
    <t>⻩酒;⽩酒;烧酒;葡萄酒;鸡尾酒;果酒（含酒精）;烈酒;蜂蜜酒;⻘稞酒;⽶酒</t>
  </si>
  <si>
    <t>粱香悦</t>
  </si>
  <si>
    <t>黄占全</t>
  </si>
  <si>
    <t>葡萄酒;⽶酒;⻩酒;酒精饮料（啤酒除外）;樱桃酒;以葡萄酒为主的饮料;果酒（含酒精）;⽩酒;⻘稞酒;烧酒</t>
  </si>
  <si>
    <t>GEWO 果喔</t>
  </si>
  <si>
    <t>沈苏莉</t>
  </si>
  <si>
    <t>酒精饮料原汁;烧酒;⻩酒;果酒（含酒精）;葡萄酒;汽酒;利⼝酒;烈酒（饮料）;⽩酒;⽶酒</t>
  </si>
  <si>
    <t>乘巽启航</t>
  </si>
  <si>
    <t>盖俊涛</t>
  </si>
  <si>
    <t>⽩酒;⾷⽤酒精;⻩酒;烧酒;红葡萄酒;烈酒;⾼粱酒;⻘稞酒;⽩⼲酒（中国⽩酒）;⽶酒</t>
  </si>
  <si>
    <t>野御香</t>
  </si>
  <si>
    <t>凌志云372926********0263</t>
  </si>
  <si>
    <t>烈酒（饮料）;果酒（含酒精）;⻩酒;鸡尾酒;⽩酒;葡萄酒;酒精饮料（啤酒除外）;烧酒;⽶酒;⽢蔗制烈酒</t>
  </si>
  <si>
    <t>晋品凰</t>
  </si>
  <si>
    <t>鸡尾酒;酒精饮料（啤酒除外）;烧酒;⽩酒;⽩兰地;⽶酒;葡萄酒;果酒（含酒精）;烈酒（饮料）;威⼠忌</t>
  </si>
  <si>
    <t>赣泽</t>
  </si>
  <si>
    <t>酒精饮料原汁;⻩酒;威⼠忌;利⼝酒;烈酒（饮料）;⽶酒;⽩兰地;葡萄酒;果酒（含酒精）;⽩酒</t>
  </si>
  <si>
    <t>帅醇师匠</t>
  </si>
  <si>
    <t>泸州帅匠酒业有限公司</t>
  </si>
  <si>
    <t>⽩酒;果酒;⽶酒;葡萄酒</t>
  </si>
  <si>
    <t>老典龙</t>
  </si>
  <si>
    <t>果酒（含酒精）;烧酒（烈酒）;⽩酒;朗姆酒;⻩酒;⽶酒;葡萄酒;蒸馏饮料;鸡尾酒;烈酒（饮料）</t>
  </si>
  <si>
    <t>定星</t>
  </si>
  <si>
    <t>酒精饮料（啤酒除外）;⽩酒;果酒（含酒精）;葡萄酒;烧酒</t>
  </si>
  <si>
    <t>必护</t>
  </si>
  <si>
    <t>徐有胜</t>
  </si>
  <si>
    <t>果酒;甜酒;⽩酒;葡萄酒;⻩酒;清酒;⽶酒;⾷⽤酒精;汽酒;开胃酒</t>
  </si>
  <si>
    <t>昀珀</t>
  </si>
  <si>
    <t>苹果酒;开胃酒;⽩酒;薄荷酒;烈酒;果酒;⽶酒</t>
  </si>
  <si>
    <t>川糖红桃贰</t>
  </si>
  <si>
    <t>成都川糖供应链管理有限公司</t>
  </si>
  <si>
    <t>烈酒（饮料）;酒精饮料原汁;酒精饮料（啤酒除外）;含⽔果酒精饮料;⽩酒;果酒（含酒精）;葡萄酒;烧酒;⻩酒;⾷⽤酒精</t>
  </si>
  <si>
    <t>侨牌牛工</t>
  </si>
  <si>
    <t>鹿邑县金鹿酒业有限公司</t>
  </si>
  <si>
    <t>果酒（含酒精）;清酒（⽇本⽶酒）;⽩酒;酒精饮料原汁;蒸煮提取物（利⼝酒和烈酒）;⾷⽤酒精;鸡尾酒;⽶酒;葡萄酒;烈酒（饮料）</t>
  </si>
  <si>
    <t>元福仁语</t>
  </si>
  <si>
    <t>河南爱之林医疗科技有限公司</t>
  </si>
  <si>
    <t>汽酒;葡萄酒;预先混合的酒精饮料（以啤酒为主的除外）;果酒（含酒精）;⾷⽤酒精;酒精饮料（啤酒除外）;清酒（⽇本⽶酒）;含⽔果酒精饮料;⻩酒;⽩酒</t>
  </si>
  <si>
    <t>守天门</t>
  </si>
  <si>
    <t>⾼粱酒;⽩酒;清酒（⽇本⽶酒）;⽩⼲酒（中国⽩酒）;葡萄酒;烈酒（饮料）;⽶酒;烈酒;含⽔果酒精饮料;烧酒</t>
  </si>
  <si>
    <t>元气象限</t>
  </si>
  <si>
    <t>潘劲成</t>
  </si>
  <si>
    <t>烧酒;白酒;果酒（含酒精）;酒精饮料原汁;白葡萄酒;汽酒;烈酒（饮料）;黄酒;米酒;葡萄酒</t>
  </si>
  <si>
    <t>威持达</t>
  </si>
  <si>
    <t>吉林省森凡吉傲文化传媒有限公司</t>
  </si>
  <si>
    <t>⽩兰地;威⼠忌;果酒;⽩⼲酒（中国⽩酒）;烈酒;烧酒;葡萄酒;⽩酒;⽼酒（中国蒸馏烈酒）;⽶酒</t>
  </si>
  <si>
    <t>金道满载</t>
  </si>
  <si>
    <t>⻩酒;威⼠忌;果酒;烧酒;⽶酒;葡萄酒;⽩酒;已调味的蒸馏酒;⽼酒（中国蒸馏烈酒）;由⾕物蒸馏的⽩酒</t>
  </si>
  <si>
    <t>水木润泽</t>
  </si>
  <si>
    <t>果酒（含酒精）;鸡尾酒;葡萄酒;含⽔果酒精饮料;⻘稞酒;⾕物制蒸馏酒精饮料;⽩酒;烧酒;含酒精的⽓泡⽔;⽶酒</t>
  </si>
  <si>
    <t>塔仙厚德</t>
  </si>
  <si>
    <t>北票市北塔天泉酒厂</t>
  </si>
  <si>
    <t>⽩酒;烧酒;开胃酒;葡萄酒;⻩酒;酒精饮料（啤酒除外）;利⼝酒;⾷⽤酒精;清酒（⽇本⽶酒）;⽶酒</t>
  </si>
  <si>
    <t>善在怀</t>
  </si>
  <si>
    <t>果酒（含酒精）;烧酒;鸡尾酒;葡萄酒;烈酒（饮料）;威⼠忌;含⽔果酒精饮料;⻩酒;清酒（⽇本⽶酒）;⽩酒</t>
  </si>
  <si>
    <t>一锦坊 · 常乐</t>
  </si>
  <si>
    <t>开胃酒;⽶酒;烧酒;酒精饮料（啤酒除外）;⽩酒;⻩酒;果酒（含酒精）;烈酒（饮料）;鸡尾酒;葡萄酒</t>
  </si>
  <si>
    <t>云上桃林</t>
  </si>
  <si>
    <t>内蒙古鼎立笙农业科技有限公司</t>
  </si>
  <si>
    <t>⾷⽤酒精;烈酒;⾼粱酒;葡萄酒;烧酒;清酒;⽩酒;鸡尾酒;汽酒;酒精饮料（啤酒除外）</t>
  </si>
  <si>
    <t>混沌钟</t>
  </si>
  <si>
    <t>酒精饮料（啤酒除外）;果酒（含酒精）;烧酒;葡萄酒;⽩酒</t>
  </si>
  <si>
    <t>御鸿棠</t>
  </si>
  <si>
    <t>酒精饮料（啤酒除外）;烧酒;葡萄酒;果酒（含酒精）;烈酒（饮料）;⽩酒;⽶酒;⽩兰地;鸡尾酒;威⼠忌</t>
  </si>
  <si>
    <t>臻选陵呈</t>
  </si>
  <si>
    <t>德州耕创信息科技发展有限公司</t>
  </si>
  <si>
    <t>⽼酒（中国蒸馏烈酒）;果酒;含酒精⽔果饮料;鸡尾酒;⽩⼲酒（中国⽩酒）;汽酒;烧酒;⽩酒;由⾕物蒸馏的⽩酒;葡萄酒</t>
  </si>
  <si>
    <t>果酒（含酒精）;葡萄酒;烈酒;⽩酒;蜂蜜酒;⽶酒;⻘稞酒;蒸馏饮料;烧酒;⻩酒</t>
  </si>
  <si>
    <t>深远明</t>
  </si>
  <si>
    <t>深圳深远明酒业有限公司</t>
  </si>
  <si>
    <t>开胃酒;蒸馏饮料;酒精饮料（啤酒除外）;鸡尾酒;果酒（含酒精）;烈酒（饮料）;⻩酒;烧酒;葡萄酒;⽩酒</t>
  </si>
  <si>
    <t>钱塘秋荷</t>
  </si>
  <si>
    <t>上海钱盛通饮食发展有限公司</t>
  </si>
  <si>
    <t>果酒（含酒精）;鸡尾酒;葡萄酒;威⼠忌;苹果酒;⽩兰地;⽩酒;⽶酒;红葡萄酒;烧酒</t>
  </si>
  <si>
    <t>亚颂府品鉴</t>
  </si>
  <si>
    <t>朗姆酒;⽩兰地;酒精饮料浓缩汁;伏特加酒;酸酒（低等葡萄酒）;威⼠忌;⽩酒;烈酒（饮料）;葡萄酒;酒精饮料（啤酒除外）</t>
  </si>
  <si>
    <t>老浆翁</t>
  </si>
  <si>
    <t>酒精饮料（啤酒除外）;果酒（含酒精）;开胃酒;威⼠忌;⻩酒;鸡尾酒;⽩酒;清酒（⽇本⽶酒）;葡萄酒;烈酒</t>
  </si>
  <si>
    <t>戈兰金凤</t>
  </si>
  <si>
    <t>红葡萄酒;除啤酒外的酒精饮料;白兰地;白酒;加烈葡萄酒;桃红葡萄酒;葡萄酒;起泡白葡萄酒;以葡萄酒为主的饮料;白葡萄酒</t>
  </si>
  <si>
    <t>不乖吉老板</t>
  </si>
  <si>
    <t>无锡龙角猫食品科技开发有限公司</t>
  </si>
  <si>
    <t>烈酒（饮料）;鸡尾酒;果酒（含酒精）;葡萄酒;预先混合的酒精饮料（以啤酒为主的除外）;酒精饮料原汁;伏特加酒;威⼠忌;⽩兰地;酒精饮料（啤酒除外）</t>
  </si>
  <si>
    <t>徽商客</t>
  </si>
  <si>
    <t>乡贤文化（北京）有限公司</t>
  </si>
  <si>
    <t>鸡尾酒;含⽔果酒精饮料;佐餐酒;⽶酒;⽩兰地;⻩酒;清酒;果酒;葡萄酒;⽩酒</t>
  </si>
  <si>
    <t>湖南五茅商贸有限公司</t>
  </si>
  <si>
    <t>鸡尾酒;⽶酒;葡萄酒;烈酒（饮料）;⽩酒;烧酒;果酒（含酒精）;利⼝酒;⻩酒;酒精饮料（啤酒除外）</t>
  </si>
  <si>
    <t>九洲泰和</t>
  </si>
  <si>
    <t>黄爱明</t>
  </si>
  <si>
    <t>薄荷酒;果酒（含酒精）;烧酒;⻘稞酒;⽶酒;烈酒（饮料）;⽼酒（中国蒸馏烈酒）;清酒;⽩酒;⻩酒</t>
  </si>
  <si>
    <t>真真美美大师</t>
  </si>
  <si>
    <t>酒精饮料（啤酒除外）;开胃酒;烈酒;⻩酒;烧酒;葡萄酒;⽩酒;含⽔果酒精饮料;⽶酒;果酒（含酒精）</t>
  </si>
  <si>
    <t>登洋鼓</t>
  </si>
  <si>
    <t>李伟伟</t>
  </si>
  <si>
    <t>⽩⼲酒（中国⽩酒）;烧酒;汽酒;⽩酒;⽼酒（中国蒸馏烈酒）;烈性⼲酒;⽶酒;烧酒（烈酒）;葡萄酒;利⼝酒</t>
  </si>
  <si>
    <t>园之藏</t>
  </si>
  <si>
    <t>酒精饮料（啤酒除外）;葡萄酒;鸡尾酒;开胃酒;果酒;朗姆酒;烧酒;⽩酒;清酒（⽇本⽶酒）;利⼝酒</t>
  </si>
  <si>
    <t>庆昌年</t>
  </si>
  <si>
    <t>⽩酒;清酒（⽇本⽶酒）;烧酒;威⼠忌;蜂蜜酒;鸡尾酒;⻘稞酒;开胃酒;⻩酒;烈酒（饮料）</t>
  </si>
  <si>
    <t>泰畅丰</t>
  </si>
  <si>
    <t>史琼鹏</t>
  </si>
  <si>
    <t>烈酒（饮料）;威⼠忌;鸡尾酒;清酒;酒精饮料原汁;蒸馏饮料;⽩酒;果酒（含酒精）;含⽔果酒精饮料;烧酒</t>
  </si>
  <si>
    <t>丙干宗师</t>
  </si>
  <si>
    <t>贵州州匠酒业有限公司</t>
  </si>
  <si>
    <t>蒸馏⽶酒（泡盛酒）;⾼粱酒;果酒（含酒精）;酒精饮料（啤酒除外）;⽩⼲酒（中国⽩酒）;⽼酒（中国蒸馏烈酒）;烧酒（烈酒）;除啤酒外的酒精饮料;⽩酒;⾕物制蒸馏酒精饮料</t>
  </si>
  <si>
    <t>不落白间</t>
  </si>
  <si>
    <t>⽶酒;酒精饮料（啤酒除外）;葡萄酒;鸡尾酒;⽩酒;果酒（含酒精）;乳清酒;⻩酒;清酒（⽇本⽶酒）;烧酒</t>
  </si>
  <si>
    <t>千麓</t>
  </si>
  <si>
    <t>杨静茹</t>
  </si>
  <si>
    <t>烧酒;⻩酒;⽩酒;葡萄酒;烈酒（饮料）;利⼝酒;汽酒;酒精饮料原汁;⽶酒;果酒（含酒精）</t>
  </si>
  <si>
    <t>重庆中科云律网络服务有限公司</t>
  </si>
  <si>
    <t>苹果酒;⽩酒;⾷⽤酒精;鸡尾酒;果酒（含酒精）;⽶酒;⻘稞酒;葡萄酒;蜂蜜酒;威⼠忌</t>
  </si>
  <si>
    <t>贵春鉴</t>
  </si>
  <si>
    <t>果酒;⽩酒;开胃酒;清酒（⽇本⽶酒）;酒精饮料（啤酒除外）;利⼝酒;葡萄酒;烧酒;鸡尾酒;朗姆酒</t>
  </si>
  <si>
    <t>观淮坊</t>
  </si>
  <si>
    <t>江苏酒令天下酒业有限公司</t>
  </si>
  <si>
    <t>烧酒;⽩⼲酒（中国⽩酒）;果酒;⽼酒（中国蒸馏烈酒）;⻩酒;⽶酒;⾷⽤酒精;⾼粱酒;⽩酒;葡萄酒</t>
  </si>
  <si>
    <t>贵酣仁</t>
  </si>
  <si>
    <t>开胃酒;⽩酒;葡萄酒;清酒（⽇本⽶酒）;利⼝酒;朗姆酒;鸡尾酒;酒精饮料（啤酒除外）;烧酒;果酒</t>
  </si>
  <si>
    <t>白居易知易</t>
  </si>
  <si>
    <t>含酒精⽔果饮料;蒸馏饮料;鸡尾酒;葡萄酒;烈酒（饮料）;⾷⽤酒精;果酒（含酒精）;⽶酒;⽩酒;威⼠忌</t>
  </si>
  <si>
    <t>掼球</t>
  </si>
  <si>
    <t>果酒（含酒精）;鸡尾酒;食用酒精;含酒精水果饮料;白酒;烈酒（饮料）;白兰地;米酒;蒸馏饮料;葡萄酒</t>
  </si>
  <si>
    <t>沃宗师</t>
  </si>
  <si>
    <t>开胃酒;鸡尾酒;⻩酒;烈酒（饮料）;威⼠忌;蜂蜜酒;烧酒;⽩酒;⻘稞酒;清酒（⽇本⽶酒）</t>
  </si>
  <si>
    <t>MARCHESATO</t>
  </si>
  <si>
    <t>塞雷斯特有限公司</t>
  </si>
  <si>
    <t>酒精饮料（啤酒除外）;起泡红葡萄酒;含⽔果酒精饮料;葡萄酒;酸酒（低等葡萄酒）;桃红葡萄酒;起泡⽩葡萄酒;⽩葡萄酒;红葡萄酒;以葡萄酒为主的饮料</t>
  </si>
  <si>
    <t>蒙壹族</t>
  </si>
  <si>
    <t>刘杰</t>
  </si>
  <si>
    <t>果酒;米酒;蜂蜜酒;朗姆酒;黄酒;白酒;酒精饮料（啤酒除外）;伏特加酒;鸡尾酒;葡萄酒</t>
  </si>
  <si>
    <t>巩城春</t>
  </si>
  <si>
    <t>上海印联网络科技有限公司</t>
  </si>
  <si>
    <t>除啤酒外的酒精饮料;烧酒;⻩酒;⽼酒（中国蒸馏烈酒）;果酒;葡萄酒;⾼粱酒;⽩酒;⽶酒;烈酒</t>
  </si>
  <si>
    <t>老典老</t>
  </si>
  <si>
    <t>⽶酒;葡萄酒;果酒（含酒精）;烧酒（烈酒）;鸡尾酒;⻩酒;朗姆酒;⽩酒;蒸馏饮料;烈酒（饮料）</t>
  </si>
  <si>
    <t>几良</t>
  </si>
  <si>
    <t>涂勋淑</t>
  </si>
  <si>
    <t>⽩酒;酒精饮料（啤酒除外）;⾕物制蒸馏酒精饮料;烧酒;露酒;酒精饮料原汁;含⽔果酒精饮料;⽶酒;果酒（含酒精）;葡萄酒</t>
  </si>
  <si>
    <t>亚颂府匠心</t>
  </si>
  <si>
    <t>葡萄酒;酒精饮料（啤酒除外）;朗姆酒;酒精饮料浓缩汁;⽩兰地;酸酒（低等葡萄酒）;⽩酒;烈酒（饮料）;伏特加酒;威⼠忌</t>
  </si>
  <si>
    <t>薯你美丽</t>
  </si>
  <si>
    <t>河南碧魁轩商贸有限公司</t>
  </si>
  <si>
    <t>果酒（含酒精）;酒精饮料（啤酒除外）;⽶酒;开胃酒;⽩酒;⻘稞酒;⻩酒;烧酒;鸡尾酒;葡萄酒</t>
  </si>
  <si>
    <t>东华桑城</t>
  </si>
  <si>
    <t>栗春山371427********0178</t>
  </si>
  <si>
    <t>威⼠忌;⽶酒;汽酒;⽩酒;烈酒（饮料）;葡萄酒;烧酒;果酒（含酒精）;开胃酒;⻩酒</t>
  </si>
  <si>
    <t>炎黄岳</t>
  </si>
  <si>
    <t>吕志福</t>
  </si>
  <si>
    <t>果酒（含酒精）;葡萄酒;黄酒;开胃酒;蜂蜜酒;鸡尾酒;酒精饮料（啤酒除外）;烧酒;白酒;清酒（日本米酒）</t>
  </si>
  <si>
    <t>炎黄浔</t>
  </si>
  <si>
    <t>白酒;黄酒;烧酒;酒精饮料（啤酒除外）;鸡尾酒;米酒;开胃酒;果酒（含酒精）;清酒（日本米酒）;葡萄酒</t>
  </si>
  <si>
    <t>黔父封</t>
  </si>
  <si>
    <t>葡萄酒;鸡尾酒;烧酒;开胃酒;酒精饮料（啤酒除外）;白酒;利口酒;清酒（日本米酒）;果酒;朗姆酒</t>
  </si>
  <si>
    <t>亚颂府故事</t>
  </si>
  <si>
    <t>朗姆酒;酒精饮料（啤酒除外）;葡萄酒;酸酒（低等葡萄酒）;白酒;伏特加酒;酒精饮料浓缩汁;烈酒（饮料）;白兰地;威士忌</t>
  </si>
  <si>
    <t>温河贵宾王</t>
  </si>
  <si>
    <t>临沂温和品牌管理有限公司</t>
  </si>
  <si>
    <t>烧酒;老酒（中国蒸馏烈酒）;葡萄酒;烈酒;米酒;果酒（含酒精）;鸡尾酒;利口酒;含水果酒精饮料;白酒</t>
  </si>
  <si>
    <t>帝中鼎</t>
  </si>
  <si>
    <t>威⼠忌;烧酒;⽶酒;酒精饮料（啤酒除外）;⽩兰地;⽩酒;鸡尾酒;烈酒（饮料）;果酒（含酒精）;葡萄酒</t>
  </si>
  <si>
    <t>双民</t>
  </si>
  <si>
    <t>葡萄酒;清酒（⽇本⽶酒）;果酒;酒精饮料（啤酒除外）;开胃酒;⽩酒;利⼝酒;鸡尾酒;朗姆酒;烧酒</t>
  </si>
  <si>
    <t>九渠帝</t>
  </si>
  <si>
    <t>烈酒（饮料）;鸡尾酒;威⼠忌;蜂蜜酒;⽩酒;⻘稞酒;⻩酒;开胃酒;清酒（⽇本⽶酒）;烧酒</t>
  </si>
  <si>
    <t>辽喀峪泉</t>
  </si>
  <si>
    <t>闫继刚</t>
  </si>
  <si>
    <t>蒸馏饮料;含⽔果酒精饮料;烧酒;⽩酒;⽶酒;酒精饮料原汁;果酒（含酒精）;⾕物制蒸馏酒精饮料;酒精饮料（啤酒除外）;开胃酒</t>
  </si>
  <si>
    <t>真真美美钻石</t>
  </si>
  <si>
    <t>⻩酒;果酒（含酒精）;葡萄酒;⽩酒;烈酒;酒精饮料（啤酒除外）;开胃酒;含⽔果酒精饮料;⽶酒;烧酒</t>
  </si>
  <si>
    <t>观淮香</t>
  </si>
  <si>
    <t>⻩酒;葡萄酒;⾷⽤酒精;⾼粱酒;⽩酒;果酒;⽼酒（中国蒸馏烈酒）;烧酒;⽶酒;⽩⼲酒（中国⽩酒）</t>
  </si>
  <si>
    <t>观淮窖</t>
  </si>
  <si>
    <t>⾷⽤酒精;⾼粱酒;⻩酒;⽩⼲酒（中国⽩酒）;⽶酒;烧酒;葡萄酒;⽩酒;⽼酒（中国蒸馏烈酒）;果酒</t>
  </si>
  <si>
    <t>摘月尊</t>
  </si>
  <si>
    <t>深圳市鸿泰翔工艺品有限公司</t>
  </si>
  <si>
    <t>⽶酒;蒸馏饮料;餐后酒（利⼝酒和烈酒）;以葡萄酒为主的饮料;开胃酒;⽩酒;⾕物制蒸馏酒精饮料;烧酒;⻘稞酒;⻩酒</t>
  </si>
  <si>
    <t>界同</t>
  </si>
  <si>
    <t>清酒（⽇本⽶酒）;烧酒;含⽔果酒精饮料;⽩酒;果酒（含酒精）;烈酒（饮料）;葡萄酒;威⼠忌;鸡尾酒;⻩酒</t>
  </si>
  <si>
    <t>歇尔平 CHELPIN</t>
  </si>
  <si>
    <t>北京中科元科技成果转化研究院</t>
  </si>
  <si>
    <t>果酒（含酒精）;汽酒;⻩酒;⽩酒;⾷⽤酒精;梨酒;葡萄酒;酒精饮料原汁;⽶酒;苹果酒</t>
  </si>
  <si>
    <t>开尔</t>
  </si>
  <si>
    <t>山西晋舍酿造集团有限公司</t>
  </si>
  <si>
    <t>烈酒（饮料）;烧酒;⽼酒（中国蒸馏烈酒）;⾼粱酒;开胃酒;⽩酒;利⼝酒;酒精饮料（啤酒除外）;⻩酒;果酒（含酒精）</t>
  </si>
  <si>
    <t>轩迪仕</t>
  </si>
  <si>
    <t>黄学造</t>
  </si>
  <si>
    <t>酒精饮料（啤酒除外）;葡萄酒;烈酒;鸡尾酒;⽩酒;开胃酒;果酒（含酒精）;清酒（⽇本⽶酒）;⻩酒;威⼠忌</t>
  </si>
  <si>
    <t>寂寞巷</t>
  </si>
  <si>
    <t>⻩酒;烧酒;鸡尾酒;⽶酒;开胃酒;⾷⽤酒精;果酒;葡萄酒;烈酒;⽩酒</t>
  </si>
  <si>
    <t>磐滇</t>
  </si>
  <si>
    <t>屈政</t>
  </si>
  <si>
    <t>⽩酒;⻩酒;鸡尾酒;酒精饮料（啤酒除外）;开胃酒;清酒（⽇本⽶酒）;威⼠忌;果酒（含酒精）;葡萄酒;烈酒（饮料）</t>
  </si>
  <si>
    <t>奈贝乐</t>
  </si>
  <si>
    <t>北京京络商贸有限公司</t>
  </si>
  <si>
    <t>葡萄酒;⻘稞酒;⾼粱酒;烧酒;⽶酒;鸡尾酒;果酒（含酒精）;⽩酒;烈酒;开胃酒</t>
  </si>
  <si>
    <t>古台贺</t>
  </si>
  <si>
    <t>⽩酒;利⼝酒;葡萄酒;果酒;清酒（⽇本⽶酒）;烧酒;开胃酒;酒精饮料（啤酒除外）;鸡尾酒;朗姆酒</t>
  </si>
  <si>
    <t>六顺发</t>
  </si>
  <si>
    <t>李永达</t>
  </si>
  <si>
    <t>烧酒;⽩酒;汽酒;烈酒（饮料）;⽩兰地;⻩酒;酒精饮料（啤酒除外）;果酒（含酒精）;葡萄酒;⽶酒</t>
  </si>
  <si>
    <t>千户行</t>
  </si>
  <si>
    <t>上海千户行商贸有限公司</t>
  </si>
  <si>
    <t>甜酒;蒸馏饮料;⽔果汽酒;果酒（含酒精）;果酒;含酒精的⽓泡⽔;⻩酒;⽶酒;⽩酒;烧酒</t>
  </si>
  <si>
    <t>北京天坛食品科技有限公司</t>
  </si>
  <si>
    <t>⽩酒;⻩酒;汽酒;⾷⽤酒精;⽶酒;烧酒;葡萄酒;⾕物制蒸馏酒精饮料;果酒;酒精饮料（啤酒除外）</t>
  </si>
  <si>
    <t>亚颂府醉相汇</t>
  </si>
  <si>
    <t>酸酒（低等葡萄酒）;葡萄酒;伏特加酒;烈酒（饮料）;朗姆酒;酒精饮料（啤酒除外）;威⼠忌;酒精饮料浓缩汁;⽩酒;⽩兰地</t>
  </si>
  <si>
    <t>老典御</t>
  </si>
  <si>
    <t>朗姆酒;烈酒（饮料）;⽩酒;⻩酒;鸡尾酒;蒸馏饮料;果酒（含酒精）;烧酒（烈酒）;葡萄酒;⽶酒</t>
  </si>
  <si>
    <t>醺诺</t>
  </si>
  <si>
    <t>李君</t>
  </si>
  <si>
    <t>果酒（含酒精）;酒精饮料（啤酒除外）;蒸馏饮料;⻩酒;烧酒;⽶酒;⽩酒;葡萄酒;威⼠忌;烈酒（饮料）</t>
  </si>
  <si>
    <t>矿灯</t>
  </si>
  <si>
    <t>赵亮</t>
  </si>
  <si>
    <t>果酒;由⾕物蒸馏的⽩酒;⽩酒;⾷⽤酒精;葡萄酒;⽶酒;汽酒;烧酒;⻩酒;开胃酒</t>
  </si>
  <si>
    <t>月壶瓶</t>
  </si>
  <si>
    <t>⻘稞酒;开胃酒;蒸馏饮料;⽶酒;⽩酒;⻩酒;餐后酒（利⼝酒和烈酒）;以葡萄酒为主的饮料;烧酒;⾕物制蒸馏酒精饮料</t>
  </si>
  <si>
    <t>家笑悦乐</t>
  </si>
  <si>
    <t>湖南文强建筑工程有限公司</t>
  </si>
  <si>
    <t>红葡萄酒;威⼠忌;⽶酒;⽼酒（中国蒸馏烈酒）;果酒;⽩⼲酒（中国⽩酒）;⽩酒;含酒精⽔果饮料;烈酒;烧酒</t>
  </si>
  <si>
    <t>观星雨</t>
  </si>
  <si>
    <t>果酒（含酒精）;烧酒;鸡尾酒;⽩酒;蜂蜜酒;葡萄酒;⻘稞酒;⽶酒;烈酒;⻩酒</t>
  </si>
  <si>
    <t>渝色清花</t>
  </si>
  <si>
    <t>俞恬</t>
  </si>
  <si>
    <t>鸡尾酒;⻩酒;威⼠忌;清酒（⽇本⽶酒）;⽩酒;烧酒;⽩兰地;果酒（含酒精）;葡萄酒;酒精饮料（啤酒除外）</t>
  </si>
  <si>
    <t>汉侯韵长</t>
  </si>
  <si>
    <t>元语（赣州）文化传媒有限公司</t>
  </si>
  <si>
    <t>酒精饮料（啤酒除外）;葡萄酒;梅酒;⻘稞酒;⻩酒;烧酒;威⼠忌;伏特加酒;清酒（⽇本⽶酒）;⽩酒</t>
  </si>
  <si>
    <t>茗葆堂</t>
  </si>
  <si>
    <t>河南省螺湾味道生物科技有限公司</t>
  </si>
  <si>
    <t>果酒（含酒精）;开胃酒;葡萄酒;⽩酒;预先混合的酒精饮料（以啤酒为主的除外）;酒精饮料原汁;烈酒（饮料）;鸡尾酒;利⼝酒;⽶酒</t>
  </si>
  <si>
    <t>贵酣鼎</t>
  </si>
  <si>
    <t>⽩酒;开胃酒;果酒;利⼝酒;朗姆酒;鸡尾酒;酒精饮料（啤酒除外）;烧酒;清酒（⽇本⽶酒）;葡萄酒</t>
  </si>
  <si>
    <t>三河市国玉商贸有限公司</t>
  </si>
  <si>
    <t>露酒;果酒（含酒精）;⽩酒;葡萄酒;⽶酒;烈酒（饮料）;⾕物制蒸馏酒精饮料;苹果酒;蒸馏饮料;餐后酒（利⼝酒和烈酒）</t>
  </si>
  <si>
    <t>亚颂府泰斗</t>
  </si>
  <si>
    <t>烈酒（饮料）;朗姆酒;⽩酒;酒精饮料（啤酒除外）;伏特加酒;⽩兰地;酸酒（低等葡萄酒）;葡萄酒;威⼠忌;酒精饮料浓缩汁</t>
  </si>
  <si>
    <t>赤君道</t>
  </si>
  <si>
    <t>威⼠忌;鸡尾酒;果酒（含酒精）;酒精饮料（啤酒除外）;⽩兰地;⽩酒;烧酒;⽶酒;烈酒（饮料）;葡萄酒</t>
  </si>
  <si>
    <t>SWAG DADDY</t>
  </si>
  <si>
    <t>上海飒翊国际贸易有限公司</t>
  </si>
  <si>
    <t>葡萄酒;杜松⼦酒;烈酒（饮料）;清酒（⽇本⽶酒）;酒精饮料（啤酒除外）;⽩酒;烧酒;⽩兰地;果酒（含酒精）;威⼠忌</t>
  </si>
  <si>
    <t>可格</t>
  </si>
  <si>
    <t>周荧荧</t>
  </si>
  <si>
    <t>⽩酒;⽶酒;汽酒;利⼝酒;⻩酒;烧酒;葡萄酒;果酒（含酒精）;烈酒（饮料）;酒精饮料原汁</t>
  </si>
  <si>
    <t>舟序诗</t>
  </si>
  <si>
    <t>厦门嘉庭装修设计有限公司</t>
  </si>
  <si>
    <t>开胃酒;烧酒;清酒;⻩酒;利⼝酒;果酒（含酒精）;烈酒（饮料）;⽩⼲酒（中国⽩酒）;葡萄酒;⽩酒</t>
  </si>
  <si>
    <t>饭八仙</t>
  </si>
  <si>
    <t>詹荣华</t>
  </si>
  <si>
    <t>酒精饮料原汁;⽶酒;果酒（含酒精）;含酒精的⽓泡⽔;鸡尾酒;葡萄酒;⽩酒;⻘稞酒;蜂蜜酒;梨酒</t>
  </si>
  <si>
    <t>儒沏</t>
  </si>
  <si>
    <t>果酒（含酒精）;烈酒（饮料）;鸡尾酒;烧酒;葡萄酒;⽩酒;威⼠忌;酒精饮料（啤酒除外）;⽶酒;⽩兰地</t>
  </si>
  <si>
    <t>金兔易购一三一</t>
  </si>
  <si>
    <t>新郑市金佰昌企业管理有限公司</t>
  </si>
  <si>
    <t>开胃酒;⻘稞酒;⽩酒;⽶酒;威⼠忌;汽酒;⻩酒;果酒（含酒精）;葡萄酒;烧酒</t>
  </si>
  <si>
    <t>晋黄盖</t>
  </si>
  <si>
    <t>汾阳市晋小佬酒业有限公司</t>
  </si>
  <si>
    <t>⽩酒;⻩酒;烧酒;烈酒（饮料）;果酒（含酒精）;酒精饮料（啤酒除外）;⽶酒;⾷⽤酒精;⽼酒（中国蒸馏烈酒）;露酒</t>
  </si>
  <si>
    <t>鸿衎</t>
  </si>
  <si>
    <t>烧酒;果酒（含酒精）;利⼝酒;烈酒（饮料）;汽酒;⽩酒;⻘稞酒;⻩酒;葡萄酒;⽩兰地</t>
  </si>
  <si>
    <t>浅事</t>
  </si>
  <si>
    <t>浅加农市（广州）贸易有限公司</t>
  </si>
  <si>
    <t>甜果酒;⻘梅酒;起泡⽩葡萄酒;葡萄酒;果酒;⻘稞酒;⽩酒;⻩酒;⽶酒;酒精饮料（啤酒除外）</t>
  </si>
  <si>
    <t>炛龙</t>
  </si>
  <si>
    <t>刘丽</t>
  </si>
  <si>
    <t>果酒（含酒精）;烧酒;⽩兰地;⽩酒;鸡尾酒;威⼠忌;⾼粱酒;清酒（⽇本⽶酒）;⽶酒;⻩酒</t>
  </si>
  <si>
    <t>贵缘民</t>
  </si>
  <si>
    <t>利⼝酒;鸡尾酒;清酒（⽇本⽶酒）;开胃酒;朗姆酒;烧酒;⽩酒;葡萄酒;果酒;酒精饮料（啤酒除外）</t>
  </si>
  <si>
    <t>御林山</t>
  </si>
  <si>
    <t>薛双</t>
  </si>
  <si>
    <t>烈酒（饮料）;葡萄酒;利⼝酒;⽩⼲酒（中国⽩酒）;清酒;果酒（含酒精）;开胃酒;⽩酒;烧酒;⻩酒</t>
  </si>
  <si>
    <t>SOAOGOA</t>
  </si>
  <si>
    <t>西安莎嘉商贸有限公司</t>
  </si>
  <si>
    <t>果酒（含酒精）;清酒（⽇本⽶酒）;含⽔果酒精饮料;含酒精的⽓泡⽔;酒精饮料（啤酒除外）;⽶酒;烧酒;葡萄酒;以葡萄酒为主的饮料;⽩酒</t>
  </si>
  <si>
    <t>百蕙草</t>
  </si>
  <si>
    <t>江西汇都实业有限公司</t>
  </si>
  <si>
    <t>⽶酒;利⼝酒;⾕物制蒸馏酒精饮料;鸡尾酒;果酒;开胃酒;⽩酒;葡萄酒;露酒;烈酒</t>
  </si>
  <si>
    <t>泽凤源</t>
  </si>
  <si>
    <t>安泽县华泽酿酒坊（个人独资）</t>
  </si>
  <si>
    <t>酒精饮料（啤酒除外）;⾼粱酒;⻩酒;烈酒;葡萄酒;⽩酒;蜂蜜酒;果酒（含酒精）;⽶酒;烧酒</t>
  </si>
  <si>
    <t>安道鹰</t>
  </si>
  <si>
    <t>青岛安道鹰智慧科技有限公司</t>
  </si>
  <si>
    <t>鸡尾酒;⽶酒;⻩酒;蒸馏饮料;⻘稞酒;果酒（含酒精）;酒精饮料（啤酒除外）;⽩酒;威⼠忌;⽩兰地</t>
  </si>
  <si>
    <t>辽杰</t>
  </si>
  <si>
    <t>贵州战杰酒业有限公司</t>
  </si>
  <si>
    <t>⻩酒;⽼酒（中国蒸馏烈酒）;葡萄酒;烧酒;⾼粱酒;⽩酒;果酒;⽩⼲酒（中国⽩酒）;烈酒;露酒</t>
  </si>
  <si>
    <t>成都市君腾商贸有限公司</t>
  </si>
  <si>
    <t>蒸馏饮料;⻩酒;烧酒;鸡尾酒;果酒（含酒精）;⾷⽤酒精;⽩酒;葡萄酒;汽酒;⽶酒</t>
  </si>
  <si>
    <t>遵海 7935</t>
  </si>
  <si>
    <t>贵州云上遵海酒业有限公司</t>
  </si>
  <si>
    <t>烈酒（饮料）;⽶酒;烧酒;果酒（含酒精）;⽩酒;⾕物制蒸馏酒精饮料;开胃酒;清酒（⽇本⽶酒）;酒精饮料（啤酒除外）;葡萄酒</t>
  </si>
  <si>
    <t>施嬢嬢</t>
  </si>
  <si>
    <t>成都贺氏品牌管理有限公司</t>
  </si>
  <si>
    <t>⽩酒;⾷⽤酒精;烈酒;蒸馏饮料;蜂蜜酒;烧酒;酒精饮料（啤酒除外）;开胃酒;威⼠忌;果酒（含酒精）</t>
  </si>
  <si>
    <t>云蒸酒漾</t>
  </si>
  <si>
    <t>易延</t>
  </si>
  <si>
    <t>⾕物制蒸馏酒精饮料;⻩酒;梅酒;⾷⽤酒精;⽼酒（中国蒸馏烈酒）;利⼝酒;黑覆盆⼦酒;露酒;清酒;酒精饮料（啤酒除外）</t>
  </si>
  <si>
    <t>上海源年轮餐饮管理有限公司</t>
  </si>
  <si>
    <t>预先混合的酒精饮料（以啤酒为主的除外）;鸡尾酒;伏特加酒;威⼠忌;⽩兰地;⽶酒;蒸馏饮料;葡萄酒;⽩酒;含酒精的饮料（啤酒除外）</t>
  </si>
  <si>
    <t>鹤飞康寿</t>
  </si>
  <si>
    <t>山东鹤飞康寿酒业有限公司</t>
  </si>
  <si>
    <t>烧酒;⻩酒;苹果酒;开胃酒;⾷⽤酒精;葡萄酒;⽩酒;⽶酒;蒸煮提取物（利⼝酒和烈酒）;果酒（含酒精）</t>
  </si>
  <si>
    <t>⽶酒;含酒精的鸡尾酒混合饮品;威⼠忌;⽩兰地;汽酒;⻩酒;露酒;含酒精的饮料（啤酒除外）;葡萄酒;⽩酒</t>
  </si>
  <si>
    <t>酉湖沌</t>
  </si>
  <si>
    <t>孙进勇</t>
  </si>
  <si>
    <t>⽩酒;烈酒（饮料）;葡萄酒;酒精饮料（啤酒除外）;烧酒;⾷⽤酒精;蒸煮提取物（利⼝酒和烈酒）;⻩酒;⽶酒;果酒（含酒精）</t>
  </si>
  <si>
    <t>竹聚合</t>
  </si>
  <si>
    <t>⽩酒;⻘稞酒;开胃酒;⻩酒;清酒（⽇本⽶酒）;红葡萄酒;果酒（含酒精）;鸡尾酒;烧酒;⽶酒</t>
  </si>
  <si>
    <t>案台</t>
  </si>
  <si>
    <t>⾼粱酒;⽼酒（中国蒸馏烈酒）;由⾕物蒸馏的⽩酒;⽩酒;酒精饮料（啤酒除外）;⾷⽤酒精</t>
  </si>
  <si>
    <t>萨隆酒业（深圳）有限公司</t>
  </si>
  <si>
    <t>⽶酒;起泡⽩葡萄酒;鸡尾酒;酒精饮料（啤酒除外）;⽩酒;烈酒（饮料）;甜果酒;果酒（含酒精）;烧酒;葡萄酒</t>
  </si>
  <si>
    <t>青馔集</t>
  </si>
  <si>
    <t>薛林612330********0410</t>
  </si>
  <si>
    <t>鸡尾酒;⽶酒;果酒（含酒精）;葡萄酒;烧酒;汽酒;⽩酒;朗姆酒;⻩酒;酒精饮料（啤酒除外）</t>
  </si>
  <si>
    <t>善凤怡</t>
  </si>
  <si>
    <t>韦晓山</t>
  </si>
  <si>
    <t>酒精饮料原汁;⽩酒;威⼠忌;鸡尾酒;含⽔果酒精饮料;烧酒;果酒（含酒精）;烈酒（饮料）;蒸馏饮料;清酒</t>
  </si>
  <si>
    <t>鼎滈</t>
  </si>
  <si>
    <t>薄建军</t>
  </si>
  <si>
    <t>蒸馏饮料;果酒;以葡萄酒为主的饮料;⽶酒;葡萄酒;开胃酒;烈酒;⽩酒;⽩兰地;酒精饮料（啤酒除外）</t>
  </si>
  <si>
    <t>御膳房富华斋 THE IMPERIAL CULINARY ARTS FUHUA ZHAI</t>
  </si>
  <si>
    <t>北京富华斋餐饮文化有限公司</t>
  </si>
  <si>
    <t>烈酒（饮料）;鸡尾酒;酒精饮料（啤酒除外）;⽩酒;蒸馏饮料;果酒（含酒精）;⻩酒;⽶酒;葡萄酒;烧酒</t>
  </si>
  <si>
    <t>六甲番</t>
  </si>
  <si>
    <t>陈衔</t>
  </si>
  <si>
    <t>⻩酒;苹果酒;威⼠忌;⽩酒;薄荷酒;樱桃酒;果酒（含酒精）;开胃酒;烧酒;酒精饮料（啤酒除外）</t>
  </si>
  <si>
    <t>食神央厨</t>
  </si>
  <si>
    <t>广东珍珍企业管理有限公司</t>
  </si>
  <si>
    <t>樱桃酒;甜果酒;含酒精的充⽓饮料（啤酒除外）;⽢蔗制酒精饮料;苹果酒;咖啡利⼝酒;⽔果汽酒;葡萄酒;蜂蜜酒;果酒</t>
  </si>
  <si>
    <t>孙承贵</t>
  </si>
  <si>
    <t>⾼粱酒;葡萄酒;烈酒;⽩酒;鸡尾酒;酒精饮料（啤酒除外）;威⼠忌;⽼酒（中国蒸馏烈酒）;烧酒;⽶酒</t>
  </si>
  <si>
    <t>意盛麦尔</t>
  </si>
  <si>
    <t>深圳市文康达科技有限公司</t>
  </si>
  <si>
    <t>⻘稞酒;⻩酒;⾼粱酒;杨梅酒;⽶酒;⽩酒;苹果酒;葡萄酒;烧酒;⽼酒（中国蒸馏烈酒）</t>
  </si>
  <si>
    <t>揭猛</t>
  </si>
  <si>
    <t>深圳益欧科技有限公司</t>
  </si>
  <si>
    <t>葡萄酒;⾼粱酒;蒸馏⽶酒（泡盛酒）;由⾕物蒸馏的⽩酒;⽩⼲酒（中国⽩酒）;⽩酒;⻩酒;⽶酒;烧酒;烈性⼲酒</t>
  </si>
  <si>
    <t>贵宴庆</t>
  </si>
  <si>
    <t>烧酒;葡萄酒;开胃酒;朗姆酒;酒精饮料（啤酒除外）;鸡尾酒;清酒（⽇本⽶酒）;果酒;利⼝酒;⽩酒</t>
  </si>
  <si>
    <t>黔香父</t>
  </si>
  <si>
    <t>利⼝酒;葡萄酒;鸡尾酒;开胃酒;烧酒;酒精饮料（啤酒除外）;⽩酒;果酒;朗姆酒;清酒（⽇本⽶酒）</t>
  </si>
  <si>
    <t>囜龙</t>
  </si>
  <si>
    <t>邹芳</t>
  </si>
  <si>
    <t>果酒（含酒精）;⾼粱酒;⽩兰地;威⼠忌;⽶酒;清酒（⽇本⽶酒）;⽩酒;鸡尾酒;烧酒;⻩酒</t>
  </si>
  <si>
    <t>梦芗</t>
  </si>
  <si>
    <t>广州康华商业管理有限公司</t>
  </si>
  <si>
    <t>⽩酒;果酒（含酒精）;葡萄酒;⻩酒;酒精饮料（啤酒除外）;含⽔果酒精饮料;汽酒;烧酒;蒸馏饮料;⽶酒</t>
  </si>
  <si>
    <t>农宴河</t>
  </si>
  <si>
    <t>袁玉琴</t>
  </si>
  <si>
    <t>果酒（含酒精）;⽩酒;开胃酒;葡萄酒;酒精饮料（啤酒除外）;⻩酒;佐餐酒;⽶酒;烧酒（烈酒）;烧酒</t>
  </si>
  <si>
    <t>冠诠</t>
  </si>
  <si>
    <t>朗姆酒;烧酒;⽩酒;⻩酒;⽶酒;果酒（含酒精）;葡萄酒;汽酒;鸡尾酒;酒精饮料（啤酒除外）</t>
  </si>
  <si>
    <t>壮四爷</t>
  </si>
  <si>
    <t>中山市鸿骏智能科技有限公司</t>
  </si>
  <si>
    <t>露酒;烧酒;⻩酒;开胃酒;已调味的蒸馏酒;酒精饮料（啤酒除外）;⽶酒;⽩酒;果酒;⾕物制蒸馏酒精饮料</t>
  </si>
  <si>
    <t>喜古龙</t>
  </si>
  <si>
    <t>范海彬</t>
  </si>
  <si>
    <t>⽩酒;苹果酒;⻩酒;朗姆酒;⻘稞酒;烧酒;⽶酒;酸酒（低等葡萄酒）;甜果酒;清酒（⽇本⽶酒）</t>
  </si>
  <si>
    <t>久善久</t>
  </si>
  <si>
    <t>江苏久善久酒业有限公司</t>
  </si>
  <si>
    <t>烧酒;烈酒（饮料）;酒精饮料浓缩汁;⻩酒;⽩酒;果酒（含酒精）;含⽔果酒精饮料;葡萄酒;⽶酒;酒精饮料（啤酒除外）</t>
  </si>
  <si>
    <t>浓芝坊</t>
  </si>
  <si>
    <t>酒精饮料（啤酒除外）;⽶酒;酸酒（低等葡萄酒）;⽩酒;⻩酒;葡萄酒;汽酒;果酒（含酒精）;开胃酒;苹果酒</t>
  </si>
  <si>
    <t>杨记佬味真</t>
  </si>
  <si>
    <t>江苏伯康食品科技有限公司</t>
  </si>
  <si>
    <t>⽩兰地;⽶酒;含⽔果酒精饮料;预先混合的酒精饮料（以啤酒为主的除外）;⻩酒;葡萄酒;鸡尾酒;威⼠忌;果酒（含酒精）;⽩酒</t>
  </si>
  <si>
    <t>国王路易十五</t>
  </si>
  <si>
    <t>深圳市加枫红贸易有限公司</t>
  </si>
  <si>
    <t>伏特加酒;⽩兰地;甜酒;蒸煮提取物（利⼝酒和烈酒）;鸡尾酒;朗姆酒;预先混合的酒精饮料（以啤酒为主的除外）;葡萄酒;⽩酒;威⼠忌</t>
  </si>
  <si>
    <t>多漾</t>
  </si>
  <si>
    <t>天津向日葵品牌管理有限公司</t>
  </si>
  <si>
    <t>酒精饮料（啤酒除外）;鸡尾酒;威⼠忌;⽩酒;含酒精的⽓泡⽔;葡萄酒;以葡萄酒为主的饮料;起泡红葡萄酒;汽酒;⽔果汽酒</t>
  </si>
  <si>
    <t>孙绍铨创始王</t>
  </si>
  <si>
    <t>威⼠忌;酒精饮料（啤酒除外）;⽼酒（中国蒸馏烈酒）;烧酒;鸡尾酒;⽩酒;烈酒;⽶酒;⾼粱酒;葡萄酒</t>
  </si>
  <si>
    <t>浙北众人</t>
  </si>
  <si>
    <t>浙江长兴众人农产品有限公司</t>
  </si>
  <si>
    <t>烧酒;⽩酒;杨梅酒;酒精饮料（啤酒除外）;葡萄酒;果酒（含酒精）;烈酒（饮料）;⻩酒;⽶酒;⻘梅酒</t>
  </si>
  <si>
    <t>陈赋</t>
  </si>
  <si>
    <t>李洪早</t>
  </si>
  <si>
    <t>含酒精的充⽓饮料（啤酒除外）;⽶酒;⽩⼲酒（中国⽩酒）;⻩酒;葡萄酒;⽩酒;果酒;烈酒;⽼酒（中国蒸馏烈酒）;鸡尾酒</t>
  </si>
  <si>
    <t>禹门三粮液</t>
  </si>
  <si>
    <t>⽩兰地;⽶酒;朗姆酒;汽酒;⽩酒;⻩酒;果酒（含酒精）;葡萄酒;威⼠忌;蒸煮提取物（利⼝酒和烈酒）</t>
  </si>
  <si>
    <t>醺田</t>
  </si>
  <si>
    <t>张维建</t>
  </si>
  <si>
    <t>烈酒（饮料）;葡萄酒;⻩酒;酒精饮料（啤酒除外）;⽩酒;蒸馏饮料;果酒（含酒精）;威⼠忌;烧酒;⽶酒</t>
  </si>
  <si>
    <t>王贡散酒</t>
  </si>
  <si>
    <t>河南省王贡酒业有限公司</t>
  </si>
  <si>
    <t>烧酒;⽩酒;烈酒（饮料）;⽶酒;⻘稞酒;开胃酒;酒精饮料（啤酒除外）;果酒（含酒精）;葡萄酒;蒸煮提取物（利⼝酒和烈酒）</t>
  </si>
  <si>
    <t>舌谈</t>
  </si>
  <si>
    <t>夏津县集优品商贸有限公司</t>
  </si>
  <si>
    <t>开胃酒;苹果酒;⽩酒;葡萄酒;清酒;草莓酒;⻩酒;⽶酒;烧酒;果酒</t>
  </si>
  <si>
    <t>清照满庭芳</t>
  </si>
  <si>
    <t>苹果酒;酒精饮料（啤酒除外）;⻩酒;葡萄酒;汽酒;开胃酒;酸酒（低等葡萄酒）;果酒（含酒精）;⽶酒;⽩酒</t>
  </si>
  <si>
    <t>美登高</t>
  </si>
  <si>
    <t>李东京</t>
  </si>
  <si>
    <t>⽩酒;葡萄酒;蒸馏饮料;杜松⼦酒;清酒（⽇本⽶酒）;酒精饮料（啤酒除外）;含⽔果酒精饮料;⻩酒;果酒（含酒精）;蒸煮提取物（利⼝酒和烈酒）</t>
  </si>
  <si>
    <t>戕龙</t>
  </si>
  <si>
    <t>陈龙光</t>
  </si>
  <si>
    <t>⻩酒;⽶酒;⽩兰地;鸡尾酒;⾼粱酒;清酒（⽇本⽶酒）;⽩酒;威⼠忌;果酒（含酒精）;烧酒</t>
  </si>
  <si>
    <t>翞龙</t>
  </si>
  <si>
    <t>吴志猛</t>
  </si>
  <si>
    <t>⽩酒;⻩酒;⽶酒;⽩兰地;烧酒;⾼粱酒;清酒（⽇本⽶酒）;威⼠忌;鸡尾酒;果酒（含酒精）</t>
  </si>
  <si>
    <t>赤穗河</t>
  </si>
  <si>
    <t>王战盈</t>
  </si>
  <si>
    <t>烈酒（饮料）;⻩酒;鸡尾酒;葡萄酒;酒精饮料（啤酒除外）;果酒;⽩酒;清酒（⽇本⽶酒）;威⼠忌;开胃酒</t>
  </si>
  <si>
    <t>SENBOLUN 圣伯伦</t>
  </si>
  <si>
    <t>葡萄酒;烈酒（饮料）;苦味酒;利⼝酒;蒸煮提取物（利⼝酒和烈酒）;蒸馏饮料;果酒（含酒精）;鸡尾酒;威⼠忌;烧酒</t>
  </si>
  <si>
    <t>娜途</t>
  </si>
  <si>
    <t>果果妮（北京）贸易有限公司</t>
  </si>
  <si>
    <t>⽩酒;鸡尾酒;葡萄酒;烈酒（饮料）;⽶酒;烈酒;果酒（含酒精）;利⼝酒;威⼠忌;⽩兰地</t>
  </si>
  <si>
    <t>川杰</t>
  </si>
  <si>
    <t>葡萄酒;烈酒;露酒;⽩⼲酒（中国⽩酒）;⾼粱酒;⽼酒（中国蒸馏烈酒）;烧酒;⻩酒;⽩酒;果酒</t>
  </si>
  <si>
    <t>誓妍</t>
  </si>
  <si>
    <t>刘芝艳</t>
  </si>
  <si>
    <t>鸡尾酒;葡萄酒;⾕物制蒸馏酒精饮料;汽酒;⽶酒;⾷⽤酒精;烧酒;果酒（含酒精）;⽩酒;⻩酒</t>
  </si>
  <si>
    <t>万鑫临黄金屋</t>
  </si>
  <si>
    <t>盘锦福慧源贸易有限公司</t>
  </si>
  <si>
    <t>酒精饮料浓缩汁;薄荷酒;葡萄酒;威⼠忌;酒精饮料（啤酒除外）;果酒（含酒精）;餐后酒（利⼝酒和烈酒）;酒精饮料原汁;以葡萄酒为主的饮料;⽢蔗制酒精饮料</t>
  </si>
  <si>
    <t>丹龙和丹凤</t>
  </si>
  <si>
    <t>陈元军</t>
  </si>
  <si>
    <t>鸡尾酒;⻩酒;果酒（含酒精）;葡萄酒;⽩酒;⽩兰地;威⼠忌;汽酒;清酒（⽇本⽶酒）;烧酒</t>
  </si>
  <si>
    <t>潮埠</t>
  </si>
  <si>
    <t>珠海市葵峰酒店用品有限公司</t>
  </si>
  <si>
    <t>黔金顺</t>
  </si>
  <si>
    <t>利⼝酒;⽩酒;开胃酒;朗姆酒;烧酒;清酒（⽇本⽶酒）;酒精饮料（啤酒除外）;鸡尾酒;果酒;葡萄酒</t>
  </si>
  <si>
    <t>沱江往事</t>
  </si>
  <si>
    <t>谢军</t>
  </si>
  <si>
    <t>餐后酒（利⼝酒和烈酒）;烈酒（饮料）;已调味的蒸馏酒;⽩酒;⻩酒;酒精饮料（啤酒除外）;葡萄酒;开胃酒;⽶酒;烧酒</t>
  </si>
  <si>
    <t>叶榆瑞露</t>
  </si>
  <si>
    <t>何丽艳</t>
  </si>
  <si>
    <t>酒精饮料原汁;⽩酒;利⼝酒;露酒;鸡尾酒;果酒;⻘梅酒;清酒（⽇本⽶酒）;蒸馏饮料;朗姆酒</t>
  </si>
  <si>
    <t>黔香喜</t>
  </si>
  <si>
    <t>清酒（⽇本⽶酒）;朗姆酒;开胃酒;果酒;利⼝酒;⽩酒;鸡尾酒;酒精饮料（啤酒除外）;葡萄酒;烧酒</t>
  </si>
  <si>
    <t>罗文科</t>
  </si>
  <si>
    <t>⽩⼲酒（中国⽩酒）;蒸馏饮料;⽩兰地;开胃酒;⻩酒;葡萄酒;果酒;⽶酒;酒精饮料（啤酒除外）;⽩酒</t>
  </si>
  <si>
    <t>EJEAS</t>
  </si>
  <si>
    <t>深圳爱骑仕智能科技有限公司</t>
  </si>
  <si>
    <t>鸡尾酒;烧酒;葡萄酒;酒精饮料（啤酒除外）;⽩酒;⻩酒;⾷⽤酒精;果酒（含酒精）;⽶酒;利⼝酒</t>
  </si>
  <si>
    <t>飞帽</t>
  </si>
  <si>
    <t>广州恺旭贸易有限公司</t>
  </si>
  <si>
    <t>鸡尾酒;酒精饮料（啤酒除外）;⽶酒;预调甜酒;果酒;清酒;烈酒（饮料）;威⼠忌;⽩酒;葡萄酒</t>
  </si>
  <si>
    <t>绎酱缘</t>
  </si>
  <si>
    <t>王堃</t>
  </si>
  <si>
    <t>⽩酒（酱⾹型）</t>
  </si>
  <si>
    <t>BAHIT</t>
  </si>
  <si>
    <t>李金协</t>
  </si>
  <si>
    <t>烧酒;果酒（含酒精）;⽩酒;葡萄酒;⾕物制蒸馏酒精饮料;⽶酒;⻩酒;鸡尾酒;⾼粱酒;酒精饮料（啤酒除外）</t>
  </si>
  <si>
    <t>STANYIFUN</t>
  </si>
  <si>
    <t>庆云小朵商贸有限公司</t>
  </si>
  <si>
    <t>葡萄酒;酒精饮料（啤酒除外）;含⽔果酒精饮料;⽶酒;⽩酒;⻩酒;⻘稞酒;果酒（含酒精）;烧酒;开胃酒</t>
  </si>
  <si>
    <t>WOLFHILL</t>
  </si>
  <si>
    <t>麦克杜夫有限公司</t>
  </si>
  <si>
    <t>利⼝酒;威⼠忌</t>
  </si>
  <si>
    <t>CIOMOY</t>
  </si>
  <si>
    <t>⽶酒;酒精饮料（啤酒除外）;威⼠忌;葡萄酒;⻩酒;果酒;清酒（⽇本⽶酒）;烧酒;⻘稞酒;⽩酒</t>
  </si>
  <si>
    <t>黔匠潭</t>
  </si>
  <si>
    <t>张秋晓</t>
  </si>
  <si>
    <t>葡萄酒;朗姆酒;利⼝酒;⽩酒;烧酒;果酒;清酒（⽇本⽶酒）;鸡尾酒;酒精饮料（啤酒除外）;开胃酒</t>
  </si>
  <si>
    <t>匠乡农</t>
  </si>
  <si>
    <t>绩溪县鸿一电子商务有限公司</t>
  </si>
  <si>
    <t>⽩酒;⽇式甜⽶酒;葡萄酒;威⼠忌;杨梅酒;⻩酒;果酒（含酒精）;酒精饮料（啤酒除外）;⽶酒;清酒（⽇本⽶酒）</t>
  </si>
  <si>
    <t>VSHENGTAI</t>
  </si>
  <si>
    <t>广州权茅三家坊电子商务有限公司</t>
  </si>
  <si>
    <t>果酒（含酒精）;烧酒;蒸馏饮料;鸡尾酒;⾷⽤酒精;⽩酒;酒精饮料（啤酒除外）;葡萄酒;汽酒;含⽔果酒精饮料</t>
  </si>
  <si>
    <t>云酒蒸岚</t>
  </si>
  <si>
    <t>梅酒;酒精饮料（啤酒除外）;⾕物制蒸馏酒精饮料;露酒;⾷⽤酒精;利⼝酒;黑覆盆⼦酒;清酒;⻩酒;⽼酒（中国蒸馏烈酒）</t>
  </si>
  <si>
    <t>越毛泉</t>
  </si>
  <si>
    <t>贵州兆通企业管理咨询有限公司</t>
  </si>
  <si>
    <t>苹果酒;葡萄酒;露酒;烈酒（饮料）;⾕物制蒸馏酒精饮料;蒸馏饮料;果酒（含酒精）;⽶酒;餐后酒（利⼝酒和烈酒）;⽩酒</t>
  </si>
  <si>
    <t>梦橴妍</t>
  </si>
  <si>
    <t>汽酒;⽩酒;鸡尾酒;葡萄酒;⾕物制蒸馏酒精饮料;⾷⽤酒精;烧酒;果酒（含酒精）;⽶酒;⻩酒</t>
  </si>
  <si>
    <t>甲骨纪</t>
  </si>
  <si>
    <t>四川绵竹剑南春酒厂有限公司</t>
  </si>
  <si>
    <t>果酒（含酒精）;酒精饮料（啤酒除外）;含⽔果酒精饮料;烧酒;⽶酒;⽩酒;⻩酒;葡萄酒;烈酒（饮料）;酒精饮料浓缩汁</t>
  </si>
  <si>
    <t>黔品贺</t>
  </si>
  <si>
    <t>果酒;酒精饮料（啤酒除外）;朗姆酒;烧酒;开胃酒;清酒（⽇本⽶酒）;利⼝酒;葡萄酒;鸡尾酒;⽩酒</t>
  </si>
  <si>
    <t>懂朗顺</t>
  </si>
  <si>
    <t>葡萄酒;烧酒;⻩酒;⾕物制蒸馏酒精饮料;⽶酒;⽩酒;利⼝酒;酒精饮料（啤酒除外）;含⽔果酒精饮料;汽酒</t>
  </si>
  <si>
    <t>慈上青</t>
  </si>
  <si>
    <t>慈溪市万惠食品超市</t>
  </si>
  <si>
    <t>⽼酒（中国蒸馏烈酒）;酒精饮料原汁;⽶酒;预先混合的酒精饮料（以啤酒为主的除外）;以蒸馏酒为主的开胃酒;含酒精⽔果饮料;果酒（含酒精）;⽩酒;蒸煮提取物（利⼝酒和烈酒）;含酒精的⽓泡⽔</t>
  </si>
  <si>
    <t>楠铂氏</t>
  </si>
  <si>
    <t>海南动肤配方生物科技有限公司</t>
  </si>
  <si>
    <t>⽩兰地;⽩酒;威⼠忌;果酒（含酒精）;以葡萄酒为主的饮料;⽶酒;鸡尾酒;葡萄酒;酒精饮料（啤酒除外）;清酒（⽇本⽶酒）</t>
  </si>
  <si>
    <t>桂杰</t>
  </si>
  <si>
    <t>烧酒;⽩酒;果酒;⽩⼲酒（中国⽩酒）;⽼酒（中国蒸馏烈酒）;露酒;烈酒;⾼粱酒;⻩酒;葡萄酒</t>
  </si>
  <si>
    <t>敦厚围</t>
  </si>
  <si>
    <t>兴宁市石马镇敦厚酒厂</t>
  </si>
  <si>
    <t>烧酒;⻩酒;含酒精的饮料（啤酒除外）;⽶酒;果酒（含酒精）;⽩酒;汽酒;⾼粱酒;葡萄酒;清酒</t>
  </si>
  <si>
    <t>就春风</t>
  </si>
  <si>
    <t>范广义</t>
  </si>
  <si>
    <t>⽩酒;清酒（⽇本⽶酒）;酒精饮料（啤酒除外）;汽酒;葡萄酒;⾷⽤酒精;⽶酒;烈酒（饮料）;蒸馏饮料;果酒（含酒精）</t>
  </si>
  <si>
    <t>百业吉</t>
  </si>
  <si>
    <t>酒精饮料原汁;酒精饮料（啤酒除外）;⽶酒;蒸煮提取物（利⼝酒和烈酒）;⽩酒;烧酒;葡萄酒;烈酒（饮料）;⻩酒;果酒（含酒精）</t>
  </si>
  <si>
    <t>老元清康</t>
  </si>
  <si>
    <t>黄青松</t>
  </si>
  <si>
    <t>⾕物制蒸馏酒精饮料;烈酒（饮料）;⽼酒（中国蒸馏烈酒）;⻩酒;⽶酒;酒精饮料（啤酒除外）;⽩酒;烧酒;预调甜酒;葡萄酒</t>
  </si>
  <si>
    <t>外家 外家酒</t>
  </si>
  <si>
    <t>李莉</t>
  </si>
  <si>
    <t>葡萄酒;鸡尾酒;烧酒;酒精饮料（啤酒除外）;汽酒;⽩酒;⻩酒;开胃酒;⽶酒;果酒（含酒精）</t>
  </si>
  <si>
    <t>十五亿精勇</t>
  </si>
  <si>
    <t>西安凯歌化工科技有限公司</t>
  </si>
  <si>
    <t>烧酒;酒精饮料（啤酒除外）;葡萄酒;酒精饮料浓缩汁;酒精饮料原汁;果酒（含酒精）;利⼝酒;烈酒（饮料）;⻩酒;⽶酒</t>
  </si>
  <si>
    <t>得僖</t>
  </si>
  <si>
    <t>武汉慧品购电子商务有限公司</t>
  </si>
  <si>
    <t>蒸馏饮料;烧酒;酒精饮料（啤酒除外）;甜酒;烈酒;葡萄酒;伏特加酒;⽶酒;⽩酒;⾼粱酒</t>
  </si>
  <si>
    <t>穿心</t>
  </si>
  <si>
    <t>北京大旺食品有限公司</t>
  </si>
  <si>
    <t>酒精饮料（啤酒除外）;果酒（含酒精）;酒精饮料原汁;⻩酒;含⽔果酒精饮料;烈酒（饮料）;葡萄酒;⽶酒;⽩酒;汽酒</t>
  </si>
  <si>
    <t>蜀纯湘</t>
  </si>
  <si>
    <t>成都市蜀醇湘酒业有限公司</t>
  </si>
  <si>
    <t>烧酒;果酒;葡萄酒;⾷⽤酒精;酒精饮料（啤酒除外）;伏特加酒;开胃酒;酸酒（低等葡萄酒）;⽩酒;酒精饮料原汁</t>
  </si>
  <si>
    <t>赤泊河</t>
  </si>
  <si>
    <t>开胃酒;威⼠忌;烈酒（饮料）;⻩酒;葡萄酒;酒精饮料（啤酒除外）;⽩酒;清酒（⽇本⽶酒）;鸡尾酒;果酒</t>
  </si>
  <si>
    <t>伟记酒坊</t>
  </si>
  <si>
    <t>巢伟球</t>
  </si>
  <si>
    <t>⻩酒;⽶酒;⽩酒;蜂蜜酒;果酒（含酒精）</t>
  </si>
  <si>
    <t>绍铨酒坊</t>
  </si>
  <si>
    <t>⽶酒;烧酒;威⼠忌;酒精饮料（啤酒除外）;⽼酒（中国蒸馏烈酒）;葡萄酒;⽩酒;烈酒;鸡尾酒;⾼粱酒</t>
  </si>
  <si>
    <t>连昌</t>
  </si>
  <si>
    <t>杨连昌</t>
  </si>
  <si>
    <t>蜂蜜酒;⻘稞酒;酒精饮料（啤酒除外）;⽶酒;⽩酒;蒸馏饮料;烧酒;含⽔果酒精饮料;果酒（含酒精）;⾼粱酒</t>
  </si>
  <si>
    <t>梦唐翁</t>
  </si>
  <si>
    <t>武圣姣</t>
  </si>
  <si>
    <t>威⼠忌;果酒（含酒精）;清酒（⽇本⽶酒）;烈酒;鸡尾酒;⻩酒;⽩酒;酒精饮料（啤酒除外）;开胃酒;葡萄酒</t>
  </si>
  <si>
    <t>广选</t>
  </si>
  <si>
    <t>⻩酒;⾷⽤酒精;⽩酒;⽼酒（中国蒸馏烈酒）;果酒（含酒精）;烧酒;酒精饮料（啤酒除外）;预先混合的酒精饮料（以啤酒为主的除外）;开胃酒;⽶酒</t>
  </si>
  <si>
    <t>乡雪果农</t>
  </si>
  <si>
    <t>广东国信文化产业有限公司</t>
  </si>
  <si>
    <t>含酒精的饮料（啤酒除外）;蒸馏饮料;鸡尾酒;清酒（⽇本⽶酒）;酒精饮料原汁;含⽔果酒精饮料;预先混合的酒精饮料（以啤酒为主的除外）;果酒（含酒精）;葡萄酒;酒精饮料（啤酒除外）</t>
  </si>
  <si>
    <t>泓梁</t>
  </si>
  <si>
    <t>贵州泓梁酒业有限公司</t>
  </si>
  <si>
    <t>葡萄酒;⽩酒;⽼酒（中国蒸馏烈酒）;由⾕物蒸馏的⽩酒;⾕物制蒸馏酒精饮料;⻩酒;蒸馏⽶酒（泡盛酒）;烈酒;⾼粱酒;以蒸馏酒为主的开胃酒</t>
  </si>
  <si>
    <t>百龄川</t>
  </si>
  <si>
    <t>⽩酒;开胃酒;蒸煮提取物（利⼝酒和烈酒）;五加⽪酒（中国混合烈酒）;由⾕物蒸馏的⽩酒;烧酒;⾼粱酒;⻩酒;⽩⼲酒（中国⽩酒）;⻘稞酒</t>
  </si>
  <si>
    <t>兴林龙江</t>
  </si>
  <si>
    <t>温天龙</t>
  </si>
  <si>
    <t>⽩酒;⻩酒;⻘稞酒;蜂蜜酒;酸酒（低等葡萄酒）;汽酒;⽶酒;烈酒（饮料）;开胃酒;果酒（含酒精）</t>
  </si>
  <si>
    <t>TBWH</t>
  </si>
  <si>
    <t>西安天宝物华贸易有限公司</t>
  </si>
  <si>
    <t>以葡萄酒为主的饮料;朗姆酒;红葡萄酒;⽩兰地;伏特加酒;葡萄酒;⽩葡萄酒;清酒;威⼠忌;⽩酒</t>
  </si>
  <si>
    <t>庆茸</t>
  </si>
  <si>
    <t>延边长白山馥鑫雨松茸食品实业有限公司</t>
  </si>
  <si>
    <t>酒精饮料（啤酒除外）;蜂蜜酒;葡萄酒;威⼠忌;⻩酒;苦味酒;含⽔果酒精饮料;⽶酒;⽩酒;开胃酒</t>
  </si>
  <si>
    <t>石菖头</t>
  </si>
  <si>
    <t>开化县林山乡菖蒲村股份经济合作社</t>
  </si>
  <si>
    <t>甜酒;⽩酒;苦荞酒;杨梅酒;蒸馏饮料;果酒;蜂蜜酒;⽶酒;⾼粱酒;⻩酒</t>
  </si>
  <si>
    <t>雪中燕</t>
  </si>
  <si>
    <t>葡萄酒;⽩酒;利⼝酒;烧酒;烈酒（饮料）;清酒;⻩酒;果酒（含酒精）;开胃酒;⽩⼲酒（中国⽩酒）</t>
  </si>
  <si>
    <t>天鹅思美</t>
  </si>
  <si>
    <t>霍瑞卿</t>
  </si>
  <si>
    <t>利⼝酒;果酒（含酒精）;⽩兰地;⽩酒;朗姆酒;伏特加酒;葡萄酒;含⽔果酒精饮料;威⼠忌;鸡尾酒</t>
  </si>
  <si>
    <t>黔品凤</t>
  </si>
  <si>
    <t>朗姆酒;利⼝酒;葡萄酒;开胃酒;烧酒;果酒;⽩酒;清酒（⽇本⽶酒）;酒精饮料（啤酒除外）;鸡尾酒</t>
  </si>
  <si>
    <t>吾德寿 斗鸡</t>
  </si>
  <si>
    <t>北京吾德寿农业科技有限公司</t>
  </si>
  <si>
    <t>果酒（含酒精）;⾼粱酒;⽩酒;⽩⼲酒（中国⽩酒）;⽶酒;⽼酒（中国蒸馏烈酒）;烧酒;露酒;⾷⽤酒精;烧酒（烈酒）</t>
  </si>
  <si>
    <t>黔品华</t>
  </si>
  <si>
    <t>孙秋艳</t>
  </si>
  <si>
    <t>朗姆酒;酒精饮料（啤酒除外）;葡萄酒;鸡尾酒;⽩酒;利⼝酒;开胃酒;果酒;烧酒;清酒（⽇本⽶酒）</t>
  </si>
  <si>
    <t>绎酱醇</t>
  </si>
  <si>
    <t>丹乐果乐</t>
  </si>
  <si>
    <t>齐齐哈尔丹乐果乐酒业有限公司</t>
  </si>
  <si>
    <t>烈酒;⽩酒;⾼粱酒;⾷⽤酒精;甜酒;⻩酒;果酒;红葡萄酒;⽼酒（中国蒸馏烈酒）;清酒</t>
  </si>
  <si>
    <t>绍铨烧坊</t>
  </si>
  <si>
    <t>⽼酒（中国蒸馏烈酒）;烧酒;⾼粱酒;⽶酒;威⼠忌;酒精饮料（啤酒除外）;⽩酒;烈酒;鸡尾酒;葡萄酒</t>
  </si>
  <si>
    <t>甄果花</t>
  </si>
  <si>
    <t>山东天金村酒业有限公司</t>
  </si>
  <si>
    <t>清酒;含⽔果酒精饮料;⻘稞酒;果酒（含酒精）;蜂蜜酒;苦味酒;开胃酒;⻩酒;⽩酒;茴⾹酒</t>
  </si>
  <si>
    <t>云嘉艺</t>
  </si>
  <si>
    <t>昆明市空港经济区云嘉艺棋牌店</t>
  </si>
  <si>
    <t>鸡尾酒;葡萄酒;甜酒;⽩酒;甜果酒;烈酒;果酒（含酒精）;烈酒（饮料）;⽶酒;酒精饮料（啤酒除外）</t>
  </si>
  <si>
    <t>周大好</t>
  </si>
  <si>
    <t>江苏芷昕贸易有限公司</t>
  </si>
  <si>
    <t>⽩⼲酒（中国⽩酒）;含酒精⽔果饮料;⾷⽤酒精;葡萄酒;⻩酒;⽩酒;⽶酒;甜果酒;烈酒;汽酒</t>
  </si>
  <si>
    <t>邛杖</t>
  </si>
  <si>
    <t>⾷⽤酒精;蜂蜜酒;⽶酒;烈酒（饮料）;酒精饮料原汁;⽩酒;果酒（含酒精）;酒精饮料（啤酒除外）;⽼酒（中国蒸馏烈酒）;葡萄酒</t>
  </si>
  <si>
    <t>冠醺</t>
  </si>
  <si>
    <t>沈志兰</t>
  </si>
  <si>
    <t>酒精饮料（啤酒除外）;开胃酒;威⼠忌;果酒（含酒精）;⽩酒;鸡尾酒;葡萄酒;⽶酒;⻩酒;蒸馏饮料</t>
  </si>
  <si>
    <t>粗台</t>
  </si>
  <si>
    <t>马祖辉522121********2230</t>
  </si>
  <si>
    <t>⽶酒;烧酒;⾼粱酒;⽩酒;⻘稞酒;酒精饮料（啤酒除外）;葡萄酒;⻩酒;⽩⼲酒（中国⽩酒）;果酒（含酒精）</t>
  </si>
  <si>
    <t>萄道</t>
  </si>
  <si>
    <t>宁夏养生源枸杞产业研发有限公司</t>
  </si>
  <si>
    <t>⽩⼲酒（中国⽩酒）;⾕物制蒸馏酒精饮料;利⼝酒;⽩酒;由⾕物蒸馏的⽩酒;烧酒;⽶酒;葡萄酒;⻩酒;⽩兰地</t>
  </si>
  <si>
    <t>玉液录</t>
  </si>
  <si>
    <t>秦小云</t>
  </si>
  <si>
    <t>酒精饮料（啤酒除外）;烈酒;鸡尾酒;开胃酒;⽩酒;果酒（含酒精）;清酒（⽇本⽶酒）;威⼠忌;⻩酒;葡萄酒</t>
  </si>
  <si>
    <t>华弩</t>
  </si>
  <si>
    <t>郑长文</t>
  </si>
  <si>
    <t>⻩酒;⽶酒;葡萄酒;⽩⼲酒（中国⽩酒）;果酒;佐餐酒;含酒精的饮料（啤酒除外）;⽩酒;汽酒;烧酒</t>
  </si>
  <si>
    <t>贵缘父</t>
  </si>
  <si>
    <t>清酒（⽇本⽶酒）;果酒;利⼝酒;葡萄酒;⽩酒;开胃酒;朗姆酒;酒精饮料（啤酒除外）;烧酒;鸡尾酒</t>
  </si>
  <si>
    <t>陕赛格</t>
  </si>
  <si>
    <t>葡萄酒;含⽔果酒精饮料;含酒精的⽓泡⽔;果酒（含酒精）;清酒（⽇本⽶酒）;以葡萄酒为主的饮料;⽩酒;⽶酒;烧酒;酒精饮料（啤酒除外）</t>
  </si>
  <si>
    <t>御林皇府</t>
  </si>
  <si>
    <t>王勇</t>
  </si>
  <si>
    <t>含⽔果酒精饮料;酒精饮料浓缩汁;蒸煮提取物（利⼝酒和烈酒）;⽩酒;蒸馏饮料;果酒;鸡尾酒;⽶酒;⾷⽤酒精;葡萄酒</t>
  </si>
  <si>
    <t>樱桃酒;⽢蔗制酒精饮料;含酒精的充⽓饮料（啤酒除外）;果酒;葡萄酒;咖啡利⼝酒;⽔果汽酒;甜果酒;苹果酒;蜂蜜酒</t>
  </si>
  <si>
    <t>酉聃坛</t>
  </si>
  <si>
    <t>杨浩康</t>
  </si>
  <si>
    <t>薄荷酒;含酒精⽔果饮料;果酒（含酒精）;⽩酒;以葡萄酒为主的饮料;含酒精的⽓泡⽔;果酒;⽶酒;⻩酒;⻘稞酒</t>
  </si>
  <si>
    <t>御樽泉</t>
  </si>
  <si>
    <t>刘子涵</t>
  </si>
  <si>
    <t>⻩酒;酒精饮料（啤酒除外）;葡萄酒;清酒（⽇本⽶酒）;鸡尾酒;威⼠忌;烈酒;开胃酒;⽩酒;果酒（含酒精）</t>
  </si>
  <si>
    <t>菲力狮王</t>
  </si>
  <si>
    <t>玖鼎进出口贸易（天津）有限公司</t>
  </si>
  <si>
    <t>果酒（含酒精）;开胃酒;汽酒;葡萄酒;⽩酒;⾷⽤酒精;含⽔果酒精饮料;酒精饮料原汁;清酒（⽇本⽶酒）;烈酒（饮料）</t>
  </si>
  <si>
    <t>瀚山馈</t>
  </si>
  <si>
    <t>西藏清诺招商孵化运营有限公司</t>
  </si>
  <si>
    <t>果酒（含酒精）;蒸馏饮料;葡萄酒;酒精饮料（啤酒除外）;清酒（⽇本⽶酒）;⾷⽤酒精;⻩酒;⻘稞酒;⽩酒;⽶酒</t>
  </si>
  <si>
    <t>津汉宫</t>
  </si>
  <si>
    <t>苹果酒;含⽔果酒精饮料;果酒（含酒精）;葡萄酒;⽩酒;鸡尾酒;蒸馏饮料;清酒（⽇本⽶酒）;酒精饮料（啤酒除外）;含酒精的⽓泡⽔</t>
  </si>
  <si>
    <t>尚广瀑</t>
  </si>
  <si>
    <t>王韶松</t>
  </si>
  <si>
    <t>⽩酒;烈酒（饮料）;威⼠忌;酒精饮料原汁;烧酒;蒸馏饮料;含⽔果酒精饮料;鸡尾酒;清酒;果酒（含酒精）</t>
  </si>
  <si>
    <t>亚朵猿梦计划</t>
  </si>
  <si>
    <t>上海亚朵商业管理（集团）有限公司</t>
  </si>
  <si>
    <t>葡萄酒;含⽔果酒精饮料;果酒（含酒精）;鸡尾酒;朗姆酒;清酒（⽇本⽶酒）;⻩酒;开胃酒;烈酒（饮料）;酒精饮料（啤酒除外）</t>
  </si>
  <si>
    <t>若水三千</t>
  </si>
  <si>
    <t>邯郸市合君酒业有限公司</t>
  </si>
  <si>
    <t>蒸煮提取物（利⼝酒和烈酒）;果酒（含酒精）;葡萄酒;酒精饮料（啤酒除外）;烧酒;⽩酒;开胃酒;⾷⽤酒精;利⼝酒;⻩酒</t>
  </si>
  <si>
    <t>老垦</t>
  </si>
  <si>
    <t>季智勤</t>
  </si>
  <si>
    <t>清酒;⽩酒;⽶酒;酒精饮料（啤酒除外）;葡萄酒;蒸馏饮料;⻩酒;利⼝酒;烧酒;烈酒</t>
  </si>
  <si>
    <t>询匠</t>
  </si>
  <si>
    <t>骆松</t>
  </si>
  <si>
    <t>威⼠忌;烈酒（饮料）;⽩兰地;葡萄酒;⻩酒;⽩酒;⾷⽤酒精;鸡尾酒;⽶酒;酒精饮料（啤酒除外）</t>
  </si>
  <si>
    <t>守山海</t>
  </si>
  <si>
    <t>彭和文</t>
  </si>
  <si>
    <t>⽩酒;清酒（⽇本⽶酒）;⽶酒;烈酒;葡萄酒;⽩⼲酒（中国⽩酒）;⾼粱酒;烈酒（饮料）;含⽔果酒精饮料;烧酒</t>
  </si>
  <si>
    <t>中匠坤</t>
  </si>
  <si>
    <t>烈酒（饮料）;⽶酒;葡萄酒;蒸馏饮料;餐后酒（利⼝酒和烈酒）;露酒;果酒（含酒精）;⽩酒;苹果酒;⾕物制蒸馏酒精饮料</t>
  </si>
  <si>
    <t>贵盛谷</t>
  </si>
  <si>
    <t>刘世龙</t>
  </si>
  <si>
    <t>苦味酒;甜酒;开胃酒;⽶酒;烈酒;果酒（含酒精）;葡萄酒;⽩酒;酒精饮料原汁;⻩酒</t>
  </si>
  <si>
    <t>天下晏然</t>
  </si>
  <si>
    <t>广州尚本酒业有限公司</t>
  </si>
  <si>
    <t>果酒（含酒精）;威⼠忌;⽩酒;伏特加酒;葡萄酒;⾕物制蒸馏酒精饮料;⽩兰地;鸡尾酒;⽶酒;⻩酒</t>
  </si>
  <si>
    <t>鄂尔多斯市贺大妈餐饮管理有限公司</t>
  </si>
  <si>
    <t>⽩酒;⽶酒;烧酒;开胃酒;酒精饮料浓缩汁;⾷⽤酒精;葡萄酒;烈酒（饮料）;清酒（⽇本⽶酒）;酒精饮料（啤酒除外）</t>
  </si>
  <si>
    <t>清照 韵</t>
  </si>
  <si>
    <t>酸酒（低等葡萄酒）;汽酒;开胃酒;苹果酒;⽶酒;⻩酒;⽩酒;果酒（含酒精）;葡萄酒;酒精饮料（啤酒除外）</t>
  </si>
  <si>
    <t>夏宇</t>
  </si>
  <si>
    <t>⽩兰地;威⼠忌;酒精饮料（啤酒除外）;以葡萄酒为主的饮料;朗姆酒;葡萄酒;清酒;鸡尾酒;⽩酒;果酒</t>
  </si>
  <si>
    <t>西堪江</t>
  </si>
  <si>
    <t>魏冬生</t>
  </si>
  <si>
    <t>⽩酒;烈酒（饮料）;蒸馏饮料;鸡尾酒;烧酒;含⽔果酒精饮料;酒精饮料原汁;清酒;果酒（含酒精）;威⼠忌</t>
  </si>
  <si>
    <t>MEI KEYWORD</t>
  </si>
  <si>
    <t>伊犁梅密码食品科技有限公司</t>
  </si>
  <si>
    <t>⾷⽤酒精;⻩酒;鸡尾酒;⽶酒;清酒（⽇本⽶酒）;⽩兰地;葡萄酒;⽩酒;酒精饮料（啤酒除外）;果酒（含酒精）</t>
  </si>
  <si>
    <t>惜妮</t>
  </si>
  <si>
    <t>内蒙古仪和藜麦酒业有限公司</t>
  </si>
  <si>
    <t>问到牛</t>
  </si>
  <si>
    <t>河南问到牛数字科技有限公司</t>
  </si>
  <si>
    <t>酒精饮料（啤酒除外）;⽶酒;⻩酒;烈酒（饮料）;果酒（含酒精）;⽩酒;鸡尾酒;葡萄酒;清酒（⽇本⽶酒）;威⼠忌</t>
  </si>
  <si>
    <t>力合励拓</t>
  </si>
  <si>
    <t>北京力合励拓文化传播有限公司</t>
  </si>
  <si>
    <t>烈酒;⻨芽威⼠忌;含酒精的⽓泡⽔;蒸馏⽶酒（泡盛酒）;由⾕物蒸馏的⽩酒;朗姆酒（酒精饮料）;⾼粱酒;⻘稞酒;⾕物制蒸馏酒精饮料;红葡萄酒</t>
  </si>
  <si>
    <t>北京美顺瑞达文化有限公司</t>
  </si>
  <si>
    <t>葡萄酒;果酒（含酒精）;烈酒（饮料）;烧酒;果酒;甜酒;⽩酒;⽶酒;⻘稞酒;烈酒</t>
  </si>
  <si>
    <t>文美天下</t>
  </si>
  <si>
    <t>果酒（含酒精）;⽶酒;⻩酒;蒸馏饮料;餐后酒（利⼝酒和烈酒）;烧酒;⽩酒;露酒;⾼粱酒;葡萄酒</t>
  </si>
  <si>
    <t>济生源</t>
  </si>
  <si>
    <t>上海蔚美实业股份有限公司</t>
  </si>
  <si>
    <t>⽶酒;葡萄酒;烈性⼲酒;鸡尾酒;开胃酒;⽩酒;果酒（含酒精）;酒精饮料（啤酒除外）;⽩兰地;⻩酒</t>
  </si>
  <si>
    <t>巴王邑</t>
  </si>
  <si>
    <t>袁引</t>
  </si>
  <si>
    <t>威⼠忌;果酒（含酒精）;⻩酒;⽶酒;⽩兰地;餐后酒（利⼝酒和烈酒）;⽩酒;伏特加酒;蒸馏饮料;清酒（⽇本⽶酒）</t>
  </si>
  <si>
    <t>金窖升</t>
  </si>
  <si>
    <t>⽶酒;餐后酒（利⼝酒和烈酒）;果酒（含酒精）;⽩酒;⾕物制蒸馏酒精饮料;葡萄酒;蒸馏饮料;露酒;烈酒（饮料）;苹果酒</t>
  </si>
  <si>
    <t>名匠后裔</t>
  </si>
  <si>
    <t>蒸馏饮料;⾕物制蒸馏酒精饮料;餐后酒（利⼝酒和烈酒）;⽶酒;⽩酒;苹果酒;葡萄酒;露酒;烈酒（饮料）;果酒（含酒精）</t>
  </si>
  <si>
    <t>赣小满</t>
  </si>
  <si>
    <t>马建飞</t>
  </si>
  <si>
    <t>清酒（⽇本⽶酒）;⾷⽤酒精;果酒（含酒精）;烧酒;⽶酒;葡萄酒;酒精饮料（啤酒除外）;⻘稞酒;⻩酒;⽩酒</t>
  </si>
  <si>
    <t>造物集</t>
  </si>
  <si>
    <t>胡国军</t>
  </si>
  <si>
    <t>果酒;⽔果汽酒;清酒;汽酒;⻩酒;除啤酒外的酒精饮料;含酒精的饮料（啤酒除外）;含酒精的⽓泡⽔;⽩酒;⽶酒</t>
  </si>
  <si>
    <t>贵宾福贵</t>
  </si>
  <si>
    <t>菏泽牡丹城酿酒有限公司</t>
  </si>
  <si>
    <t>⽩酒;葡萄酒;蒸馏饮料;果酒（含酒精）;烈酒（饮料）;餐后酒（利⼝酒和烈酒）;⾕物制蒸馏酒精饮料;露酒;⽶酒;苹果酒</t>
  </si>
  <si>
    <t>⾕物制蒸馏酒精饮料;餐后酒（利⼝酒和烈酒）;⽶酒;露酒;果酒（含酒精）;葡萄酒;蒸馏饮料;烈酒（饮料）;⽩酒;苹果酒</t>
  </si>
  <si>
    <t>酒州天娇</t>
  </si>
  <si>
    <t>⽶酒;⾼粱酒;葡萄酒;烧酒;清酒（⽇本⽶酒）;含⽔果酒精饮料;⽩⼲酒（中国⽩酒）;烈酒;⽩酒;烈酒（饮料）</t>
  </si>
  <si>
    <t>乐行善</t>
  </si>
  <si>
    <t>深圳市喜恒贸易有限公司</t>
  </si>
  <si>
    <t>⽩⼲酒（中国⽩酒）;⽩酒;汽酒;果酒;⽶酒;烈酒;葡萄酒;⽩兰地;威⼠忌;⾼粱酒</t>
  </si>
  <si>
    <t>蜀茶山</t>
  </si>
  <si>
    <t>梁英</t>
  </si>
  <si>
    <t>威⼠忌;⽩酒;葡萄酒;利⼝酒;⽩兰地;⻩酒;果酒（含酒精）;蒸馏饮料;鸡尾酒;烈酒（饮料）</t>
  </si>
  <si>
    <t>圣世祥龙齐小白</t>
  </si>
  <si>
    <t>岳池圣世祥龙酒业有限责任公司</t>
  </si>
  <si>
    <t>含⽔果酒精饮料;⻘稞酒;烧酒;⾷⽤酒精;⻩酒;汽酒;⽩酒;葡萄酒;蒸馏饮料;酒精饮料（啤酒除外）</t>
  </si>
  <si>
    <t>偷闲者</t>
  </si>
  <si>
    <t>任书强</t>
  </si>
  <si>
    <t>⽶酒;威⼠忌;⽩兰地;⻩酒;果酒;葡萄酒;⽩酒;预先混合的酒精饮料（以啤酒为主的除外）;鸡尾酒;烧酒</t>
  </si>
  <si>
    <t>梁苗项</t>
  </si>
  <si>
    <t>王可欣</t>
  </si>
  <si>
    <t>果酒（含酒精）;烈酒（饮料）;⽩酒;蒸馏饮料;烧酒;鸡尾酒;威⼠忌;含⽔果酒精饮料;清酒;酒精饮料原汁</t>
  </si>
  <si>
    <t>疆芝堂</t>
  </si>
  <si>
    <t>新疆中疆红商贸有限公司</t>
  </si>
  <si>
    <t>伏特加酒;薄荷酒;鸡尾酒;威⼠忌;烧酒;葡萄酒;利⼝酒;⽩兰地;⽩酒;果酒（含酒精）</t>
  </si>
  <si>
    <t>百脉泉泉城味道</t>
  </si>
  <si>
    <t>⽶酒;开胃酒;苹果酒;果酒（含酒精）;⻩酒;⽩酒;葡萄酒;酸酒（低等葡萄酒）;酒精饮料（啤酒除外）;汽酒</t>
  </si>
  <si>
    <t>凝澜山</t>
  </si>
  <si>
    <t>广东晋益投资合伙企业（有限合伙）</t>
  </si>
  <si>
    <t>鸡尾酒;⽩兰地;⻩酒;⻘稞酒;果酒（含酒精）;清酒;烧酒;⽶酒;⽩酒;葡萄酒</t>
  </si>
  <si>
    <t>JAO NAN XIAO GANG PAO</t>
  </si>
  <si>
    <t>黄岛区李记匠心酒坊</t>
  </si>
  <si>
    <t>⽩兰地;烈酒（饮料）;含⽔果酒精饮料;清酒;烧酒;⻩酒;薄荷酒;果酒（含酒精）;⽶酒;⽩酒</t>
  </si>
  <si>
    <t>山云尘</t>
  </si>
  <si>
    <t>平顶山昆杨商贸有限公司</t>
  </si>
  <si>
    <t>威⼠忌;预先混合的酒精饮料（以啤酒为主的除外）;烈酒（饮料）;果酒（含酒精）;⻩酒;⽩酒;⽶酒;葡萄酒;利⼝酒;烧酒</t>
  </si>
  <si>
    <t>对饮间</t>
  </si>
  <si>
    <t>⽩酒;清酒（⽇本⽶酒）;汽酒;酒精饮料（啤酒除外）;烈酒;蒸馏饮料;威⼠忌;果酒（含酒精）;葡萄酒;⽶酒</t>
  </si>
  <si>
    <t>LIYAOXUN 梨谣甸</t>
  </si>
  <si>
    <t>张波</t>
  </si>
  <si>
    <t>⽩酒;蒸馏饮料;果酒（含酒精）;鸡尾酒;威⼠忌;清酒;烈酒（饮料）;酒精饮料原汁;烧酒;含⽔果酒精饮料</t>
  </si>
  <si>
    <t>波御佳</t>
  </si>
  <si>
    <t>翟玉龙</t>
  </si>
  <si>
    <t>含⽔果酒精饮料;清酒;烧酒;威⼠忌;酒精饮料原汁;鸡尾酒;蒸馏饮料;⽩酒;烈酒（饮料）;果酒（含酒精）</t>
  </si>
  <si>
    <t>武汉旭日酒阁酒业有限公司</t>
  </si>
  <si>
    <t>果酒（含酒精）;⽩酒;酒精饮料（啤酒除外）;伏特加酒;烧酒;鸡尾酒;酒精饮料原汁;⽼酒（中国蒸馏烈酒）;葡萄酒;餐后酒（利⼝酒和烈酒）</t>
  </si>
  <si>
    <t>索隆山</t>
  </si>
  <si>
    <t>山东君酩国际贸易有限公司</t>
  </si>
  <si>
    <t>鸡尾酒;⽶酒;威⼠忌;酒精饮料（啤酒除外）;清酒（⽇本⽶酒）;伏特加酒;酒精饮料原汁;葡萄酒;⽩酒;烈酒（饮料）</t>
  </si>
  <si>
    <t>万粹池</t>
  </si>
  <si>
    <t>酒精饮料（啤酒除外）;⻩酒;开胃酒;清酒（⽇本⽶酒）;葡萄酒;威⼠忌;鸡尾酒;⽩酒;果酒（含酒精）;烈酒</t>
  </si>
  <si>
    <t>管酒曜邦</t>
  </si>
  <si>
    <t>安徽管子酒业有限公司</t>
  </si>
  <si>
    <t>⽩酒;含酒精⽔果饮料;⽼酒（中国蒸馏烈酒）;烈酒（饮料）;开胃酒;酒精饮料（啤酒除外）;烧酒;⻩酒;⾼粱酒;⾷⽤酒精</t>
  </si>
  <si>
    <t>九涯丹清</t>
  </si>
  <si>
    <t>林琳</t>
  </si>
  <si>
    <t>希麦康</t>
  </si>
  <si>
    <t>王荣潇</t>
  </si>
  <si>
    <t>烈酒（饮料）;蒸馏饮料;清酒;烧酒;酒精饮料原汁;鸡尾酒;含⽔果酒精饮料;⽩酒;果酒（含酒精）;威⼠忌</t>
  </si>
  <si>
    <t>梁弓</t>
  </si>
  <si>
    <t>鸡尾酒;烧酒;开胃酒;⻩酒;⽶酒;⽩酒;威⼠忌;烈酒（饮料）;果酒;葡萄酒</t>
  </si>
  <si>
    <t>CABINET SALUTE</t>
  </si>
  <si>
    <t>仁怀市中书阁酒业有限公司</t>
  </si>
  <si>
    <t>葡萄酒;⾼粱酒;烧酒;⽩酒;⽩兰地;果酒（含酒精）;⽶酒;甜酒;⻩酒;威⼠忌</t>
  </si>
  <si>
    <t>越州六桥</t>
  </si>
  <si>
    <t>浙江澎湃酒业有限公司</t>
  </si>
  <si>
    <t>⽩酒;鸡尾酒;⻩酒;⽶酒;⽢蔗制烈酒;烧酒;酒精饮料（啤酒除外）;葡萄酒;烈酒（饮料）;果酒（含酒精）</t>
  </si>
  <si>
    <t>垞</t>
  </si>
  <si>
    <t>杭州与山行文化艺术有限公司</t>
  </si>
  <si>
    <t>含酒精的鸡尾酒混合饮品;鸡尾酒;已调味的⻨芽酿制的酒精饮料（啤酒除外）;以葡萄酒为主的饮料;烈酒（饮料）;酒精饮料（啤酒除外）;果酒（含酒精）;含酒精的⽓泡⽔;酒精饮料原汁;⾷⽤酒精</t>
  </si>
  <si>
    <t>奕仙莱</t>
  </si>
  <si>
    <t>欧喜宁</t>
  </si>
  <si>
    <t>果酒（含酒精）;含⽔果酒精饮料;清酒;烧酒;酒精饮料原汁;威⼠忌;烈酒（饮料）;蒸馏饮料;鸡尾酒;⽩酒</t>
  </si>
  <si>
    <t>金炑坔</t>
  </si>
  <si>
    <t>广东省老品牌管理有限公司</t>
  </si>
  <si>
    <t>威⼠忌;果酒（含酒精）;朗姆酒;葡萄酒;⻩酒;烈酒（饮料）;⽩兰地;伏特加酒;⽩酒;⾷⽤酒精</t>
  </si>
  <si>
    <t>XIAOMIJIN</t>
  </si>
  <si>
    <t>夏志举421083********0473</t>
  </si>
  <si>
    <t>开胃酒;烈酒（饮料）;利⼝酒;酒精饮料（啤酒除外）;果酒（含酒精）;蒸馏饮料;烧酒;葡萄酒;⾷⽤酒精;⽩酒</t>
  </si>
  <si>
    <t>路易法拉圣堡</t>
  </si>
  <si>
    <t>上海诺霖进出口贸易有限公司</t>
  </si>
  <si>
    <t>果酒（含酒精）;由⾕物蒸馏的⽩酒;⽩酒;⻩酒;清酒;葡萄酒;⾼粱酒;⽶酒;甜酒;⾕物制蒸馏酒精饮料</t>
  </si>
  <si>
    <t>聚爱惠众</t>
  </si>
  <si>
    <t>花垣聚爱惠众商贸有限公司</t>
  </si>
  <si>
    <t>果酒（含酒精）;葡萄酒;酒精饮料（啤酒除外）;⽩酒;⽩兰地;烧酒;⽶酒;利⼝酒;⻩酒;烈酒（饮料）</t>
  </si>
  <si>
    <t>花间隐</t>
  </si>
  <si>
    <t>游小强</t>
  </si>
  <si>
    <t>葡萄酒;⽩酒;烈酒;清酒（⽇本⽶酒）;果酒（含酒精）;汽酒;⽶酒;威⼠忌;酒精饮料（啤酒除外）;蒸馏饮料</t>
  </si>
  <si>
    <t>龙储生肖酒</t>
  </si>
  <si>
    <t>成都创基商贸有限公司</t>
  </si>
  <si>
    <t>酒精饮料原汁;⽩⼲酒（中国⽩酒）;烧酒;烈酒（饮料）;⽼酒（中国蒸馏烈酒）;⽩酒;烈酒;葡萄酒;含⽔果酒精饮料;汽酒</t>
  </si>
  <si>
    <t>黔王顺</t>
  </si>
  <si>
    <t>威富士</t>
  </si>
  <si>
    <t>林志成</t>
  </si>
  <si>
    <t>蒸馏⽶酒（泡盛酒）;混合威⼠忌酒;⻩酒;⽶酒;⾼粱酒;由⾕物蒸馏的⽩酒;清酒;⽔果汽酒;⽩酒;果酒</t>
  </si>
  <si>
    <t>科菲金格</t>
  </si>
  <si>
    <t>李顺友</t>
  </si>
  <si>
    <t>葡萄酒;蒸馏饮料;威⼠忌;⽩酒;果酒（含酒精）;酒精饮料原汁;酒精饮料（啤酒除外）;烈酒（饮料）;汽酒;鸡尾酒</t>
  </si>
  <si>
    <t>七梁竹</t>
  </si>
  <si>
    <t>广安篆水洞藏酒业有限责任公司</t>
  </si>
  <si>
    <t>果酒（含酒精）;烧酒;开胃酒;⽶酒;⻩酒;⽩酒;烈酒;葡萄酒;蒸馏饮料;含酒精的⽔果鸡尾酒饮料</t>
  </si>
  <si>
    <t>仙教授</t>
  </si>
  <si>
    <t>北京智老科技有限公司</t>
  </si>
  <si>
    <t>⻩酒;⽶酒;⾷⽤酒精;⽩酒;威⼠忌;酒精饮料（啤酒除外）;葡萄酒;⽩兰地;烈酒（饮料）;鸡尾酒</t>
  </si>
  <si>
    <t>百脉泉泉城印象</t>
  </si>
  <si>
    <t>果酒（含酒精）;开胃酒;汽酒;苹果酒;⽶酒;⻩酒;酸酒（低等葡萄酒）;⽩酒;葡萄酒;酒精饮料（啤酒除外）</t>
  </si>
  <si>
    <t>俊刚</t>
  </si>
  <si>
    <t>徐政刚</t>
  </si>
  <si>
    <t>果酒;⽶酒;烈酒（饮料）;⻩酒;葡萄酒;威⼠忌;⽩酒;⽩兰地;酒精饮料（啤酒除外）;烧酒</t>
  </si>
  <si>
    <t>康道一三</t>
  </si>
  <si>
    <t>湖南康道一三健康科技有限责任公司</t>
  </si>
  <si>
    <t>⻩酒;果酒（含酒精）;酒精饮料原汁;⽶酒;烈酒（饮料）;蒸煮提取物（利⼝酒和烈酒）;葡萄酒;⽩酒;蒸馏饮料;烧酒</t>
  </si>
  <si>
    <t>汝敏堂</t>
  </si>
  <si>
    <t>许钧皓</t>
  </si>
  <si>
    <t>⽶酒;葡萄酒;鸡尾酒;清酒（⽇本⽶酒）;酒精饮料（啤酒除外）;烈酒（饮料）;酒精饮料原汁;⾕物制蒸馏酒精饮料;威⼠忌;伏特加酒</t>
  </si>
  <si>
    <t>鹿沟棱</t>
  </si>
  <si>
    <t>於嘉杰</t>
  </si>
  <si>
    <t>⽩酒;烈酒（饮料）;果酒（含酒精）;蒸馏饮料;鸡尾酒;清酒;威⼠忌;酒精饮料原汁;烧酒;含⽔果酒精饮料</t>
  </si>
  <si>
    <t>WASTESTREET</t>
  </si>
  <si>
    <t>王敏镐</t>
  </si>
  <si>
    <t>预先混合的酒精饮料（以啤酒为主的除外）;葡萄酒;威⼠忌;酒精饮料原汁;朗姆酒;含⽔果酒精饮料;⽶酒;⽩兰地;果酒（含酒精）;伏特加酒</t>
  </si>
  <si>
    <t>YJR</t>
  </si>
  <si>
    <t>山东英吉尔健康科技有限公司</t>
  </si>
  <si>
    <t>⽩酒;含⽔果酒精饮料;烧酒;葡萄酒;⾷⽤酒精;杜松⼦酒;烈酒（饮料）;⽩兰地;⽶酒;果酒（含酒精）</t>
  </si>
  <si>
    <t>端柔</t>
  </si>
  <si>
    <t>开胃酒;⽶酒;烈酒（饮料）;葡萄酒;果酒;烧酒;威⼠忌;⻩酒;鸡尾酒;⽩酒</t>
  </si>
  <si>
    <t>画境竹韵</t>
  </si>
  <si>
    <t>烧酒;清酒（⽇本⽶酒）;开胃酒;汽酒;⽩酒;葡萄酒;烈酒（饮料）;果酒（含酒精）;酒精饮料原汁;⻩酒</t>
  </si>
  <si>
    <t>玉在其人</t>
  </si>
  <si>
    <t>烧酒;酒精饮料（啤酒除外）;烈酒（饮料）;蒸馏饮料;⻩酒;蜂蜜酒;餐后酒（利⼝酒和烈酒）;果酒（含酒精）;⽩酒;汽酒</t>
  </si>
  <si>
    <t>重三感旧</t>
  </si>
  <si>
    <t>酒精饮料（啤酒除外）;果酒（含酒精）;蒸馏饮料;鸡尾酒;烈酒（饮料）;烧酒;汽酒;葡萄酒;苹果酒;⽩酒</t>
  </si>
  <si>
    <t>旧日老友</t>
  </si>
  <si>
    <t>⽩酒;烈酒;清酒（⽇本⽶酒）;⽶酒;果酒（含酒精）;葡萄酒;酒精饮料（啤酒除外）;蒸馏饮料;汽酒;威⼠忌</t>
  </si>
  <si>
    <t>LIBRIDS</t>
  </si>
  <si>
    <t>诺初绿能（深圳）科技有限公司</t>
  </si>
  <si>
    <t>清酒;蒸馏饮料;开胃酒;葡萄酒;⽩酒;含⽔果酒精饮料;果酒;⽶酒;⻩酒;烈酒</t>
  </si>
  <si>
    <t>丹池</t>
  </si>
  <si>
    <t>北京丹池文化传媒有限公司</t>
  </si>
  <si>
    <t>果酒（含酒精）;⽩兰地;蒸馏饮料;⻩酒;⾷⽤酒精;葡萄酒;酒精饮料（啤酒除外）;汽酒;⽩酒;清酒（⽇本⽶酒）</t>
  </si>
  <si>
    <t>元产谛</t>
  </si>
  <si>
    <t>内蒙古元产谛商贸有限公司</t>
  </si>
  <si>
    <t>威⼠忌;⽩酒;由⾕物蒸馏的⽩酒;⻩酒;烧酒;葡萄酒;⽩兰地;⽩葡萄酒;⽶酒;果酒（含酒精）</t>
  </si>
  <si>
    <t>山西晋鑫晋利经贸有限公司</t>
  </si>
  <si>
    <t>葡萄酒;⽩⼲酒（中国⽩酒）;酒精饮料浓缩汁;果酒（含酒精）;⽩酒;餐后酒（利⼝酒和烈酒）;酒精饮料原汁;⽶酒;⾷⽤酒精;酒精饮料（啤酒除外）</t>
  </si>
  <si>
    <t>沃野黑龙名品</t>
  </si>
  <si>
    <t>北大荒集团黑龙江名山农场有限公司</t>
  </si>
  <si>
    <t>烧酒;汽酒;葡萄酒;果酒;⾷⽤酒精;⽶酒;含⽔果酒精饮料;⽼酒（中国蒸馏烈酒）;⽩酒;酒精饮料原汁</t>
  </si>
  <si>
    <t>阳三醉</t>
  </si>
  <si>
    <t>胡胜</t>
  </si>
  <si>
    <t>⽩酒;⻩酒;烧酒;⽶酒</t>
  </si>
  <si>
    <t>葡萄酒;⽩酒;餐后酒（利⼝酒和烈酒）;烈酒;烧酒;⽼酒（中国蒸馏烈酒）;烧酒（烈酒）;⽶酒;利⼝酒;⾼粱酒</t>
  </si>
  <si>
    <t>衡召烧坊</t>
  </si>
  <si>
    <t>盛卿峪</t>
  </si>
  <si>
    <t>朗姆酒;果酒（含酒精）;⽩酒;葡萄酒;⻩酒;⾷⽤酒精;烈酒（饮料）;⽩兰地;清酒;威⼠忌</t>
  </si>
  <si>
    <t>千樽渡</t>
  </si>
  <si>
    <t>刘会桃</t>
  </si>
  <si>
    <t>⾷⽤酒精;⻘稞酒;含⽔果酒精饮料;⻩酒;烧酒;⽩酒;烈酒（饮料）;⽶酒;威⼠忌;果酒（含酒精）</t>
  </si>
  <si>
    <t>EARLYSUN</t>
  </si>
  <si>
    <t>爱尔生基因医学科技有限公司</t>
  </si>
  <si>
    <t>酒精饮料（啤酒除外）;含⽔果酒精饮料;⽩酒;开胃酒;薄荷酒;葡萄酒;威⼠忌;⻩酒;果酒（含酒精）;蒸馏饮料</t>
  </si>
  <si>
    <t>马鞍文氏</t>
  </si>
  <si>
    <t>文政</t>
  </si>
  <si>
    <t>⾼粱酒;烧酒;⽩⼲酒（中国⽩酒）;⽼酒（中国蒸馏烈酒）;⽶酒;由⾕物蒸馏的⽩酒;⻘稞酒;果酒（含酒精）;⾕物制蒸馏酒精饮料;⽩酒</t>
  </si>
  <si>
    <t>汝恁愿</t>
  </si>
  <si>
    <t>张雪莉</t>
  </si>
  <si>
    <t>⽶酒;⽩酒;⾼粱酒;酒精饮料（啤酒除外）;果酒;清酒;葡萄酒;烧酒;⻩酒;蒸煮提取物（利⼝酒和烈酒）</t>
  </si>
  <si>
    <t>庆帮帮</t>
  </si>
  <si>
    <t>宏誉文化（深圳）有限公司</t>
  </si>
  <si>
    <t>果酒（含酒精）;蒸馏饮料;餐后酒（利⼝酒和烈酒）;烈酒（饮料）;⽩酒;⾷⽤酒精;苦味酒;葡萄酒;酒精饮料（啤酒除外）;⽶酒</t>
  </si>
  <si>
    <t>新晟㵘</t>
  </si>
  <si>
    <t>刘铁刚</t>
  </si>
  <si>
    <t>⽩酒;烧酒;酒精饮料（啤酒除外）;果酒;⽶酒;⻩酒;葡萄酒;⾷⽤酒精;⾕物制蒸馏酒精饮料;汽酒</t>
  </si>
  <si>
    <t>无冕正脉</t>
  </si>
  <si>
    <t>上海叁拾汇贸易有限公司</t>
  </si>
  <si>
    <t>葡萄酒;鸡尾酒;酒精饮料（啤酒除外）;⻩酒;⽩酒;果酒（含酒精）;⽶酒;⻘稞酒;烈酒（饮料）;烧酒</t>
  </si>
  <si>
    <t>风云未来</t>
  </si>
  <si>
    <t>信阳羊山新区豪天水业店</t>
  </si>
  <si>
    <t>酒精饮料（啤酒除外）;果酒（含酒精）;蒸馏饮料;苹果酒;⾷⽤酒精;⽩酒;烈酒（饮料）;⽶酒;⻩酒;⾕物制蒸馏酒精饮料</t>
  </si>
  <si>
    <t>盛兴醉洮州</t>
  </si>
  <si>
    <t>甘南醉洮州酒业酿造有限责任公司</t>
  </si>
  <si>
    <t>⻘稞酒;⽩酒;果酒;梨酒;⽩⼲酒（中国⽩酒）;酒精饮料（啤酒除外）;烧酒;烈酒;清酒;烈性⼲酒</t>
  </si>
  <si>
    <t>峄品榴城</t>
  </si>
  <si>
    <t>孙延森</t>
  </si>
  <si>
    <t>⽩酒;蒸馏饮料;葡萄酒;酒精饮料（啤酒除外）;⾷⽤酒精;鸡尾酒;烈酒（饮料）;⽶酒;⻩酒;果酒（含酒精）</t>
  </si>
  <si>
    <t>聃香坛</t>
  </si>
  <si>
    <t>薄荷酒;果酒（含酒精）;⻘稞酒;果酒;含酒精⽔果饮料;含酒精的⽓泡⽔;⽶酒;⽩酒;⻩酒;以葡萄酒为主的饮料</t>
  </si>
  <si>
    <t>也小鹿</t>
  </si>
  <si>
    <t>浙江久加久科技股份有限公司</t>
  </si>
  <si>
    <t>酒精饮料原汁;烧酒;⽶酒;蒸馏饮料;⽩酒;⻩酒;葡萄酒;酒精饮料（啤酒除外）;清酒（⽇本⽶酒）;果酒（含酒精）</t>
  </si>
  <si>
    <t>稻迪府</t>
  </si>
  <si>
    <t>四川蓉城岐黄医药科技有限公司</t>
  </si>
  <si>
    <t>酒精饮料（啤酒除外）;蜂蜜酒;含⽔果酒精饮料;⽶酒;⾕物制蒸馏酒精饮料;果酒（含酒精）;蒸馏饮料;烈酒（饮料）;葡萄酒;⽩酒</t>
  </si>
  <si>
    <t>解蔻司</t>
  </si>
  <si>
    <t>陈发良</t>
  </si>
  <si>
    <t>⾕物制蒸馏酒精饮料;甜果酒;开胃酒;甜酒;⻩酒;葡萄酒;梅酒;⽇式甜⽶酒;清酒（⽇本⽶酒）;果酒（含酒精）</t>
  </si>
  <si>
    <t>鸾音</t>
  </si>
  <si>
    <t>⽩酒;烈酒（饮料）;清酒（⽇本⽶酒）;酒精饮料（啤酒除外）;⽶酒;汽酒;果酒（含酒精）;⾷⽤酒精;蒸馏饮料;葡萄酒</t>
  </si>
  <si>
    <t>联狮</t>
  </si>
  <si>
    <t>黄进中</t>
  </si>
  <si>
    <t>蒸煮提取物（利⼝酒和烈酒）;⻘稞酒;含酒精⽔果饮料;⽩酒;葡萄酒;烧酒;果酒（含酒精）;⾼粱酒;酒精饮料（啤酒除外）;⽼酒（中国蒸馏烈酒）</t>
  </si>
  <si>
    <t>谷父</t>
  </si>
  <si>
    <t>⻩酒;威⼠忌;果酒（含酒精）;⽩兰地;⾷⽤酒精;⽩酒;葡萄酒;伏特加酒;烈酒（饮料）;朗姆酒</t>
  </si>
  <si>
    <t>万龙喜</t>
  </si>
  <si>
    <t>⽩酒;开胃酒;酒精饮料（啤酒除外）;⻩酒;葡萄酒;果酒（含酒精）;烈酒;威⼠忌;鸡尾酒;清酒（⽇本⽶酒）</t>
  </si>
  <si>
    <t>顽皮同学</t>
  </si>
  <si>
    <t>崔广正</t>
  </si>
  <si>
    <t>果酒（含酒精）;葡萄酒;⽶酒;⻩酒;⾷⽤酒精;酒精饮料（啤酒除外）;烧酒;烈酒（饮料）;⽩酒;鸡尾酒</t>
  </si>
  <si>
    <t>珞壹正</t>
  </si>
  <si>
    <t>郑州珞正数字科技有限公司</t>
  </si>
  <si>
    <t>酒精饮料（啤酒除外）;⻩酒;烈酒;葡萄酒;⾷⽤酒精;果酒（含酒精）;已调味的蒸馏酒;⽶酒;⾕物制蒸馏酒精饮料;⽩酒</t>
  </si>
  <si>
    <t>将泉古</t>
  </si>
  <si>
    <t>漳州烽炜投资有限公司</t>
  </si>
  <si>
    <t>⽩酒;⽼酒（中国蒸馏烈酒）;烈酒;威⼠忌;⽩兰地;烧酒（烈酒）;果酒（含酒精）;⽶酒;五加⽪酒（中国混合烈酒）;葡萄酒</t>
  </si>
  <si>
    <t>聃礼坛</t>
  </si>
  <si>
    <t>⻩酒;薄荷酒;⻘稞酒;以葡萄酒为主的饮料;果酒（含酒精）;含酒精⽔果饮料;⽶酒;⽩酒;果酒;含酒精的⽓泡⽔</t>
  </si>
  <si>
    <t>醉启</t>
  </si>
  <si>
    <t>开胃酒;烧酒;⾕物制蒸馏酒精饮料;果酒（含酒精）;⻩酒;⽶酒;清酒;⽩酒;烈酒（饮料）;葡萄酒</t>
  </si>
  <si>
    <t>望九川</t>
  </si>
  <si>
    <t>方东阳</t>
  </si>
  <si>
    <t>果酒（含酒精）;威⼠忌;清酒（⽇本⽶酒）;⻩酒;⽩酒;开胃酒;鸡尾酒;葡萄酒;烈酒;酒精饮料（啤酒除外）</t>
  </si>
  <si>
    <t>悟生有</t>
  </si>
  <si>
    <t>深圳市美固印刷包装制品有限公司</t>
  </si>
  <si>
    <t>⽶酒;⽩酒;果酒（含酒精）;汽酒;含⽔果酒精饮料;⾕物制蒸馏酒精饮料;葡萄酒;鸡尾酒;⽼酒（中国蒸馏烈酒）;⻩酒</t>
  </si>
  <si>
    <t>綦味深长</t>
  </si>
  <si>
    <t>重庆玉琼饮酒业有限公司</t>
  </si>
  <si>
    <t>苹果酒;樱桃酒;⽶酒;⽩酒;梨酒;葡萄酒;⻩酒;果酒（含酒精）;蜂蜜酒;烧酒</t>
  </si>
  <si>
    <t>酒精饮料（啤酒除外）;⽼酒（中国蒸馏烈酒）;葡萄酒;⽶酒;烈酒;⽩酒;果酒;⻩酒;清酒;烧酒</t>
  </si>
  <si>
    <t>盛苌粮老作坊</t>
  </si>
  <si>
    <t>盛苌粮（南通）贸易有限公司</t>
  </si>
  <si>
    <t>⽩酒;清酒;威⼠忌;酒精饮料原汁;⽶酒;烧酒;甜酒;果酒（含酒精）;葡萄酒;⻩酒</t>
  </si>
  <si>
    <t>傅山青渚酒</t>
  </si>
  <si>
    <t>太原酒厂有限责任公司</t>
  </si>
  <si>
    <t>葡萄酒;利⼝酒;烧酒;果酒（含酒精）;⽼酒（中国蒸馏烈酒）;酒精饮料原汁;开胃酒;⻩酒;清酒;⽩酒</t>
  </si>
  <si>
    <t>保丰仰笑泉</t>
  </si>
  <si>
    <t>湖北保丰食品有限公司</t>
  </si>
  <si>
    <t>鸡尾酒;葡萄酒;⽩兰地;酒精饮料（啤酒除外）;伏特加酒;烧酒;果酒（含酒精）;⽩酒;⽶酒;威⼠忌</t>
  </si>
  <si>
    <t>稳斗</t>
  </si>
  <si>
    <t>杨琪林</t>
  </si>
  <si>
    <t>烈酒;米酒;果酒（含酒精）;鸡尾酒;烧酒;黄酒;葡萄酒;清酒（日本米酒）;白酒;酒精饮料（啤酒除外）</t>
  </si>
  <si>
    <t>清照青</t>
  </si>
  <si>
    <t>开胃酒;白酒;苹果酒;汽酒;黄酒;酸酒（低等葡萄酒）;酒精饮料（啤酒除外）;果酒（含酒精）;米酒;葡萄酒</t>
  </si>
  <si>
    <t>爱尔生</t>
  </si>
  <si>
    <t>开胃酒;蒸馏饮料;⻩酒;含⽔果酒精饮料;威⼠忌;酒精饮料（啤酒除外）;果酒（含酒精）;薄荷酒;葡萄酒;⽩酒</t>
  </si>
  <si>
    <t>浆泰赋</t>
  </si>
  <si>
    <t>张荷</t>
  </si>
  <si>
    <t>清酒;威⼠忌;烈酒（饮料）;酒精饮料原汁;果酒（含酒精）;蒸馏饮料;含⽔果酒精饮料;烧酒;⽩酒;鸡尾酒</t>
  </si>
  <si>
    <t>万龙湖</t>
  </si>
  <si>
    <t>清酒（⽇本⽶酒）;酒精饮料（啤酒除外）;开胃酒;鸡尾酒;果酒（含酒精）;⽩酒;威⼠忌;烈酒;葡萄酒;⻩酒</t>
  </si>
  <si>
    <t>楻花犁</t>
  </si>
  <si>
    <t>海南璜花梨科技有限公司</t>
  </si>
  <si>
    <t>烈酒（饮料）;⽶酒;威⼠忌;葡萄酒;⻩酒;酒精饮料（啤酒除外）;烧酒;⽩酒;果酒（含酒精）;鸡尾酒</t>
  </si>
  <si>
    <t>鲁翁</t>
  </si>
  <si>
    <t>⽩酒;葡萄酒;⽶酒;果酒（含酒精）;⻩酒;酸酒（低等葡萄酒）;汽酒;开胃酒;酒精饮料（啤酒除外）;苹果酒</t>
  </si>
  <si>
    <t>仙融昌</t>
  </si>
  <si>
    <t>杨永锋</t>
  </si>
  <si>
    <t>清酒;鸡尾酒;⽩酒;威⼠忌;含⽔果酒精饮料;烧酒;烈酒（饮料）;果酒（含酒精）;酒精饮料原汁;蒸馏饮料</t>
  </si>
  <si>
    <t>睿视米卢</t>
  </si>
  <si>
    <t>河南省米卢新材料科技有限公司</t>
  </si>
  <si>
    <t>葡萄酒;威⼠忌;⻩酒;酒精饮料（啤酒除外）;⽶酒;果酒（含酒精）;⽼酒（中国蒸馏烈酒）;⽩酒;烧酒;烈酒（饮料）</t>
  </si>
  <si>
    <t>万班红</t>
  </si>
  <si>
    <t>胡焕龙</t>
  </si>
  <si>
    <t>含⽔果酒精饮料;⻘稞酒;⻩酒;葡萄酒;果酒（含酒精）;梨酒;⽩酒;烈酒（饮料）;蜂蜜酒;⽶酒</t>
  </si>
  <si>
    <t>轶境家园</t>
  </si>
  <si>
    <t>贵阳一轶科技有限公司</t>
  </si>
  <si>
    <t>薄荷酒;鸡尾酒;蜂蜜酒;酒精饮料原汁;含酒精的⽓泡⽔;酒精饮料浓缩汁;含⽔果酒精饮料;苹果酒;梨酒;葡萄酒</t>
  </si>
  <si>
    <t>依客欣</t>
  </si>
  <si>
    <t>河南香之缘食品科技有限公司</t>
  </si>
  <si>
    <t>烈酒（饮料）;⽶酒;果酒（含酒精）;朗姆酒;清酒（⽇本⽶酒）;⽩兰地;烧酒;⽩酒;葡萄酒;开胃酒</t>
  </si>
  <si>
    <t>百吉千幸</t>
  </si>
  <si>
    <t>随州市曾都区乡途旅游开发有限公司</t>
  </si>
  <si>
    <t>鸡尾酒;⽩酒;利⼝酒;朗姆酒;预先混合的酒精饮料（以啤酒为主的除外）;⾷⽤酒精;杜松⼦酒;含⽔果酒精饮料;果酒（含酒精）;烈酒（饮料）;威⼠忌;伏特加酒;烧酒;⽩兰地;⻩酒;开胃酒;酒精饮料（啤酒除外）;⽶酒;以葡萄酒为主的饮料;葡萄酒</t>
  </si>
  <si>
    <t>清照 词</t>
  </si>
  <si>
    <t>苹果酒;葡萄酒;⽶酒;⻩酒;汽酒;开胃酒;果酒（含酒精）;酸酒（低等葡萄酒）;酒精饮料（啤酒除外）;⽩酒</t>
  </si>
  <si>
    <t>星辰摘星</t>
  </si>
  <si>
    <t>贵州星辰摘星酒业有限公司</t>
  </si>
  <si>
    <t>酒精饮料（啤酒除外）;⽶酒;⽩酒;由⾕物蒸馏的⽩酒;⾼粱酒;葡萄酒;烧酒;⻩酒;果酒;烈酒</t>
  </si>
  <si>
    <t>蓝华玉液</t>
  </si>
  <si>
    <t>蒸馏饮料;酒精饮料（啤酒除外）;⽩酒;⽶酒;烧酒;⻩酒;葡萄酒;果酒（含酒精）;烈酒（饮料）;⾕物制蒸馏酒精饮料</t>
  </si>
  <si>
    <t>延景佳</t>
  </si>
  <si>
    <t>延边味肉餐饮管理有限公司</t>
  </si>
  <si>
    <t>以葡萄酒为主的饮料;含⽔果酒精饮料;草莓酒;酒精饮料原汁;⽶酒;⽩兰地;果酒（含酒精）;⻩酒;⽇式甜⽶酒;朝鲜烧酒</t>
  </si>
  <si>
    <t>溪余春</t>
  </si>
  <si>
    <t>肖磊</t>
  </si>
  <si>
    <t>蒸馏饮料;⽩酒;威⼠忌;鸡尾酒;烧酒;酒精饮料原汁;含⽔果酒精饮料;清酒;果酒（含酒精）;烈酒（饮料）</t>
  </si>
  <si>
    <t>千川京瓷</t>
  </si>
  <si>
    <t>含酒精的饮料（啤酒除外）;烈酒（饮料）;⽩酒;⽩兰地;⽼酒（中国蒸馏烈酒）;由⾕物蒸馏的⽩酒;葡萄酒;五加⽪酒（中国混合烈酒）;含酒精的鸡尾酒混合饮品;烧酒（烈酒）</t>
  </si>
  <si>
    <t>寻味莫干</t>
  </si>
  <si>
    <t>浙江德清莫干山酒业有限公司</t>
  </si>
  <si>
    <t>蒸馏饮料;⾷⽤酒精;烧酒;酒精饮料（啤酒除外）;烈酒（饮料）;⽩酒;清酒;⻩酒;含⽔果酒精饮料;葡萄酒</t>
  </si>
  <si>
    <t>圣唐金水坊</t>
  </si>
  <si>
    <t>山东圣唐酒业有限公司</t>
  </si>
  <si>
    <t>鸡尾酒;⽩兰地;伏特加酒;果酒（含酒精）;⻩酒;酒精饮料（啤酒除外）;葡萄酒;烧酒;⽩酒;⽶酒</t>
  </si>
  <si>
    <t>盛势九紫运</t>
  </si>
  <si>
    <t>徐振华</t>
  </si>
  <si>
    <t>果酒（含酒精）;烈酒（饮料）;葡萄酒;含⽔果酒精饮料;⽶酒;酒精饮料（啤酒除外）;蒸馏饮料;酒精饮料浓缩汁;烧酒;⽩酒</t>
  </si>
  <si>
    <t>旗稷</t>
  </si>
  <si>
    <t>张尚邦</t>
  </si>
  <si>
    <t>⻘梅酒;苦荞酒;杨梅酒;⽶酒;果酒（含酒精）;葡萄酒;⾼粱酒;烧酒;⻘稞酒;⽩酒</t>
  </si>
  <si>
    <t>滩底</t>
  </si>
  <si>
    <t>武杰</t>
  </si>
  <si>
    <t>开胃酒;鸡尾酒;⽩兰地;清酒;⽩酒;含⽔果酒精饮料;威⼠忌;⽶酒;葡萄酒;伏特加酒</t>
  </si>
  <si>
    <t>尊祥仁</t>
  </si>
  <si>
    <t>贵州省仁怀市黔武台酒业有限公司</t>
  </si>
  <si>
    <t>已调味的蒸馏酒;以葡萄酒为主的饮料;果酒;开胃酒;苦荞酒;含酒精的⽔果鸡尾酒饮料;预先混合的酒精饮料（以啤酒为主的除外）;⼲型苹果酒;以蒸馏酒为主的开胃酒;鸡尾酒</t>
  </si>
  <si>
    <t>茗果颜月</t>
  </si>
  <si>
    <t>吴秀平</t>
  </si>
  <si>
    <t>果酒（含酒精）;预先混合的酒精饮料（以啤酒为主的除外）;餐后酒（利⼝酒和烈酒）;⾷⽤酒精;含⽔果酒精饮料;以葡萄酒为主的饮料;⽩酒;⾕物制蒸馏酒精饮料;⽶酒;酒精饮料浓缩汁</t>
  </si>
  <si>
    <t>沙县后生仔</t>
  </si>
  <si>
    <t>杭州众能餐饮管理有限公司</t>
  </si>
  <si>
    <t>葡萄酒;伏特加酒;⽩酒;烈酒（饮料）;酒精饮料（啤酒除外）;清酒（⽇本⽶酒）;鸡尾酒;酒精饮料原汁;威⼠忌;⽶酒</t>
  </si>
  <si>
    <t>雳锐</t>
  </si>
  <si>
    <t>果酒;⽶酒;⻩酒;⽩酒;含⽔果酒精饮料;烈酒;开胃酒;葡萄酒;清酒;蒸馏饮料</t>
  </si>
  <si>
    <t>LA PRUINA</t>
  </si>
  <si>
    <t>普雷慕拉葡萄酒有限责任公司</t>
  </si>
  <si>
    <t>葡萄酒;⽩兰地;阿夸维特酒</t>
  </si>
  <si>
    <t>葛家水底窖藏</t>
  </si>
  <si>
    <t>王玲丽</t>
  </si>
  <si>
    <t>果酒（含酒精）;酒精饮料浓缩汁;含⽔果酒精饮料;⽶酒;葡萄酒;汽酒;开胃酒;烧酒;⾷⽤酒精;酒精饮料（啤酒除外）</t>
  </si>
  <si>
    <t>乾隆雅欢</t>
  </si>
  <si>
    <t>苹果酒;樱桃酒;果酒（含酒精）;⻩酒;⽶酒;葡萄酒;蜂蜜酒;⽩酒;梨酒;鸡尾酒</t>
  </si>
  <si>
    <t>匠大王</t>
  </si>
  <si>
    <t>宜宾成邦环保新材料有限公司</t>
  </si>
  <si>
    <t>蒸馏饮料;⽶酒;烧酒;⽩酒;⾷⽤酒精;葡萄酒;开胃酒;烈酒（饮料）;酒精饮料原汁;由⾕物蒸馏的⽩酒</t>
  </si>
  <si>
    <t>琮韵钱塘</t>
  </si>
  <si>
    <t>浙江朗柯生物工程有限公司</t>
  </si>
  <si>
    <t>烈酒（饮料）;⾷⽤酒精;⽶酒;酒精饮料（啤酒除外）;含⽔果酒精饮料;⻩酒;⽩酒;果酒（含酒精）;葡萄酒;烧酒</t>
  </si>
  <si>
    <t>熊沅</t>
  </si>
  <si>
    <t>张飞</t>
  </si>
  <si>
    <t>露酒;餐后酒（利⼝酒和烈酒）;蒸馏饮料;⾕物制蒸馏酒精饮料;烈酒（饮料）;苦荞酒;⽶酒;果酒（含酒精）;葡萄酒;⽩酒</t>
  </si>
  <si>
    <t>粱高祖</t>
  </si>
  <si>
    <t>王荣</t>
  </si>
  <si>
    <t>⽩酒;⾼粱酒;利⼝酒;伏特加酒;⽶酒;梅酒;露酒;威⼠忌;由⾕物蒸馏的⽩酒;烧酒</t>
  </si>
  <si>
    <t>青云玉禄</t>
  </si>
  <si>
    <t>福州巨石网络科技有限公司</t>
  </si>
  <si>
    <t>⻩酒;⽶酒;烧酒;⽩酒;威⼠忌;葡萄酒;清酒;⾼粱酒;伏特加酒;果酒（含酒精）</t>
  </si>
  <si>
    <t>珍夕</t>
  </si>
  <si>
    <t>⽩酒;清酒（⽇本⽶酒）;葡萄酒;⽩⼲酒（中国⽩酒）;⽶酒;烧酒;含⽔果酒精饮料;烈酒;烈酒（饮料）;⾼粱酒</t>
  </si>
  <si>
    <t>林宗师</t>
  </si>
  <si>
    <t>贵州省仁怀市茂达酒业有限公司</t>
  </si>
  <si>
    <t>⽼酒（中国蒸馏烈酒）;鸡尾酒;酒精饮料（啤酒除外）;⾼粱酒;果酒（含酒精）;葡萄酒;利⼝酒;⽶酒;⽩酒;烧酒（烈酒）</t>
  </si>
  <si>
    <t>道之宝</t>
  </si>
  <si>
    <t>北京百宝堂科技信息有限公司</t>
  </si>
  <si>
    <t>果酒（含酒精）;伏特加酒;清酒;⾷⽤酒精;⽶酒;⻩酒;⽩酒;果酒;酒精饮料原汁;威⼠忌</t>
  </si>
  <si>
    <t>晋泊泉</t>
  </si>
  <si>
    <t>吕梁天凯农牧科技服务有限公司</t>
  </si>
  <si>
    <t>含酒精的饮料（啤酒除外）;鸡尾酒;⽩酒;⽶酒;⾼粱酒;威⼠忌;⽩⼲酒（中国⽩酒）;果酒;⻩酒;葡萄酒</t>
  </si>
  <si>
    <t>尧鑫烁</t>
  </si>
  <si>
    <t>鲁山县鑫瑞农业有限公司</t>
  </si>
  <si>
    <t>苹果酒;酒精饮料原汁;含⽔果酒精饮料;果酒;梨酒;酒精饮料浓缩汁;⽔果汽酒;甜果酒;果酒（含酒精）;蜂蜜酒</t>
  </si>
  <si>
    <t>笑稻</t>
  </si>
  <si>
    <t>林杰</t>
  </si>
  <si>
    <t>烧酒;⾷⽤酒精;葡萄酒;⽩酒;⻩酒;烈酒;⾼粱酒;⽶酒;果酒（含酒精）;清酒</t>
  </si>
  <si>
    <t>清照故里</t>
  </si>
  <si>
    <t>⽶酒;汽酒;果酒（含酒精）;开胃酒;⽩酒;酸酒（低等葡萄酒）;酒精饮料（啤酒除外）;⻩酒;苹果酒;葡萄酒</t>
  </si>
  <si>
    <t>清照天赐</t>
  </si>
  <si>
    <t>⽩酒;开胃酒;苹果酒;酸酒（低等葡萄酒）;⻩酒;果酒（含酒精）;酒精饮料（啤酒除外）;汽酒;葡萄酒;⽶酒</t>
  </si>
  <si>
    <t>清照词韵</t>
  </si>
  <si>
    <t>⽩酒;苹果酒;开胃酒;酒精饮料（啤酒除外）;⻩酒;酸酒（低等葡萄酒）;汽酒;葡萄酒;⽶酒;果酒（含酒精）</t>
  </si>
  <si>
    <t>黄山锦绣</t>
  </si>
  <si>
    <t>⽶酒;果酒（含酒精）;苹果酒;蒸馏饮料;⾕物制蒸馏酒精饮料;餐后酒（利⼝酒和烈酒）;烈酒（饮料）;⽩酒;葡萄酒;露酒</t>
  </si>
  <si>
    <t>银坛龙</t>
  </si>
  <si>
    <t>蒸馏饮料;⽩酒;葡萄酒;餐后酒（利⼝酒和烈酒）;⽶酒;⾕物制蒸馏酒精饮料;露酒;果酒（含酒精）;烈酒（饮料）;苹果酒</t>
  </si>
  <si>
    <t>衡昌典藏</t>
  </si>
  <si>
    <t>⽩酒;开胃酒;⾼粱酒;由⾕物蒸馏的⽩酒;烧酒;⽩⼲酒（中国⽩酒）;蒸煮提取物（利⼝酒和烈酒）;⻩酒;⻘稞酒;五加⽪酒（中国混合烈酒）</t>
  </si>
  <si>
    <t>鑫之焕</t>
  </si>
  <si>
    <t>葡萄酒;威⼠忌;⾕物制蒸馏酒精饮料;⽩酒;烈酒（饮料）;鸡尾酒;苹果酒;利⼝酒;薄荷酒;烧酒</t>
  </si>
  <si>
    <t>诗红纳</t>
  </si>
  <si>
    <t>吉林吉卡生物技术有限公司</t>
  </si>
  <si>
    <t>含酒精⽔果饮料;果酒;鸡尾酒;烈酒;梅酒;⻩酒;⽩酒;葡萄酒;⽩兰地;⽶酒</t>
  </si>
  <si>
    <t>正德丰</t>
  </si>
  <si>
    <t>亳州市正德酒业有限公司</t>
  </si>
  <si>
    <t>蒸馏饮料;葡萄酒;烈酒（饮料）;烧酒;果酒（含酒精）;⾷⽤酒精;清酒（⽇本⽶酒）;⻩酒;⽩酒;酒精饮料（啤酒除外）</t>
  </si>
  <si>
    <t>重三维新</t>
  </si>
  <si>
    <t>苹果酒;果酒（含酒精）;酒精饮料（啤酒除外）;烧酒;汽酒;蒸馏饮料;葡萄酒;烈酒（饮料）;⽩酒;鸡尾酒</t>
  </si>
  <si>
    <t>中晗</t>
  </si>
  <si>
    <t>周银</t>
  </si>
  <si>
    <t>⾼粱酒;甜酒;鸡尾酒;葡萄酒;蜂蜜酒;烧酒;烈酒;⽩酒;⽩⼲酒（中国⽩酒）;⽶酒</t>
  </si>
  <si>
    <t>竹王多同</t>
  </si>
  <si>
    <t>深圳真旺酒业有限公司</t>
  </si>
  <si>
    <t>利⼝酒;⽩酒;鸡尾酒;开胃酒;伏特加酒;餐后酒（利⼝酒和烈酒）;葡萄酒;果酒（含酒精）;亚⼒酒;威⼠忌</t>
  </si>
  <si>
    <t>渺恒</t>
  </si>
  <si>
    <t>葡萄酒;烧酒;⽩酒;蒸馏⽶酒（泡盛酒）;果酒（含酒精）;⽩⼲酒（中国⽩酒）;⽶酒;⻩酒;⾼粱酒;梅酒</t>
  </si>
  <si>
    <t>秦海蛟龙龙凤呈祥</t>
  </si>
  <si>
    <t>张磊</t>
  </si>
  <si>
    <t>⽩酒;⽩兰地;果酒（含酒精）;⽶酒;开胃酒;烈酒（饮料）;葡萄酒;烧酒;烈酒;清酒</t>
  </si>
  <si>
    <t>清照园藏</t>
  </si>
  <si>
    <t>⽩酒;果酒（含酒精）;苹果酒;葡萄酒;⻩酒;⽶酒;开胃酒;酸酒（低等葡萄酒）;汽酒;酒精饮料（啤酒除外）</t>
  </si>
  <si>
    <t>南厝边</t>
  </si>
  <si>
    <t>沈江涛</t>
  </si>
  <si>
    <t>⽩酒;⽶酒;果酒;含酒精的充⽓饮料（啤酒除外）;梅酒;甜酒;葡萄酒;除啤酒外的酒精饮料;⻩酒;清酒</t>
  </si>
  <si>
    <t>知君禧</t>
  </si>
  <si>
    <t>佛山同道信息科技有限公司</t>
  </si>
  <si>
    <t>⽶酒;⽩酒;清酒（⽇本⽶酒）;酒精饮料浓缩汁;⾷⽤酒精;含⽔果酒精饮料;烧酒;葡萄酒;酒精饮料（啤酒除外）;果酒（含酒精）</t>
  </si>
  <si>
    <t>方块女王</t>
  </si>
  <si>
    <t>孙淼鑫</t>
  </si>
  <si>
    <t>⻩酒;葡萄酒;果酒（含酒精）;⽶酒;开胃酒;鸡尾酒;⽩酒;烧酒;酒精饮料（啤酒除外）;烈酒（饮料）</t>
  </si>
  <si>
    <t>骋先</t>
  </si>
  <si>
    <t>⻩酒;烈酒（饮料）;⽩酒;鸡尾酒;葡萄酒;酒精饮料（啤酒除外）;⽶酒;烧酒（烈酒）;果酒（含酒精）;清酒（⽇本⽶酒）</t>
  </si>
  <si>
    <t>亲酌御</t>
  </si>
  <si>
    <t>于新子</t>
  </si>
  <si>
    <t>果酒（含酒精）;蒸馏饮料;⽩酒;烧酒;酒精饮料原汁;鸡尾酒;含⽔果酒精饮料;清酒;威⼠忌;烈酒（饮料）</t>
  </si>
  <si>
    <t>淘珠公</t>
  </si>
  <si>
    <t>重庆淘珠公商贸有限公司</t>
  </si>
  <si>
    <t>红葡萄酒;⽼酒（中国蒸馏烈酒）;⾼粱酒;果酒;甜酒;蒸馏⽶酒（泡盛酒）;⽩⼲酒（中国⽩酒）;烧酒;餐后酒（利⼝酒和烈酒）;含酒精的饮料（啤酒除外）</t>
  </si>
  <si>
    <t>PETIT FOX</t>
  </si>
  <si>
    <t>大城堡有限责任公司</t>
  </si>
  <si>
    <t>威⼠忌;烈酒（饮料）;酒精饮料（啤酒除外）;⽩兰地;⽩酒;鸡尾酒;含⽔果酒精饮料;苹果酒;葡萄酒;伏特加酒</t>
  </si>
  <si>
    <t>清照园酒桶酒</t>
  </si>
  <si>
    <t>葡萄酒;酒精饮料（啤酒除外）;⽩酒;开胃酒;⻩酒;汽酒;果酒（含酒精）;苹果酒;⽶酒;酸酒（低等葡萄酒）</t>
  </si>
  <si>
    <t>拳来了</t>
  </si>
  <si>
    <t>开胃酒;酒精饮料（啤酒除外）;汽酒;苹果酒;⻩酒;⽩酒;果酒（含酒精）;葡萄酒;⽶酒;酸酒（低等葡萄酒）</t>
  </si>
  <si>
    <t>千露池</t>
  </si>
  <si>
    <t>清酒（⽇本⽶酒）;威⼠忌;酒精饮料（啤酒除外）;鸡尾酒;葡萄酒;⽩酒;⻩酒;开胃酒;烈酒;果酒（含酒精）</t>
  </si>
  <si>
    <t>晋魂王</t>
  </si>
  <si>
    <t>赵生荣</t>
  </si>
  <si>
    <t>⽶酒;烈酒;苹果酒;⽩兰地;⽩酒;蒸馏饮料;果酒;葡萄酒;⻘稞酒;⻩酒</t>
  </si>
  <si>
    <t>北京道诚金汇文化传播有限公司</t>
  </si>
  <si>
    <t>烈酒（饮料）;⽶酒;果酒（含酒精）;蒸馏饮料;含酒精的饮料（啤酒除外）;⾼粱酒;⽼酒（中国蒸馏烈酒）;⽩⼲酒（中国⽩酒）;⻩酒;葡萄酒</t>
  </si>
  <si>
    <t>白嘉王尚</t>
  </si>
  <si>
    <t>酒精饮料原汁;酒精饮料浓缩汁;⽶酒;果酒（含酒精）;酒精饮料（啤酒除外）;⽩⼲酒（中国⽩酒）;⾷⽤酒精;餐后酒（利⼝酒和烈酒）;葡萄酒;⽩酒</t>
  </si>
  <si>
    <t>讯华</t>
  </si>
  <si>
    <t>湖北讯华科技股份有限公司</t>
  </si>
  <si>
    <t>薄荷酒;开胃酒;⻩酒;⾷⽤酒精;含⽔果酒精饮料;鸡尾酒;葡萄酒;⽩酒;烧酒;果酒（含酒精）</t>
  </si>
  <si>
    <t>清照御赐</t>
  </si>
  <si>
    <t>⽩酒;酒精饮料（啤酒除外）;⽶酒;开胃酒;酸酒（低等葡萄酒）;果酒（含酒精）;葡萄酒;⻩酒;苹果酒;汽酒</t>
  </si>
  <si>
    <t>牧鸣</t>
  </si>
  <si>
    <t>烈酒（饮料）;⽩酒;烧酒;果酒（含酒精）;⽶酒;⾷⽤酒精;威⼠忌;含⽔果酒精饮料;⻘稞酒;⻩酒</t>
  </si>
  <si>
    <t>御长风</t>
  </si>
  <si>
    <t>烈酒;果酒（含酒精）;葡萄酒;⻩酒;鸡尾酒;清酒（⽇本⽶酒）;威⼠忌;开胃酒;酒精饮料（啤酒除外）;⽩酒</t>
  </si>
  <si>
    <t>蓝华琼浆</t>
  </si>
  <si>
    <t>果酒（含酒精）;蒸馏饮料;葡萄酒;烧酒;⽩酒;烈酒（饮料）;酒精饮料（啤酒除外）;⽶酒;⾕物制蒸馏酒精饮料;⻩酒</t>
  </si>
  <si>
    <t>悠酒人</t>
  </si>
  <si>
    <t>朗姆酒;果酒（含酒精）;葡萄酒;⾷⽤酒精;⽩兰地;⽩酒;⻩酒;威⼠忌;烈酒（饮料）;清酒</t>
  </si>
  <si>
    <t>锁滴</t>
  </si>
  <si>
    <t>杭州西尚智能有限公司</t>
  </si>
  <si>
    <t>葡萄酒;⻩酒;⽼酒（中国蒸馏烈酒）;甜酒;开胃酒;⾷⽤酒精;⽩酒;烧酒（烈酒）;⽶酒;⾼粱酒</t>
  </si>
  <si>
    <t>吉曲泰</t>
  </si>
  <si>
    <t>潘晓朋</t>
  </si>
  <si>
    <t>威⼠忌;蒸馏饮料;⽩酒;酒精饮料原汁;烧酒;清酒;果酒（含酒精）;烈酒（饮料）;含⽔果酒精饮料;鸡尾酒</t>
  </si>
  <si>
    <t>世界仔</t>
  </si>
  <si>
    <t>中粤桐花顺特种水产养殖（广州）有限公司</t>
  </si>
  <si>
    <t>开胃酒;葡萄酒;⽩兰地;含⽔果酒精饮料;⽩酒;含酒精的⽔果鸡尾酒饮料;酒精饮料（啤酒除外）;果酒（含酒精）;伏特加酒;⻩酒</t>
  </si>
  <si>
    <t>管酒曜景</t>
  </si>
  <si>
    <t>⻩酒;⾷⽤酒精;酒精饮料（啤酒除外）;烧酒;草莓酒;⽼酒（中国蒸馏烈酒）;含⽔果酒精饮料;开胃酒;⽩酒;清酒</t>
  </si>
  <si>
    <t>布雷赛德</t>
  </si>
  <si>
    <t>山东飞卓品牌管理有限公司</t>
  </si>
  <si>
    <t>葡萄酒;预先混合的酒精饮料（以啤酒为主的除外）;⽩兰地;酒精饮料（啤酒除外）;酒精饮料原汁;果酒;烈酒;威⼠忌;⽩酒;蒸馏饮料</t>
  </si>
  <si>
    <t>征戎年华</t>
  </si>
  <si>
    <t>潍坊浏君商贸有限公司</t>
  </si>
  <si>
    <t>果酒;苦味酒;清酒;威⼠忌;⽩酒;葡萄酒;烧酒;烈酒;⽩兰地;⽶酒</t>
  </si>
  <si>
    <t>畅汇祥</t>
  </si>
  <si>
    <t>山东鲁畅高速公路服务区管理有限公司</t>
  </si>
  <si>
    <t>烧酒;茴⾹酒;烈酒浓缩汁;⽩葡萄酒;含酒精⽔果饮料;⻩酒;⽩酒;以葡萄酒为主的饮料;果酒;⽶酒</t>
  </si>
  <si>
    <t>扁舄</t>
  </si>
  <si>
    <t>河北御铺食品有限公司</t>
  </si>
  <si>
    <t>预先混合的酒精饮料（以啤酒为主的除外）;烧酒;葡萄酒;鸡尾酒;果酒（含酒精）;清酒（⽇本⽶酒）;含⽔果酒精饮料;酒精饮料（啤酒除外）;⽩酒;餐后酒（利⼝酒和烈酒）</t>
  </si>
  <si>
    <t>金凫蓉</t>
  </si>
  <si>
    <t>酒精饮料（啤酒除外）;含⽔果酒精饮料;⾕物制蒸馏酒精饮料;果酒（含酒精）;⽩酒;烈酒（饮料）;葡萄酒;⽶酒;蜂蜜酒;蒸馏饮料</t>
  </si>
  <si>
    <t>桥木木</t>
  </si>
  <si>
    <t>北京艺文左右手餐饮管理有限公司</t>
  </si>
  <si>
    <t>烧酒;果酒（含酒精）;⽩酒;清酒（⽇本⽶酒）;鸡尾酒;酒精饮料（啤酒除外）;⽶酒;烈酒（饮料）;葡萄酒;⻩酒</t>
  </si>
  <si>
    <t>黄洲桥</t>
  </si>
  <si>
    <t>吴文珍</t>
  </si>
  <si>
    <t>鸡尾酒;⽶酒;⽩酒;甜果酒;烈酒（饮料）;含酒精的饮料（啤酒除外）;果酒（含酒精）;⾷⽤酒精;烧酒（烈酒）;葡萄酒</t>
  </si>
  <si>
    <t>营养塔塔</t>
  </si>
  <si>
    <t>轻愈美（杭州）生物科技有限公司</t>
  </si>
  <si>
    <t>酒精饮料（啤酒除外）;果酒（含酒精）;鸡尾酒;⽩酒;预先混合的酒精饮料（以啤酒为主的除外）;威⼠忌;⽶酒;⽩兰地;薄荷酒;⻩酒</t>
  </si>
  <si>
    <t>梦想曲</t>
  </si>
  <si>
    <t>利⼝酒;酒精饮料（啤酒除外）;⽩兰地;⽶酒;⽩酒;鸡尾酒;⻩酒;威⼠忌;葡萄酒;果酒</t>
  </si>
  <si>
    <t>果酒;梅酒;含酒精⽔果饮料;⽩兰地;⽩酒;烈酒;葡萄酒;⽶酒;⻩酒;鸡尾酒</t>
  </si>
  <si>
    <t>酒精饮料（啤酒除外）;⽶酒;清酒（⽇本⽶酒）;⽩酒;果酒（含酒精）;⽩兰地;葡萄酒;⾷⽤酒精;⻩酒;鸡尾酒</t>
  </si>
  <si>
    <t>郑不同</t>
  </si>
  <si>
    <t>张陈陈</t>
  </si>
  <si>
    <t>樱桃酒;⽩酒;含酒精的⽓泡⽔;⽶酒;果酒（含酒精）;利⼝酒;烈酒（饮料）;酒精饮料原汁;葡萄酒;烧酒</t>
  </si>
  <si>
    <t>泰柳情</t>
  </si>
  <si>
    <t>张仪凯</t>
  </si>
  <si>
    <t>果酒（含酒精）;⾷⽤酒精;⽩兰地;葡萄酒;烧酒;⽩酒;⻩酒;烈酒（饮料）;威⼠忌;朗姆酒</t>
  </si>
  <si>
    <t>曼乐兔</t>
  </si>
  <si>
    <t>厦门初故文化传媒有限公司</t>
  </si>
  <si>
    <t>露酒;加烈葡萄酒;加⾹料的热葡萄酒;红葡萄酒;甜酒</t>
  </si>
  <si>
    <t>桃绪</t>
  </si>
  <si>
    <t>张元华</t>
  </si>
  <si>
    <t>鸡尾酒;⻩酒;威⼠忌;酒精饮料原汁;⽩酒;蒸煮提取物（利⼝酒和烈酒）;果酒（含酒精）;葡萄酒;⽩兰地;酒精饮料（啤酒除外）</t>
  </si>
  <si>
    <t>顿丘丰棉</t>
  </si>
  <si>
    <t>濮阳市顿丘酒业有限公司</t>
  </si>
  <si>
    <t>果酒（含酒精）;⽶酒;⽩酒;⽩⼲酒（中国⽩酒）;利⼝酒;鸡尾酒;烧酒（烈酒）;开胃酒;酒精饮料（啤酒除外）;除啤酒外的酒精饮料</t>
  </si>
  <si>
    <t>美人鱼仙子</t>
  </si>
  <si>
    <t>清酒;⽩酒;⻩酒;⽩兰地;⽶酒;葡萄酒;烈酒;威⼠忌;果酒;鸡尾酒</t>
  </si>
  <si>
    <t>洁丽雅兰</t>
  </si>
  <si>
    <t>洁丽雅家居股份有限公司</t>
  </si>
  <si>
    <t>果酒（含酒精）;⽩兰地;清酒;⻩酒;⾷⽤酒精;⽶酒;含酒精⽔果饮料;清酒（⽇本⽶酒）;开胃酒;除啤酒外的酒精饮料</t>
  </si>
  <si>
    <t>祯福清花</t>
  </si>
  <si>
    <t>⽩酒;⽼酒（中国蒸馏烈酒）;果酒（含酒精）;烧酒（烈酒）;烈酒（饮料）;由⾕物蒸馏的⽩酒;⾼粱酒;⽩⼲酒（中国⽩酒）;烧酒;露酒</t>
  </si>
  <si>
    <t>杭州一丽禾科技有限公司</t>
  </si>
  <si>
    <t>果酒（含酒精）;蒸馏饮料;葡萄酒;威⼠忌;以葡萄酒为主的饮料;含酒精的⽓泡⽔;鸡尾酒;清酒（⽇本⽶酒）;酒精饮料原汁;开胃酒</t>
  </si>
  <si>
    <t>梅密码</t>
  </si>
  <si>
    <t>鸡尾酒;⻩酒;⽩酒;⽩兰地;清酒（⽇本⽶酒）;⾷⽤酒精;酒精饮料（啤酒除外）;⽶酒;果酒（含酒精）;葡萄酒</t>
  </si>
  <si>
    <t>绢马</t>
  </si>
  <si>
    <t>新疆普拉纳广告有限公司</t>
  </si>
  <si>
    <t>⽶酒;酒精饮料原汁;汽酒;果酒（含酒精）;⾷⽤酒精;⻩酒;清酒;酒精饮料（啤酒除外）;⽩酒;葡萄酒</t>
  </si>
  <si>
    <t>管酒曜世</t>
  </si>
  <si>
    <t>草莓酒;⻩酒;开胃酒;烧酒;⽼酒（中国蒸馏烈酒）;酒精饮料（啤酒除外）;含⽔果酒精饮料;⾷⽤酒精;清酒;⽩酒</t>
  </si>
  <si>
    <t>德富茂业</t>
  </si>
  <si>
    <t>新疆德富茂业建设工程有限公司</t>
  </si>
  <si>
    <t>果酒（含酒精）;酒精饮料原汁;葡萄酒;烈酒（饮料）;⽶酒;鸡尾酒;⻩酒;烧酒;⽩酒;⾕物制蒸馏酒精饮料</t>
  </si>
  <si>
    <t>DR. SCHILLER</t>
  </si>
  <si>
    <t>常州富谦生物科技有限公司</t>
  </si>
  <si>
    <t>苹果酒;酒精饮料（啤酒除外）;⽩酒;含⽔果酒精饮料;酒精饮料原汁;⾕物制蒸馏酒精饮料;⻩酒;鸡尾酒;⽩兰地;酒精饮料浓缩汁</t>
  </si>
  <si>
    <t>美学士</t>
  </si>
  <si>
    <t>广州九加一科技有限公司</t>
  </si>
  <si>
    <t>威⼠忌;果酒;清酒（⽇本⽶酒）;⽶酒;含酒精的⽔果鸡尾酒饮料;⻩酒;葡萄酒;⽩兰地;含⽔果酒精饮料;⽩酒</t>
  </si>
  <si>
    <t>辛勤百农</t>
  </si>
  <si>
    <t>许燕坤</t>
  </si>
  <si>
    <t>烧酒;⽩酒;葡萄酒;烈酒（饮料）;⻩酒;果酒（含酒精）;清酒（⽇本⽶酒）;甜酒;⽶酒;酒精饮料（啤酒除外）</t>
  </si>
  <si>
    <t>黔品龙</t>
  </si>
  <si>
    <t>⽩酒;鸡尾酒;开胃酒;葡萄酒;利⼝酒;烧酒;清酒（⽇本⽶酒）;朗姆酒;酒精饮料（啤酒除外）;果酒</t>
  </si>
  <si>
    <t>彝寨印象</t>
  </si>
  <si>
    <t>华夏古方生物科技（云南）有限公司</t>
  </si>
  <si>
    <t>烧酒;烈酒;开胃酒;果酒;⽩酒;酒精饮料（啤酒除外）;威⼠忌;⽶酒;预先混合的酒精饮料（以啤酒为主的除外）;葡萄酒</t>
  </si>
  <si>
    <t>封河涧</t>
  </si>
  <si>
    <t>李明珠</t>
  </si>
  <si>
    <t>烧酒;⽩酒;烈酒（饮料）;清酒（⽇本⽶酒）;果酒（含酒精）;⻩酒;鸡尾酒;葡萄酒;⽶酒;酒精饮料（啤酒除外）</t>
  </si>
  <si>
    <t>暖城大漠</t>
  </si>
  <si>
    <t>赵新和</t>
  </si>
  <si>
    <t>烈酒（饮料）;酒精饮料（啤酒除外）;汽酒;烧酒;⽼酒（中国蒸馏烈酒）;果酒（含酒精）;⽶酒;葡萄酒;⽩酒;⻩酒</t>
  </si>
  <si>
    <t>世黄之源</t>
  </si>
  <si>
    <t>庄小燕</t>
  </si>
  <si>
    <t>果酒（含酒精）;汽酒;烧酒;⽶酒;葡萄酒;鸡尾酒;开胃酒;利⼝酒;⽩酒;烈酒</t>
  </si>
  <si>
    <t>泊客爽</t>
  </si>
  <si>
    <t>葡萄酒;伏特加酒;蜂蜜酒;果酒（含酒精）;⽩兰地;露酒;威⼠忌;果酒;⽩酒;利⼝酒</t>
  </si>
  <si>
    <t>吉林省海桓商贸有限公司</t>
  </si>
  <si>
    <t>果酒（含酒精）;鸡尾酒;葡萄酒;威⼠忌;清酒;⽶酒;烧酒;⽩酒;烈酒;含⽔果酒精饮料</t>
  </si>
  <si>
    <t>拜尔峡谷</t>
  </si>
  <si>
    <t>果酒（含酒精）;朗姆酒;鸡尾酒;以葡萄酒为主的饮料;⽩兰地;甜果酒;开胃酒;佐餐酒;威⼠忌;葡萄酒</t>
  </si>
  <si>
    <t>百脉泉齐鲁情</t>
  </si>
  <si>
    <t>固京</t>
  </si>
  <si>
    <t>四川好望装饰工程有限公司</t>
  </si>
  <si>
    <t>烧酒;酒精饮料（啤酒除外）;葡萄酒;⻘稞酒;⽩酒;⻩酒;⽶酒;烈酒;果酒（含酒精）;⾷⽤酒精</t>
  </si>
  <si>
    <t>阜之酿</t>
  </si>
  <si>
    <t>阜阳职业技术学院</t>
  </si>
  <si>
    <t>樱桃酒;预先混合的酒精饮料（以啤酒为主的除外）;⽩酒;⽔果汽酒;酒精饮料（啤酒除外）;苹果酒;葡萄酒;烧酒;含⽔果酒精饮料;果酒（含酒精）</t>
  </si>
  <si>
    <t>雷健</t>
  </si>
  <si>
    <t>国寿（河南）养老有限公司</t>
  </si>
  <si>
    <t>⽩葡萄酒;烈性⼲酒;威末酒;⾼粱酒;苦荞酒;烧酒;开胃酒;⽩酒;红葡萄酒;果酒</t>
  </si>
  <si>
    <t>椹树美</t>
  </si>
  <si>
    <t>夏津领界农业科技发展有限公司</t>
  </si>
  <si>
    <t>葡萄酒;酒精饮料（啤酒除外）;甜酒;⾷⽤酒精;⽩酒;⽶酒;⻩酒;果酒（含酒精）;烈酒（饮料）;⽩兰地</t>
  </si>
  <si>
    <t>牧莱格</t>
  </si>
  <si>
    <t>常俊</t>
  </si>
  <si>
    <t>⽩酒;⽩⼲酒（中国⽩酒）;酒精饮料（啤酒除外）;⽶酒;烧酒;红葡萄酒;⽼酒（中国蒸馏烈酒）;⻩酒;鸡尾酒;⾼粱酒</t>
  </si>
  <si>
    <t>光彩盟非</t>
  </si>
  <si>
    <t>徐启荣</t>
  </si>
  <si>
    <t>葡萄酒;⽩兰地;⽶酒;含酒精的饮料（啤酒除外）;露酒;果酒（含酒精）;⽩酒;苦荞酒;⻩酒;⾷⽤酒精</t>
  </si>
  <si>
    <t>王宴东方</t>
  </si>
  <si>
    <t>宋敬</t>
  </si>
  <si>
    <t>⽩酒;梅酒;⾕物制蒸馏酒精饮料;露酒;葡萄酒;⽼酒（中国蒸馏烈酒）;⾼粱酒;⽩兰地;酒精饮料（啤酒除外）;威⼠忌</t>
  </si>
  <si>
    <t>青岛原脉丘海食品科技有限公司</t>
  </si>
  <si>
    <t>酒精饮料（啤酒除外）;⻩酒;酒精饮料原汁;烧酒;⾷⽤酒精;果酒;果酒（含酒精）;葡萄酒;烈酒（饮料）;⽩酒</t>
  </si>
  <si>
    <t>清河晏</t>
  </si>
  <si>
    <t>广州泰业科教投资有限公司</t>
  </si>
  <si>
    <t>⽩酒;⽼酒（中国蒸馏烈酒）;烈酒;⾼粱酒;酒精饮料（啤酒除外）;烧酒;由⾕物蒸馏的⽩酒;以葡萄酒为主的饮料;果酒;⽩⼲酒（中国⽩酒）</t>
  </si>
  <si>
    <t>醉爱诗篇</t>
  </si>
  <si>
    <t>⽩酒;⽼酒（中国蒸馏烈酒）;葡萄酒;威⼠忌;酒精饮料（啤酒除外）;梅酒;⾕物制蒸馏酒精饮料;⾼粱酒;⽩兰地;露酒</t>
  </si>
  <si>
    <t>汝海春</t>
  </si>
  <si>
    <t>谢鹏飞</t>
  </si>
  <si>
    <t>烧酒;⾕物制蒸馏酒精饮料;⽩酒;烧酒（烈酒）;⽶酒;蒸馏饮料;含酒精⽔果饮料;⾼粱酒;葡萄酒;⽼酒（中国蒸馏烈酒）</t>
  </si>
  <si>
    <t>捆圣烧坊</t>
  </si>
  <si>
    <t>⽼酒（中国蒸馏烈酒）;威⼠忌;酒精饮料（啤酒除外）;梅酒;露酒;⾼粱酒;葡萄酒;⾕物制蒸馏酒精饮料;⽩酒;⽩兰地</t>
  </si>
  <si>
    <t>闽玖嘉</t>
  </si>
  <si>
    <t>泉州中闽嘉生态农业有限公司</t>
  </si>
  <si>
    <t>苹果酒;⽩酒;烧酒;⾼粱酒;由⾕物蒸馏的⽩酒;以葡萄酒为主的饮料;酒精饮料浓缩汁;果酒;⽶酒;⻩酒</t>
  </si>
  <si>
    <t>海桓甄选</t>
  </si>
  <si>
    <t>清酒;含⽔果酒精饮料;⽶酒;葡萄酒;⽩酒;烈酒;果酒（含酒精）;鸡尾酒;威⼠忌;烧酒</t>
  </si>
  <si>
    <t>周禀恒</t>
  </si>
  <si>
    <t>贵州周茅酒业有限公司</t>
  </si>
  <si>
    <t>⻩酒;烧酒（烈酒）;⻘稞酒;烧酒;清酒;⽩酒;⾼粱酒;威⼠忌;烈酒;果酒</t>
  </si>
  <si>
    <t>浔今宵</t>
  </si>
  <si>
    <t>邓勤松</t>
  </si>
  <si>
    <t>开胃酒;⻘稞酒;⻩酒;鸡尾酒;烈酒（饮料）;威⼠忌;蜂蜜酒;烧酒;⽩酒;清酒（⽇本⽶酒）</t>
  </si>
  <si>
    <t>岁曰</t>
  </si>
  <si>
    <t>文莲</t>
  </si>
  <si>
    <t>述往</t>
  </si>
  <si>
    <t>果酒;⻩酒;⽩酒;烈酒（饮料）;开胃酒;威⼠忌;清酒（⽇本⽶酒）;葡萄酒;鸡尾酒;酒精饮料（啤酒除外）</t>
  </si>
  <si>
    <t>祉福花</t>
  </si>
  <si>
    <t>周玉婷</t>
  </si>
  <si>
    <t>果酒（含酒精）;葡萄酒;酒精饮料浓缩汁;酒精饮料（啤酒除外）;含酒精水果饮料;蒸馏饮料;白酒;酒精饮料原汁;黄酒;米酒</t>
  </si>
  <si>
    <t>余家鸿源</t>
  </si>
  <si>
    <t>鸿源蜀渝酒类销售重庆有限责任公司</t>
  </si>
  <si>
    <t>⽩酒;酒精饮料（啤酒除外）;蜂蜜酒;梨酒;⽶酒;果酒（含酒精）;苹果酒;⻩酒;⻘稞酒;鸡尾酒</t>
  </si>
  <si>
    <t>伊东恩堂</t>
  </si>
  <si>
    <t>郭凯丽</t>
  </si>
  <si>
    <t>⽩酒;⻘稞酒;⽶酒;开胃酒;蒸馏⽶酒（泡盛酒）;⻩酒;⾼粱酒;⾷⽤酒精;烧酒;烈酒（饮料）</t>
  </si>
  <si>
    <t>沃伦巴赫</t>
  </si>
  <si>
    <t>任霞</t>
  </si>
  <si>
    <t>⽶酒;果酒（含酒精）;⽩酒;⻩酒;葡萄酒;⽩兰地;烈酒（饮料）;薄荷酒;烧酒;威⼠忌</t>
  </si>
  <si>
    <t>寻龙洞</t>
  </si>
  <si>
    <t>四川力酱酒业集团有限公司</t>
  </si>
  <si>
    <t>开胃酒;柑⾹酒;酒精饮料（啤酒除外）;⽩酒;果酒（含酒精）;清酒;葡萄酒;烧酒;蒸煮提取物（利⼝酒和烈酒）;烈酒（饮料）</t>
  </si>
  <si>
    <t>嘉岭华酿</t>
  </si>
  <si>
    <t>郑太君</t>
  </si>
  <si>
    <t>⾼粱酒;果酒;由⾕物蒸馏的⽩酒;酒精饮料（啤酒除外）;⽼酒（中国蒸馏烈酒）;烧酒（烈酒）;⻘稞酒;⻩酒;⽩酒;⽩⼲酒（中国⽩酒）</t>
  </si>
  <si>
    <t>金氏五福康</t>
  </si>
  <si>
    <t>金国阳</t>
  </si>
  <si>
    <t>蒸馏饮料;酒精饮料（啤酒除外）;⽩酒;开胃酒;烧酒;葡萄酒;⻩酒;果酒（含酒精）;酒精饮料原汁;烈酒（饮料）</t>
  </si>
  <si>
    <t>虔州龙</t>
  </si>
  <si>
    <t>赣州市客家文化遗产研究院</t>
  </si>
  <si>
    <t>酒精饮料（啤酒除外）;威⼠忌;⽶酒;清酒（⽇本⽶酒）;葡萄酒;⽩酒;含⽔果酒精饮料;⻩酒;鸡尾酒;烧酒</t>
  </si>
  <si>
    <t>水家壮壮</t>
  </si>
  <si>
    <t>贵州百年荣太和酒业（集团）有限公司</t>
  </si>
  <si>
    <t>⽩酒;果酒（含酒精）;⽶酒;⽼酒（中国蒸馏烈酒）;酒精饮料（啤酒除外）;烧酒;葡萄酒;蒸煮提取物（利⼝酒和烈酒）;⻩酒;烈酒（饮料）</t>
  </si>
  <si>
    <t>五百川</t>
  </si>
  <si>
    <t>刘凌</t>
  </si>
  <si>
    <t>葡萄酒;烈酒（饮料）;清酒（⽇本⽶酒）;⽶酒;酒精饮料（啤酒除外）;果酒（含酒精）;甜酒;⻩酒;烧酒;⽩酒</t>
  </si>
  <si>
    <t>叹古今</t>
  </si>
  <si>
    <t>张军生</t>
  </si>
  <si>
    <t>果酒（含酒精）;鸡尾酒;烈酒（饮料）;⽶酒;甜酒;葡萄酒;蜂蜜酒;⽩兰地;⽩酒;烧酒</t>
  </si>
  <si>
    <t>祥瑞华厦</t>
  </si>
  <si>
    <t>卢卫星</t>
  </si>
  <si>
    <t>酒精饮料（啤酒除外）;葡萄酒;烈酒;⽩酒;⻩酒;⽶酒;烧酒;⾷⽤酒精;果酒（含酒精）;威⼠忌</t>
  </si>
  <si>
    <t>千福东来</t>
  </si>
  <si>
    <t>葡萄酒;⽩酒;酒精饮料（啤酒除外）;⾷⽤酒精;⻩酒;果酒（含酒精）;烈酒（饮料）;清酒（⽇本⽶酒）;除啤酒外的酒精饮料;烧酒</t>
  </si>
  <si>
    <t>尊福四方</t>
  </si>
  <si>
    <t>除啤酒外的酒精饮料;烧酒;果酒（含酒精）;⽩酒;⻩酒;清酒（⽇本⽶酒）;葡萄酒;烈酒（饮料）;酒精饮料（啤酒除外）;⾷⽤酒精</t>
  </si>
  <si>
    <t>韦大宝</t>
  </si>
  <si>
    <t>广州市资润商业投资有限公司</t>
  </si>
  <si>
    <t>鸡尾酒;果酒（含酒精）;烧酒;⽩酒;⽶酒;亚⼒酒;⻘稞酒;⻩酒;蜂蜜酒;伏特加酒</t>
  </si>
  <si>
    <t>天贵唐清花</t>
  </si>
  <si>
    <t>小黑瓶（北京）酒业有限公司</t>
  </si>
  <si>
    <t>⻩酒;烧酒;开胃酒;果酒;⾷⽤酒精;⽩酒;⽶酒;鸡尾酒;烈酒;葡萄酒</t>
  </si>
  <si>
    <t>北欧名邸</t>
  </si>
  <si>
    <t>沈达权</t>
  </si>
  <si>
    <t>葡萄酒;⽩兰地;烧酒;蜂蜜酒;果酒;酒精饮料（啤酒除外）;开胃酒;威⼠忌;⻩酒;⽶酒</t>
  </si>
  <si>
    <t>LETOURS GRACEAO</t>
  </si>
  <si>
    <t>甜酒;含酒精的⽔果鸡尾酒饮料;⽩酒;利⼝酒;烈酒;葡萄酒;威⼠忌;⽩兰地;果酒;酒精饮料（啤酒除外）</t>
  </si>
  <si>
    <t>肖</t>
  </si>
  <si>
    <t>荐山企业管理咨询（郑州）有限公司</t>
  </si>
  <si>
    <t>酒精饮料（啤酒除外）;⽩酒;⻩酒;⻘稞酒;露酒;葡萄酒;威⼠忌;果酒（含酒精）;烧酒;⽶酒</t>
  </si>
  <si>
    <t>妩大福</t>
  </si>
  <si>
    <t>陈强宁</t>
  </si>
  <si>
    <t>⾕物制蒸馏酒精饮料;果酒（含酒精）;蒸馏饮料;酒精饮料原汁;含酒精的⽓泡⽔;⽶酒;葡萄酒;含⽔果酒精饮料;⽩酒;酒精饮料（啤酒除外）</t>
  </si>
  <si>
    <t>唐鼎顺</t>
  </si>
  <si>
    <t>⽩酒;汽酒;果酒（含酒精）;清酒（⽇本⽶酒）;葡萄酒;⽶酒;烈酒（饮料）;⾷⽤酒精;酒精饮料（啤酒除外）;蒸馏饮料</t>
  </si>
  <si>
    <t>黔家潭</t>
  </si>
  <si>
    <t>夏波</t>
  </si>
  <si>
    <t>开胃酒;烈酒（饮料）;鸡尾酒;蜂蜜酒;⻘稞酒;⻩酒;清酒（⽇本⽶酒）;烧酒;⽩酒;威⼠忌</t>
  </si>
  <si>
    <t>化川京</t>
  </si>
  <si>
    <t>浙江小石头新能源科技有限公司</t>
  </si>
  <si>
    <t>樱桃酒;蜂蜜酒;苹果酒;果酒（含酒精）;清酒（⽇本⽶酒）;梨酒;⽩酒;⽶酒;⻘稞酒;葡萄酒</t>
  </si>
  <si>
    <t>化狐</t>
  </si>
  <si>
    <t>山东化氏科技有限公司</t>
  </si>
  <si>
    <t>烈酒;开胃酒;⽶酒;⽩酒;红葡萄酒;烧酒;果酒;含酒精的饮料（啤酒除外）;⾼粱酒;果酒（含酒精）</t>
  </si>
  <si>
    <t>⻩酒;果酒;烈酒;清酒;⾼粱酒;⻘稞酒;⽩酒;烧酒;威⼠忌;烧酒（烈酒）</t>
  </si>
  <si>
    <t>果酒;烧酒（烈酒）;⻘稞酒;⽩酒;清酒;⾼粱酒;⻩酒;烧酒;威⼠忌;烈酒</t>
  </si>
  <si>
    <t>珩园</t>
  </si>
  <si>
    <t>青川民兴农业科技有限公司</t>
  </si>
  <si>
    <t>⻘稞酒;⽶酒;葡萄酒;⻩酒;⽩酒;⾼粱酒;果酒;⻘梅酒;酒精饮料（啤酒除外）;蜂蜜酒</t>
  </si>
  <si>
    <t>华福门</t>
  </si>
  <si>
    <t>何杰</t>
  </si>
  <si>
    <t>⻩酒;威⼠忌;鸡尾酒;葡萄酒;烧酒;⽩兰地;⽶酒;⽩酒;甜酒;果酒（含酒精）</t>
  </si>
  <si>
    <t>北京磨铁文化集团股份有限公司</t>
  </si>
  <si>
    <t>威⼠忌;⾷⽤酒精;果酒（含酒精）;葡萄酒;鸡尾酒;甜果酒;⽩兰地;⽼酒（中国蒸馏烈酒）;酒精饮料（啤酒除外）;⽔果汽酒</t>
  </si>
  <si>
    <t>源漠禧田</t>
  </si>
  <si>
    <t>圣牧草业（内蒙古）农业发展有限公司</t>
  </si>
  <si>
    <t>酒精饮料浓缩汁;酒精饮料原汁;⽩酒;葡萄酒;⾕物制蒸馏酒精饮料;含⽔果酒精饮料;汽酒;酒精饮料（啤酒除外）</t>
  </si>
  <si>
    <t>娥家班</t>
  </si>
  <si>
    <t>长春市盛恩鹿业有限公司</t>
  </si>
  <si>
    <t>蒸馏饮料;苹果酒;含⽔果酒精饮料;葡萄酒;鸡尾酒;酒精饮料（啤酒除外）;⽶酒;汽酒;⽩酒;⾷⽤酒精</t>
  </si>
  <si>
    <t>尚军佳贵</t>
  </si>
  <si>
    <t>汪尚军</t>
  </si>
  <si>
    <t>蒸馏饮料;酒精饮料原汁;⾷⽤酒精;果酒（含酒精）;烧酒;烈酒（饮料）;⽶酒;⽩酒;酒精饮料（啤酒除外）;葡萄酒</t>
  </si>
  <si>
    <t>酒久神通香</t>
  </si>
  <si>
    <t>酒久粮心（北京）网络科技有限公司</t>
  </si>
  <si>
    <t>酒精饮料（啤酒除外）;⽩酒;含酒精⽔果饮料;含⽔果酒精饮料;烧酒（烈酒）;⽶酒;烧酒;酒精饮料原汁;⻩酒;葡萄酒</t>
  </si>
  <si>
    <t>话今</t>
  </si>
  <si>
    <t>酒精饮料（啤酒除外）;鸡尾酒;果酒;⽩酒;葡萄酒;⻩酒;威⼠忌;清酒（⽇本⽶酒）;烈酒（饮料）;开胃酒</t>
  </si>
  <si>
    <t>唐宫诗章</t>
  </si>
  <si>
    <t>⾼粱酒;梅酒;⽩兰地;⾕物制蒸馏酒精饮料;露酒;⽼酒（中国蒸馏烈酒）;葡萄酒;威⼠忌;⽩酒;酒精饮料（啤酒除外）</t>
  </si>
  <si>
    <t>崇禧清花</t>
  </si>
  <si>
    <t>齐丰</t>
  </si>
  <si>
    <t>⽩酒;⽩⼲酒（中国⽩酒）;由⾕物蒸馏的⽩酒;⾼粱酒;露酒;烈酒（饮料）;果酒（含酒精）;⽼酒（中国蒸馏烈酒）;烧酒;烧酒（烈酒）</t>
  </si>
  <si>
    <t>威亮</t>
  </si>
  <si>
    <t>亨利武得（北京）酒业有限公司</t>
  </si>
  <si>
    <t>果酒（含酒精）;利⼝酒;杜松⼦酒;葡萄酒;威⼠忌;梨酒;朗姆酒;伏特加酒;蒸煮提取物（利⼝酒和烈酒）;烈酒（饮料）</t>
  </si>
  <si>
    <t>醉世京酒</t>
  </si>
  <si>
    <t>河北罗龙商贸有限公司</t>
  </si>
  <si>
    <t>⽩酒;果酒（含酒精）;鸡尾酒;烈酒（饮料）;酒精饮料（啤酒除外）;⻩酒;烧酒;⽶酒;葡萄酒;清酒（⽇本⽶酒）</t>
  </si>
  <si>
    <t>禄洋</t>
  </si>
  <si>
    <t>山东颐洋网络科技有限公司</t>
  </si>
  <si>
    <t>果酒（含酒精）;葡萄酒;酒精饮料浓缩汁;利⼝酒;酒精饮料（啤酒除外）;⽩酒;苦味酒;酒精饮料原汁;含酒精⽔果饮料;烈酒</t>
  </si>
  <si>
    <t>多彩潭</t>
  </si>
  <si>
    <t>河南久储良实业有限公司</t>
  </si>
  <si>
    <t>开胃酒;葡萄酒;⾷⽤酒精;⻩酒;果酒;酒精饮料（啤酒除外）;⽩酒;⽶酒;利⼝酒;烧酒</t>
  </si>
  <si>
    <t>晋帝道</t>
  </si>
  <si>
    <t>张林海</t>
  </si>
  <si>
    <t>烈酒（饮料）;果酒（含酒精）;⽩兰地;⽶酒;⽩酒;蜂蜜酒;烧酒;甜酒;葡萄酒;鸡尾酒</t>
  </si>
  <si>
    <t>街头李</t>
  </si>
  <si>
    <t>李雷</t>
  </si>
  <si>
    <t>开胃酒;葡萄酒;⽩酒;利⼝酒;⽶酒;⻩酒;果酒（含酒精）;烧酒;清酒（⽇本⽶酒）;⻘稞酒</t>
  </si>
  <si>
    <t>美诗名</t>
  </si>
  <si>
    <t>吴立勇</t>
  </si>
  <si>
    <t>果酒;⾕物制蒸馏酒精饮料;⽶酒;⽩酒;蒸煮提取物（利⼝酒和烈酒）;烧酒;⻩酒;含⽔果酒精饮料;⻘梅酒;酒精饮料原汁</t>
  </si>
  <si>
    <t>喆家有喜</t>
  </si>
  <si>
    <t>费裕康</t>
  </si>
  <si>
    <t>烈酒（饮料）;酒精饮料（啤酒除外）;烧酒;⽩酒;甜果酒;清酒;⽩⼲酒（中国⽩酒）;葡萄酒;果酒（含酒精）;⻩酒</t>
  </si>
  <si>
    <t>贺麓生</t>
  </si>
  <si>
    <t>星璨（宁夏）数字科技有限公司</t>
  </si>
  <si>
    <t>酒精饮料（啤酒除外）;葡萄酒;含酒精的⽓泡⽔;果酒（含酒精）;葡萄汽酒;⽩兰地;含⽔果酒精饮料;烈酒;汽酒;预先混合的酒精饮料（以啤酒为主的除外）</t>
  </si>
  <si>
    <t>纯友记</t>
  </si>
  <si>
    <t>烧酒;⽩酒;⻩酒;开胃酒;清酒（⽇本⽶酒）;威⼠忌;⻘稞酒;蜂蜜酒;烈酒（饮料）;鸡尾酒</t>
  </si>
  <si>
    <t>毽客行</t>
  </si>
  <si>
    <t>沈阳市中兴红高梁酒业有限公司</t>
  </si>
  <si>
    <t>葡萄酒;⽩酒;烈酒（饮料）;⽶酒;果酒（含酒精）;汽酒;⻩酒;含⽔果酒精饮料;⾷⽤酒精;烧酒</t>
  </si>
  <si>
    <t>归汉酒</t>
  </si>
  <si>
    <t>北京中视新天地广告有限公司</t>
  </si>
  <si>
    <t>清酒（⽇本⽶酒）;酒精饮料（啤酒除外）;⽶酒;⽩酒;葡萄酒;开胃酒;烧酒;⾷⽤酒精;果酒（含酒精）;⻩酒</t>
  </si>
  <si>
    <t>星月龙虎</t>
  </si>
  <si>
    <t>孙龙</t>
  </si>
  <si>
    <t>葡萄酒;果酒（含酒精）;烈酒（饮料）;⻩酒;⽩酒;烧酒;酒精饮料（啤酒除外）;⽶酒;甜酒;清酒（⽇本⽶酒）</t>
  </si>
  <si>
    <t>修仙洞</t>
  </si>
  <si>
    <t>果酒（含酒精）;酒精饮料（啤酒除外）;⽩酒;露酒;葡萄酒;⻩酒;威⼠忌;烧酒;⻘稞酒;⽶酒</t>
  </si>
  <si>
    <t>礼宾旺</t>
  </si>
  <si>
    <t>⾕物制蒸馏酒精饮料;葡萄酒;威⼠忌;酒精饮料（啤酒除外）;露酒;⾼粱酒;梅酒;⽩兰地;⽩酒;⽼酒（中国蒸馏烈酒）</t>
  </si>
  <si>
    <t>巾莘名</t>
  </si>
  <si>
    <t>魏连英</t>
  </si>
  <si>
    <t>合龙湾</t>
  </si>
  <si>
    <t>果酒（含酒精）;烈酒（饮料）;酒精饮料（啤酒除外）;清酒;⽩酒;柑⾹酒;开胃酒;烧酒;葡萄酒;蒸煮提取物（利⼝酒和烈酒）</t>
  </si>
  <si>
    <t>东竹寨</t>
  </si>
  <si>
    <t>贵州文珍香茶叶有限公司</t>
  </si>
  <si>
    <t>含⽔果酒精饮料;烈酒（饮料）;⽶酒;⻩酒;蜂蜜酒;⽩酒;烧酒;葡萄酒;蒸馏饮料;果酒（含酒精）</t>
  </si>
  <si>
    <t>快乐泡泡</t>
  </si>
  <si>
    <t>酒精饮料（啤酒除外）;⽶酒;⻩酒;⽩酒;汽酒;葡萄酒;果酒（含酒精）;开胃酒;酸酒（低等葡萄酒）;苹果酒</t>
  </si>
  <si>
    <t>墨励</t>
  </si>
  <si>
    <t>郑大寨</t>
  </si>
  <si>
    <t>鸡尾酒;清酒（⽇本⽶酒）;⽶酒;⽩酒;果酒（含酒精）;⾼粱酒;⽩兰地;⻩酒;威⼠忌;烧酒</t>
  </si>
  <si>
    <t>邑韵青</t>
  </si>
  <si>
    <t>⽩酒;汽酒;蒸煮提取物（利⼝酒和烈酒）;烈酒（饮料）;烧酒;⽶酒;果酒;酒精饮料（啤酒除外）;⾷⽤酒精;葡萄酒</t>
  </si>
  <si>
    <t>陈二食</t>
  </si>
  <si>
    <t>广州夏天制片场文化传播有限公司</t>
  </si>
  <si>
    <t>酒精饮料（啤酒除外）;果酒（含酒精）</t>
  </si>
  <si>
    <t>基业流芳</t>
  </si>
  <si>
    <t>酒精饮料原汁;烧酒;⽶酒;蒸煮提取物（利⼝酒和烈酒）;⽩酒;⾕物制蒸馏酒精饮料;⻩酒;含⽔果酒精饮料;果酒;⻘梅酒</t>
  </si>
  <si>
    <t>REGAL VINE</t>
  </si>
  <si>
    <t>资阳市佰帝思商贸有限公司</t>
  </si>
  <si>
    <t>清酒;开胃酒;酒精饮料（啤酒除外）;蜂蜜酒;鸡尾酒;威⼠忌;果酒（含酒精）;葡萄酒;⽩酒;⽶酒</t>
  </si>
  <si>
    <t>蕴台</t>
  </si>
  <si>
    <t>贵州蕴台酒业（集团）有限公司</t>
  </si>
  <si>
    <t>烈酒（饮料）;果酒（含酒精）;蒸馏饮料;苹果酒;⽩酒;⽶酒;酒精饮料（啤酒除外）;含⽔果酒精饮料;⻩酒;鸡尾酒</t>
  </si>
  <si>
    <t>万仟世台</t>
  </si>
  <si>
    <t>烧酒;⻩酒;烈酒（饮料）;⽩酒;鸡尾酒;⽶酒;酒精饮料（啤酒除外）;⽢蔗制烈酒;葡萄酒;果酒（含酒精）</t>
  </si>
  <si>
    <t>粮龙门</t>
  </si>
  <si>
    <t>甜酒;果酒（含酒精）;⽩兰地;⻩酒;葡萄酒;⽩酒;威⼠忌;鸡尾酒;⽶酒;烧酒</t>
  </si>
  <si>
    <t>杭州延守仁健康科技有限公司</t>
  </si>
  <si>
    <t>果酒（含酒精）;⽶酒;烧酒;蒸馏饮料;⻩酒;含酒精的饮料（啤酒除外）;⽩酒;葡萄酒;⻘稞酒;烈酒</t>
  </si>
  <si>
    <t>神农氏天寿</t>
  </si>
  <si>
    <t>戚国军</t>
  </si>
  <si>
    <t>⽩酒;蜂蜜酒;⽶酒;蒸馏饮料;鸡尾酒;汽酒;果酒（含酒精）;烧酒;薄荷酒;⻩酒</t>
  </si>
  <si>
    <t>时方木</t>
  </si>
  <si>
    <t>江山市京慧供应链管理有限公司</t>
  </si>
  <si>
    <t>蒸馏饮料;薄荷酒;威⼠忌;⽶酒;果酒（含酒精）;⾕物制蒸馏酒精饮料;烧酒;鸡尾酒;葡萄酒;⻩酒</t>
  </si>
  <si>
    <t>宸肴斋</t>
  </si>
  <si>
    <t>云南昂业产业园管理集团有限公司</t>
  </si>
  <si>
    <t>果酒;⽩酒;烧酒;⻘稞酒;⻘梅酒;甜酒;清酒;⽶酒;葡萄酒;⽩葡萄酒</t>
  </si>
  <si>
    <t>逍九洲</t>
  </si>
  <si>
    <t>威⼠忌;烧酒;⻩酒;开胃酒;⻘稞酒;蜂蜜酒;烈酒（饮料）;清酒（⽇本⽶酒）;⽩酒;鸡尾酒</t>
  </si>
  <si>
    <t>京环鼎业</t>
  </si>
  <si>
    <t>京环鼎业再生资源股份有限公司</t>
  </si>
  <si>
    <t>酒精饮料（啤酒除外）;⽩酒;⻩酒;⽶酒;烈酒（饮料）;烧酒;⽢蔗制烈酒;葡萄酒;鸡尾酒;果酒（含酒精）</t>
  </si>
  <si>
    <t>新阳鼎盛</t>
  </si>
  <si>
    <t>香港伽勒利发展有限公司</t>
  </si>
  <si>
    <t>鸡尾酒;葡萄酒;⽩兰地;伏特加酒;餐后酒（利⼝酒和烈酒）;⽩酒;威⼠忌;朗姆酒;酒精饮料（啤酒除外）;烈酒（饮料）</t>
  </si>
  <si>
    <t>KAIDILILA</t>
  </si>
  <si>
    <t>葡萄酒;开胃酒;含⽔果酒精饮料;⽩酒;⽶酒;果酒;酒精饮料（啤酒除外）;⾼粱酒;烧酒;鸡尾酒</t>
  </si>
  <si>
    <t>厦门九采生态农庄有限公司</t>
  </si>
  <si>
    <t>红葡萄酒;⻩酒;⻨芽威⼠忌;⽩兰地;⽩酒;⾼粱酒;酒精饮料（啤酒除外）;葡萄酒;伏特加酒;清酒</t>
  </si>
  <si>
    <t>浔清月</t>
  </si>
  <si>
    <t>万纪婷</t>
  </si>
  <si>
    <t>烈酒（饮料）;鸡尾酒;烧酒;⽩酒;威⼠忌;蜂蜜酒;⻘稞酒;⻩酒;清酒（⽇本⽶酒）;开胃酒</t>
  </si>
  <si>
    <t>悟雨</t>
  </si>
  <si>
    <t>四川言木企业管理有限公司</t>
  </si>
  <si>
    <t>葡萄酒;⻘稞酒;果酒（含酒精）;⻩酒;⽩兰地;⽶酒;⽩酒;蒸馏饮料;烧酒;⽩⼲酒（中国⽩酒）</t>
  </si>
  <si>
    <t>禾小品</t>
  </si>
  <si>
    <t>辽宁省禾禄府餐饮文化管理有限公司</t>
  </si>
  <si>
    <t>酒精饮料（啤酒除外）;预先混合的酒精饮料（以啤酒为主的除外）;⽶酒;果酒（含酒精）;⽩酒;鸡尾酒;伏特加酒;威⼠忌;烧酒;葡萄酒</t>
  </si>
  <si>
    <t>王里发</t>
  </si>
  <si>
    <t>南京美裳萌化妆品有限公司</t>
  </si>
  <si>
    <t>蒸馏饮料;鸡尾酒;果酒（含酒精）;烈酒（饮料）;酒精饮料（啤酒除外）;威⼠忌;葡萄酒;酒精饮料原汁;⽩酒;汽酒</t>
  </si>
  <si>
    <t>佳岛</t>
  </si>
  <si>
    <t>海南夏花酒业有限责任公司</t>
  </si>
  <si>
    <t>⽶酒;清酒;⽩⼲酒（中国⽩酒）;露酒;烈酒;果酒;由⾕物蒸馏的⽩酒;烧酒;烧酒（烈酒）;⾼粱酒</t>
  </si>
  <si>
    <t>醉山前</t>
  </si>
  <si>
    <t>于勇</t>
  </si>
  <si>
    <t>⽶酒;蒸煮提取物（利⼝酒和烈酒）;酒精饮料浓缩汁;⽩酒;⾷⽤酒精;预先混合的酒精饮料（以啤酒为主的除外）;含⽔果酒精饮料;酒精饮料（啤酒除外）;酒精饮料原汁;葡萄酒</t>
  </si>
  <si>
    <t>肖牌</t>
  </si>
  <si>
    <t>⻩酒;⽩酒;烧酒;⻘稞酒;露酒;⽶酒;葡萄酒;威⼠忌;果酒（含酒精）;酒精饮料（啤酒除外）</t>
  </si>
  <si>
    <t>京大头</t>
  </si>
  <si>
    <t>宁夏伊长寿胡麻油有限公司</t>
  </si>
  <si>
    <t>鸡尾酒;果酒（含酒精）;蒸馏饮料;⻩酒;酒精饮料（啤酒除外）;葡萄酒;⽶酒;烧酒;⽩酒;烈酒（饮料）</t>
  </si>
  <si>
    <t>赋之榜</t>
  </si>
  <si>
    <t>烧酒;⽩酒;开胃酒;清酒（⽇本⽶酒）;⻩酒;烈酒（饮料）;鸡尾酒;蜂蜜酒;⻘稞酒;威⼠忌</t>
  </si>
  <si>
    <t>清照芳华</t>
  </si>
  <si>
    <t>开胃酒;果酒（含酒精）;酸酒（低等葡萄酒）;⽶酒;⻩酒;⽩酒;苹果酒;葡萄酒;酒精饮料（啤酒除外）;汽酒</t>
  </si>
  <si>
    <t>清照宴</t>
  </si>
  <si>
    <t>⽩酒;开胃酒;葡萄酒;酸酒（低等葡萄酒）;汽酒;⻩酒;果酒（含酒精）;苹果酒;⽶酒;酒精饮料（啤酒除外）</t>
  </si>
  <si>
    <t>阜祉酿</t>
  </si>
  <si>
    <t>含⽔果酒精饮料;苹果酒;酒精饮料（啤酒除外）;烧酒;⽔果汽酒;果酒（含酒精）;葡萄酒;樱桃酒;预先混合的酒精饮料（以啤酒为主的除外）;⽩酒</t>
  </si>
  <si>
    <t>丰之南</t>
  </si>
  <si>
    <t>李峰</t>
  </si>
  <si>
    <t>烈酒（饮料）;⽩酒;葡萄酒;⽶酒;餐后酒（利⼝酒和烈酒）;蒸馏饮料;酒精饮料（啤酒除外）;⾕物制蒸馏酒精饮料;⻩酒;果酒（含酒精）</t>
  </si>
  <si>
    <t>宫方</t>
  </si>
  <si>
    <t>石俊峰</t>
  </si>
  <si>
    <t>清酒;⽩酒;果酒（含酒精）;葡萄酒;⽶酒;开胃酒;酒精饮料（啤酒除外）;烧酒;蒸煮提取物（利⼝酒和烈酒）;含酒精⽔果饮料</t>
  </si>
  <si>
    <t>肚小福</t>
  </si>
  <si>
    <t>邓艳</t>
  </si>
  <si>
    <t>烧酒;⽩酒;果酒;⾼粱酒;⻩酒;蒸馏饮料;酒精饮料（啤酒除外）;葡萄酒;⽶酒;⻘稞酒</t>
  </si>
  <si>
    <t>锦三关</t>
  </si>
  <si>
    <t>蜂蜜酒;烧酒;烈酒（饮料）;鸡尾酒;⻩酒;⽩酒;⻘稞酒;开胃酒;清酒（⽇本⽶酒）;威⼠忌</t>
  </si>
  <si>
    <t>山海益生</t>
  </si>
  <si>
    <t>北京寿山福海健康管理有限公司</t>
  </si>
  <si>
    <t>酒精饮料原汁;白酒;烈酒（饮料）;开胃酒;含水果酒精饮料;葡萄酒;以葡萄酒为主的饮料;果酒（含酒精）;黄酒;蒸馏饮料</t>
  </si>
  <si>
    <t>拜伯维</t>
  </si>
  <si>
    <t>拜伯维郑州健康管理有限公司</t>
  </si>
  <si>
    <t>葡萄酒;果酒（含酒精）;蒸馏饮料;米酒;甜果酒;白兰地;白酒;黄酒;酒精饮料（啤酒除外）;含水果酒精饮料</t>
  </si>
  <si>
    <t>酒特迈</t>
  </si>
  <si>
    <t>郑州酒特卖电子商务有限公司</t>
  </si>
  <si>
    <t>果酒（含酒精）;露酒;黄酒;葡萄酒;米酒;酒精饮料（啤酒除外）;烧酒;青稞酒;白酒;威士忌</t>
  </si>
  <si>
    <t>顺天草原</t>
  </si>
  <si>
    <t>马文强</t>
  </si>
  <si>
    <t>苦荞酒;鸡尾酒;开胃酒;⽩酒;酒精饮料（啤酒除外）;果酒;烧酒;⾼粱酒;葡萄酒;甜酒</t>
  </si>
  <si>
    <t>武书房</t>
  </si>
  <si>
    <t>北京威尔摩登商业管理有限公司</t>
  </si>
  <si>
    <t>⽩酒;汽酒;酒精饮料浓缩汁;威⼠忌;⻩酒;⽶酒;鸡尾酒;烈酒;清酒;⾷⽤酒精</t>
  </si>
  <si>
    <t>椰子舅舅</t>
  </si>
  <si>
    <t>北京铂铭咨询管理有限公司</t>
  </si>
  <si>
    <t>果酒（含酒精）;鸡尾酒;烈酒（饮料）;葡萄酒;含⽔果酒精饮料;烧酒;⽩酒;利⼝酒;⽶酒;酒精饮料（啤酒除外）</t>
  </si>
  <si>
    <t>酒特麦</t>
  </si>
  <si>
    <t>烧酒;果酒（含酒精）;⻩酒;葡萄酒;露酒;⻘稞酒;⽶酒;酒精饮料（啤酒除外）;⽩酒;威⼠忌</t>
  </si>
  <si>
    <t>李宝顺</t>
  </si>
  <si>
    <t>重庆吉麦企业管理咨询有限公司</t>
  </si>
  <si>
    <t>⽩酒;⾼粱酒;果酒;蜂蜜酒;⽶酒;⻩酒;含⽔果酒精饮料;红葡萄酒;果酒（含酒精）;樱桃酒</t>
  </si>
  <si>
    <t>源漠金贝</t>
  </si>
  <si>
    <t>⽩酒;汽酒;酒精饮料原汁;葡萄酒;含⽔果酒精饮料;⾕物制蒸馏酒精饮料;酒精饮料浓缩汁;酒精饮料（啤酒除外）</t>
  </si>
  <si>
    <t>华中智</t>
  </si>
  <si>
    <t>西安信亿隆酒业有限公司</t>
  </si>
  <si>
    <t>开胃酒;葡萄酒;酒精饮料（啤酒除外）;苹果酒;预先混合的酒精饮料（以啤酒为主的除外）;酒精饮料原汁;含⽔果酒精饮料;果酒（含酒精）;鸡尾酒;烈酒（饮料）</t>
  </si>
  <si>
    <t>百脉豪情</t>
  </si>
  <si>
    <t>⽩酒;果酒（含酒精）;酸酒（低等葡萄酒）;汽酒;⽶酒;酒精饮料（啤酒除外）;开胃酒;苹果酒;葡萄酒;⻩酒</t>
  </si>
  <si>
    <t>VARSOVIE</t>
  </si>
  <si>
    <t>广州华馥甜酒业有限公司</t>
  </si>
  <si>
    <t>鸡尾酒;利⼝酒;烈酒（饮料）;含⽔果酒精饮料;预先混合的酒精饮料（以啤酒为主的除外）;伏特加酒;⾕物制蒸馏酒精饮料;蒸馏饮料;酒精饮料（啤酒除外）;果酒（含酒精）</t>
  </si>
  <si>
    <t>百脉泉梁邹情</t>
  </si>
  <si>
    <t>葡萄酒;⻩酒;开胃酒;⽩酒;酒精饮料（啤酒除外）;果酒（含酒精）;酸酒（低等葡萄酒）;⽶酒;汽酒;苹果酒</t>
  </si>
  <si>
    <t>普晶（陕西）投资咨询有限公司</t>
  </si>
  <si>
    <t>烈酒（饮料）;甜酒;⻩酒;⽶酒;烈酒;⽩酒;餐后酒（利⼝酒和烈酒）;烧酒;蜂蜜酒;⾼粱酒</t>
  </si>
  <si>
    <t>万俄优选</t>
  </si>
  <si>
    <t>满洲里万俄物联网科技有限公司</t>
  </si>
  <si>
    <t>葡萄酒;清酒（⽇本⽶酒）;果酒（含酒精）;苹果酒;鸡尾酒;⻩酒;⾷⽤酒精;⽩酒;蜂蜜酒;威⼠忌</t>
  </si>
  <si>
    <t>佳荷旺</t>
  </si>
  <si>
    <t>杭州超群工艺品有限公司</t>
  </si>
  <si>
    <t>含⽔果酒精饮料;⾷⽤酒精;⽩酒;⽶酒;⻩酒;酒精饮料（啤酒除外）;葡萄酒;烈酒（饮料）;烧酒;果酒（含酒精）</t>
  </si>
  <si>
    <t>威⼠忌;朗姆酒;⽩兰地;酒精饮料（啤酒除外）;鸡尾酒;葡萄酒;伏特加酒;餐后酒（利⼝酒和烈酒）;⽩酒;烈酒（饮料）</t>
  </si>
  <si>
    <t>道秘上膳缘</t>
  </si>
  <si>
    <t>鹰潭市龙虎山庄旅业有限公司</t>
  </si>
  <si>
    <t>果酒（含酒精）;⽩酒;鸡尾酒;烧酒;⻩酒;烈酒（饮料）;葡萄酒;⽶酒;酒精饮料（啤酒除外）;已调味的⻨芽酿制的酒精饮料（啤酒除外）</t>
  </si>
  <si>
    <t>源漠青羽</t>
  </si>
  <si>
    <t>⽩酒;葡萄酒;汽酒;⾕物制蒸馏酒精饮料;含⽔果酒精饮料;酒精饮料浓缩汁;酒精饮料（啤酒除外）;酒精饮料原汁</t>
  </si>
  <si>
    <t>汝海风</t>
  </si>
  <si>
    <t>葡萄酒;蒸馏饮料;⽶酒;烧酒;⾼粱酒;⽩酒;⽼酒（中国蒸馏烈酒）;⾕物制蒸馏酒精饮料;烧酒（烈酒）;含酒精⽔果饮料</t>
  </si>
  <si>
    <t>鲁宣</t>
  </si>
  <si>
    <t>王芝超</t>
  </si>
  <si>
    <t>烈酒（饮料）;烧酒;葡萄酒;⾕物制蒸馏酒精饮料;⽩酒;果酒;含酒精的饮料（啤酒除外）;开胃酒;鸡尾酒;⾼粱酒</t>
  </si>
  <si>
    <t>YAOXINGSHI</t>
  </si>
  <si>
    <t>山东耀星市政工程有限公司</t>
  </si>
  <si>
    <t>⽩酒;⽩兰地;果酒（含酒精）;烧酒;⻘稞酒;⻩酒;鸡尾酒;葡萄酒;威⼠忌;烈酒</t>
  </si>
  <si>
    <t>潮东顺</t>
  </si>
  <si>
    <t>汕头市东顺环保科技有限公司</t>
  </si>
  <si>
    <t>蜂蜜酒;烈酒（饮料）;⻩酒;⽩酒;鸡尾酒;苦味酒;⽶酒;⾕物制蒸馏酒精饮料;烧酒;果酒（含酒精）</t>
  </si>
  <si>
    <t>南省玄一堂</t>
  </si>
  <si>
    <t>陈伟强</t>
  </si>
  <si>
    <t>⽩酒;⻩酒;苦味酒;烧酒;蜂蜜酒;果酒（含酒精）;葡萄酒;利⼝酒;杜松⼦酒;⽶酒</t>
  </si>
  <si>
    <t>尘江涛</t>
  </si>
  <si>
    <t>刘晓冬</t>
  </si>
  <si>
    <t>酒精饮料原汁;果酒（含酒精）;⽶酒;烧酒;⽩酒;烈酒（饮料）;⾷⽤酒精;蒸馏饮料;酒精饮料（啤酒除外）;葡萄酒</t>
  </si>
  <si>
    <t>源漠仟食</t>
  </si>
  <si>
    <t>酒精饮料原汁;⽩酒;葡萄酒;含⽔果酒精饮料;酒精饮料（啤酒除外）;酒精饮料浓缩汁;汽酒;⾕物制蒸馏酒精饮料</t>
  </si>
  <si>
    <t>薯小龙</t>
  </si>
  <si>
    <t>鸡尾酒;葡萄酒;⻩酒;开胃酒;⽶酒;⽩酒;⻘稞酒;烧酒;果酒（含酒精）;酒精饮料（啤酒除外）</t>
  </si>
  <si>
    <t>佶世宝</t>
  </si>
  <si>
    <t>任俊佶</t>
  </si>
  <si>
    <t>酒精饮料原汁;⽩酒;酒精饮料（啤酒除外）;蒸馏饮料;由⾕物蒸馏的⽩酒;果酒（含酒精）;含酒精⽔果饮料;⻩酒;烧酒;⽶酒</t>
  </si>
  <si>
    <t>谈啸</t>
  </si>
  <si>
    <t>⻩酒;⽩酒;葡萄酒;果酒;鸡尾酒;开胃酒;烈酒（饮料）;酒精饮料（啤酒除外）;威⼠忌;清酒（⽇本⽶酒）</t>
  </si>
  <si>
    <t>观赐九方</t>
  </si>
  <si>
    <t>蒸馏饮料;果酒（含酒精）;清酒（⽇本⽶酒）;汽酒;⾷⽤酒精;葡萄酒;酒精饮料（啤酒除外）;烈酒（饮料）;⽩酒;⽶酒</t>
  </si>
  <si>
    <t>肚小皇</t>
  </si>
  <si>
    <t>酒精饮料（啤酒除外）;⻘稞酒;⽩酒;蒸馏饮料;⾼粱酒;果酒;葡萄酒;⻩酒;⽶酒;烧酒</t>
  </si>
  <si>
    <t>扬舟客</t>
  </si>
  <si>
    <t>含⽔果酒精饮料;果酒（含酒精）;⻘稞酒;烧酒;威⼠忌;⽩酒;⽶酒;⾷⽤酒精;⻩酒;烈酒（饮料）</t>
  </si>
  <si>
    <t>谧见</t>
  </si>
  <si>
    <t>除啤酒外的酒精饮料;露酒;⽶酒;梅酒;葡萄酒;果酒;⻩酒;⽩酒;由⾕物蒸馏的⽩酒;清酒</t>
  </si>
  <si>
    <t>境遇洞方</t>
  </si>
  <si>
    <t>刘振</t>
  </si>
  <si>
    <t>葡萄酒;梨酒;⽩酒;开胃酒;⽶酒;烧酒;利⼝酒;⻘稞酒;⻩酒;⾼粱酒</t>
  </si>
  <si>
    <t>袁自生</t>
  </si>
  <si>
    <t>清酒;酒精饮料（啤酒除外）;果酒（含酒精）;⽩酒;⻩酒;开胃酒;烧酒;葡萄酒;蒸馏饮料;鸡尾酒</t>
  </si>
  <si>
    <t>白醉山</t>
  </si>
  <si>
    <t>陈友涛</t>
  </si>
  <si>
    <t>果酒（含酒精）;威⼠忌;⽩酒;葡萄酒;⻩酒;清酒（⽇本⽶酒）;开胃酒;鸡尾酒;酒精饮料（啤酒除外）;烈酒</t>
  </si>
  <si>
    <t>百脉</t>
  </si>
  <si>
    <t>⽩酒;苹果酒;葡萄酒;酒精饮料（啤酒除外）;开胃酒;果酒（含酒精）;酸酒（低等葡萄酒）;汽酒;⻩酒;⽶酒</t>
  </si>
  <si>
    <t>酿遨</t>
  </si>
  <si>
    <t>王小红</t>
  </si>
  <si>
    <t>⽶酒;⽩酒;酒精饮料浓缩汁;葡萄酒;蒸煮提取物（利⼝酒和烈酒）;烧酒（烈酒）;酒精饮料（啤酒除外）;果酒（含酒精）;⾷⽤酒精;烧酒</t>
  </si>
  <si>
    <t>清照传奇</t>
  </si>
  <si>
    <t>葡萄酒;⽶酒;⽩酒;果酒（含酒精）;酸酒（低等葡萄酒）;汽酒;酒精饮料（啤酒除外）;⻩酒;开胃酒;苹果酒</t>
  </si>
  <si>
    <t>百脉壹号</t>
  </si>
  <si>
    <t>果酒（含酒精）;开胃酒;苹果酒;葡萄酒;⻩酒;⽩酒;酸酒（低等葡萄酒）;酒精饮料（啤酒除外）;⽶酒;汽酒</t>
  </si>
  <si>
    <t>眠宝莱</t>
  </si>
  <si>
    <t>方民</t>
  </si>
  <si>
    <t>果酒;蒸馏饮料;以朗姆酒为主的饮料;露酒;预先混合的酒精饮料（以啤酒为主的除外）;以葡萄酒为主的饮料;⽶酒;含酒精的饮料（啤酒除外）;含酒精的充⽓饮料（啤酒除外）;含⽔果酒精饮料</t>
  </si>
  <si>
    <t>宁五</t>
  </si>
  <si>
    <t>内蒙古泰鑫能源有限责任公司</t>
  </si>
  <si>
    <t>葡萄酒;威⼠忌;酒精饮料（啤酒除外）;⽶酒;⽩酒;清酒（⽇本⽶酒）;果酒（含酒精）;烈酒（饮料）;烧酒;⻩酒</t>
  </si>
  <si>
    <t>黄药仙</t>
  </si>
  <si>
    <t>佛山十八锤品牌策划有限公司</t>
  </si>
  <si>
    <t>果酒（含酒精）;⽢蔗制酒精饮料;苹果酒;薄荷酒;以葡萄酒为主的饮料;含酒精的⽓泡⽔;⻩酒;葡萄酒;⽩酒;⾕物制蒸馏酒精饮料</t>
  </si>
  <si>
    <t>白酩君</t>
  </si>
  <si>
    <t>⽩酒;⻩酒;鸡尾酒;威⼠忌;清酒（⽇本⽶酒）;烧酒;⻘稞酒;开胃酒;烈酒（饮料）;蜂蜜酒</t>
  </si>
  <si>
    <t>林霸虎</t>
  </si>
  <si>
    <t>黄烽坡</t>
  </si>
  <si>
    <t>茴芹酒（利⼝酒）;果酒（含酒精）;鸡尾酒;烈酒（饮料）;⽶酒;威⼠忌;蒸馏饮料;⽩兰地;清酒（⽇本⽶酒）;葡萄酒</t>
  </si>
  <si>
    <t>垣熙</t>
  </si>
  <si>
    <t>魏大彬</t>
  </si>
  <si>
    <t>⽶酒;烧酒;⻩酒;⽩⼲酒（中国⽩酒）;酒精饮料（啤酒除外）;⽩酒</t>
  </si>
  <si>
    <t>骥励</t>
  </si>
  <si>
    <t>黄小兰</t>
  </si>
  <si>
    <t>烧酒;⾼粱酒;清酒（⽇本⽶酒）;⽶酒;⻩酒;鸡尾酒;果酒（含酒精）;⽩兰地;⽩酒;威⼠忌</t>
  </si>
  <si>
    <t>御颐春</t>
  </si>
  <si>
    <t>重庆药研院医疗管理有限公司</t>
  </si>
  <si>
    <t>葡萄酒;酒精饮料（啤酒除外）;⽩酒;餐后酒（利⼝酒和烈酒）;清酒;含酒精⽔果饮料;⽩兰地;蜂蜜酒;⽶酒;⻩酒</t>
  </si>
  <si>
    <t>红韵西岭</t>
  </si>
  <si>
    <t>葡萄酒;果酒;酒精饮料（啤酒除外）;⾷⽤酒精;汽酒;⽶酒;⽩酒;烧酒;烈酒（饮料）;蒸煮提取物（利⼝酒和烈酒）</t>
  </si>
  <si>
    <t>东芳金穗</t>
  </si>
  <si>
    <t>邱俊升</t>
  </si>
  <si>
    <t>⽩酒;烈酒;清酒（⽇本⽶酒）;威⼠忌;酒精饮料（啤酒除外）;鸡尾酒;葡萄酒;⻩酒;果酒（含酒精）;开胃酒</t>
  </si>
  <si>
    <t>信呱呱</t>
  </si>
  <si>
    <t>信呱呱（辽宁）网络科技有限公司</t>
  </si>
  <si>
    <t>⽶酒;汽酒;葡萄酒;酒精饮料（啤酒除外）;⽩酒;果酒（含酒精）;鸡尾酒;含⽔果酒精饮料;开胃酒;⻘稞酒</t>
  </si>
  <si>
    <t>闽捌嘉</t>
  </si>
  <si>
    <t>酒精饮料浓缩汁;烧酒;由⾕物蒸馏的⽩酒;⻩酒;⽶酒;苹果酒;以葡萄酒为主的饮料;⽩酒;⾼粱酒;果酒</t>
  </si>
  <si>
    <t>弓有力</t>
  </si>
  <si>
    <t>安徽拂旦生态农业科技有限公司</t>
  </si>
  <si>
    <t>⻩酒;亚⼒酒;⽩酒;⾷⽤酒精;烈酒（饮料）;利⼝酒;蜂蜜酒;烧酒;汽酒;清酒（⽇本⽶酒）</t>
  </si>
  <si>
    <t>二重山</t>
  </si>
  <si>
    <t>陕西宝隆酒业有限公司</t>
  </si>
  <si>
    <t>果酒（含酒精）;葡萄酒;烈酒（饮料）;⽩酒;伏特加酒;烧酒;⽩兰地;威⼠忌;⽶酒;⻩酒</t>
  </si>
  <si>
    <t>酌娘子</t>
  </si>
  <si>
    <t>烈酒（饮料）;烧酒;清酒（⽇本⽶酒）;威⼠忌;开胃酒;鸡尾酒;蜂蜜酒;⻘稞酒;⻩酒;⽩酒</t>
  </si>
  <si>
    <t>北京鸿品共创供应链管理有限公司</t>
  </si>
  <si>
    <t>苹果酒;柑⾹酒;酒精饮料原汁;⾕物制蒸馏酒精饮料;⽩酒;⾷⽤酒精;果酒（含酒精）;酒精饮料（啤酒除外）;含⽔果酒精饮料;开胃酒</t>
  </si>
  <si>
    <t>醉谊</t>
  </si>
  <si>
    <t>⻩酒;⽩⼲酒（中国⽩酒）;葡萄酒;⽩酒;甜果酒;果酒（含酒精）;烧酒;酒精饮料（啤酒除外）;清酒;烈酒（饮料）</t>
  </si>
  <si>
    <t>良木礼</t>
  </si>
  <si>
    <t>傅琪琪</t>
  </si>
  <si>
    <t>烧酒;⽩兰地;⻩酒;葡萄酒;⽶酒;鸡尾酒;含⽔果酒精饮料;⽩酒;威⼠忌;果酒（含酒精）</t>
  </si>
  <si>
    <t>正逢春</t>
  </si>
  <si>
    <t>四川古龙文化传播有限公司</t>
  </si>
  <si>
    <t>葡萄酒;⻘稞酒;开胃酒;烧酒;⾷⽤酒精;⽩酒;果酒（含酒精）;酒精饮料原汁;⽶酒;利⼝酒</t>
  </si>
  <si>
    <t>邑韵梅</t>
  </si>
  <si>
    <t>果酒;酒精饮料（啤酒除外）;蒸煮提取物（利⼝酒和烈酒）;烈酒（饮料）;⾷⽤酒精;⽩酒;烧酒;⽶酒;葡萄酒;汽酒</t>
  </si>
  <si>
    <t>圣酿四君</t>
  </si>
  <si>
    <t>荣永超</t>
  </si>
  <si>
    <t>果酒（含酒精）;开胃酒;鸡尾酒;烈酒（饮料）;含⽔果酒精饮料;蒸馏饮料;⽩酒;葡萄酒;酒精饮料（啤酒除外）;⻩酒</t>
  </si>
  <si>
    <t>烩飞</t>
  </si>
  <si>
    <t>广州美升供应链有限公司</t>
  </si>
  <si>
    <t>⽩酒;开胃酒;果酒（含酒精）;威⼠忌;⽶酒;含⽔果酒精饮料;烧酒;葡萄酒;烈酒（饮料）;酒精饮料（啤酒除外）</t>
  </si>
  <si>
    <t>鸡尾酒;含⽔果酒精饮料;果酒（含酒精）;葡萄酒;清酒;烈酒;⽶酒;烧酒;⽩酒;威⼠忌</t>
  </si>
  <si>
    <t>合龙洞</t>
  </si>
  <si>
    <t>烧酒;⽩酒;清酒;开胃酒;葡萄酒;果酒（含酒精）;酒精饮料（啤酒除外）;柑⾹酒;烈酒（饮料）;蒸煮提取物（利⼝酒和烈酒）</t>
  </si>
  <si>
    <t>浔粮辰</t>
  </si>
  <si>
    <t>威⼠忌;⻩酒;开胃酒;清酒（⽇本⽶酒）;烈酒（饮料）;烧酒;⽩酒;⻘稞酒;鸡尾酒;蜂蜜酒</t>
  </si>
  <si>
    <t>CREAKEICH 科睿可琦</t>
  </si>
  <si>
    <t>海口科睿可琦咨询服务有限公司</t>
  </si>
  <si>
    <t>⽶酒;⻘稞酒;烈酒（饮料）;威⼠忌;⻩酒;⽩兰地;清酒（⽇本⽶酒）;葡萄酒;伏特加酒;果酒（含酒精）</t>
  </si>
  <si>
    <t>维晶尼</t>
  </si>
  <si>
    <t>上海维吉尼品牌管理有限公司</t>
  </si>
  <si>
    <t>鸡尾酒;清酒;葡萄酒;汽酒;含酒精的饮料（啤酒除外）;果酒;⻩酒;含⽔果酒精饮料;⽶酒;⽩酒</t>
  </si>
  <si>
    <t>清照尊雅</t>
  </si>
  <si>
    <t>苹果酒;酸酒（低等葡萄酒）;⻩酒;开胃酒;果酒（含酒精）;汽酒;酒精饮料（啤酒除外）;⽶酒;⽩酒;葡萄酒</t>
  </si>
  <si>
    <t>千年仙牛</t>
  </si>
  <si>
    <t>张毅510183********0027</t>
  </si>
  <si>
    <t>酒精饮料（啤酒除外）;鸡尾酒;以蒸馏酒为主的开胃酒;威⼠忌;⽩兰地;⾷⽤酒精;清酒（⽇本⽶酒）;葡萄酒;含酒精⽔果饮料;⽩酒</t>
  </si>
  <si>
    <t>光洋新博大</t>
  </si>
  <si>
    <t>周光洋</t>
  </si>
  <si>
    <t>鸡尾酒;⽩酒;薄荷酒;苦味酒;朗姆酒;伏特加酒;果酒;开胃酒;清酒;利⼝酒</t>
  </si>
  <si>
    <t>董洪章</t>
  </si>
  <si>
    <t>深圳康轻松健康创新科技有限公司</t>
  </si>
  <si>
    <t>葡萄酒;⻩酒;果酒（含酒精）;蜂蜜酒;⻘稞酒;⽶酒;⽩酒;蒸馏饮料;烧酒;清酒（⽇本⽶酒）</t>
  </si>
  <si>
    <t>鸿天门</t>
  </si>
  <si>
    <t>甜酒;威⼠忌;烧酒;⽩酒;⽩兰地;果酒（含酒精）;⻩酒;⽶酒;葡萄酒;鸡尾酒</t>
  </si>
  <si>
    <t>素馗堂</t>
  </si>
  <si>
    <t>重庆素曼生态农业开发有限公司</t>
  </si>
  <si>
    <t>开胃酒;梨酒;烧酒;含⽔果酒精饮料;蜂蜜酒;⽶酒;果酒（含酒精）;苦味酒;⻩酒;蒸馏饮料</t>
  </si>
  <si>
    <t>红半城</t>
  </si>
  <si>
    <t>仁怀市陈世酿酒作坊</t>
  </si>
  <si>
    <t>果酒（含酒精）;苹果酒;餐后酒（利⼝酒和烈酒）;⾕物制蒸馏酒精饮料;露酒;蒸馏饮料;⽩酒;烈酒（饮料）;⽶酒;葡萄酒</t>
  </si>
  <si>
    <t>化氏蓝箭</t>
  </si>
  <si>
    <t>烧酒;⽩酒;果酒（含酒精）;开胃酒;红葡萄酒;含酒精的饮料（啤酒除外）;⾼粱酒;⽶酒;烈酒;果酒</t>
  </si>
  <si>
    <t>千峰秘恋</t>
  </si>
  <si>
    <t>慈溪捷宜宝软件科技有限公司</t>
  </si>
  <si>
    <t>果酒;葡萄酒;⻩酒;开胃酒;酒精饮料（啤酒除外）;⽶酒;烈酒;蒸馏饮料;⽩酒;烧酒</t>
  </si>
  <si>
    <t>金御颜和</t>
  </si>
  <si>
    <t>贵州省贵阳市金禧御典酒业有限公司</t>
  </si>
  <si>
    <t>薄荷酒;⻩酒;葡萄酒;开胃酒;含⽔果酒精饮料;蒸馏饮料;果酒（含酒精）;蜂蜜酒;酒精饮料（啤酒除外）;⽩酒</t>
  </si>
  <si>
    <t>陈沽酿</t>
  </si>
  <si>
    <t>上海豐韵实业有限公司</t>
  </si>
  <si>
    <t>果酒（含酒精）;鸡尾酒;含⽔果酒精饮料;烈酒（饮料）;⽶酒;⾷⽤酒精;利⼝酒;⽩酒;葡萄酒;⻩酒</t>
  </si>
  <si>
    <t>WEILLA</t>
  </si>
  <si>
    <t>济南美多克酒业有限公司</t>
  </si>
  <si>
    <t>葡萄酒;烈酒（饮料）;果酒;鸡尾酒;酒精饮料（啤酒除外）;⽶酒;⽩酒;含酒精的饮料（啤酒除外）;甜酒;威⼠忌</t>
  </si>
  <si>
    <t>衡胤烧坊</t>
  </si>
  <si>
    <t>陈钢宗</t>
  </si>
  <si>
    <t>⽶酒;⾷⽤酒精;⽩⼲酒（中国⽩酒）;葡萄酒;⽩酒;清酒;⾼粱酒;⻩酒;烧酒;烧酒（烈酒）</t>
  </si>
  <si>
    <t>涟水湖</t>
  </si>
  <si>
    <t>张兆军</t>
  </si>
  <si>
    <t>蜂蜜酒;果酒;⽩酒;清酒;⽶酒;蒸煮提取物（利⼝酒和烈酒）;⻩酒;酒精饮料（啤酒除外）;葡萄酒;烧酒</t>
  </si>
  <si>
    <t>三重山</t>
  </si>
  <si>
    <t>烈酒（饮料）;威⼠忌;伏特加酒;果酒（含酒精）;⽩酒;⻩酒;⽩兰地;⽶酒;烧酒;葡萄酒</t>
  </si>
  <si>
    <t>九特卖</t>
  </si>
  <si>
    <t>果酒（含酒精）;⻩酒;威⼠忌;酒精饮料（啤酒除外）;⻘稞酒;烧酒;露酒;⽶酒;葡萄酒;⽩酒</t>
  </si>
  <si>
    <t>宸肴坊</t>
  </si>
  <si>
    <t>⻘稞酒;葡萄酒;果酒;⽩葡萄酒;⽩酒;⻘梅酒;⽶酒;清酒;烧酒;甜酒</t>
  </si>
  <si>
    <t>金方御草集</t>
  </si>
  <si>
    <t>山东省万众康电子商务有限公司</t>
  </si>
  <si>
    <t>葡萄酒;⽩酒;已调味的蒸馏酒;⽩兰地;鸡尾酒;酒精饮料（啤酒除外）;果酒;威⼠忌;开胃酒;⻩酒</t>
  </si>
  <si>
    <t>汝海清</t>
  </si>
  <si>
    <t>⽩酒;⽶酒;果酒;蒸馏饮料;已调味的⻨芽酿制的酒精饮料（啤酒除外）;葡萄酒;烧酒;含酒精⽔果饮料;⾕物制蒸馏酒精饮料;苦荞酒</t>
  </si>
  <si>
    <t>鲁字鲁酒</t>
  </si>
  <si>
    <t>鲁广伟</t>
  </si>
  <si>
    <t>烧酒;⻩酒;⽶酒;⾷⽤酒精;果酒（含酒精）;⽩酒;露酒;烈酒（饮料）;鸡尾酒;⾕物制蒸馏酒精饮料</t>
  </si>
  <si>
    <t>乌获</t>
  </si>
  <si>
    <t>广州泗海齐名贸易有限公司</t>
  </si>
  <si>
    <t>威⼠忌;⽶酒;朗姆酒;⽩酒;⽩兰地;伏特加酒;薄荷酒;果酒（含酒精）;烈酒（饮料）;葡萄酒</t>
  </si>
  <si>
    <t>乙米道</t>
  </si>
  <si>
    <t>王玉玺</t>
  </si>
  <si>
    <t>甜果酒;⽩酒;⽶酒;烈酒（饮料）;⾷⽤酒精;酒精饮料（啤酒除外）;果酒（含酒精）;葡萄酒;鸡尾酒;烧酒</t>
  </si>
  <si>
    <t>塔库提</t>
  </si>
  <si>
    <t>新疆海德坤农业科技有限责任公司</t>
  </si>
  <si>
    <t>⾷⽤酒精;⽩酒;酒精饮料（啤酒除外）;⽶酒;烧酒;烈酒（饮料）;⻩酒;果酒（含酒精）;葡萄酒;威⼠忌</t>
  </si>
  <si>
    <t>豫掌柜</t>
  </si>
  <si>
    <t>张会涛410426********0510</t>
  </si>
  <si>
    <t>果酒（含酒精）;⻩酒;鸡尾酒;⽶酒;烧酒;酒精饮料（啤酒除外）;烈酒;⽩酒;葡萄酒;蒸馏饮料</t>
  </si>
  <si>
    <t>意食礼</t>
  </si>
  <si>
    <t>逸特丽股份公司</t>
  </si>
  <si>
    <t>已调味的蒸馏酒;朗姆酒;起泡⽩葡萄酒;烈酒;甜果酒;甜酒;伏特加酒;以葡萄酒为主的开胃酒;含酒精的鸡尾酒混合饮品;含酒精的充⽓饮料（啤酒除外）;含酒精蛋奶酒;含酒精的⽔果鸡尾酒饮料;开胃酒;烈性⼲酒;由⾕物蒸馏的⽩酒;天然汽酒;桃红葡萄酒;⽢蔗制烈酒;威末酒;以葡萄酒为主的饮料;苦味酒;黑覆盆⼦酒;⽩兰地;奶油利...</t>
  </si>
  <si>
    <t>图兰克</t>
  </si>
  <si>
    <t>史燕红</t>
  </si>
  <si>
    <t>鸡尾酒;酒精饮料（啤酒除外）;调制好的葡萄酒鸡尾酒;朗姆酒;威⼠忌;伏特加酒;葡萄酒;果酒;⽩兰地;⻩酒</t>
  </si>
  <si>
    <t>光标 GUANBIAO</t>
  </si>
  <si>
    <t>杭州圣珠生物科技有限公司</t>
  </si>
  <si>
    <t>葡萄酒;杜松⼦酒;⽩兰地;含⽔果酒精饮料;朗姆酒;酒精饮料（啤酒除外）;⽩酒;薄荷酒;果酒（含酒精）;烈酒（饮料）</t>
  </si>
  <si>
    <t>万家苏</t>
  </si>
  <si>
    <t>⽩酒;烧酒;果酒（含酒精）;葡萄酒;⽶酒;烈酒（饮料）;⾷⽤酒精;酒精饮料（啤酒除外）;开胃酒;⻩酒</t>
  </si>
  <si>
    <t>惯胜</t>
  </si>
  <si>
    <t>黑龙江省云谷印象商贸有限公司</t>
  </si>
  <si>
    <t>果酒（含酒精）;⽶酒;⽩酒;烈酒（饮料）;酒精饮料（啤酒除外）;葡萄酒;汽酒;⻩酒;烧酒;鸡尾酒</t>
  </si>
  <si>
    <t>馥驾</t>
  </si>
  <si>
    <t>威⼠忌;清酒（⽇本⽶酒）;⻩酒;烈酒（饮料）;烧酒;⻘稞酒;开胃酒;鸡尾酒;蜂蜜酒;⽩酒</t>
  </si>
  <si>
    <t>金半城</t>
  </si>
  <si>
    <t>果酒（含酒精）;烈酒（饮料）;蒸馏饮料;⽶酒;⾕物制蒸馏酒精饮料;餐后酒（利⼝酒和烈酒）;苹果酒;葡萄酒;⽩酒;露酒</t>
  </si>
  <si>
    <t>台毟</t>
  </si>
  <si>
    <t>遵义黔北鸿升实业有限公司</t>
  </si>
  <si>
    <t>清酒;蜂蜜酒;甜酒;⽩酒;烧酒（烈酒）;⾼粱酒;⽼酒（中国蒸馏烈酒）;⽩⼲酒（中国⽩酒）;开胃酒;⽶酒</t>
  </si>
  <si>
    <t>衡姬</t>
  </si>
  <si>
    <t>⻘稞酒;酒精饮料原汁;果酒（含酒精）;利⼝酒;烧酒;⽩酒;⾷⽤酒精;开胃酒;葡萄酒;⽶酒</t>
  </si>
  <si>
    <t>优粤</t>
  </si>
  <si>
    <t>罗杏</t>
  </si>
  <si>
    <t>烈酒（饮料）;烧酒;果酒（含酒精）;葡萄酒;预先混合的酒精饮料（以啤酒为主的除外）;⽩酒;⻩酒;威⼠忌;⽶酒;利⼝酒</t>
  </si>
  <si>
    <t>上海王义斋食品有限公司</t>
  </si>
  <si>
    <t>酒精饮料（啤酒除外）;汽酒;⻩酒;蒸馏饮料;葡萄酒;含⽔果酒精饮料;烈酒（饮料）;⽶酒;果酒（含酒精）;⽩酒</t>
  </si>
  <si>
    <t>马裕隆</t>
  </si>
  <si>
    <t>成都麻辣星球餐饮管理有限公司</t>
  </si>
  <si>
    <t>以葡萄酒为主的饮料;含酒精的⽓泡⽔;⽩酒;威⼠忌;酒精饮料原汁;鸡尾酒;葡萄酒;⽶酒;蜂蜜酒;⻩酒</t>
  </si>
  <si>
    <t>禹仁</t>
  </si>
  <si>
    <t>贵州禹仁酒业有限公司</t>
  </si>
  <si>
    <t>威⼠忌;⾼粱酒;甜酒;葡萄酒;⽩酒;⻩酒;⽩兰地;⽶酒;果酒;朗姆酒</t>
  </si>
  <si>
    <t>清照园</t>
  </si>
  <si>
    <t>⽶酒;汽酒;果酒（含酒精）;苹果酒;⻩酒;酒精饮料（啤酒除外）;⽩酒;开胃酒;酸酒（低等葡萄酒）;葡萄酒</t>
  </si>
  <si>
    <t>台蕴</t>
  </si>
  <si>
    <t>烈酒（饮料）;酒精饮料（啤酒除外）;蒸馏饮料;⽶酒;果酒（含酒精）;⽩酒;苹果酒;鸡尾酒;含⽔果酒精饮料;⻩酒</t>
  </si>
  <si>
    <t>王家御源堂</t>
  </si>
  <si>
    <t>北京御源堂国际中医医院</t>
  </si>
  <si>
    <t>⽶酒;⻩酒;果酒（含酒精）;蒸馏饮料;蜂蜜酒;以葡萄酒为主的饮料;开胃酒;⽩酒;酒精饮料原汁;⾕物制蒸馏酒精饮料</t>
  </si>
  <si>
    <t>船奇</t>
  </si>
  <si>
    <t>河南新塔斯酒店管理有限公司</t>
  </si>
  <si>
    <t>酒精饮料（啤酒除外）;⽩酒;烈酒;果酒;⽶酒;葡萄酒;威⼠忌;混合威⼠忌酒;⻩酒;开胃酒</t>
  </si>
  <si>
    <t>醉方侯</t>
  </si>
  <si>
    <t>青岛颂千露酒水有限公司</t>
  </si>
  <si>
    <t>酒精饮料（啤酒除外）;含酒精的饮料（啤酒除外）;⽼酒（中国蒸馏烈酒）;除啤酒外的酒精饮料;烧酒;⻩酒;⽩酒;⽩⼲酒（中国⽩酒）;⾕物制蒸馏酒精饮料;⽶酒</t>
  </si>
  <si>
    <t>贤龙舟</t>
  </si>
  <si>
    <t>郑州安之诺商贸有限公司</t>
  </si>
  <si>
    <t>果酒（含酒精）;烈酒（饮料）;⻩酒;⽶酒;甜酒;开胃酒;苹果酒;葡萄酒;⽩酒;烧酒</t>
  </si>
  <si>
    <t>鹑觚老秦人</t>
  </si>
  <si>
    <t>陕西金醇古酒业有限责任公司</t>
  </si>
  <si>
    <t>葡萄酒;⽶酒;⾷⽤酒精;含⽔果酒精饮料;烈酒（饮料）;烧酒;⽩酒;⾕物制蒸馏酒精饮料;⻩酒;果酒（含酒精）</t>
  </si>
  <si>
    <t>圣域红颜</t>
  </si>
  <si>
    <t>海南健辉三木酒业有限责任公司</t>
  </si>
  <si>
    <t>⽩酒;⽔果汽酒;果酒（含酒精）;葡萄酒;桃红葡萄酒;酒精饮料原汁;露酒;梅酒;鸡尾酒;⽶酒</t>
  </si>
  <si>
    <t>圣贤关</t>
  </si>
  <si>
    <t>四川参天楼实业有限公司</t>
  </si>
  <si>
    <t>⽩酒;⽶酒;烧酒;⻘稞酒;以葡萄酒为主的饮料;⻩酒;果酒（含酒精）;葡萄酒;酒精饮料原汁;开胃酒</t>
  </si>
  <si>
    <t>即见自在</t>
  </si>
  <si>
    <t>北京即见信息科技有限公司</t>
  </si>
  <si>
    <t>烧酒;⾷⽤酒精;⽩酒;葡萄酒;开胃酒;⽶酒;⻘稞酒;⻩酒;果酒（含酒精）;利⼝酒</t>
  </si>
  <si>
    <t>姜楼</t>
  </si>
  <si>
    <t>杨琳（371621********5521）</t>
  </si>
  <si>
    <t>果酒（含酒精）;清酒（⽇本⽶酒）;⽩酒;汽酒;烧酒;烈酒（饮料）;⻩酒;⽼酒（中国蒸馏烈酒）;⽶酒;葡萄酒</t>
  </si>
  <si>
    <t>辰植</t>
  </si>
  <si>
    <t>浙江铂天食品有限公司</t>
  </si>
  <si>
    <t>蒸馏饮料;酒精饮料（啤酒除外）;含⽔果酒精饮料;⽶酒;⽩兰地;威⼠忌;⽩酒;果酒（含酒精）;葡萄酒;⻩酒</t>
  </si>
  <si>
    <t>林尽水源</t>
  </si>
  <si>
    <t>五峰水尽源洞藏酒业有限公司</t>
  </si>
  <si>
    <t>酒精饮料（啤酒除外）;⽶酒;⽩酒;果酒（含酒精）;⻩酒;葡萄酒;鸡尾酒;⾷⽤酒精;含⽔果酒精饮料;蒸馏饮料</t>
  </si>
  <si>
    <t>萃澜竹</t>
  </si>
  <si>
    <t>张爱军</t>
  </si>
  <si>
    <t>果酒（含酒精）;烈酒（饮料）;酒精饮料（啤酒除外）;威⼠忌;⽶酒;烧酒;葡萄酒;鸡尾酒;⽩兰地;⽩酒</t>
  </si>
  <si>
    <t>宝江</t>
  </si>
  <si>
    <t>内蒙古金浆玉醴酒业有限公司</t>
  </si>
  <si>
    <t>以葡萄酒为主的开胃酒;⽩酒;⾼粱酒;⽼酒（中国蒸馏烈酒）;餐后酒（利⼝酒和烈酒）;⽩⼲酒（中国⽩酒）;烈酒;已调味的蒸馏酒;果酒（含酒精）;果酒</t>
  </si>
  <si>
    <t>LU TIAN BAO</t>
  </si>
  <si>
    <t>泸州老灶酒业有限公司</t>
  </si>
  <si>
    <t>⻩酒;果酒;烧酒;苦荞酒;清酒;⻘梅酒;⽶酒;露酒;梅酒;烈酒</t>
  </si>
  <si>
    <t>第二梦</t>
  </si>
  <si>
    <t>边丽霞</t>
  </si>
  <si>
    <t>果酒（含酒精）;烈酒（饮料）;⽩酒;开胃酒;⾼粱酒;酒精饮料（啤酒除外）;⾷⽤酒精;利⼝酒;烧酒;葡萄酒</t>
  </si>
  <si>
    <t>御泉禾</t>
  </si>
  <si>
    <t>海口壹家馨贸易有限公司</t>
  </si>
  <si>
    <t>汽酒;鸡尾酒;朗姆酒;预先混合的酒精饮料（以啤酒为主的除外）;葡萄酒;⽩酒;果酒;⽶酒;烧酒;餐后酒（利⼝酒和烈酒）</t>
  </si>
  <si>
    <t>贵仙尊</t>
  </si>
  <si>
    <t>周杨海510111********1035</t>
  </si>
  <si>
    <t>⽶酒;果酒;威⼠忌;⻘稞酒;⽩酒;葡萄酒;鸡尾酒;⽩兰地;酒精饮料（啤酒除外）;⻩酒</t>
  </si>
  <si>
    <t>黔男人</t>
  </si>
  <si>
    <t>务川县东娅食品有限责任公司</t>
  </si>
  <si>
    <t>蜂蜜酒;含⽔果酒精饮料;果酒（含酒精）;⽩酒;果酒;苹果酒;⽩⼲酒（中国⽩酒）;由⾕物蒸馏的⽩酒</t>
  </si>
  <si>
    <t>LU DA WANG</t>
  </si>
  <si>
    <t>利⼝酒;⻩酒;果酒（含酒精）;烈酒（饮料）;梅酒;露酒;⻘梅酒;⽶酒;烈酒;烧酒</t>
  </si>
  <si>
    <t>VIME</t>
  </si>
  <si>
    <t>强文</t>
  </si>
  <si>
    <t>开胃酒;葡萄酒;酒精饮料（啤酒除外）;汽酒;⽩酒;果酒（含酒精）;蒸馏饮料;烈酒（饮料）;烧酒;朗姆酒</t>
  </si>
  <si>
    <t>冀粮将</t>
  </si>
  <si>
    <t>青岛耶力炫食品饮料有限公司</t>
  </si>
  <si>
    <t>⽶酒;⽩⼲酒（中国⽩酒）;除啤酒外的酒精饮料;⽼酒（中国蒸馏烈酒）;⻩酒;烧酒;⾕物制蒸馏酒精饮料;⽩酒;含酒精的饮料（啤酒除外）;酒精饮料（啤酒除外）</t>
  </si>
  <si>
    <t>澄帝</t>
  </si>
  <si>
    <t>韦港</t>
  </si>
  <si>
    <t>酒精饮料（啤酒除外）;葡萄酒;清酒（⽇本⽶酒）;⻩酒;威⼠忌;果酒;开胃酒;鸡尾酒;烈酒（饮料）;⽩酒</t>
  </si>
  <si>
    <t>俄比熊</t>
  </si>
  <si>
    <t>俄比熊国际贸易（武汉）有限公司</t>
  </si>
  <si>
    <t>苹果酒;⻩酒;果酒（含酒精）;葡萄酒;⽩兰地;⽶酒;伏特加酒;含⽔果酒精饮料;⽩酒;蒸馏饮料</t>
  </si>
  <si>
    <t>项永年</t>
  </si>
  <si>
    <t>蒸馏⽶酒（泡盛酒）;果酒;葡萄酒;⻩酒;⽶酒;蜂蜜酒;已调味的蒸馏酒;含酒精的饮料（啤酒除外）;⽩酒;露酒</t>
  </si>
  <si>
    <t>祖居情</t>
  </si>
  <si>
    <t>毛剑南</t>
  </si>
  <si>
    <t>鸡尾酒;酒精饮料（啤酒除外）;烈酒（饮料）;⽶酒;清酒（⽇本⽶酒）;伏特加酒;酒精饮料原汁;葡萄酒;⽩酒;威⼠忌</t>
  </si>
  <si>
    <t>帝鸿川</t>
  </si>
  <si>
    <t>烈酒（饮料）;酒精饮料（啤酒除外）;果酒（含酒精）;⽩酒;鸡尾酒;⽩兰地;⽶酒;烧酒;葡萄酒;威⼠忌</t>
  </si>
  <si>
    <t>千潭坤</t>
  </si>
  <si>
    <t>⾼粱酒;清酒（⽇本⽶酒）;朗姆酒;伏特加酒;⽶酒;⽩酒;烧酒;⻘稞酒;果酒（含酒精）;⽩葡萄酒</t>
  </si>
  <si>
    <t>财富姜楼</t>
  </si>
  <si>
    <t>果酒（含酒精）;黄酒;白酒;露酒;葡萄酒;酒精饮料（啤酒除外）;烈酒（饮料）;米酒;烧酒;蜂蜜酒</t>
  </si>
  <si>
    <t>情义姜楼</t>
  </si>
  <si>
    <t>果酒（含酒精）;蜂蜜酒;⽩酒;葡萄酒;烧酒;露酒;⽶酒;⻩酒;烈酒（饮料）;酒精饮料（啤酒除外）</t>
  </si>
  <si>
    <t>臻知己·三两知己</t>
  </si>
  <si>
    <t>深圳市优你家互联网科技有限公司</t>
  </si>
  <si>
    <t>⽶酒;鸡尾酒;⻩酒;葡萄酒;清酒（⽇本⽶酒）;烧酒;⽩酒;⻘稞酒;果酒（含酒精）;威⼠忌</t>
  </si>
  <si>
    <t>沛现二哥</t>
  </si>
  <si>
    <t>江苏小算盘财务（集团）有限公司</t>
  </si>
  <si>
    <t>⽩酒;烈酒（饮料）;⾷⽤酒精;烧酒;⽶酒;清酒（⽇本⽶酒）;蒸煮提取物（利⼝酒和烈酒）;葡萄酒;伏特加酒;果酒（含酒精）</t>
  </si>
  <si>
    <t>望琴海</t>
  </si>
  <si>
    <t>酒精饮料（啤酒除外）;烈酒（饮料）;果酒（含酒精）;⽩酒;⽩兰地;鸡尾酒;烧酒;葡萄酒;⽶酒;威⼠忌</t>
  </si>
  <si>
    <t>宇听轩</t>
  </si>
  <si>
    <t>厦门宇听轩科技有限公司</t>
  </si>
  <si>
    <t>威⼠忌;⻩酒;预先混合的酒精饮料（以啤酒为主的除外）;餐后酒（利⼝酒和烈酒）;开胃酒;葡萄酒;含⽔果酒精饮料;⽩酒;果酒;⽶酒</t>
  </si>
  <si>
    <t>卿本芳华</t>
  </si>
  <si>
    <t>刘晶晶</t>
  </si>
  <si>
    <t>⽩酒;⻩酒;⽩兰地;⽶酒;⻘稞酒;蜂蜜酒;葡萄酒;鸡尾酒;酒精饮料（啤酒除外）;果酒（含酒精）</t>
  </si>
  <si>
    <t>蒙恩斯</t>
  </si>
  <si>
    <t>青岛奇果恋栈酒水有限公司</t>
  </si>
  <si>
    <t>⽩酒;清酒（⽇本⽶酒）;威⼠忌;酒精饮料（啤酒除外）;葡萄酒;果酒（含酒精）;开胃酒;鸡尾酒;朗姆酒;⻩酒</t>
  </si>
  <si>
    <t>潮人兴</t>
  </si>
  <si>
    <t>广州财禄税务咨询有限公司</t>
  </si>
  <si>
    <t>清酒（⽇本⽶酒）;伏特加酒;⻩酒;酒精饮料原汁;杜松⼦酒;果酒（含酒精）;⽶酒;⽩兰地;葡萄酒;⽩酒</t>
  </si>
  <si>
    <t>红尘韵液</t>
  </si>
  <si>
    <t>鸡尾酒;⽶酒;桃红葡萄酒;梅酒;⽔果汽酒;酒精饮料原汁;葡萄酒;果酒（含酒精）;⽩酒;露酒</t>
  </si>
  <si>
    <t>千坛斗</t>
  </si>
  <si>
    <t>⾼粱酒;⽶酒;⽩酒;烧酒;朗姆酒;⻘稞酒;果酒（含酒精）;清酒（⽇本⽶酒）;⽩葡萄酒;伏特加酒</t>
  </si>
  <si>
    <t>双源口</t>
  </si>
  <si>
    <t>陶惠梅</t>
  </si>
  <si>
    <t>⽩酒;葡萄酒;梨酒;果酒（含酒精）;⽩兰地;⽶酒;烧酒;含⽔果酒精饮料;⾕物制蒸馏酒精饮料;⻩酒</t>
  </si>
  <si>
    <t>彩将</t>
  </si>
  <si>
    <t>雷嘉城</t>
  </si>
  <si>
    <t>葡萄酒;⽶酒;⾼粱酒;⽩酒;⽩兰地;烧酒;⻘稞酒</t>
  </si>
  <si>
    <t>朱子镐</t>
  </si>
  <si>
    <t>鸡尾酒;葡萄酒;烈酒（饮料）;清酒（⽇本⽶酒）;威⼠忌;果酒（含酒精）;蒸馏饮料;⽩酒;餐后酒（利⼝酒和烈酒）;⽶酒</t>
  </si>
  <si>
    <t>毕生恋</t>
  </si>
  <si>
    <t>贵州安米网络科技有限公司</t>
  </si>
  <si>
    <t>甜酒;⻩酒;⾼粱酒;烧酒（烈酒）;⽩酒;⽶酒;杨梅酒;开胃酒;果酒;露酒</t>
  </si>
  <si>
    <t>台鹿</t>
  </si>
  <si>
    <t>徐嘉诚</t>
  </si>
  <si>
    <t>⽶酒;⻘稞酒;⻩酒;葡萄酒;烧酒;⽩酒</t>
  </si>
  <si>
    <t>神州骏腾王</t>
  </si>
  <si>
    <t>兴沃农业(舟山)有限公司</t>
  </si>
  <si>
    <t>仁医门</t>
  </si>
  <si>
    <t>刘长清</t>
  </si>
  <si>
    <t>⻩酒;烈酒（饮料）;⽶酒;⾷⽤酒精;预先混合的酒精饮料（以啤酒为主的除外）;果酒（含酒精）;⽩酒;烧酒;⾕物制蒸馏酒精饮料;葡萄酒</t>
  </si>
  <si>
    <t>鑫源恒德</t>
  </si>
  <si>
    <t>北京鑫源恒德贸易有限公司</t>
  </si>
  <si>
    <t>⽩⼲酒（中国⽩酒）;⽩酒;由⾕物蒸馏的⽩酒</t>
  </si>
  <si>
    <t>京明星</t>
  </si>
  <si>
    <t>四川京明星珠宝有限公司</t>
  </si>
  <si>
    <t>果酒（含酒精）;⽩酒;烧酒;含酒精⽔果饮料;⽶酒;葡萄酒;⽩兰地;蒸馏饮料;烈酒（饮料）;鸡尾酒</t>
  </si>
  <si>
    <t>上医关羽</t>
  </si>
  <si>
    <t>⽶酒;烈酒（饮料）;⻩酒;⽩酒;含⽔果酒精饮料;烧酒;果酒（含酒精）;葡萄酒;酒精饮料（啤酒除外）;蜂蜜酒</t>
  </si>
  <si>
    <t>MBMZ</t>
  </si>
  <si>
    <t>刘志华</t>
  </si>
  <si>
    <t>伏特加酒;威⼠忌;⽩酒;果酒（含酒精）;朗姆酒;葡萄酒;清酒（⽇本⽶酒）;酒精饮料（啤酒除外）;含⽔果酒精饮料;鸡尾酒</t>
  </si>
  <si>
    <t>ZG</t>
  </si>
  <si>
    <t>北京希北科技有限公司</t>
  </si>
  <si>
    <t>蒸馏饮料;⽶酒;⽩兰地;威⼠忌;⻩酒;⽩酒;烧酒;含酒精的⽓泡⽔;朗姆酒;葡萄酒</t>
  </si>
  <si>
    <t>陶坛斗</t>
  </si>
  <si>
    <t>清酒（⽇本⽶酒）;⾼粱酒;烧酒;⽶酒;⻘稞酒;伏特加酒;⽩酒;⽩葡萄酒;果酒（含酒精）;朗姆酒</t>
  </si>
  <si>
    <t>风雅古苏</t>
  </si>
  <si>
    <t>苏州吴梦影视文化有限公司</t>
  </si>
  <si>
    <t>⽩酒;甜酒;⻩酒;果酒;梅酒;⻘梅酒;酒精饮料（啤酒除外）;葡萄酒;杨梅酒;⽶酒</t>
  </si>
  <si>
    <t>蜀酿匠</t>
  </si>
  <si>
    <t>烧酒;⽩酒;⾼粱酒;⽩兰地;⽶酒;葡萄酒;⻘稞酒</t>
  </si>
  <si>
    <t>樽馆</t>
  </si>
  <si>
    <t>⽩兰地;葡萄酒;⾼粱酒;⽩酒;烧酒;⻘稞酒;⽶酒</t>
  </si>
  <si>
    <t>俏鲜王</t>
  </si>
  <si>
    <t>江苏俏鲜王食品有限公司</t>
  </si>
  <si>
    <t>清酒（⽇本⽶酒）;开胃酒;鸡尾酒;烧酒;烈酒（饮料）;⽩酒;酒精饮料（啤酒除外）;果酒（含酒精）;葡萄酒;含酒精的⽓泡⽔</t>
  </si>
  <si>
    <t>轩哲湾</t>
  </si>
  <si>
    <t>苏州市轩哲教育科技有限公司</t>
  </si>
  <si>
    <t>酒精饮料（啤酒除外）;⽶酒;⻩酒;果酒;烧酒;⾷⽤酒精;⽩酒;利⼝酒;葡萄酒;蒸馏饮料</t>
  </si>
  <si>
    <t>酬鉴</t>
  </si>
  <si>
    <t>⽶酒;⻘稞酒;⽩酒;⾼粱酒;烧酒;⽩兰地;葡萄酒</t>
  </si>
  <si>
    <t>左佬范</t>
  </si>
  <si>
    <t>左文兵</t>
  </si>
  <si>
    <t>⾷⽤酒精;蒸馏饮料;蜂蜜酒;葡萄酒;⽩酒;露酒;果酒;⻩酒;⽶酒;烧酒</t>
  </si>
  <si>
    <t>桃园里</t>
  </si>
  <si>
    <t>高丹</t>
  </si>
  <si>
    <t>葡萄酒;⽩酒;⻘稞酒;⻩酒;以葡萄酒为主的饮料;酒精饮料（啤酒除外）;樱桃酒;果酒（含酒精）;⽶酒;烧酒</t>
  </si>
  <si>
    <t>HUASER</t>
  </si>
  <si>
    <t>鸡尾酒;威⼠忌;⻩酒;⽩酒;⾼粱酒;葡萄酒;⽶酒;果酒;烧酒（烈酒）;⽩兰地</t>
  </si>
  <si>
    <t>谈山</t>
  </si>
  <si>
    <t>嘉兴妙选网络科技有限公司</t>
  </si>
  <si>
    <t>烧酒;杨梅酒;⻘梅酒;⻘稞酒;⻩酒;清酒（⽇本⽶酒）;⽶酒;由⾕物蒸馏的⽩酒;含酒精的饮料（啤酒除外）;⽩酒</t>
  </si>
  <si>
    <t>左才人</t>
  </si>
  <si>
    <t>⾷⽤酒精;蒸馏饮料;⽩酒;果酒;葡萄酒;⽶酒;露酒;烧酒;⻩酒;蜂蜜酒</t>
  </si>
  <si>
    <t>祥云皇鼎</t>
  </si>
  <si>
    <t>葡萄酒;⾼粱酒;⽩兰地;酒精饮料（啤酒除外）;梅酒;威⼠忌;⾕物制蒸馏酒精饮料;⽩酒;露酒;⽼酒（中国蒸馏烈酒）</t>
  </si>
  <si>
    <t>荣越世家</t>
  </si>
  <si>
    <t>荣越智能科技（广州）有限公司</t>
  </si>
  <si>
    <t>小勺有限公司</t>
  </si>
  <si>
    <t>⽢蔗制烈酒;果酒;⻩酒;酒精饮料原汁;烧酒;⽩酒;烈酒;鸡尾酒;葡萄酒;⽶酒</t>
  </si>
  <si>
    <t>美尊汉匠</t>
  </si>
  <si>
    <t>⾕物制蒸馏酒精饮料;酒精饮料（啤酒除外）;⾼粱酒;露酒;梅酒;威⼠忌;⽼酒（中国蒸馏烈酒）;⽩兰地;⽩酒;葡萄酒</t>
  </si>
  <si>
    <t>红驼</t>
  </si>
  <si>
    <t>红驼酒业集团有限公司</t>
  </si>
  <si>
    <t>葡萄酒;烈酒（饮料）;⽶酒;薄荷酒;苹果酒;鸡尾酒;⽩兰地;威⼠忌;⽩酒;樱桃酒</t>
  </si>
  <si>
    <t>岛涵</t>
  </si>
  <si>
    <t>青岛涵岛品牌管理集团有限公司</t>
  </si>
  <si>
    <t>葡萄酒;伏特加酒;烧酒;⻩酒;果酒;⽩酒;烧酒（烈酒）;红葡萄酒;⽶酒;鸡尾酒</t>
  </si>
  <si>
    <t>北尖垴</t>
  </si>
  <si>
    <t>王素云</t>
  </si>
  <si>
    <t>果酒;烈酒;鸡尾酒;烧酒;含⽔果酒精饮料;利⼝酒;酒精饮料（啤酒除外）;⽩酒;葡萄酒;开胃酒</t>
  </si>
  <si>
    <t>华缘茜茜</t>
  </si>
  <si>
    <t>九江华缘农业高科技有限公司</t>
  </si>
  <si>
    <t>葡萄酒;烧酒;⽶酒;⻩酒;清酒;果酒;含酒精的饮料（啤酒除外）;⽩酒;烈酒;含⽔果酒精饮料</t>
  </si>
  <si>
    <t>碧沚</t>
  </si>
  <si>
    <t>葡萄酒;⽶酒;含⽔果酒精饮料;酒精饮料（啤酒除外）;⻩酒;利⼝酒;烧酒;苹果酒;果酒（含酒精）;⽩酒</t>
  </si>
  <si>
    <t>定状元</t>
  </si>
  <si>
    <t>王琦</t>
  </si>
  <si>
    <t>⽩酒;蒸煮提取物（利⼝酒和烈酒）;⻩酒;酒精饮料原汁;酒精饮料（啤酒除外）;果酒（含酒精）;威⼠忌;葡萄酒;鸡尾酒;⽩兰地</t>
  </si>
  <si>
    <t>泸奏</t>
  </si>
  <si>
    <t>陈昊</t>
  </si>
  <si>
    <t>烧酒;⽶酒;烈酒（饮料）;葡萄酒;果酒（含酒精）;⻩酒;蜂蜜酒;酒精饮料（啤酒除外）;⽩酒;威⼠忌</t>
  </si>
  <si>
    <t>燕处居</t>
  </si>
  <si>
    <t>王效禹</t>
  </si>
  <si>
    <t>⽩⼲酒（中国⽩酒）;⽶酒;⽩酒;含酒精⽔果饮料;蜂蜜酒;葡萄酒;⻩酒;烧酒（烈酒）;果酒（含酒精）;苦味酒</t>
  </si>
  <si>
    <t>羽山尧</t>
  </si>
  <si>
    <t>⽩酒;葡萄酒;含酒精⽔果饮料;酒精饮料原汁;以葡萄酒为主的饮料;烈酒;含⽔果酒精饮料;⻩酒;果酒（含酒精）;酒精饮料（啤酒除外）</t>
  </si>
  <si>
    <t>易意</t>
  </si>
  <si>
    <t>隆回县春晖生态农业有限公司</t>
  </si>
  <si>
    <t>⻩酒;⾷⽤酒精;汽酒;果酒（含酒精）;烧酒;⽶酒;朗姆酒;威⼠忌;⽩酒;葡萄酒</t>
  </si>
  <si>
    <t>思中往事</t>
  </si>
  <si>
    <t>贵州酉心酒业有限公司</t>
  </si>
  <si>
    <t>⾷⽤酒精;⻨芽威⼠忌;鸡尾酒;葡萄汽酒;梅酒;果酒;⻘稞酒;烧酒;杨梅酒;⽩酒</t>
  </si>
  <si>
    <t>红驼玛瑟兰</t>
  </si>
  <si>
    <t>烈酒（饮料）;⽩酒;鸡尾酒;威⼠忌;薄荷酒;樱桃酒;⽩兰地;⽶酒;葡萄酒;苹果酒</t>
  </si>
  <si>
    <t>衢状员</t>
  </si>
  <si>
    <t>曾晓峰</t>
  </si>
  <si>
    <t>⽶酒;甜酒;葡萄酒;威⼠忌;⽩酒;烧酒;伏特加酒;果酒;⻩酒;鸡尾酒</t>
  </si>
  <si>
    <t>碧江青禾</t>
  </si>
  <si>
    <t>蔡晓乾</t>
  </si>
  <si>
    <t>⽼酒（中国蒸馏烈酒）;果酒（含酒精）;葡萄酒;烧酒;⽩酒;酒精饮料（啤酒除外）;⽶酒;⾷⽤酒精;⽩⼲酒（中国⽩酒）;⾼粱酒</t>
  </si>
  <si>
    <t>ONESIMUM</t>
  </si>
  <si>
    <t>米希奥特有限公司</t>
  </si>
  <si>
    <t>⽩酒;鸡尾酒;⽩兰地;含酒精⽔果饮料;以葡萄酒为主的开胃酒;葡萄酒;酒精饮料（啤酒除外）;起泡⽩葡萄酒;果酒（含酒精）;果酒</t>
  </si>
  <si>
    <t>仟客爽</t>
  </si>
  <si>
    <t>葡萄酒;蜂蜜酒;果酒（含酒精）;威⼠忌;露酒;利⼝酒;⽩酒;⽩兰地;伏特加酒;果酒</t>
  </si>
  <si>
    <t>贵色清花</t>
  </si>
  <si>
    <t>高锋</t>
  </si>
  <si>
    <t>鸡尾酒;葡萄酒;果酒（含酒精）;清酒（⽇本⽶酒）;蜂蜜酒;⽩酒;⻩酒;烧酒;开胃酒;酒精饮料（啤酒除外）</t>
  </si>
  <si>
    <t>舟客潭</t>
  </si>
  <si>
    <t>王丽</t>
  </si>
  <si>
    <t>⽶酒;含⽔果酒精饮料;酒精饮料（啤酒除外）;葡萄酒;烧酒;果酒（含酒精）;烈酒（饮料）;⽩酒;⾷⽤酒精;⻩酒</t>
  </si>
  <si>
    <t>潭逸帆</t>
  </si>
  <si>
    <t>⽩酒;⽶酒;烧酒;⻩酒;烈酒（饮料）;果酒（含酒精）;含⽔果酒精饮料;⾷⽤酒精;酒精饮料（啤酒除外）;葡萄酒</t>
  </si>
  <si>
    <t>山川入画</t>
  </si>
  <si>
    <t>酒精饮料（啤酒除外）;烧酒;⽶酒;威⼠忌;⽩兰地;葡萄酒;果酒（含酒精）;⽩酒;烈酒（饮料）;鸡尾酒</t>
  </si>
  <si>
    <t>石谷木兰</t>
  </si>
  <si>
    <t>蔡锋忠</t>
  </si>
  <si>
    <t>威⼠忌;开胃酒;葡萄酒;烧酒;清酒（⽇本⽶酒）;⽩酒;酒精饮料（啤酒除外）;果酒（含酒精）;鸡尾酒;⽩兰地</t>
  </si>
  <si>
    <t>隋川</t>
  </si>
  <si>
    <t>张永琼</t>
  </si>
  <si>
    <t>⻩酒;烧酒;⽩兰地;⻘稞酒;⽶酒;鸡尾酒;葡萄酒;烈酒;威⼠忌;⽩酒</t>
  </si>
  <si>
    <t>犟鑫老头儿</t>
  </si>
  <si>
    <t>宝清县听竹轩非金属碎屑加工厂</t>
  </si>
  <si>
    <t>葡萄酒;酒精饮料浓缩汁;咖啡利⼝酒;含⽔果酒精饮料;蒸馏饮料;酒精饮料原汁;朗姆酒;烈酒（饮料）;⽩兰地;汽酒</t>
  </si>
  <si>
    <t>今三麦</t>
  </si>
  <si>
    <t>河南今三麦食品有限公司</t>
  </si>
  <si>
    <t>果酒（含酒精）;⽩酒;⽶酒;烧酒;威⼠忌;葡萄酒;酒精饮料（啤酒除外）;烈酒（饮料）;⻩酒;鸡尾酒</t>
  </si>
  <si>
    <t>金镶喜</t>
  </si>
  <si>
    <t>易望喜</t>
  </si>
  <si>
    <t>果酒;蜂蜜酒;酒精饮料（啤酒除外）;⽶酒;⾕物制蒸馏酒精饮料;⽩酒;烧酒;⾷⽤酒精;⻩酒;葡萄酒</t>
  </si>
  <si>
    <t>崇正坊五六跑团</t>
  </si>
  <si>
    <t>漳州市崇正贸易有限公司</t>
  </si>
  <si>
    <t>葡萄酒;威⼠忌;⽶酒;⽩酒;鸡尾酒;⻩酒;果酒（含酒精）;蒸馏饮料;⽩兰地</t>
  </si>
  <si>
    <t>馥匠</t>
  </si>
  <si>
    <t>黄小明36220********5555X</t>
  </si>
  <si>
    <t>果酒（含酒精）;蒸馏饮料;鸡尾酒;烈酒（饮料）;⽶酒;⻩酒;葡萄酒;⽩酒;酒精饮料（啤酒除外）;烧酒</t>
  </si>
  <si>
    <t>贵伯廖</t>
  </si>
  <si>
    <t>贵州衡毅烧坊酒业集团有限公司</t>
  </si>
  <si>
    <t>葡萄酒;⻩酒;酒精饮料（啤酒除外）;开胃酒;⽶酒;蒸馏饮料;汽酒;果酒（含酒精）;⽩酒;蒸煮提取物（利⼝酒和烈酒）</t>
  </si>
  <si>
    <t>谷厂长</t>
  </si>
  <si>
    <t>祝可睿</t>
  </si>
  <si>
    <t>⽶酒;烧酒;葡萄酒;⾼粱酒;⻘稞酒;⽩酒;清酒;⽩兰地</t>
  </si>
  <si>
    <t>欢樽</t>
  </si>
  <si>
    <t>⽩兰地;⾼粱酒;⽶酒;烧酒;⽩酒;清酒;葡萄酒;⻘稞酒</t>
  </si>
  <si>
    <t>美福典藏</t>
  </si>
  <si>
    <t>成都市红缘酒业有限责任公司</t>
  </si>
  <si>
    <t>烧酒;⻩酒;⽩酒;烧酒（烈酒）;果酒;⾕物制蒸馏酒精饮料;⽶酒;开胃酒;⾷⽤酒精;烈酒</t>
  </si>
  <si>
    <t>仁怀市太阳神专卖店</t>
  </si>
  <si>
    <t>果酒;⽶酒;葡萄酒;⻘稞酒;⾼粱酒;清酒;⽩酒;朗姆酒;烧酒;⻩酒</t>
  </si>
  <si>
    <t>三沟龙源</t>
  </si>
  <si>
    <t>辽宁三沟酒业有限责任公司</t>
  </si>
  <si>
    <t>葡萄酒;烧酒;鸡尾酒;威⼠忌;清酒;⽩兰地;⻩酒;⽶酒;⽩酒;⾼粱酒</t>
  </si>
  <si>
    <t>成裕升</t>
  </si>
  <si>
    <t>汝南县天中山酒行</t>
  </si>
  <si>
    <t>⽩酒;清酒（⽇本⽶酒）;⻩酒;⽶酒;威⼠忌;⾷⽤酒精</t>
  </si>
  <si>
    <t>湘亲竹</t>
  </si>
  <si>
    <t>湖南永湘情科技发展有限公司</t>
  </si>
  <si>
    <t>蒸馏饮料;苹果酒;鸡尾酒;杜松⼦酒;餐后酒（利⼝酒和烈酒）;⽩酒;柑⾹酒;葡萄酒;果酒（含酒精）;⽩兰地</t>
  </si>
  <si>
    <t>思中学子</t>
  </si>
  <si>
    <t>⾷⽤酒精;鸡尾酒;杨梅酒;葡萄汽酒;果酒;⽩酒;⻘稞酒;烧酒;⻨芽威⼠忌;梅酒</t>
  </si>
  <si>
    <t>贵州酉良液酒业有限公司</t>
  </si>
  <si>
    <t>鸡尾酒;葡萄酒;⽩酒;⽶酒;⻩酒;⽩⼲酒（中国⽩酒）;清酒;烧酒;樱桃⽩兰地;果酒（含酒精）</t>
  </si>
  <si>
    <t>明州都酒务</t>
  </si>
  <si>
    <t>⽩酒;⻩酒;苹果酒;酒精饮料（啤酒除外）;利⼝酒;⽶酒;含⽔果酒精饮料;烧酒;葡萄酒;果酒（含酒精）</t>
  </si>
  <si>
    <t>禧之年</t>
  </si>
  <si>
    <t>广州禧之年产业科技有限公司</t>
  </si>
  <si>
    <t>利⼝酒;⽩酒;甜酒;汽酒;烧酒;果酒;烈酒;⽶酒;葡萄酒;⻩酒</t>
  </si>
  <si>
    <t>彝乡仙谷</t>
  </si>
  <si>
    <t>郑磊</t>
  </si>
  <si>
    <t>葡萄酒;蜂蜜酒;⽶酒;果酒（含酒精）;苦艾酒;⽩酒;烧酒;⾼粱酒;⻘稞酒;⾕物制蒸馏酒精饮料</t>
  </si>
  <si>
    <t>台粲</t>
  </si>
  <si>
    <t>徐慧珍</t>
  </si>
  <si>
    <t>⻩酒;⾼粱酒;烧酒;葡萄酒;⽩酒;⻘稞酒;⽶酒</t>
  </si>
  <si>
    <t>酒时湘</t>
  </si>
  <si>
    <t>怀化云帆电子商务有限公司</t>
  </si>
  <si>
    <t>甜酒;露酒;⻩酒;梅酒;⽩酒;汽酒;⽶酒;果酒;⾼粱酒;含酒精的饮料（啤酒除外）</t>
  </si>
  <si>
    <t>潭硕</t>
  </si>
  <si>
    <t>⽩酒;烧酒;葡萄酒;烈酒（饮料）;果酒（含酒精）;⾷⽤酒精;含⽔果酒精饮料;酒精饮料（啤酒除外）;⻩酒;⽶酒</t>
  </si>
  <si>
    <t>黄浦江</t>
  </si>
  <si>
    <t>山东德道酒业有限公司</t>
  </si>
  <si>
    <t>烈酒（饮料）;酒精饮料（啤酒除外）;鸡尾酒;⽩酒;清酒（⽇本⽶酒）;⽶酒;烧酒;⻩酒;果酒（含酒精）;葡萄酒</t>
  </si>
  <si>
    <t>吴伽</t>
  </si>
  <si>
    <t>吴亚文</t>
  </si>
  <si>
    <t>蒸馏饮料;烈酒（饮料）;⽶酒;⽩酒;酒精饮料（啤酒除外）;酒精饮料原汁;烧酒;⾷⽤酒精;葡萄酒;果酒（含酒精）</t>
  </si>
  <si>
    <t>谷中寻</t>
  </si>
  <si>
    <t>威⼠忌;酒精饮料（啤酒除外）;⽶酒;葡萄酒;⽩兰地;烧酒;鸡尾酒;果酒（含酒精）;烈酒（饮料）;⽩酒</t>
  </si>
  <si>
    <t>厦门安信诚贸易有限公司</t>
  </si>
  <si>
    <t>葡萄酒;⽩酒;清酒（⽇本⽶酒）;⽶酒;⾕物制蒸馏酒精饮料;威⼠忌;⻩酒;果酒;鸡尾酒;伏特加酒</t>
  </si>
  <si>
    <t>金日葵</t>
  </si>
  <si>
    <t>朱小玲</t>
  </si>
  <si>
    <t>⽶酒;酒精饮料（啤酒除外）;开胃酒;⽩酒;⾷⽤酒精;汽酒;果酒（含酒精）;葡萄酒;鸡尾酒;⻩酒</t>
  </si>
  <si>
    <t>千载空悠</t>
  </si>
  <si>
    <t>李海彬</t>
  </si>
  <si>
    <t>⻘稞酒;红葡萄酒;鸡尾酒;烧酒;⽼酒（中国蒸馏烈酒）;⽩葡萄酒;⽩酒;桃红葡萄酒;调制好的葡萄酒鸡尾酒;⻩酒</t>
  </si>
  <si>
    <t>东圣朝夕</t>
  </si>
  <si>
    <t>四川省东圣酒业股份有限公司</t>
  </si>
  <si>
    <t>⽩酒;⽩⼲酒（中国⽩酒）;果酒（含酒精）;餐后酒（利⼝酒和烈酒）;⾷⽤酒精;烈酒;烧酒;含酒精的饮料（啤酒除外）;⽼酒（中国蒸馏烈酒）;蒸煮提取物（利⼝酒和烈酒）</t>
  </si>
  <si>
    <t>方兴渡</t>
  </si>
  <si>
    <t>杭州方兴渡文化发展有限公司</t>
  </si>
  <si>
    <t>鸡尾酒;⽩酒;酒精饮料（啤酒除外）;开胃酒;含⽔果酒精饮料;果酒（含酒精）;葡萄酒;⽶酒;烧酒;⾷⽤酒精</t>
  </si>
  <si>
    <t>汉匠坊梅</t>
  </si>
  <si>
    <t>宿迁市洋河新区润洋包装发展有限公司</t>
  </si>
  <si>
    <t>酒精饮料（啤酒除外）;葡萄酒;酒精饮料原汁;蒸馏饮料;⽩酒;⽶酒;烈酒（饮料）;含⽔果酒精饮料;酒精饮料浓缩汁;果酒（含酒精）</t>
  </si>
  <si>
    <t>东方善</t>
  </si>
  <si>
    <t>葡萄酒;⽶酒;⻘稞酒;清酒;⾼粱酒;⽩兰地;⽩酒;烧酒</t>
  </si>
  <si>
    <t>六福佳酿</t>
  </si>
  <si>
    <t>云南金六福投资有限公司</t>
  </si>
  <si>
    <t>⽩酒;鸡尾酒;葡萄酒;⻩酒;利⼝酒;酒精饮料（啤酒除外）;果酒（含酒精）;⽶酒;以葡萄酒为主的饮料;威⼠忌</t>
  </si>
  <si>
    <t>南湛拾光</t>
  </si>
  <si>
    <t>黄才交</t>
  </si>
  <si>
    <t>烈酒（饮料）;⻩酒;利⼝酒;酒精饮料（啤酒除外）;露酒;含酒精的充⽓饮料（啤酒除外）;⽩酒;果酒（含酒精）;⽶酒;汽酒</t>
  </si>
  <si>
    <t>小老头的酒</t>
  </si>
  <si>
    <t>长沙沁图工业设计有限公司</t>
  </si>
  <si>
    <t>⽩酒;酒精饮料（啤酒除外）;苦荞酒;苹果酒;烈酒;葡萄酒;果酒（含酒精）;苦味酒;餐后酒（利⼝酒和烈酒）;开胃酒</t>
  </si>
  <si>
    <t>六福品鉴</t>
  </si>
  <si>
    <t>利⼝酒;鸡尾酒;果酒（含酒精）;葡萄酒;酒精饮料（啤酒除外）;⻩酒;威⼠忌;⽩酒;以葡萄酒为主的饮料;⽶酒</t>
  </si>
  <si>
    <t>河北尚游渔业发展有限公司</t>
  </si>
  <si>
    <t>烧酒;酒精饮料（啤酒除外）;⻩酒;餐后酒（利⼝酒和烈酒）;利⼝酒;⽶酒;酒精饮料原汁;开胃酒;柑⾹酒;烈酒（饮料）</t>
  </si>
  <si>
    <t>竹石韵</t>
  </si>
  <si>
    <t>石家庄秦业供应链管理服务有限公司</t>
  </si>
  <si>
    <t>⾼粱酒;开胃酒;⽩酒;烧酒;果酒;甜酒;威⼠忌;葡萄酒;酒精饮料（啤酒除外）;烈酒</t>
  </si>
  <si>
    <t>因用</t>
  </si>
  <si>
    <t>因用堂（杭州）文化传播有限公司</t>
  </si>
  <si>
    <t>⽶酒;⻩酒;⾷⽤酒精;果酒（含酒精）;⽩酒;烧酒;开胃酒;含⽔果酒精饮料;果酒;酒精饮料浓缩汁</t>
  </si>
  <si>
    <t>木马山社</t>
  </si>
  <si>
    <t>金川县安宁镇八角碉村股份经济合作联合社</t>
  </si>
  <si>
    <t>含⽔果酒精饮料;果酒（含酒精）;⽶酒;烧酒;开胃酒;蒸馏饮料;葡萄酒;烈酒（饮料）;酒精饮料（啤酒除外）;⾷⽤酒精</t>
  </si>
  <si>
    <t>阆臻源</t>
  </si>
  <si>
    <t>四川农联数字产业发展有限公司</t>
  </si>
  <si>
    <t>汽酒;已调味的蒸馏酒;含酒精的⽓泡⽔;⽩酒;⽶酒;葡萄酒;含⽔果酒精饮料;以葡萄酒为主的饮料;⾷⽤酒精;餐后酒（利⼝酒和烈酒）</t>
  </si>
  <si>
    <t>雪汀花屿</t>
  </si>
  <si>
    <t>葡萄酒;烧酒;⽩酒;苹果酒;利⼝酒;含⽔果酒精饮料;酒精饮料（啤酒除外）;⻩酒;果酒（含酒精）;⽶酒</t>
  </si>
  <si>
    <t>福连年</t>
  </si>
  <si>
    <t>上海仟存通讯科技有限公司</t>
  </si>
  <si>
    <t>朗姆酒;烧酒;薄荷酒;葡萄酒;杜松⼦酒;⽩酒;果酒;清酒（⽇本⽶酒）;⻩酒;⽩兰地</t>
  </si>
  <si>
    <t>库姆巴特</t>
  </si>
  <si>
    <t>库姆巴特投资管理（北京）有限公司</t>
  </si>
  <si>
    <t>茴芹酒（利⼝酒）;葡萄酒;⽩酒;鸡尾酒;伏特加酒;预先混合的酒精饮料（以啤酒为主的除外）;果酒;利⼝酒;威⼠忌;⽩兰地</t>
  </si>
  <si>
    <t>山海誓</t>
  </si>
  <si>
    <t>⽶酒;⽩兰地;鸡尾酒;烧酒;烈酒（饮料）;果酒（含酒精）;⽩酒;威⼠忌;酒精饮料（啤酒除外）;葡萄酒</t>
  </si>
  <si>
    <t>荣性</t>
  </si>
  <si>
    <t>⽩酒;红葡萄酒;桃红葡萄酒;⻘稞酒;鸡尾酒;烧酒;⻩酒;⽩葡萄酒;⽼酒（中国蒸馏烈酒）;调制好的葡萄酒鸡尾酒</t>
  </si>
  <si>
    <t>叁香爱尔</t>
  </si>
  <si>
    <t>爱希（海南）健康管理有限公司</t>
  </si>
  <si>
    <t>葡萄酒;⽼酒（中国蒸馏烈酒）;以蒸馏酒为主的开胃酒;已调味的蒸馏酒;⻩酒;⽩酒;果酒（含酒精）;酒精饮料（啤酒除外）;⽶酒;预先混合的酒精饮料（以啤酒为主的除外）</t>
  </si>
  <si>
    <t>伍帝城</t>
  </si>
  <si>
    <t>青岛华商食品有限公司</t>
  </si>
  <si>
    <t>⽩酒;威⼠忌;烧酒;烈酒;酒精饮料浓缩汁;⽩兰地;⽼酒（中国蒸馏烈酒）;⽩⼲酒（中国⽩酒）;酒精饮料原汁;烈酒（饮料）</t>
  </si>
  <si>
    <t>川汀</t>
  </si>
  <si>
    <t>⻩酒;⽶酒;烈酒;葡萄酒;威⼠忌;⻘稞酒;⽩酒;烧酒;鸡尾酒;⽩兰地</t>
  </si>
  <si>
    <t>川坐</t>
  </si>
  <si>
    <t>⻩酒;⻘稞酒;⽶酒;鸡尾酒;烧酒;烈酒;威⼠忌;⽩兰地;⽩酒;葡萄酒</t>
  </si>
  <si>
    <t>务豪</t>
  </si>
  <si>
    <t>贵州话不多工贸有限公司</t>
  </si>
  <si>
    <t>葡萄酒;清酒（⽇本⽶酒）;含⽔果酒精饮料;梨酒;预先混合的酒精饮料（以啤酒为主的除外）;酒精饮料浓缩汁;烧酒;⽶酒;⻩酒;⽩酒</t>
  </si>
  <si>
    <t>士无双</t>
  </si>
  <si>
    <t>⻩酒;烈酒;酒精饮料（啤酒除外）;鸡尾酒;果酒（含酒精）;⽩酒;威⼠忌;开胃酒;清酒（⽇本⽶酒）;葡萄酒</t>
  </si>
  <si>
    <t>羽山舜</t>
  </si>
  <si>
    <t>王梅320705********3524</t>
  </si>
  <si>
    <t>开胃酒;葡萄酒;蒸馏饮料;⻩酒;⾷⽤酒精;⽩酒;⽶酒;果酒（含酒精）;⾕物制蒸馏酒精饮料;烧酒</t>
  </si>
  <si>
    <t>汉唐帝</t>
  </si>
  <si>
    <t>烧酒;⻘稞酒;葡萄酒;⽩兰地;清酒;⽶酒;⾼粱酒;⽩酒</t>
  </si>
  <si>
    <t>西海红驼</t>
  </si>
  <si>
    <t>烧酒;蒸馏饮料;⽶酒;⻩酒;含⽔果酒精饮料;酒精饮料（啤酒除外）;果酒（含酒精）;葡萄酒;酒精饮料浓缩汁;烈酒（饮料）</t>
  </si>
  <si>
    <t>宋酩人</t>
  </si>
  <si>
    <t>常威威</t>
  </si>
  <si>
    <t>含⽔果酒精饮料;⾷⽤酒精;果酒（含酒精）;⻩酒;酒精饮料（啤酒除外）;⽩酒;葡萄酒;⽩兰地;⽶酒;鸡尾酒</t>
  </si>
  <si>
    <t>珍爷们</t>
  </si>
  <si>
    <t>苏乾刚</t>
  </si>
  <si>
    <t>鸡尾酒;葡萄酒;⻩酒;⽩兰地;⽩酒;威⼠忌;酒精饮料原汁;蒸煮提取物（利⼝酒和烈酒）;酒精饮料（啤酒除外）;果酒（含酒精）</t>
  </si>
  <si>
    <t>霁山青</t>
  </si>
  <si>
    <t>浙江华源信息技术有限公司</t>
  </si>
  <si>
    <t>⽶酒;威⼠忌;⽩兰地;⽩酒;果酒;杨梅酒;⻩酒;开胃酒;鸡尾酒;葡萄酒</t>
  </si>
  <si>
    <t>易维</t>
  </si>
  <si>
    <t>葡萄酒;⾷⽤酒精;⻩酒;烧酒;朗姆酒;果酒（含酒精）;威⼠忌;⽩酒;⽶酒;汽酒</t>
  </si>
  <si>
    <t>纽拉图</t>
  </si>
  <si>
    <t>朱成</t>
  </si>
  <si>
    <t>⽶酒;烧酒;⽩⼲酒（中国⽩酒）;⽼酒（中国蒸馏烈酒）;⽩酒;烈酒;开胃酒;甜酒;果酒;含酒精⽔果饮料</t>
  </si>
  <si>
    <t>毕十五</t>
  </si>
  <si>
    <t>贵州金沙毕窖酒业有限公司</t>
  </si>
  <si>
    <t>⻩酒;果酒;露酒;葡萄酒;⻘稞酒;烧酒;⾼粱酒;⽶酒;⽼酒（中国蒸馏烈酒）;⽩酒</t>
  </si>
  <si>
    <t>金鸾喜</t>
  </si>
  <si>
    <t>⾷⽤酒精;⻩酒;果酒;蜂蜜酒;酒精饮料（啤酒除外）;葡萄酒;⾕物制蒸馏酒精饮料;⽩酒;烧酒;⽶酒</t>
  </si>
  <si>
    <t>丝迈儿</t>
  </si>
  <si>
    <t>上海归昕实业有限公司</t>
  </si>
  <si>
    <t>⻩酒;酒精饮料（啤酒除外）;果酒（含酒精）;⽶酒;清酒;葡萄酒;⾷⽤酒精;烈酒（饮料）;⽩酒;烧酒</t>
  </si>
  <si>
    <t>孔儒师</t>
  </si>
  <si>
    <t>邹圳宇</t>
  </si>
  <si>
    <t>⽶酒;烧酒;⽩酒;⻘稞酒;⾼粱酒;葡萄酒;梅酒</t>
  </si>
  <si>
    <t>FFDO</t>
  </si>
  <si>
    <t>北京和君智汇管理咨询有限公司</t>
  </si>
  <si>
    <t>葡萄酒;威⼠忌;果酒（含酒精）;鸡尾酒;清酒;⽩酒;⻩酒;⽩兰地;伏特加酒;烈酒（饮料）</t>
  </si>
  <si>
    <t>财杏启</t>
  </si>
  <si>
    <t>⾷⽤酒精;⽩酒;⻩酒;葡萄酒;烈酒（饮料）;含⽔果酒精饮料;⽶酒;酒精饮料（啤酒除外）;烧酒;果酒（含酒精）</t>
  </si>
  <si>
    <t>梨初</t>
  </si>
  <si>
    <t>一家人农业服务（邢台）有限公司</t>
  </si>
  <si>
    <t>清酒（⽇本⽶酒）;汽酒;葡萄酒;酒精饮料（啤酒除外）;伏特加酒;烈酒（饮料）;果酒（含酒精）;⻩酒;⽩酒;⽩兰地</t>
  </si>
  <si>
    <t>醉红驼铃</t>
  </si>
  <si>
    <t>酒精饮料（啤酒除外）;⽩兰地;汽酒;鸡尾酒;利⼝酒;含⽔果酒精饮料;果酒（含酒精）;开胃酒;葡萄酒;清酒（⽇本⽶酒）</t>
  </si>
  <si>
    <t>叙意温酒</t>
  </si>
  <si>
    <t>贵州省仁怀市叙意酒业有限公司</t>
  </si>
  <si>
    <t>⽩⼲酒（中国⽩酒）;烧酒;⾷⽤酒精;果酒（含酒精）;⽩酒;酒精饮料（啤酒除外）;⻩酒;⾼粱酒;⽼酒（中国蒸馏烈酒）;葡萄酒</t>
  </si>
  <si>
    <t>馨其点</t>
  </si>
  <si>
    <t>王振伟</t>
  </si>
  <si>
    <t>葡萄酒;⽩酒;露酒;烧酒（烈酒）;已调味的蒸馏酒;蒸馏⽶酒（泡盛酒）;⽶酒;果酒（含酒精）;⻩酒;苦荞酒</t>
  </si>
  <si>
    <t>台帖</t>
  </si>
  <si>
    <t>⽩酒;葡萄酒;⻩酒;⽶酒;烧酒;⾼粱酒;⻘稞酒</t>
  </si>
  <si>
    <t>玖德富福禄</t>
  </si>
  <si>
    <t>王金刚</t>
  </si>
  <si>
    <t>酒精饮料（啤酒除外）;葡萄酒;烧酒;⽶酒;果酒（含酒精）;⻩酒;⽩酒;⾼粱酒;⽼酒（中国蒸馏烈酒）;露酒</t>
  </si>
  <si>
    <t>汉天洲</t>
  </si>
  <si>
    <t>⽶酒;⽩酒;葡萄酒;果酒（含酒精）;⽩兰地;鸡尾酒;酒精饮料（啤酒除外）;烧酒;烈酒（饮料）;威⼠忌</t>
  </si>
  <si>
    <t>蒙赫兰莉</t>
  </si>
  <si>
    <t>鄂尔多斯市兰莉演艺有限公司</t>
  </si>
  <si>
    <t>汽酒;⽶酒;鸡尾酒;葡萄酒;烧酒;清酒;含酒精的饮料（啤酒除外）;⻩酒;⾷⽤酒精;⽩酒</t>
  </si>
  <si>
    <t>易善</t>
  </si>
  <si>
    <t>朗姆酒;⾷⽤酒精;汽酒;葡萄酒;威⼠忌;⽩酒;果酒（含酒精）;⻩酒;⽶酒;烧酒</t>
  </si>
  <si>
    <t>雅迪尼狮</t>
  </si>
  <si>
    <t>王俊杰</t>
  </si>
  <si>
    <t>葡萄酒;果酒（含酒精）;露酒;烧酒;⽼酒（中国蒸馏烈酒）;酒精饮料（啤酒除外）;⾕物制蒸馏酒精饮料;⾷⽤酒精;⽩酒;烈酒（饮料）</t>
  </si>
  <si>
    <t>兴坝</t>
  </si>
  <si>
    <t>贵州翰帝台酿酒有限责任公司</t>
  </si>
  <si>
    <t>烈酒;⻩酒;⽶酒;烧酒;⽩兰地;⽩酒;酒精饮料（啤酒除外）;果酒;威⼠忌;鸡尾酒</t>
  </si>
  <si>
    <t>皇思远</t>
  </si>
  <si>
    <t>漳州市胡氏兄弟贸易有限公司</t>
  </si>
  <si>
    <t>⾕物制蒸馏酒精饮料;果酒（含酒精）;鸡尾酒;朗姆酒;⽩兰地;⽩酒;汽酒;烧酒;⽶酒;烈酒（饮料）</t>
  </si>
  <si>
    <t>亲本靓丽</t>
  </si>
  <si>
    <t>西安云创空间信息科技有限公司</t>
  </si>
  <si>
    <t>含酒精的充⽓饮料（啤酒除外）;预先混合的酒精饮料（以啤酒为主的除外）;含⽔果酒精饮料;烧酒;葡萄酒;果酒;调制好的葡萄酒鸡尾酒;⽩酒;以葡萄酒为主的饮料;烈酒（饮料）;⻩酒;威⼠忌;⽩兰地;⽶酒;⾼粱酒</t>
  </si>
  <si>
    <t>汉葭</t>
  </si>
  <si>
    <t>重庆愉慧收环保科技有限公司</t>
  </si>
  <si>
    <t>果酒（含酒精）;葡萄酒;烈酒（饮料）;⻩酒;烧酒;⽶酒;⽩酒;酒精饮料浓缩汁;酒精饮料（啤酒除外）;⻘稞酒</t>
  </si>
  <si>
    <t>宴再</t>
  </si>
  <si>
    <t>图尔荪·赛麦提</t>
  </si>
  <si>
    <t>⽶酒;威⼠忌;伏特加酒;⽩酒;烈酒;鸡尾酒;果酒;葡萄酒;酒精饮料（啤酒除外）;清酒</t>
  </si>
  <si>
    <t>金康农</t>
  </si>
  <si>
    <t>化州市金康农畜牧有限公司</t>
  </si>
  <si>
    <t>果酒;葡萄酒;⾼粱酒;清酒;⽶酒;烧酒（烈酒）;⻩酒;威⼠忌;⽩酒;伏特加酒</t>
  </si>
  <si>
    <t>沙道湾</t>
  </si>
  <si>
    <t>来凤县百福司镇沙道湾药材种植专业合作社</t>
  </si>
  <si>
    <t>清酒（⽇本⽶酒）;⽩酒;果酒（含酒精）;烧酒;葡萄酒;鸡尾酒;酒精饮料（啤酒除外）;⽶酒;餐后酒（利⼝酒和烈酒）;⻩酒</t>
  </si>
  <si>
    <t>寻香侯</t>
  </si>
  <si>
    <t>梁红</t>
  </si>
  <si>
    <t>果酒（含酒精）;薄荷酒;威⼠忌;酒精饮料（啤酒除外）;含⽔果酒精饮料;⻩酒;⽩酒;蒸馏饮料;葡萄酒;开胃酒</t>
  </si>
  <si>
    <t>香遇乐厨</t>
  </si>
  <si>
    <t>贵州嘉丰乐厨餐饮管理有限公司</t>
  </si>
  <si>
    <t>⾷⽤酒精;清酒;⽩酒;⻘稞酒;利⼝酒;酒精饮料浓缩汁;烧酒;⻩酒;果酒;甜酒</t>
  </si>
  <si>
    <t>禧善聚</t>
  </si>
  <si>
    <t>南阳庞大商贸有限公司</t>
  </si>
  <si>
    <t>⽩酒;葡萄酒;果酒（含酒精）;烧酒;⻩酒;烈酒（饮料）;⽶酒;酒精饮料（啤酒除外）;鸡尾酒;清酒</t>
  </si>
  <si>
    <t>妃来香</t>
  </si>
  <si>
    <t>粤贤堂（广东）医药生物科技有限公司</t>
  </si>
  <si>
    <t>⾼粱酒;含酒精饮料（啤酒除外）;⽶酒;⽩酒;⻩酒;烈酒（饮料）;开胃酒;⾕物制蒸馏酒精饮料;果酒（含酒精）;葡萄酒</t>
  </si>
  <si>
    <t>饶腾</t>
  </si>
  <si>
    <t>西咸新区饶腾石油技术有限公司</t>
  </si>
  <si>
    <t>⻘稞酒;清酒（⽇本⽶酒）;苦味酒;烈酒（饮料）;⽶酒;薄荷酒;苹果酒;鸡尾酒;⽩酒;樱桃酒</t>
  </si>
  <si>
    <t>石晓燕岚亭叙</t>
  </si>
  <si>
    <t>石晓燕</t>
  </si>
  <si>
    <t>⽩酒;⽶酒;果酒;果酒（含酒精）;⻩酒;葡萄酒;以葡萄酒为主的饮料;汽酒;含⽔果酒精饮料;蒸馏饮料</t>
  </si>
  <si>
    <t>葡萄酒;烧酒;⻩酒;⽩酒;清酒（⽇本⽶酒）;鸡尾酒;烈酒（饮料）;酒精饮料（啤酒除外）;⽶酒;果酒（含酒精）</t>
  </si>
  <si>
    <t>PETITE REVERY</t>
  </si>
  <si>
    <t>厦门巢儿品牌管理有限公司</t>
  </si>
  <si>
    <t>⻩酒;⽶酒;葡萄酒;朗姆酒;⽩酒;鸡尾酒;酒精饮料原汁;含⽔果酒精饮料;⾷⽤酒精;清酒（⽇本⽶酒）</t>
  </si>
  <si>
    <t>WLAYP</t>
  </si>
  <si>
    <t>营蓬（海南）信息技术有限公司</t>
  </si>
  <si>
    <t>樱桃酒;⻩酒;⽩酒;薄荷酒;葡萄酒;烈酒（饮料）;烧酒;果酒（含酒精）;⽶酒;⾷⽤酒精;蜂蜜酒;酒精饮料（啤酒除外）</t>
  </si>
  <si>
    <t>京皇宫小清坛</t>
  </si>
  <si>
    <t>高楠</t>
  </si>
  <si>
    <t>蒸煮提取物（利⼝酒和烈酒）;⻩酒;烧酒;⽩酒;⾷⽤酒精;鸡尾酒;葡萄酒;含⽔果酒精饮料;⽶酒;含酒精的饮料（啤酒除外）</t>
  </si>
  <si>
    <t>源坤大师</t>
  </si>
  <si>
    <t>贵州省仁怀市古镇源坤酒业有限公司</t>
  </si>
  <si>
    <t>葡萄酒;烈酒（饮料）;⽶酒;⽩酒;烧酒;清酒（⽇本⽶酒）;酒精饮料（啤酒除外）;⾕物制蒸馏酒精饮料;果酒（含酒精）;开胃酒</t>
  </si>
  <si>
    <t>三星耀玥</t>
  </si>
  <si>
    <t>德阳高新发展有限公司</t>
  </si>
  <si>
    <t>薄荷酒;威⼠忌;梨酒;亚⼒酒;⽩酒;预先混合的酒精饮料（以啤酒为主的除外）;苦味酒;开胃酒;⾕物制蒸馏酒精饮料;烈酒（饮料）</t>
  </si>
  <si>
    <t>三星玥</t>
  </si>
  <si>
    <t>苦味酒;亚⼒酒;薄荷酒;烈酒（饮料）;⽩酒;⾕物制蒸馏酒精饮料;预先混合的酒精饮料（以啤酒为主的除外）;开胃酒;梨酒;威⼠忌</t>
  </si>
  <si>
    <t>云峰御禧</t>
  </si>
  <si>
    <t>魏中飞</t>
  </si>
  <si>
    <t>果酒（含酒精）;预先混合的酒精饮料（以啤酒为主的除外）;烧酒;已调味的蒸馏酒;⾼粱酒;⽶酒;⽩酒;⻩酒;露酒;葡萄酒</t>
  </si>
  <si>
    <t>添嘉</t>
  </si>
  <si>
    <t>孙林妹</t>
  </si>
  <si>
    <t>果酒（含酒精）;葡萄酒;威⼠忌;酒精饮料（啤酒除外）;鸡尾酒;酒精饮料原汁;⻩酒;⽩酒;蒸煮提取物（利⼝酒和烈酒）;⽩兰地</t>
  </si>
  <si>
    <t>幸酝道</t>
  </si>
  <si>
    <t>龚典成</t>
  </si>
  <si>
    <t>开胃酒;清酒（⽇本⽶酒）;酒精饮料（啤酒除外）;葡萄酒;烈酒（饮料）;⽩酒;威⼠忌;果酒;鸡尾酒;⻩酒</t>
  </si>
  <si>
    <t>唐人邻江宴</t>
  </si>
  <si>
    <t>扬州金钱草酒店管理有限公司</t>
  </si>
  <si>
    <t>酒精饮料原汁;⾷⽤酒精;⽩酒;⽶酒;烧酒;果酒（含酒精）;开胃酒;葡萄酒;酒精饮料（啤酒除外）;⻩酒</t>
  </si>
  <si>
    <t>YPX 毓品湘</t>
  </si>
  <si>
    <t>湖南艺膳堂农业科技发展有限责任公司</t>
  </si>
  <si>
    <t>以葡萄酒为主的饮料;⻩酒;⾷⽤酒精;⽩⼲酒（中国⽩酒）;烧酒;⽩酒;葡萄酒;蜂蜜酒;⽩兰地;酒精饮料（啤酒除外）</t>
  </si>
  <si>
    <t>红驼时光记</t>
  </si>
  <si>
    <t>⽩酒;⽶酒;烈酒（饮料）;樱桃酒;葡萄酒;威⼠忌;苹果酒;薄荷酒;⽩兰地;鸡尾酒</t>
  </si>
  <si>
    <t>玖德富</t>
  </si>
  <si>
    <t>烧酒;⻩酒;酒精饮料（啤酒除外）;葡萄酒;⽩酒;⽼酒（中国蒸馏烈酒）;果酒（含酒精）;露酒;⽶酒;⾼粱酒</t>
  </si>
  <si>
    <t>酩优甲酿</t>
  </si>
  <si>
    <t>合肥市酩优甲酿酒业有限责任公司</t>
  </si>
  <si>
    <t>烧酒;⽶酒;果酒（含酒精）;烈酒（饮料）;葡萄酒;⻩酒;酒精饮料（啤酒除外）;开胃酒;⾷⽤酒精;⽩酒</t>
  </si>
  <si>
    <t>汉膳</t>
  </si>
  <si>
    <t>梅酒;烧酒;⾼粱酒;⽶酒;⻘稞酒;⽩酒;葡萄酒</t>
  </si>
  <si>
    <t>丁玉敏</t>
  </si>
  <si>
    <t>威⼠忌;⽶酒;⽩酒;烈酒（饮料）;⻩酒;梨酒;苦味酒;⽩兰地;烧酒;⾷⽤酒精</t>
  </si>
  <si>
    <t>宝元</t>
  </si>
  <si>
    <t>成都阳生商务咨询有限公司</t>
  </si>
  <si>
    <t>烧酒;威⼠忌;开胃酒;⽩⼲酒（中国⽩酒）;果酒;⾼粱酒;⽼酒（中国蒸馏烈酒）;⽩酒;烈酒;⻩酒;利⼝酒;露酒;⾷⽤酒精</t>
  </si>
  <si>
    <t>新墅酒庄</t>
  </si>
  <si>
    <t>广州觅地进出口有限公司</t>
  </si>
  <si>
    <t>果酒（含酒精）;葡萄酒;酒精饮料（啤酒除外）;苹果酒;清酒（⽇本⽶酒）;威⼠忌;餐后酒（利⼝酒和烈酒）;⽩兰地;酸酒（低等葡萄酒）;烈酒（饮料）</t>
  </si>
  <si>
    <t>阳芫</t>
  </si>
  <si>
    <t>四川宗誉国际酒业贸易有限公司</t>
  </si>
  <si>
    <t>⻩酒;果酒;开胃酒;葡萄酒;烧酒（烈酒）;利⼝酒;⻘稞酒;烧酒;⽩酒;⽶酒</t>
  </si>
  <si>
    <t>蜀湘红运</t>
  </si>
  <si>
    <t>四川小六传奇酒业有限公司</t>
  </si>
  <si>
    <t>果酒（含酒精）;葡萄酒;清酒（⽇本⽶酒）;预先混合的酒精饮料（以啤酒为主的除外）;⽩酒;开胃酒;鸡尾酒;酒精饮料（啤酒除外）;烧酒;⾷⽤酒精</t>
  </si>
  <si>
    <t>BCE</t>
  </si>
  <si>
    <t>江苏公元前科技有限公司</t>
  </si>
  <si>
    <t>鸡尾酒;葡萄酒;佐餐酒;酒精饮料（啤酒除外）;酒精饮料原汁;酒精饮料浓缩汁;含酒精的⽓泡⽔;⾷⽤酒精;⽩酒;果酒（含酒精）</t>
  </si>
  <si>
    <t>邺铭</t>
  </si>
  <si>
    <t>大名县邺铭商贸有限公司</t>
  </si>
  <si>
    <t>⽩酒;含⽔果酒精饮料;⻩酒;开胃酒;鸡尾酒;葡萄酒;⽶酒;酒精饮料（啤酒除外）;烈酒（饮料）;烧酒</t>
  </si>
  <si>
    <t>父玺台</t>
  </si>
  <si>
    <t>贵州礼脉酒业有限公司</t>
  </si>
  <si>
    <t>蒸馏饮料;葡萄酒;烧酒;烈酒（饮料）;⾷⽤酒精;⽩酒;利⼝酒;⾕物制蒸馏酒精饮料;⻩酒;⽶酒</t>
  </si>
  <si>
    <t>顶庆</t>
  </si>
  <si>
    <t>潘秀荣</t>
  </si>
  <si>
    <t>威⼠忌;酒精饮料原汁;葡萄酒;酒精饮料（啤酒除外）;⻩酒;蒸煮提取物（利⼝酒和烈酒）;果酒（含酒精）;⽩兰地;鸡尾酒;⽩酒</t>
  </si>
  <si>
    <t>白露歌</t>
  </si>
  <si>
    <t>威⼠忌;鸡尾酒;葡萄酒;⻩酒;果酒（含酒精）;清酒（⽇本⽶酒）;⽩酒;烈酒;酒精饮料（啤酒除外）;开胃酒</t>
  </si>
  <si>
    <t>蔺双龙</t>
  </si>
  <si>
    <t>古蔺美天酒业有限公司</t>
  </si>
  <si>
    <t>果酒（含酒精）;酒精饮料原汁;酒精饮料（啤酒除外）;酸酒（低等葡萄酒）;威⼠忌;酒精饮料浓缩汁;烈酒（饮料）;⽩兰地;清酒（⽇本⽶酒）;梨酒</t>
  </si>
  <si>
    <t>茶花匠</t>
  </si>
  <si>
    <t>朱旭</t>
  </si>
  <si>
    <t>酒精饮料原汁;⾷⽤酒精;果酒（含酒精）;⽢蔗制酒精饮料;⾕物制蒸馏酒精饮料;⽩酒;薄荷酒;酒精饮料浓缩汁;含⽔果酒精饮料;⽶酒</t>
  </si>
  <si>
    <t>李大墩</t>
  </si>
  <si>
    <t>黑龙江李大墩餐饮管理有限公司</t>
  </si>
  <si>
    <t>⾷⽤酒精;开胃酒;⽩酒;⻩酒;葡萄酒;苹果酒;酒精饮料原汁;酒精饮料（啤酒除外）;伏特加酒;烧酒</t>
  </si>
  <si>
    <t>醉亨里</t>
  </si>
  <si>
    <t>张鑫</t>
  </si>
  <si>
    <t>酒精饮料（啤酒除外）;⽶酒;果酒（含酒精）;烈酒（饮料）;⾕物制蒸馏酒精饮料;开胃酒;葡萄酒;烧酒;⽩酒;⻩酒</t>
  </si>
  <si>
    <t>达育优农牧</t>
  </si>
  <si>
    <t>开鲁县达育优农牧科技有限公司</t>
  </si>
  <si>
    <t>⽩酒;⽶酒;含酒精的⽓泡⽔;⻘稞酒;⻩酒;鸡尾酒;烧酒（烈酒）;⾼粱酒;葡萄酒;烧酒</t>
  </si>
  <si>
    <t>青楚玖</t>
  </si>
  <si>
    <t>郑宝文达</t>
  </si>
  <si>
    <t>由⾕物蒸馏的⽩酒;⽩⼲酒（中国⽩酒）;⽼酒（中国蒸馏烈酒）;烧酒;烈酒;苦味酒;⽶酒;⽩酒;⾼粱酒;甜果酒</t>
  </si>
  <si>
    <t>维利吉</t>
  </si>
  <si>
    <t>清酒（⽇本⽶酒）;威⼠忌;葡萄酒;果酒（含酒精）;烈酒（饮料）;餐后酒（利⼝酒和烈酒）;⽩兰地;酒精饮料（啤酒除外）;酸酒（低等葡萄酒）;苹果酒</t>
  </si>
  <si>
    <t>崇正坊伍陆跑团</t>
  </si>
  <si>
    <t>果酒（含酒精）;葡萄酒;⽩兰地;⽶酒;鸡尾酒;⽩酒;蒸馏饮料;威⼠忌;⻩酒</t>
  </si>
  <si>
    <t>美健禧</t>
  </si>
  <si>
    <t>王建峰</t>
  </si>
  <si>
    <t>葡萄酒;果酒（含酒精）;酒精饮料（啤酒除外）;⻩酒;⾷⽤酒精;威⼠忌;烧酒;开胃酒;⽩酒;鸡尾酒</t>
  </si>
  <si>
    <t>甬炬</t>
  </si>
  <si>
    <t>宁波欧乐电气有限公司</t>
  </si>
  <si>
    <t>酒精饮料（啤酒除外）;烈酒（饮料）;清酒（⽇本⽶酒）;⽩酒;利⼝酒;⻩酒;烧酒;葡萄酒;⽩兰地;蒸馏饮料</t>
  </si>
  <si>
    <t>汉匠坊兰</t>
  </si>
  <si>
    <t>酒精饮料原汁;含⽔果酒精饮料;果酒（含酒精）;葡萄酒;酒精饮料（啤酒除外）;⽶酒;酒精饮料浓缩汁;⽩酒;烈酒（饮料）;蒸馏饮料</t>
  </si>
  <si>
    <t>活力纵横</t>
  </si>
  <si>
    <t>青岛百康莱饮料有限公司</t>
  </si>
  <si>
    <t>⻩酒;⽩酒;⽼酒（中国蒸馏烈酒）;红葡萄酒;⽩葡萄酒;酒精饮料（啤酒除外）;含酒精的饮料（啤酒除外）;烧酒（烈酒）;果酒;蒸馏饮料</t>
  </si>
  <si>
    <t>粮厂长</t>
  </si>
  <si>
    <t>⽶酒;⽩酒;梅酒;⻘稞酒;烧酒;⾼粱酒;葡萄酒</t>
  </si>
  <si>
    <t>孝基</t>
  </si>
  <si>
    <t>梅酒;⻘稞酒;⾼粱酒;⽩酒;⽶酒;烧酒;葡萄酒</t>
  </si>
  <si>
    <t>易梦醇</t>
  </si>
  <si>
    <t>葡萄酒;⾷⽤酒精;果酒（含酒精）;⽩酒;汽酒;朗姆酒;⽶酒;烧酒;威⼠忌;⻩酒</t>
  </si>
  <si>
    <t>金銮喜</t>
  </si>
  <si>
    <t>酒精饮料（啤酒除外）;⽩酒;烧酒;蜂蜜酒;⾕物制蒸馏酒精饮料;⽶酒;果酒;葡萄酒;⾷⽤酒精;⻩酒</t>
  </si>
  <si>
    <t>金犊喜</t>
  </si>
  <si>
    <t>烧酒;⽩酒;酒精饮料（啤酒除外）;⾷⽤酒精;葡萄酒;果酒;⾕物制蒸馏酒精饮料;蜂蜜酒;⽶酒;⻩酒</t>
  </si>
  <si>
    <t>云昇盛秋堂</t>
  </si>
  <si>
    <t>昆明盛秋堂药业有限责任公司</t>
  </si>
  <si>
    <t>⻘梅酒;蜂蜜酒;樱桃酒;含⽔果酒精饮料;烈酒;杨梅酒;露酒;混合威⼠忌酒;鸡尾酒;⽶酒</t>
  </si>
  <si>
    <t>兴语台</t>
  </si>
  <si>
    <t>贵州荣臻酒业有限公司</t>
  </si>
  <si>
    <t>葡萄酒;清酒（⽇本⽶酒）;清酒;果酒（含酒精）;⽶酒;⽩⼲酒（中国⽩酒）;烈酒;⽩酒;酒精饮料（啤酒除外）;烧酒</t>
  </si>
  <si>
    <t>焱山集</t>
  </si>
  <si>
    <t>万市大集（云南）品牌运营管理有限公司</t>
  </si>
  <si>
    <t>⽩酒;⽶酒;烈酒（饮料）;⻩酒;酒精饮料（啤酒除外）;鸡尾酒;葡萄酒;清酒（⽇本⽶酒）;⻘稞酒;果酒（含酒精）</t>
  </si>
  <si>
    <t>孔圣师</t>
  </si>
  <si>
    <t>烧酒;⻘稞酒;⽶酒;⽩酒;葡萄酒;⾼粱酒;梅酒</t>
  </si>
  <si>
    <t>思源思中</t>
  </si>
  <si>
    <t>妫宾</t>
  </si>
  <si>
    <t>零幺零（北京）文化传播有限公司</t>
  </si>
  <si>
    <t>酒精饮料原汁;含⽔果酒精饮料;酒精饮料（啤酒除外）;开胃酒;烈酒（饮料）;含酒精的⽓泡⽔;⽩⼲酒（中国⽩酒）;餐后酒（利⼝酒和烈酒）;⽩酒;鸡尾酒</t>
  </si>
  <si>
    <t>笑看年华</t>
  </si>
  <si>
    <t>高州市吉瑞文化传播有限公司</t>
  </si>
  <si>
    <t>⾕物制蒸馏酒精饮料;⽼酒（中国蒸馏烈酒）;⽶酒;开胃酒;果酒;蒸馏饮料;⽩酒;⻩酒;酒精饮料（啤酒除外）;葡萄酒</t>
  </si>
  <si>
    <t>凉山州好礼供应链管理有限公司</t>
  </si>
  <si>
    <t>苦荞酒;果酒;⻩酒;⽩酒;⽶酒;鸡尾酒;果酒（含酒精）;烈酒;利⼝酒;葡萄酒</t>
  </si>
  <si>
    <t>虔赋</t>
  </si>
  <si>
    <t>方永兵</t>
  </si>
  <si>
    <t>果酒（含酒精）;⽶酒;酒精饮料（啤酒除外）;⽩酒;⽼酒（中国蒸馏烈酒）;⽩兰地;蒸馏饮料;苦味酒;薄荷酒;含⽔果酒精饮料</t>
  </si>
  <si>
    <t>赤美传陈</t>
  </si>
  <si>
    <t>博特赛尔（东莞）科技有限公司</t>
  </si>
  <si>
    <t>⽩酒;⻩酒;威⼠忌;烈酒（饮料）;⽶酒;葡萄酒;开胃酒;酒精饮料（啤酒除外）;鸡尾酒;酸酒（低等葡萄酒）</t>
  </si>
  <si>
    <t>醉红驼</t>
  </si>
  <si>
    <t>清酒（⽇本⽶酒）;果酒（含酒精）;鸡尾酒;葡萄酒;汽酒;酒精饮料（啤酒除外）;含⽔果酒精饮料;开胃酒;⽩兰地;利⼝酒</t>
  </si>
  <si>
    <t>大夏有归</t>
  </si>
  <si>
    <t>化一文化艺术（成都）有限公司</t>
  </si>
  <si>
    <t>开胃酒;⽩酒;烈酒;葡萄酒;蒸煮提取物（利⼝酒和烈酒）;⾼粱酒;烧酒;酒精饮料（啤酒除外）;果酒（含酒精）;⾷⽤酒精</t>
  </si>
  <si>
    <t>牧马三社</t>
  </si>
  <si>
    <t>含⽔果酒精饮料;烧酒;⾷⽤酒精;开胃酒;酒精饮料（啤酒除外）;果酒（含酒精）;葡萄酒;⽶酒;烈酒（饮料）;蒸馏饮料</t>
  </si>
  <si>
    <t>山海美</t>
  </si>
  <si>
    <t>陈武翘</t>
  </si>
  <si>
    <t>果酒（含酒精）;威⼠忌;鸡尾酒;⽶酒;葡萄酒;⻩酒;清酒;⽩酒;酒精饮料（啤酒除外）;烧酒</t>
  </si>
  <si>
    <t>易兴</t>
  </si>
  <si>
    <t>威⼠忌;葡萄酒;⾷⽤酒精;烧酒;朗姆酒;汽酒;⽩酒;果酒（含酒精）;⽶酒;⻩酒</t>
  </si>
  <si>
    <t>易意酒</t>
  </si>
  <si>
    <t>朗姆酒;葡萄酒;汽酒;⽶酒;烧酒;⽩酒;果酒（含酒精）;⻩酒;⾷⽤酒精;威⼠忌</t>
  </si>
  <si>
    <t>古圣诗</t>
  </si>
  <si>
    <t>高世理</t>
  </si>
  <si>
    <t>利⼝酒;蒸煮提取物（利⼝酒和烈酒）;酒精饮料（啤酒除外）;烧酒;鸡尾酒;⽩酒;果酒（含酒精）;⾷⽤酒精;⻩酒;蜂蜜酒</t>
  </si>
  <si>
    <t>邺之蒙</t>
  </si>
  <si>
    <t>宋平安</t>
  </si>
  <si>
    <t>果酒;烈酒;利⼝酒;酒精饮料（啤酒除外）;含⽔果酒精饮料;开胃酒;鸡尾酒;烧酒;葡萄酒;⽩酒</t>
  </si>
  <si>
    <t>镕韵贵</t>
  </si>
  <si>
    <t>贵州贵企域酒业有限公司</t>
  </si>
  <si>
    <t>⽩酒;由⾕物蒸馏的⽩酒;⽩⼲酒（中国⽩酒）;五加⽪酒（中国混合烈酒）;烈性⼲酒;烧酒（烈酒）;烈酒;蒸煮提取物（利⼝酒和烈酒）;烧酒;⽼酒（中国蒸馏烈酒）</t>
  </si>
  <si>
    <t>旅驿行</t>
  </si>
  <si>
    <t>四川旅发环保科技有限公司</t>
  </si>
  <si>
    <t>果酒（含酒精）;⽶酒;含⽔果酒精饮料;⻩酒;烧酒;⽩酒;酒精饮料浓缩汁;酒精饮料（啤酒除外）;葡萄酒;烈酒（饮料）</t>
  </si>
  <si>
    <t>臻珍匠</t>
  </si>
  <si>
    <t>贵州省仁怀市苏河梦酒业有限公司</t>
  </si>
  <si>
    <t>鸡尾酒;⽩⼲酒（中国⽩酒）;酒精饮料（啤酒除外）;⽼酒（中国蒸馏烈酒）;烈酒（饮料）;⾼粱酒;⽩酒;果酒;葡萄酒;烈酒</t>
  </si>
  <si>
    <t>⽩酒;果酒（含酒精）;薄荷酒;鸡尾酒;清酒（⽇本⽶酒）;威⼠忌;酒精饮料（啤酒除外）;葡萄酒;⽩兰地;伏特加酒</t>
  </si>
  <si>
    <t>海口须牛科技有限公司</t>
  </si>
  <si>
    <t>⻩酒;酒精饮料（啤酒除外）;鸡尾酒;⽶酒;伏特加酒;葡萄酒;蜂蜜酒;果酒（含酒精）;威⼠忌;⽩酒</t>
  </si>
  <si>
    <t>汉匠坊竹</t>
  </si>
  <si>
    <t>⽩酒;蒸馏饮料;含⽔果酒精饮料;酒精饮料原汁;烈酒（饮料）;酒精饮料（啤酒除外）;⽶酒;果酒（含酒精）;葡萄酒;酒精饮料浓缩汁</t>
  </si>
  <si>
    <t>九耳斑鹿</t>
  </si>
  <si>
    <t>⽩酒;⾕物制蒸馏酒精饮料;⽶酒;葡萄酒;⻩酒;开胃酒;烈酒（饮料）;含酒精饮料（啤酒除外）;果酒（含酒精）;⾼粱酒</t>
  </si>
  <si>
    <t>冬浦</t>
  </si>
  <si>
    <t>陈永强</t>
  </si>
  <si>
    <t>烧酒;利⼝酒;含酒精的饮料（啤酒除外）;果酒;⽩酒;⾼粱酒;⽶酒;甜酒;鸡尾酒;⻩酒</t>
  </si>
  <si>
    <t>几何熊猫</t>
  </si>
  <si>
    <t>山东潘大啤酒集团有限公司</t>
  </si>
  <si>
    <t>烈酒;葡萄酒;露酒;汽酒;⾷⽤酒精;⽩酒;果酒;鸡尾酒;⻩酒;⽶酒</t>
  </si>
  <si>
    <t>乡创空间</t>
  </si>
  <si>
    <t>成都智必达企业管理有限公司</t>
  </si>
  <si>
    <t>⽼酒（中国蒸馏烈酒）;⾼粱酒;由⾕物蒸馏的⽩酒;⽩酒;果酒;⻩酒;⽩⼲酒（中国⽩酒）;除啤酒外的酒精饮料;烧酒;⾷⽤酒精</t>
  </si>
  <si>
    <t>贵恪</t>
  </si>
  <si>
    <t>北京星耀通商贸有限公司</t>
  </si>
  <si>
    <t>白酒;烧酒;葡萄酒;白兰地;酒精饮料（啤酒除外）;烈酒（饮料）;开胃酒;威士忌;米酒;含水果酒精饮料</t>
  </si>
  <si>
    <t>太元三生代</t>
  </si>
  <si>
    <t>广州海创国际生物科技有限公司</t>
  </si>
  <si>
    <t>果酒（含酒精）;白兰地;葡萄酒;烧酒;白酒;清酒（日本米酒）;威士忌;米酒;酒精饮料（啤酒除外）;鸡尾酒</t>
  </si>
  <si>
    <t>红驼茗庄荟</t>
  </si>
  <si>
    <t>葡萄酒;樱桃酒;苹果酒;薄荷酒;威⼠忌;⽩兰地;烈酒（饮料）;鸡尾酒;⽶酒;⽩酒</t>
  </si>
  <si>
    <t>红驼茗庄会</t>
  </si>
  <si>
    <t>⽶酒;烈酒（饮料）;樱桃酒;苹果酒;鸡尾酒;威⼠忌;薄荷酒;⽩兰地;葡萄酒;⽩酒</t>
  </si>
  <si>
    <t>红驼猎酒客</t>
  </si>
  <si>
    <t>鸡尾酒;薄荷酒;樱桃酒;⽶酒;葡萄酒;⽩酒;威⼠忌;⽩兰地;苹果酒;烈酒（饮料）</t>
  </si>
  <si>
    <t>贵舟韵</t>
  </si>
  <si>
    <t>龚晨</t>
  </si>
  <si>
    <t>蒸煮提取物（利⼝酒和烈酒）;鸡尾酒;果酒（含酒精）;⽩兰地;⽩酒;葡萄酒;威⼠忌;酒精饮料原汁;酒精饮料（啤酒除外）;⻩酒</t>
  </si>
  <si>
    <t>程酝品格</t>
  </si>
  <si>
    <t>果酒（含酒精）;⾕物制蒸馏酒精饮料;烈酒（饮料）;鸡尾酒;威⼠忌;烧酒;⽩酒;⻩酒;葡萄酒;⽶酒</t>
  </si>
  <si>
    <t>青山玺</t>
  </si>
  <si>
    <t>赵育军</t>
  </si>
  <si>
    <t>烈酒（饮料）;清酒（⽇本⽶酒）;酒精饮料（啤酒除外）;葡萄酒;果酒;威⼠忌;⻩酒;⽩酒;开胃酒;鸡尾酒</t>
  </si>
  <si>
    <t>果果澎湃</t>
  </si>
  <si>
    <t>果酒（含酒精）;⼲型苹果酒;葡萄酒;鸡尾酒;酒精饮料（啤酒除外）;苹果酒;蒸馏饮料;预先混合的酒精饮料（以啤酒为主的除外）;⽩酒;汽酒</t>
  </si>
  <si>
    <t>君签名</t>
  </si>
  <si>
    <t>雷现勇</t>
  </si>
  <si>
    <t>烈酒（饮料）;酒精饮料（啤酒除外）;⽩酒;鸡尾酒;果酒（含酒精）;⻩酒;蒸馏饮料;葡萄酒;烧酒;⽶酒</t>
  </si>
  <si>
    <t>中郸</t>
  </si>
  <si>
    <t>蒋春燕</t>
  </si>
  <si>
    <t>⻩酒;⽩酒;烈酒;⻘稞酒;⽶酒;⽩兰地;威⼠忌;鸡尾酒;烧酒;葡萄酒</t>
  </si>
  <si>
    <t>关队长</t>
  </si>
  <si>
    <t>福建五叶堂茶业有限公司</t>
  </si>
  <si>
    <t>葡萄酒;⻩酒;⽶酒;苹果酒;蒸馏饮料;烈酒（饮料）;烧酒;⽩兰地;鸡尾酒;⽩酒</t>
  </si>
  <si>
    <t>VENTMED</t>
  </si>
  <si>
    <t>湖南万脉医疗科技有限公司</t>
  </si>
  <si>
    <t>⾷⽤酒精;含⽔果酒精饮料;朗姆酒;葡萄酒;鸡尾酒;⽩酒;烧酒;伏特加酒;⽶酒;烈酒（饮料）</t>
  </si>
  <si>
    <t>江南铭</t>
  </si>
  <si>
    <t>昆明天外天商务有限公司</t>
  </si>
  <si>
    <t>酒精饮料（啤酒除外）;露酒;烈酒（饮料）;⽩酒;⻘稞酒;葡萄酒;开胃酒;果酒（含酒精）;汽酒;⻩酒</t>
  </si>
  <si>
    <t>昱泰</t>
  </si>
  <si>
    <t>康建丽</t>
  </si>
  <si>
    <t>汽酒;⻩酒;蝮蛇酒;烧酒;果酒;烈酒;⽶酒;酒精饮料（啤酒除外）;⾼粱酒;⽩酒</t>
  </si>
  <si>
    <t>普六</t>
  </si>
  <si>
    <t>成都酒运恒通贸易有限公司</t>
  </si>
  <si>
    <t>⻩酒;烈酒;酒精饮料（啤酒除外）;果酒;烧酒;⽩酒;⽼酒（中国蒸馏烈酒）;葡萄酒;⽶酒;酒精饮料原汁</t>
  </si>
  <si>
    <t>江香春</t>
  </si>
  <si>
    <t>龙正好</t>
  </si>
  <si>
    <t>开胃酒;⽶酒;鸡尾酒;果酒（含酒精）;⽩酒;汽酒;红葡萄酒;清酒（⽇本⽶酒）;威⼠忌;烧酒</t>
  </si>
  <si>
    <t>希力健</t>
  </si>
  <si>
    <t>山东昂泰网络科技有限公司</t>
  </si>
  <si>
    <t>鸡尾酒;烈酒（饮料）;⽩酒;⽶酒;烧酒;蒸馏饮料;果酒（含酒精）;酒精饮料（啤酒除外）;葡萄酒;⻩酒</t>
  </si>
  <si>
    <t>瑶露源</t>
  </si>
  <si>
    <t>烧酒;⻩酒;⽶酒;露酒;果酒;⾕物制蒸馏酒精饮料;已调味的蒸馏酒;⽩酒;开胃酒;酒精饮料（啤酒除外）</t>
  </si>
  <si>
    <t>得海云</t>
  </si>
  <si>
    <t>温州得海云科技有限公司</t>
  </si>
  <si>
    <t>⽩酒;清酒;威⼠忌;⽩兰地;伏特加酒;酒精饮料（啤酒除外）;葡萄酒;烧酒;果酒（含酒精）;鸡尾酒</t>
  </si>
  <si>
    <t>怡轼</t>
  </si>
  <si>
    <t>贵州金色之香产业发展有限公司</t>
  </si>
  <si>
    <t>蒸馏饮料;烈酒（饮料）;梅酒;酒精饮料（啤酒除外）;⾕物制蒸馏酒精饮料;果酒（含酒精）;预先混合的酒精饮料（以啤酒为主的除外）;开胃酒;含⽔果酒精饮料;⽶酒</t>
  </si>
  <si>
    <t>杜甫腾龙</t>
  </si>
  <si>
    <t>酒精饮料（啤酒除外）;威⼠忌;⻩酒;葡萄酒;清酒（⽇本⽶酒）;⽩酒;薄荷酒;果酒（含酒精）;烈酒（饮料）;烧酒</t>
  </si>
  <si>
    <t>以志烧坊</t>
  </si>
  <si>
    <t>常乘乘</t>
  </si>
  <si>
    <t>⻩酒;葡萄酒;蜂蜜酒;⽩酒;果酒;伏特加酒;烧酒;⽶酒;清酒;威⼠忌</t>
  </si>
  <si>
    <t>以仙烧坊</t>
  </si>
  <si>
    <t>⽩酒;⻩酒;蜂蜜酒;威⼠忌;⽶酒;葡萄酒;果酒;伏特加酒;清酒;烧酒</t>
  </si>
  <si>
    <t>昕华悦</t>
  </si>
  <si>
    <t>深圳昕华悦商贸投资有限公司</t>
  </si>
  <si>
    <t>葡萄酒;酒精饮料原汁;含⽔果酒精饮料;⽩酒;果酒（含酒精）;烈酒（饮料）;⻩酒;⽶酒;烧酒;开胃酒</t>
  </si>
  <si>
    <t>茅台良友</t>
  </si>
  <si>
    <t>中国贵州茅台酒厂（集团）有限责任公司</t>
  </si>
  <si>
    <t>米酒;清酒（日本米酒）;黄酒;烧酒;蒸馏饮料;食用酒精;酒精饮料（啤酒除外）;烈酒（饮料）;果酒（含酒精）;白酒</t>
  </si>
  <si>
    <t>张振祚</t>
  </si>
  <si>
    <t>张旭</t>
  </si>
  <si>
    <t>烧酒;苦荞酒;清酒;⽩酒;⾼粱酒;⽶酒;酒精饮料（啤酒除外）;⽼酒（中国蒸馏烈酒）;⻩酒;⻘稞酒</t>
  </si>
  <si>
    <t>馨农圃</t>
  </si>
  <si>
    <t>广州市益坤贸易发展有限公司</t>
  </si>
  <si>
    <t>果酒（含酒精）;⽩酒;蒸馏饮料;酒精饮料原汁;烧酒;⽩兰地;含⽔果酒精饮料;葡萄酒;⽶酒;烈酒（饮料）</t>
  </si>
  <si>
    <t>忠粹</t>
  </si>
  <si>
    <t>李文</t>
  </si>
  <si>
    <t>烧酒;梅酒;葡萄酒;⾼粱酒;⽩酒;⽶酒;⻩酒;⻘稞酒</t>
  </si>
  <si>
    <t>OJITOS VERDES</t>
  </si>
  <si>
    <t>福思乐国际酒业（北京）有限公司</t>
  </si>
  <si>
    <t>威⼠忌;鸡尾酒;葡萄酒;酒精饮料浓缩汁;⽩兰地;开胃酒;烧酒;⽩酒;烈酒（饮料）;果酒（含酒精）</t>
  </si>
  <si>
    <t>聂丰</t>
  </si>
  <si>
    <t>昆明越航科技有限公司</t>
  </si>
  <si>
    <t>预先混合的酒精饮料（以啤酒为主的除外）;⻘稞酒;蜂蜜酒;烧酒;⽶酒;葡萄酒;烈酒（饮料）;⽩酒;蒸煮提取物（利⼝酒和烈酒）;果酒（含酒精）</t>
  </si>
  <si>
    <t>羽墨文</t>
  </si>
  <si>
    <t>杨冰凤</t>
  </si>
  <si>
    <t>葡萄酒;烈酒;⻩酒;⽶酒;烧酒;鸡尾酒;⽩兰地;威⼠忌;⽩酒;⻘稞酒</t>
  </si>
  <si>
    <t>启圣元</t>
  </si>
  <si>
    <t>张凯锋</t>
  </si>
  <si>
    <t>鸡尾酒;果酒（含酒精）;⻩酒;烈酒（饮料）;开胃酒;⽩酒;酒精饮料（啤酒除外）;⽶酒;烧酒;葡萄酒</t>
  </si>
  <si>
    <t>御赐井</t>
  </si>
  <si>
    <t>烟台御珍坊酒业有限公司</t>
  </si>
  <si>
    <t>果酒（含酒精）;利⼝酒;⽩酒;⽶酒;⽩兰地;葡萄酒;⾷⽤酒精;鸡尾酒;酒精饮料（啤酒除外）;蒸馏饮料</t>
  </si>
  <si>
    <t>向样</t>
  </si>
  <si>
    <t>杭州英明向太多媒体有限公司</t>
  </si>
  <si>
    <t>开胃酒;⽩酒;果酒;露酒;甜酒;鸡尾酒;葡萄酒;利⼝酒;烈酒;含⽔果酒精饮料</t>
  </si>
  <si>
    <t>扁鹊民康堂</t>
  </si>
  <si>
    <t>莆田市荔城区绿色家园百货店</t>
  </si>
  <si>
    <t>含酒精的饮料（啤酒除外）;葡萄酒;威士忌;烧酒;开胃酒;米酒;清酒;白兰地;黄酒;白酒</t>
  </si>
  <si>
    <t>水魁</t>
  </si>
  <si>
    <t>黑马（漳州）食品有限公司</t>
  </si>
  <si>
    <t>鸡尾酒;⾼粱酒;葡萄酒;⻩酒;果酒;烈酒;杨梅酒;⽩酒;⽶酒;⽼酒（中国蒸馏烈酒）</t>
  </si>
  <si>
    <t>龙海黑马</t>
  </si>
  <si>
    <t>⽶酒;⾼粱酒;果酒;烈酒;葡萄酒;⻩酒;⽼酒（中国蒸馏烈酒）;杨梅酒;⽩酒;鸡尾酒</t>
  </si>
  <si>
    <t>二仙邨</t>
  </si>
  <si>
    <t>上海虹树企业管理有限公司</t>
  </si>
  <si>
    <t>⽩酒;酒精饮料（啤酒除外）;蒸馏⽶酒（泡盛酒）;⽶酒;果酒;清酒（⽇本⽶酒）;葡萄酒;⻩酒;含⽔果酒精饮料;鸡尾酒</t>
  </si>
  <si>
    <t>百念智胜</t>
  </si>
  <si>
    <t>杨晶磊</t>
  </si>
  <si>
    <t>葡萄酒;⽼酒（中国蒸馏烈酒）;⽩酒;⽶酒;⾕物制蒸馏酒精饮料;蒸馏饮料;果酒;烧酒;⻩酒;清酒</t>
  </si>
  <si>
    <t>仙临邓祖</t>
  </si>
  <si>
    <t>果酒(含酒精);葡萄酒;蒸馏饮料;伏特加酒;烧酒;⾷⽤酒精;烈酒(饮料);威⼠忌;⻩酒;酒精饮料(啤酒除外)</t>
  </si>
  <si>
    <t>素猕</t>
  </si>
  <si>
    <t>沙志窖</t>
  </si>
  <si>
    <t>张家口盛世长城酿酒有限公司</t>
  </si>
  <si>
    <t>⽼酒（中国蒸馏烈酒）;烧酒;⽩酒;蒸馏饮料;酒精饮料（啤酒除外）;⻩酒;葡萄酒;鸡尾酒;汽酒;果酒（含酒精）</t>
  </si>
  <si>
    <t>永恒基</t>
  </si>
  <si>
    <t>贵州永孝酒业有限公司</t>
  </si>
  <si>
    <t>⾼粱酒;烈酒;⻩酒;⽩酒;⽼酒（中国蒸馏烈酒）;酒精饮料（啤酒除外）;⽶酒;烧酒;果酒;葡萄酒</t>
  </si>
  <si>
    <t>陕徽玉液</t>
  </si>
  <si>
    <t>陕西秦皇倚凤酒业股份有限公司</t>
  </si>
  <si>
    <t>葡萄酒;⽩兰地;⽩酒;果酒（含酒精）;蒸馏饮料;酒精饮料原汁;⽶酒;⻩酒;烧酒;烈酒（饮料）</t>
  </si>
  <si>
    <t>仙酒湖</t>
  </si>
  <si>
    <t>黄文洋</t>
  </si>
  <si>
    <t>葡萄酒;⽶酒;⻘稞酒;清酒;⽩酒;苦荞酒;烧酒</t>
  </si>
  <si>
    <t>汇聚江山</t>
  </si>
  <si>
    <t>刘世浩</t>
  </si>
  <si>
    <t>⽶酒;⻩酒;清酒;烧酒;果酒;⽼酒（中国蒸馏烈酒）;⾼粱酒;⽩⼲酒（中国⽩酒）;葡萄酒;⽩酒</t>
  </si>
  <si>
    <t>虎吒</t>
  </si>
  <si>
    <t>杭州力虎广告有限公司</t>
  </si>
  <si>
    <t>果酒（含酒精）;鸡尾酒;清酒（⽇本⽶酒）;威⼠忌;烧酒;红葡萄酒;烈酒（饮料）;梅酒;⽶酒;杨梅酒</t>
  </si>
  <si>
    <t>玉馨论</t>
  </si>
  <si>
    <t>贵州玉馨酱酒业有限公司</t>
  </si>
  <si>
    <t>开胃酒;烧酒;威⼠忌;葡萄酒;⽶酒;⾕物制蒸馏酒精饮料;⽩酒;烈酒（饮料）;果酒（含酒精）;酒精饮料（啤酒除外）</t>
  </si>
  <si>
    <t>青藤水街</t>
  </si>
  <si>
    <t>北京青藤元数科技有限公司</t>
  </si>
  <si>
    <t>⽩酒;葡萄酒;蜂蜜酒;含⽔果酒精饮料;梅酒;甜酒;鸡尾酒;烈酒（饮料）;⽶酒;果酒</t>
  </si>
  <si>
    <t>俪珩云家</t>
  </si>
  <si>
    <t>重庆市云阳县民源农副产品有限责任公司</t>
  </si>
  <si>
    <t>⽩酒;⾷⽤酒精;烈酒;烧酒;⻩酒;⾼粱酒;威⼠忌;果酒</t>
  </si>
  <si>
    <t>爱鉴</t>
  </si>
  <si>
    <t>烧酒;⽩酒;清酒;苦荞酒;⽶酒;⻘稞酒;葡萄酒</t>
  </si>
  <si>
    <t>晋千久</t>
  </si>
  <si>
    <t>葡萄酒;烈酒（饮料）;酒精饮料原汁;烧酒;⻩酒;果酒（含酒精）;餐后酒（利⼝酒和烈酒）;酒精饮料（啤酒除外）;⽶酒;⽩酒</t>
  </si>
  <si>
    <t>婼兰花</t>
  </si>
  <si>
    <t>山西窖藏汾生态酿酒集团有限公司</t>
  </si>
  <si>
    <t>含⽔果酒精饮料;⽩兰地;葡萄酒;鸡尾酒;酒精饮料（啤酒除外）;⽩酒;利⼝酒;蜂蜜酒;果酒（含酒精）;烧酒</t>
  </si>
  <si>
    <t>漠北胡杨</t>
  </si>
  <si>
    <t>山西晋十二酒业股份有限公司</t>
  </si>
  <si>
    <t>⾷⽤酒精;烈酒;⾼粱酒;烈酒（饮料）;烧酒;⽩酒;⾕物制蒸馏酒精饮料;果酒（含酒精）;由⾕物蒸馏的⽩酒;酒精饮料（啤酒除外）</t>
  </si>
  <si>
    <t>邓祖工坊</t>
  </si>
  <si>
    <t>⻩酒;葡萄酒;果酒(含酒精);烧酒;⾷⽤酒精;伏特加酒;酒精饮料(啤酒除外);蒸馏饮料;烈酒(饮料);威⼠忌</t>
  </si>
  <si>
    <t>邓祖</t>
  </si>
  <si>
    <t>伏特加酒;⻩酒;⾷⽤酒精;果酒(含酒精);葡萄酒;酒精饮料(啤酒除外);烈酒(饮料);烧酒;威⼠忌;蒸馏饮料</t>
  </si>
  <si>
    <t>遂晴</t>
  </si>
  <si>
    <t>仓十七</t>
  </si>
  <si>
    <t>上海多维度网络科技股份有限公司</t>
  </si>
  <si>
    <t>朗姆酒;威⼠忌;⽩兰地;葡萄酒;⽩酒;⾼粱酒;清酒;⾷⽤酒精;果酒（含酒精）;⽶酒</t>
  </si>
  <si>
    <t>小黄雀</t>
  </si>
  <si>
    <t>香啡纪</t>
  </si>
  <si>
    <t>蒸馏饮料;白兰地;酒精饮料原汁;米酒;葡萄酒;含水果酒精饮料;烧酒;烈酒（饮料）;果酒（含酒精）;白酒</t>
  </si>
  <si>
    <t>墨粮河</t>
  </si>
  <si>
    <t>威⼠忌;⻘稞酒;⽩酒;烧酒;⻩酒;烈酒;⽩兰地;鸡尾酒;葡萄酒;⽶酒</t>
  </si>
  <si>
    <t>招财鼎</t>
  </si>
  <si>
    <t>四川省招财鼎酒业有限公司</t>
  </si>
  <si>
    <t>果酒;⽩酒;烧酒;鸡尾酒;⽶酒;⻩酒;⾼粱酒;含酒精的饮料（啤酒除外）;⻘稞酒;葡萄酒</t>
  </si>
  <si>
    <t>扬州皓奕博进出口有限公司</t>
  </si>
  <si>
    <t>酒精饮料（啤酒除外）;⽩酒;⻩酒;预先混合的酒精饮料（以啤酒为主的除外）;伏特加酒;果酒（含酒精）;开胃酒;鸡尾酒;⻘稞酒;蜂蜜酒</t>
  </si>
  <si>
    <t>深圳市泰鸿业贸易有限公司</t>
  </si>
  <si>
    <t>葡萄酒;果酒（含酒精）;威⼠忌;朗姆酒;鸡尾酒;樱桃酒;⽩兰地;⽩酒;⽶酒;薄荷酒</t>
  </si>
  <si>
    <t>芊集悠味</t>
  </si>
  <si>
    <t>龙昊</t>
  </si>
  <si>
    <t>鸡尾酒;果酒（含酒精）;朗姆酒;含⽔果酒精饮料;⽩酒;⽩兰地;⽶酒;威⼠忌;葡萄酒;⻩酒</t>
  </si>
  <si>
    <t>魏娣321324********1262</t>
  </si>
  <si>
    <t>威⼠忌;⻘稞酒;烧酒;汽酒;⽩酒;⾷⽤酒精;果酒（含酒精）;⻩酒;⽩兰地;鸡尾酒</t>
  </si>
  <si>
    <t>晋世侯</t>
  </si>
  <si>
    <t>吉俄沙布</t>
  </si>
  <si>
    <t>⽶酒;⻩酒;⽩酒;果酒（含酒精）;酒精饮料（啤酒除外）;烧酒;酒精饮料原汁;餐后酒（利⼝酒和烈酒）;烈酒（饮料）;葡萄酒</t>
  </si>
  <si>
    <t>楼之玫</t>
  </si>
  <si>
    <t>夏津县辰巳商贸有限公司</t>
  </si>
  <si>
    <t>伏特加酒;蒸煮提取物（利⼝酒和烈酒）;⽩酒;⽩兰地;烧酒;葡萄酒;⻩酒;烈酒;酒精饮料（啤酒除外）;⽶酒</t>
  </si>
  <si>
    <t>汉惑</t>
  </si>
  <si>
    <t>陈欣</t>
  </si>
  <si>
    <t>烧酒;⽶酒;⻩酒;烈酒（饮料）;餐后酒（利⼝酒和烈酒）;葡萄酒;酒精饮料原汁;酒精饮料（啤酒除外）;果酒（含酒精）;⽩酒</t>
  </si>
  <si>
    <t>贵仙踪</t>
  </si>
  <si>
    <t>果酒（含酒精）;烧酒;威⼠忌;鸡尾酒;开胃酒;⽶酒;汽酒;⽩酒;红葡萄酒;清酒（⽇本⽶酒）</t>
  </si>
  <si>
    <t>趣满上</t>
  </si>
  <si>
    <t>吴秀友</t>
  </si>
  <si>
    <t>烈酒（饮料）;⻩酒;开胃酒;酒精饮料（啤酒除外）;果酒;威⼠忌;鸡尾酒;葡萄酒;⽩酒;清酒（⽇本⽶酒）</t>
  </si>
  <si>
    <t>墨刃</t>
  </si>
  <si>
    <t>鸡尾酒;葡萄酒;烈酒;威⼠忌;烧酒;⽶酒;⽩兰地;⽩酒;⻩酒;⻘稞酒</t>
  </si>
  <si>
    <t>虹典</t>
  </si>
  <si>
    <t>贵州心爱心商贸有限公司</t>
  </si>
  <si>
    <t>果酒（含酒精）;葡萄酒;⽶酒;⻩酒;⽩酒;鸡尾酒;威⼠忌;清酒（⽇本⽶酒）;⻘稞酒;酒精饮料（啤酒除外）</t>
  </si>
  <si>
    <t>洛爷归根</t>
  </si>
  <si>
    <t>焕燃策略（杭州）管理咨询有限公司</t>
  </si>
  <si>
    <t>⾷⽤酒精;⻩酒;⽩酒;⽶酒;威⼠忌;葡萄酒;苹果酒;鸡尾酒;果酒（含酒精）;⽩兰地</t>
  </si>
  <si>
    <t>艾风格</t>
  </si>
  <si>
    <t>东阳市艾风格电子商务有限公司</t>
  </si>
  <si>
    <t>⻩酒;杨梅酒;梨酒;⽩酒;甜酒;烧酒;葡萄酒;鸡尾酒;⽶酒;果酒（含酒精）</t>
  </si>
  <si>
    <t>晋粮晋沧</t>
  </si>
  <si>
    <t>温雅玉</t>
  </si>
  <si>
    <t>⽩酒;⾼粱酒;烧酒（烈酒）;⻩酒;烧酒;烈酒;清酒;烈性⼲酒;⽶酒;由⾕物蒸馏的⽩酒</t>
  </si>
  <si>
    <t>邓祖烧坊</t>
  </si>
  <si>
    <t>果酒(含酒精);烧酒;威⼠忌;酒精饮料(啤酒除外);伏特加酒;⻩酒;⾷⽤酒精;蒸馏饮料;葡萄酒;烈酒(饮料)</t>
  </si>
  <si>
    <t>贡觉县藏东生物科技开发有限公司</t>
  </si>
  <si>
    <t>果酒（含酒精）;开胃酒;蒸馏饮料;酒精饮料浓缩汁;鸡尾酒;烧酒;烈酒（饮料）;⽩酒;威⼠忌;⽩兰地</t>
  </si>
  <si>
    <t>周华佗</t>
  </si>
  <si>
    <t>周云龙</t>
  </si>
  <si>
    <t>酒精饮料浓缩汁;威⼠忌;葡萄酒;酒精饮料（啤酒除外）;⻩酒;酒精饮料原汁;⾷⽤酒精;⽩酒;清酒（⽇本⽶酒）;蒸馏饮料</t>
  </si>
  <si>
    <t>蓁兴烧坊</t>
  </si>
  <si>
    <t>仁怀市箐柠酒类经营部</t>
  </si>
  <si>
    <t>烈酒（饮料）;⽩兰地;⾷⽤酒精;朗姆酒;⻩酒;果酒（含酒精）;⽩酒;葡萄酒;清酒;威⼠忌</t>
  </si>
  <si>
    <t>查拉巴克</t>
  </si>
  <si>
    <t>北京嘉桦生物技术有限公司</t>
  </si>
  <si>
    <t>⽩兰地;蒸馏饮料;蜂蜜酒;烈酒;酒精饮料浓缩汁;酒精饮料（啤酒除外）;果酒;⽩酒;甜酒;酒精饮料原汁</t>
  </si>
  <si>
    <t>赤良荷</t>
  </si>
  <si>
    <t>鸡尾酒;烧酒;⽶酒;烈酒;葡萄酒;威⼠忌;⻘稞酒;⽩酒;⻩酒;⽩兰地</t>
  </si>
  <si>
    <t>OISV</t>
  </si>
  <si>
    <t>兴盛贸易有限公司</t>
  </si>
  <si>
    <t>⽩酒;烧酒（烈酒）;⻩酒;果酒;酒精饮料（啤酒除外）;朗姆酒;葡萄酒;⻘稞酒;清酒（⽇本⽶酒）;⽶酒</t>
  </si>
  <si>
    <t>金豫贵</t>
  </si>
  <si>
    <t>周口天生品牌管理有限公司</t>
  </si>
  <si>
    <t>烧酒;⽩酒;鸡尾酒;果酒;由⾕物蒸馏的⽩酒;⽼酒（中国蒸馏烈酒）;⽩⼲酒（中国⽩酒）;含酒精的⽓泡⽔;⾼粱酒;烈酒</t>
  </si>
  <si>
    <t>金帛圣池</t>
  </si>
  <si>
    <t>成都金帛圣池贸易有限责任公司</t>
  </si>
  <si>
    <t>⾕物制蒸馏酒精饮料;烧酒;果酒（含酒精）;⻩酒;⽩酒;苦味酒;葡萄酒;烈酒（饮料）;⻘稞酒;⽶酒</t>
  </si>
  <si>
    <t>畈里边</t>
  </si>
  <si>
    <t>千机阁商贸（浙江）有限责任公司</t>
  </si>
  <si>
    <t>五加⽪酒（中国混合烈酒）;杨梅酒;⽩酒;果酒（含酒精）;甜酒;葡萄酒;⽼酒（中国蒸馏烈酒）;⽶酒;烧酒;⻩酒</t>
  </si>
  <si>
    <t>邓祖创</t>
  </si>
  <si>
    <t>果酒(含酒精);威⼠忌;伏特加酒;酒精饮料(啤酒除外);葡萄酒;蒸馏饮料;烈酒(饮料);烧酒;⾷⽤酒精;⻩酒</t>
  </si>
  <si>
    <t>水窠里</t>
  </si>
  <si>
    <t>上海滨水旅游发展有限公司</t>
  </si>
  <si>
    <t>清酒（⽇本⽶酒）;葡萄酒;鸡尾酒;⻩酒;威⼠忌;烈酒;⽩酒;⾕物制蒸馏酒精饮料;果酒（含酒精）;⽶酒</t>
  </si>
  <si>
    <t>告捷</t>
  </si>
  <si>
    <t>徐俊刚</t>
  </si>
  <si>
    <t>清酒;葡萄酒;⻩酒;⽶酒;果酒（含酒精）;⽩酒;烈酒;露酒;烧酒;⾼粱酒</t>
  </si>
  <si>
    <t>青莛</t>
  </si>
  <si>
    <t>海如逸（上海）品牌管理有限公司</t>
  </si>
  <si>
    <t>⻩酒;果酒;开胃酒;清酒（⽇本⽶酒）;蜂蜜酒;葡萄酒;汽酒;⽔果汽酒;⽩酒;梅酒</t>
  </si>
  <si>
    <t>杜甫腾龙基地</t>
  </si>
  <si>
    <t>薄荷酒;清酒（⽇本⽶酒）;烧酒;⽩酒;⻩酒;酒精饮料（啤酒除外）;威⼠忌;烈酒（饮料）;葡萄酒;果酒（含酒精）</t>
  </si>
  <si>
    <t>丹禧堂</t>
  </si>
  <si>
    <t>河南广电大象优选科技有限公司</t>
  </si>
  <si>
    <t>⻘稞酒;⽶酒;鸡尾酒;⾷⽤酒精;葡萄酒;⻩酒;汽酒;蒸煮提取物（利⼝酒和烈酒）;⽩酒;烧酒</t>
  </si>
  <si>
    <t>釉乐</t>
  </si>
  <si>
    <t>深圳市鼎见贸易有限公司</t>
  </si>
  <si>
    <t>威⼠忌;含⽔果酒精饮料;预先混合的酒精饮料（以啤酒为主的除外）;鸡尾酒;起泡⽩葡萄酒;利⼝酒;⽩兰地;果酒（含酒精）;酒精饮料（啤酒除外）;葡萄酒</t>
  </si>
  <si>
    <t>似虎</t>
  </si>
  <si>
    <t>烈酒;鸡尾酒;葡萄酒;威⼠忌;清酒（⽇本⽶酒）;开胃酒;⻩酒;⽩酒;果酒（含酒精）;酒精饮料（啤酒除外）</t>
  </si>
  <si>
    <t>西西布丽</t>
  </si>
  <si>
    <t>广州成宇商贸有限公司</t>
  </si>
  <si>
    <t>开胃酒;清酒;⻩酒;⽶酒;果酒（含酒精）;清酒（⽇本⽶酒）;酒精饮料（啤酒除外）;利⼝酒;葡萄酒;烧酒</t>
  </si>
  <si>
    <t>QAHI</t>
  </si>
  <si>
    <t>广州华生检测技术服务有限公司</t>
  </si>
  <si>
    <t>果酒（含酒精）;开胃酒;蒸馏饮料;酒精饮料（啤酒除外）;⾷⽤酒精;预先混合的酒精饮料（以啤酒为主的除外）;⽩酒;葡萄酒;烈酒（饮料）;鸡尾酒</t>
  </si>
  <si>
    <t>菘府</t>
  </si>
  <si>
    <t>昇菘（中国）超市有限公司</t>
  </si>
  <si>
    <t>烧酒;⽶酒;⻩酒;⾕物制蒸馏酒精饮料;含⽔果酒精饮料;清酒（⽇本⽶酒）;利⼝酒;葡萄酒;酒精饮料浓缩汁;⽩酒</t>
  </si>
  <si>
    <t>帝久</t>
  </si>
  <si>
    <t>山东博奥克生物科技有限公司</t>
  </si>
  <si>
    <t>⽩酒;葡萄酒;鸡尾酒;酒精饮料（啤酒除外）;⻩酒;⽶酒;⽢蔗制烈酒;果酒（含酒精）;烧酒;烈酒（饮料）</t>
  </si>
  <si>
    <t>待鉴</t>
  </si>
  <si>
    <t>果酒（含酒精）;葡萄酒;⻩酒;威⼠忌;⽩兰地;⾷⽤酒精;清酒;朗姆酒;烈酒（饮料）;⽩酒</t>
  </si>
  <si>
    <t>兴公家</t>
  </si>
  <si>
    <t>汝阳县张家老酒酒业有限公司</t>
  </si>
  <si>
    <t>烈酒（饮料）;⽩酒;⽶酒;酒精饮料（啤酒除外）;葡萄酒;烧酒;蒸馏饮料;含⽔果酒精饮料;⻘稞酒;鸡尾酒</t>
  </si>
  <si>
    <t>智玺</t>
  </si>
  <si>
    <t>⽶酒;⻘稞酒;烧酒;⾼粱酒;梅酒;葡萄酒;⽩酒;⻩酒</t>
  </si>
  <si>
    <t>遵老匠</t>
  </si>
  <si>
    <t>⽶酒;烧酒;⻩酒;梅酒;⻘稞酒;⽩酒;⾼粱酒;葡萄酒</t>
  </si>
  <si>
    <t>延寿县大乐传媒科技有限公司</t>
  </si>
  <si>
    <t>⾷⽤酒精;酒精饮料（啤酒除外）;蒸馏饮料;烧酒;⽶酒;⽩酒;果酒（含酒精）;葡萄酒;⻘稞酒;⻩酒</t>
  </si>
  <si>
    <t>后圃时光</t>
  </si>
  <si>
    <t>冯万双420527********4368</t>
  </si>
  <si>
    <t>鸡尾酒;含酒精的⽓泡⽔;⽩酒;⽶酒;酒精饮料原汁;朗姆酒;果酒（含酒精）;开胃酒;威⼠忌;酒精饮料（啤酒除外）</t>
  </si>
  <si>
    <t>老农仓</t>
  </si>
  <si>
    <t>湖南军元兄妹家族酒业有限公司</t>
  </si>
  <si>
    <t>甜酒;⻘梅酒;⽩酒;预先混合的酒精饮料（以啤酒为主的除外）;⻩酒;⽶酒;朗姆酒;由⾕物蒸馏的⽩酒;烈酒;果酒</t>
  </si>
  <si>
    <t>邓祖坛</t>
  </si>
  <si>
    <t>果酒(含酒精);⾷⽤酒精;葡萄酒;威⼠忌;伏特加酒;蒸馏饮料;⻩酒;烈酒(饮料);烧酒;酒精饮料(啤酒除外)</t>
  </si>
  <si>
    <t>嘻哈哈老实汉</t>
  </si>
  <si>
    <t>仁怀市老实汉搬运服务有限公司</t>
  </si>
  <si>
    <t>葡萄酒;⽩酒;⽶酒;烧酒;⽼酒（中国蒸馏烈酒）;露酒;果酒（含酒精）;蜂蜜酒;含⽔果酒精饮料;酒精饮料（啤酒除外）</t>
  </si>
  <si>
    <t>吾爱侬</t>
  </si>
  <si>
    <t>上海久衡投资管理咨询有限公司</t>
  </si>
  <si>
    <t>鸡尾酒;⻩酒;⽩酒;含⽔果酒精饮料;葡萄酒;开胃酒;蜂蜜酒;酒精饮料（啤酒除外）;汽酒;烈酒（饮料）</t>
  </si>
  <si>
    <t>俊秀江山</t>
  </si>
  <si>
    <t>烧酒;⻩酒;⾼粱酒;⽼酒（中国蒸馏烈酒）;⽩酒;⽩⼲酒（中国⽩酒）;清酒;葡萄酒;⽶酒;果酒</t>
  </si>
  <si>
    <t>食惠多</t>
  </si>
  <si>
    <t>晋城食惠多商贸有限公司</t>
  </si>
  <si>
    <t>⽩酒;威⼠忌;烧酒;苹果酒;酒精饮料（啤酒除外）;⻩酒;以葡萄酒为主的饮料;开胃酒;茴⾹酒（利⼝酒）;酒精饮料浓缩汁</t>
  </si>
  <si>
    <t>九城池</t>
  </si>
  <si>
    <t>烈酒（饮料）;清酒（⽇本⽶酒）;⻩酒;开胃酒;果酒;威⼠忌;⽩酒;葡萄酒;酒精饮料（啤酒除外）;鸡尾酒</t>
  </si>
  <si>
    <t>醉梦泽</t>
  </si>
  <si>
    <t>⽶酒;⻩酒;酒精饮料（啤酒除外）;⽩酒;烧酒;果酒（含酒精）;鸡尾酒;开胃酒;烈酒（饮料）;葡萄酒</t>
  </si>
  <si>
    <t>水窠里在水一方</t>
  </si>
  <si>
    <t>果酒（含酒精）;⽩酒;⻩酒;葡萄酒;⾕物制蒸馏酒精饮料;烈酒;威⼠忌;清酒（⽇本⽶酒）;鸡尾酒;⽶酒</t>
  </si>
  <si>
    <t>泓祺琛</t>
  </si>
  <si>
    <t>福建省安溪县新安瑞茶业有限责任公司</t>
  </si>
  <si>
    <t>⻩酒;葡萄酒;⽩兰地;酒精饮料（啤酒除外）;⽩酒;烧酒;果酒（含酒精）;利⼝酒;烈酒（饮料）;⽶酒</t>
  </si>
  <si>
    <t>杜甫腾龙酒庄</t>
  </si>
  <si>
    <t>⽩酒;⻩酒;清酒（⽇本⽶酒）;酒精饮料（啤酒除外）;烈酒（饮料）;烧酒;薄荷酒;果酒（含酒精）;威⼠忌;葡萄酒</t>
  </si>
  <si>
    <t>邓祖传世</t>
  </si>
  <si>
    <t>烈酒(饮料);果酒(含酒精);蒸馏饮料;葡萄酒;⾷⽤酒精;威⼠忌;伏特加酒;⻩酒;酒精饮料(啤酒除外);烧酒</t>
  </si>
  <si>
    <t>岩鑫洞</t>
  </si>
  <si>
    <t>泸州庆荣劳务有限公司</t>
  </si>
  <si>
    <t>蒸馏饮料;⽶酒;葡萄酒;酒精饮料（啤酒除外）;餐后酒（利⼝酒和烈酒）;⾕物制蒸馏酒精饮料;开胃酒;果酒（含酒精）;预先混合的酒精饮料（以啤酒为主的除外）;⽩酒</t>
  </si>
  <si>
    <t>游龙吟</t>
  </si>
  <si>
    <t>方明</t>
  </si>
  <si>
    <t>鸡尾酒;⽩兰地;⽶酒;烈酒（饮料）;甜酒;蜂蜜酒;果酒（含酒精）;⽩酒;葡萄酒;烧酒</t>
  </si>
  <si>
    <t>杯美人</t>
  </si>
  <si>
    <t>⽶酒;苦荞酒;⽩酒;⻘稞酒;烧酒;葡萄酒;清酒</t>
  </si>
  <si>
    <t>SACHIHIME</t>
  </si>
  <si>
    <t>上海我爱我秀电子商务有限公司</t>
  </si>
  <si>
    <t>威⼠忌;开胃酒;⽶酒;利⼝酒;鸡尾酒;⽩酒;伏特加酒;果酒（含酒精）;清酒（⽇本⽶酒）;烧酒</t>
  </si>
  <si>
    <t>篁碧十八坑</t>
  </si>
  <si>
    <t>铅山县篁碧独竖尖茶叶专业合作社</t>
  </si>
  <si>
    <t>⽶酒;威⼠忌;鸡尾酒;烈酒（饮料）;⽩酒;伏特加酒;葡萄酒;酒精饮料（啤酒除外）;酒精饮料原汁;清酒（⽇本⽶酒）</t>
  </si>
  <si>
    <t>酎玺</t>
  </si>
  <si>
    <t>⽩兰地;⽩酒;葡萄酒;⻩酒;烈酒（饮料）;果酒（含酒精）;⾷⽤酒精;清酒;威⼠忌;朗姆酒</t>
  </si>
  <si>
    <t>兴公福</t>
  </si>
  <si>
    <t>蒸馏饮料;鸡尾酒;含⽔果酒精饮料;⽩酒;酒精饮料（啤酒除外）;⽶酒;葡萄酒;烈酒（饮料）;烧酒;⻘稞酒</t>
  </si>
  <si>
    <t>HYLIE</t>
  </si>
  <si>
    <t>房健荃</t>
  </si>
  <si>
    <t>酒精饮料（啤酒除外）;以葡萄酒为主的饮料;含⽔果酒精饮料;开胃酒;鸡尾酒;甜酒;葡萄酒;⽩葡萄酒;红葡萄酒;果酒（含酒精）</t>
  </si>
  <si>
    <t>辰情令</t>
  </si>
  <si>
    <t>郑美金</t>
  </si>
  <si>
    <t>清酒;烈酒（饮料）;烧酒;⽩酒;酒精饮料（啤酒除外）;⻩酒;蒸煮提取物（利⼝酒和烈酒）;预先混合的酒精饮料（以啤酒为主的除外）;含⽔果酒精饮料;⽶酒</t>
  </si>
  <si>
    <t>戎藏</t>
  </si>
  <si>
    <t>戎归之剑（广东）科技有限公司</t>
  </si>
  <si>
    <t>伏特加酒;汽酒;酸酒（低等葡萄酒）;利⼝酒;⽩酒;酒精饮料（啤酒除外）;餐后酒（利⼝酒和烈酒）;果酒（含酒精）;含⽔果酒精饮料;鸡尾酒</t>
  </si>
  <si>
    <t>傅相台</t>
  </si>
  <si>
    <t>贵州傅相台酒业有限公司</t>
  </si>
  <si>
    <t>含⽔果酒精饮料;⽶酒;葡萄酒;烈酒（饮料）;鸡尾酒;开胃酒;苹果酒;已调味的⻨芽酿制的酒精饮料（啤酒除外）;⽩酒;果酒（含酒精）</t>
  </si>
  <si>
    <t>崒花</t>
  </si>
  <si>
    <t>攀枝花宾馆酒店管理有限公司</t>
  </si>
  <si>
    <t>樱桃酒;果酒（含酒精）;开胃酒;餐后酒（利⼝酒和烈酒）;含酒精的⽓泡⽔;已调味的⻨芽酿制的酒精饮料（啤酒除外）;⽩酒;鸡尾酒;⾕物制蒸馏酒精饮料;葡萄酒</t>
  </si>
  <si>
    <t>鲁滨道壹</t>
  </si>
  <si>
    <t>山东鲁滨道壹商贸有限公司</t>
  </si>
  <si>
    <t>果酒（含酒精）;酒精饮料（啤酒除外）;清酒（⽇本⽶酒）;烧酒;葡萄酒;⽩酒;鸡尾酒;⽶酒;露酒;⻩酒</t>
  </si>
  <si>
    <t>岁月辞</t>
  </si>
  <si>
    <t>果酒（含酒精）;烈酒（饮料）;⽩酒;清酒;葡萄酒;汽酒;酒精饮料（啤酒除外）;⽼酒（中国蒸馏烈酒）;⽶酒;鸡尾酒</t>
  </si>
  <si>
    <t>武汉军威文化传播集团有限公司</t>
  </si>
  <si>
    <t>烈酒（饮料）;清酒;烧酒;⾷⽤酒精;果酒（含酒精）;蒸煮提取物（利⼝酒和烈酒）;开胃酒;汽酒;蒸馏饮料;⽶酒</t>
  </si>
  <si>
    <t>城王甫</t>
  </si>
  <si>
    <t>果酒（含酒精）;烧酒;开胃酒;鸡尾酒;红葡萄酒;⽶酒;清酒（⽇本⽶酒）;汽酒;⽩酒;威⼠忌</t>
  </si>
  <si>
    <t>徕宁有福</t>
  </si>
  <si>
    <t>伏特加酒;烈酒;除啤酒外的酒精饮料;⻩酒;⽩兰地;汽酒;⽩酒;果酒（含酒精）;葡萄酒;清酒（⽇本⽶酒）</t>
  </si>
  <si>
    <t>邓祖传承</t>
  </si>
  <si>
    <t>蒸馏饮料;⻩酒;威⼠忌;葡萄酒;果酒(含酒精);烧酒;伏特加酒;酒精饮料(啤酒除外);⾷⽤酒精;烈酒(饮料)</t>
  </si>
  <si>
    <t>邓祖匠</t>
  </si>
  <si>
    <t>威⼠忌;酒精饮料(啤酒除外);烈酒(饮料);烧酒;葡萄酒;伏特加酒;⻩酒;⾷⽤酒精;果酒(含酒精);蒸馏饮料</t>
  </si>
  <si>
    <t>灵洞仙品</t>
  </si>
  <si>
    <t>代皓</t>
  </si>
  <si>
    <t>⽩酒;⽩⼲酒（中国⽩酒）;由⾕物蒸馏的⽩酒;⽼酒（中国蒸馏烈酒）;烧酒;⽶酒;烈酒;⾼粱酒;利⼝酒</t>
  </si>
  <si>
    <t>CAPE COASTAL</t>
  </si>
  <si>
    <t>布兰德艺术有限责任公司</t>
  </si>
  <si>
    <t>⽩兰地;葡萄酒;杜松⼦酒;奶油利⼝酒;⽩葡萄酒;朗姆酒;起泡⽩葡萄酒;起泡红葡萄酒;利⼝酒;威⼠忌</t>
  </si>
  <si>
    <t>风殊薇</t>
  </si>
  <si>
    <t>徐静娜</t>
  </si>
  <si>
    <t>蒸馏饮料;⽩酒;以葡萄酒为主的饮料;⽶酒;鸡尾酒;葡萄酒;威⼠忌;⽩兰地;含⽔果酒精饮料;果酒</t>
  </si>
  <si>
    <t>南京夫子文化发展有限公司</t>
  </si>
  <si>
    <t>⽩酒;清酒;鸡尾酒;葡萄酒;果酒（含酒精）;梅酒;⻘稞酒;⻩酒;⽩兰地;⽶酒</t>
  </si>
  <si>
    <t>渡宴</t>
  </si>
  <si>
    <t>⽶酒;⾼粱酒;⽩酒;⻩酒;⻘稞酒;梅酒;葡萄酒;烧酒</t>
  </si>
  <si>
    <t>名门骑士</t>
  </si>
  <si>
    <t>深圳市美博工业设备有限公司</t>
  </si>
  <si>
    <t>⽶酒;酒精饮料（啤酒除外）;葡萄酒;⻩酒;鸡尾酒;烧酒;果酒（含酒精）;汽酒;烈酒（饮料）;⽩酒</t>
  </si>
  <si>
    <t>邓祖匠心</t>
  </si>
  <si>
    <t>果酒(含酒精);蒸馏饮料;葡萄酒;烧酒;威⼠忌;⻩酒;酒精饮料(啤酒除外);⾷⽤酒精;烈酒(饮料);伏特加酒</t>
  </si>
  <si>
    <t>圣奎</t>
  </si>
  <si>
    <t>中科高新（北京）科技有限公司</t>
  </si>
  <si>
    <t>利⼝酒;⻩酒;开胃酒;汽酒;⻘稞酒;⽩酒;蒸馏饮料;⽶酒;酒精饮料浓缩汁;烧酒</t>
  </si>
  <si>
    <t>柏诗亭</t>
  </si>
  <si>
    <t>亚⼒酒;威⼠忌;⾕物制蒸馏酒精饮料;餐后酒（利⼝酒和烈酒）;⽩酒;鸡尾酒;果酒（含酒精）;⽩兰地;利⼝酒;朗姆酒</t>
  </si>
  <si>
    <t>成窖川</t>
  </si>
  <si>
    <t>⻘稞酒;烈酒;⽩兰地;⻩酒;⽶酒;威⼠忌;鸡尾酒;⽩酒;葡萄酒;烧酒</t>
  </si>
  <si>
    <t>茅台良友 MOUTAI BENEFICIAL FRIENDS</t>
  </si>
  <si>
    <t>果酒（含酒精）;酒精饮料（啤酒除外）;⽶酒;清酒（⽇本⽶酒）;⾷⽤酒精;烈酒（饮料）;烧酒;⽩酒;蒸馏饮料;⻩酒</t>
  </si>
  <si>
    <t>安掌柜</t>
  </si>
  <si>
    <t>堡巴欧国际贸易河北有限公司</t>
  </si>
  <si>
    <t>开胃酒;含⽔果酒精饮料;烧酒;果酒（含酒精）;葡萄酒;⻩酒;威⼠忌;⽩酒;⽶酒;⻘稞酒</t>
  </si>
  <si>
    <t>贵州省文化旅游科技有限公司</t>
  </si>
  <si>
    <t>⽩酒;鸡尾酒;葡萄酒;含⽔果酒精饮料;⻩酒;蒸馏饮料;开胃酒;⽶酒;⾕物制蒸馏酒精饮料;果酒（含酒精）</t>
  </si>
  <si>
    <t>卫稻泉</t>
  </si>
  <si>
    <t>广州添味贸易有限公司</t>
  </si>
  <si>
    <t>蒸馏饮料;⽶酒;⻩酒;开胃酒;果酒（含酒精）;含⽔果酒精饮料;⻘稞酒;烧酒;⽩酒;葡萄酒</t>
  </si>
  <si>
    <t>顺利江山</t>
  </si>
  <si>
    <t>果酒;烧酒;⽩⼲酒（中国⽩酒）;⽶酒;⽼酒（中国蒸馏烈酒）;⽩酒;⾼粱酒;清酒;葡萄酒;⻩酒</t>
  </si>
  <si>
    <t>东莞市御品酒业有限公司</t>
  </si>
  <si>
    <t>葡萄酒;烈酒（饮料）;清酒（⽇本⽶酒）;⽶酒;⻩酒;汽酒;酒精饮料（啤酒除外）;⽩酒;果酒（含酒精）;酒精饮料原汁</t>
  </si>
  <si>
    <t>遵酬</t>
  </si>
  <si>
    <t>⾼粱酒;⽶酒;烧酒;梅酒;⻘稞酒;⻩酒;⽩酒;葡萄酒</t>
  </si>
  <si>
    <t>龙冶</t>
  </si>
  <si>
    <t>烈酒（饮料）;⽩酒;烧酒;葡萄酒;⻩酒;果酒（含酒精）;⽶酒;酒精饮料（啤酒除外）;餐后酒（利⼝酒和烈酒）;酒精饮料原汁</t>
  </si>
  <si>
    <t>圣誉境</t>
  </si>
  <si>
    <t>海南京言控股有限公司</t>
  </si>
  <si>
    <t>果酒;含酒精的饮料（啤酒除外）;蒸馏饮料;开胃酒;葡萄酒;蒸煮提取物（利⼝酒和烈酒）;⻩酒;威⼠忌;⽶酒;⽩酒</t>
  </si>
  <si>
    <t>将河玺</t>
  </si>
  <si>
    <t>张俊</t>
  </si>
  <si>
    <t>烈酒（饮料）;⽶酒;烧酒;果酒（含酒精）;⻩酒;酒精饮料（啤酒除外）;⽩酒;餐后酒（利⼝酒和烈酒）;酒精饮料原汁;葡萄酒</t>
  </si>
  <si>
    <t>浙四味</t>
  </si>
  <si>
    <t>酒精饮料（啤酒除外）;⽶酒;烧酒;果酒（含酒精）;⽢蔗制烈酒;⻩酒;⽩酒;鸡尾酒;葡萄酒;烈酒（饮料）</t>
  </si>
  <si>
    <t>悦铭芬芳</t>
  </si>
  <si>
    <t>英德市东华镇悦铭商行（个体工商户）</t>
  </si>
  <si>
    <t>烈酒（饮料）;⽶酒;蜂蜜酒;茴⾹酒（利⼝酒）;开胃酒;酸酒（低等葡萄酒）;⾕物制蒸馏酒精饮料;果酒（含酒精）;苦味酒;葡萄酒</t>
  </si>
  <si>
    <t>豫医传</t>
  </si>
  <si>
    <t>李胜杰</t>
  </si>
  <si>
    <t>⽩兰地;⻩酒;⽶酒;鸡尾酒;⽩酒;果酒（含酒精）;葡萄酒;威⼠忌;酒精饮料（啤酒除外）;⻘稞酒</t>
  </si>
  <si>
    <t>集韵成香</t>
  </si>
  <si>
    <t>贵州茅世原酿酒(集团)有限公司</t>
  </si>
  <si>
    <t>⽩酒;果酒;⾼粱酒;预先混合的酒精饮料（以啤酒为主的除外）;⾕物制蒸馏酒精饮料;⽼酒（中国蒸馏烈酒）;⽩⼲酒（中国⽩酒）;葡萄酒;酒精饮料（啤酒除外）;酒精饮料原汁</t>
  </si>
  <si>
    <t>釜祝兴禾</t>
  </si>
  <si>
    <t>敦化市兴禾农机专业合作社</t>
  </si>
  <si>
    <t>酒精饮料（啤酒除外）;⽶酒;⾷⽤酒精;烧酒;⻩酒;烈酒（饮料）;酒精饮料原汁;⽩酒;葡萄酒;果酒（含酒精）</t>
  </si>
  <si>
    <t>衡怡烧坊</t>
  </si>
  <si>
    <t>威⼠忌;⾷⽤酒精;朗姆酒;⻩酒;葡萄酒;果酒（含酒精）;烈酒（饮料）;⽩兰地;⽩酒;清酒</t>
  </si>
  <si>
    <t>猕妍</t>
  </si>
  <si>
    <t>⽶酒;果酒（含酒精）;酒精饮料原汁;含⽔果酒精饮料;酒精饮料浓缩汁;烈酒（饮料）;酸酒（低等葡萄酒）;酒精饮料（啤酒除外）;⽩酒;⽩兰地</t>
  </si>
  <si>
    <t>禧鸿涧</t>
  </si>
  <si>
    <t>清酒（⽇本⽶酒）;⽩酒;果酒（含酒精）;蒸馏饮料;烈酒（饮料）;葡萄酒;汽酒;⾷⽤酒精;⽶酒;酒精饮料（啤酒除外）</t>
  </si>
  <si>
    <t>守豫</t>
  </si>
  <si>
    <t>河南豫粮肥业科技有限公司</t>
  </si>
  <si>
    <t>薄荷酒;开胃酒;⽶酒;伏特加酒;果酒（含酒精）;苹果酒;鸡尾酒;⽩酒;葡萄酒</t>
  </si>
  <si>
    <t>万宝成</t>
  </si>
  <si>
    <t>青岛百通文化发展有限公司</t>
  </si>
  <si>
    <t>葡萄酒;利⼝酒;酒精饮料浓缩汁;烈酒;含⽔果酒精饮料;⽩兰地;⽩酒;⻩酒;起泡红葡萄酒;樱桃酒</t>
  </si>
  <si>
    <t>茗门贵子</t>
  </si>
  <si>
    <t>深圳市集宇通投资有限公司</t>
  </si>
  <si>
    <t>⽩酒;葡萄酒;清酒（⽇本⽶酒）;果酒（含酒精）;⽶酒;⻩酒;酒精饮料（啤酒除外）;烈酒（饮料）;蒸煮提取物（利⼝酒和烈酒）;威⼠忌</t>
  </si>
  <si>
    <t>晋宴仁</t>
  </si>
  <si>
    <t>李林森</t>
  </si>
  <si>
    <t>餐后酒（利⼝酒和烈酒）;酒精饮料（啤酒除外）;⽶酒;烧酒;⽩酒;烈酒（饮料）;酒精饮料原汁;⻩酒;葡萄酒;果酒（含酒精）</t>
  </si>
  <si>
    <t>中贾</t>
  </si>
  <si>
    <t>葡萄酒;⻩酒;烧酒;烈酒;威⼠忌;⻘稞酒;⽩酒;鸡尾酒;⽩兰地;⽶酒</t>
  </si>
  <si>
    <t>君牧遥</t>
  </si>
  <si>
    <t>⻩酒;烈酒（饮料）;⽩酒;甜酒;葡萄酒;⽶酒;烧酒;⾷⽤酒精;果酒;⾼粱酒</t>
  </si>
  <si>
    <t>叶氏九</t>
  </si>
  <si>
    <t>叶树芳</t>
  </si>
  <si>
    <t>⽶酒;蜂蜜酒;威⼠忌;⻩酒;葡萄酒;已调味的⻨芽酿制的酒精饮料（啤酒除外）;⽩酒;薄荷酒;果酒（含酒精）;酸酒（低等葡萄酒）</t>
  </si>
  <si>
    <t>慕汀威</t>
  </si>
  <si>
    <t>叶慧</t>
  </si>
  <si>
    <t>利⼝酒;葡萄酒;⻩酒;威⼠忌;预先混合的酒精饮料（以啤酒为主的除外）;⽶酒;果酒（含酒精）;烈酒（饮料）;⽩酒;烧酒</t>
  </si>
  <si>
    <t>邓祖宗</t>
  </si>
  <si>
    <t>葡萄酒;威⼠忌;酒精饮料(啤酒除外);烈酒(饮料);⾷⽤酒精;伏特加酒;⻩酒;果酒(含酒精);蒸馏饮料;烧酒</t>
  </si>
  <si>
    <t>邓祖梦</t>
  </si>
  <si>
    <t>果酒(含酒精);蒸馏饮料;葡萄酒;⻩酒;酒精饮料(啤酒除外);烈酒(饮料);烧酒;伏特加酒;威⼠忌;⾷⽤酒精</t>
  </si>
  <si>
    <t>邓祖酒庄</t>
  </si>
  <si>
    <t>果酒(含酒精);烧酒;威⼠忌;蒸馏饮料;伏特加酒;酒精饮料(啤酒除外);⾷⽤酒精;葡萄酒;烈酒(饮料);⻩酒</t>
  </si>
  <si>
    <t>泸小驾</t>
  </si>
  <si>
    <t>魏浩</t>
  </si>
  <si>
    <t>酒精饮料（啤酒除外）;⽩酒;鸡尾酒;⻩酒;开胃酒;清酒（⽇本⽶酒）;烧酒;蜂蜜酒;葡萄酒;果酒（含酒精）</t>
  </si>
  <si>
    <t>精鲨</t>
  </si>
  <si>
    <t>果酒（含酒精）;鸡尾酒;烧酒;烈酒（饮料）;⽩酒;⻩酒;葡萄酒;清酒（⽇本⽶酒）;⽶酒;酒精饮料（啤酒除外）</t>
  </si>
  <si>
    <t>戎之</t>
  </si>
  <si>
    <t>酸酒（低等葡萄酒）;⽩酒;酒精饮料（啤酒除外）;利⼝酒;餐后酒（利⼝酒和烈酒）;果酒（含酒精）;伏特加酒;汽酒;含⽔果酒精饮料;鸡尾酒</t>
  </si>
  <si>
    <t>段厂长</t>
  </si>
  <si>
    <t>惠姣姣</t>
  </si>
  <si>
    <t>⽩酒;汽酒;⻘稞酒;鸡尾酒;葡萄酒;开胃酒;果酒（含酒精）;⽶酒;酒精饮料（啤酒除外）;含⽔果酒精饮料</t>
  </si>
  <si>
    <t>酝红龙</t>
  </si>
  <si>
    <t>深圳市大渝科技有限公司</t>
  </si>
  <si>
    <t>酒精饮料（啤酒除外）;⻩酒;烧酒;⽩酒;蒸煮提取物（利⼝酒和烈酒）;果酒;⽶酒;葡萄酒;酒精饮料原汁;酒精饮料浓缩汁</t>
  </si>
  <si>
    <t>韵酒人</t>
  </si>
  <si>
    <t>烈酒（饮料）;⽩酒;⾷⽤酒精;⻩酒;清酒;朗姆酒;威⼠忌;⽩兰地;葡萄酒;果酒（含酒精）</t>
  </si>
  <si>
    <t>邓祖液</t>
  </si>
  <si>
    <t>果酒(含酒精);伏特加酒;⾷⽤酒精;蒸馏饮料;酒精饮料(啤酒除外);葡萄酒;烧酒;威⼠忌;⻩酒;烈酒(饮料)</t>
  </si>
  <si>
    <t>澳南百龄藤</t>
  </si>
  <si>
    <t>伏特加酒;威⼠忌;⽩兰地;⽶酒;⽩酒;葡萄酒;酸酒（低等葡萄酒）;⻩酒;清酒（⽇本⽶酒）;酒精饮料（啤酒除外）</t>
  </si>
  <si>
    <t>汇益德</t>
  </si>
  <si>
    <t>⾷⽤酒精;⽩兰地;清酒（⽇本⽶酒）;⽩酒;杜松⼦酒;蜂蜜酒;烧酒;果酒（含酒精）;⻘稞酒;苦味酒</t>
  </si>
  <si>
    <t>咏无双</t>
  </si>
  <si>
    <t>⻩酒;⽩酒;清酒（⽇本⽶酒）;酒精饮料（啤酒除外）;烈酒;葡萄酒;果酒（含酒精）;开胃酒;威⼠忌;鸡尾酒</t>
  </si>
  <si>
    <t>古裕兴</t>
  </si>
  <si>
    <t>孙远存</t>
  </si>
  <si>
    <t>果酒（含酒精）;清酒;⽶酒;葡萄酒;烧酒;威⼠忌;⾷⽤酒精;⻩酒;⽩酒;鸡尾酒</t>
  </si>
  <si>
    <t>钟艾芋苼</t>
  </si>
  <si>
    <t>李立建</t>
  </si>
  <si>
    <t>白兰地;谷物制蒸馏酒精饮料;果酒（含酒精）;餐后酒（利口酒和烈酒）;烈酒（饮料）;烧酒;食用酒精;预先混合的酒精饮料（以啤酒为主的除外）;米酒;白酒</t>
  </si>
  <si>
    <t>跃庆</t>
  </si>
  <si>
    <t>龚香花</t>
  </si>
  <si>
    <t>烈酒（饮料）;威士忌;餐后酒（利口酒和烈酒）;酒精饮料原汁;果酒（含酒精）;酒精饮料浓缩汁;米酒;葡萄酒;烧酒;白酒</t>
  </si>
  <si>
    <t>楚庄游记</t>
  </si>
  <si>
    <t>果酒（含酒精）;餐后酒（利⼝酒和烈酒）;烧酒;⽶酒;⽩酒;开胃酒;清酒（⽇本⽶酒）;葡萄酒;酒精饮料（啤酒除外）;⻩酒</t>
  </si>
  <si>
    <t>黔诚浓</t>
  </si>
  <si>
    <t>杨优明</t>
  </si>
  <si>
    <t>⻩酒;烧酒（烈酒）;⽩酒;葡萄酒;⽩⼲酒（中国⽩酒）;果酒（含酒精）;烧酒;清酒;蒸馏饮料;⻘稞酒</t>
  </si>
  <si>
    <t>莫府迎宾</t>
  </si>
  <si>
    <t>广西南丹莫老爷酒业有限公司</t>
  </si>
  <si>
    <t>⽶酒;果酒;⽼酒（中国蒸馏烈酒）;⽩酒;⻩酒;鸡尾酒;甜酒;酒精饮料原汁;葡萄酒;蒸馏⽶酒（泡盛酒）</t>
  </si>
  <si>
    <t>云华漫思茶馆</t>
  </si>
  <si>
    <t>济南朴素生活服务有限责任公司</t>
  </si>
  <si>
    <t>含⽔果酒精饮料;⽶酒;果酒（含酒精）;威⼠忌;酒精饮料原汁;苦味酒;葡萄酒;汽酒;鸡尾酒;⽩酒</t>
  </si>
  <si>
    <t>萃孚</t>
  </si>
  <si>
    <t>河北阿星科技有限公司</t>
  </si>
  <si>
    <t>⽩酒;含酒精的充⽓饮料（啤酒除外）;汽酒;⻩酒;⽶酒;烧酒;果酒;含酒精⽔果饮料;清酒;葡萄酒</t>
  </si>
  <si>
    <t>珍赏今</t>
  </si>
  <si>
    <t>高家强</t>
  </si>
  <si>
    <t>清酒;烧酒;果酒（含酒精）;烈酒（饮料）;蒸馏饮料;鸡尾酒;含⽔果酒精饮料;⽩酒;威⼠忌;酒精饮料原汁</t>
  </si>
  <si>
    <t>禧伺</t>
  </si>
  <si>
    <t>张万福</t>
  </si>
  <si>
    <t>鸡尾酒;⽩兰地;⽩酒;葡萄酒;⽶酒;⻘稞酒;⻩酒;威⼠忌;烧酒;烈酒</t>
  </si>
  <si>
    <t>太极浔</t>
  </si>
  <si>
    <t>海口龙华欣月拾光食品经营部</t>
  </si>
  <si>
    <t>梅酒;⽩酒;威⼠忌;⽶酒;清酒;⽼酒（中国蒸馏烈酒）;果酒;葡萄酒;甜酒;⻩酒</t>
  </si>
  <si>
    <t>中泰潮盛</t>
  </si>
  <si>
    <t>欧文辉445224********1234</t>
  </si>
  <si>
    <t>利⼝酒;烧酒;烈酒（饮料）;威⼠忌;⽩酒;含酒精的饮料（啤酒除外）;果酒（含酒精）;清酒（⽇本⽶酒）;葡萄酒;⽶酒</t>
  </si>
  <si>
    <t>摩拉图</t>
  </si>
  <si>
    <t>北京酒相随进出口贸易有限公司</t>
  </si>
  <si>
    <t>⽩酒;含⽔果酒精饮料;果酒（含酒精）;威⼠忌;鸡尾酒;⽶酒;葡萄酒;酒精饮料（啤酒除外）;蒸馏饮料;⽩兰地</t>
  </si>
  <si>
    <t>大儒衡湖</t>
  </si>
  <si>
    <t>侯章宁</t>
  </si>
  <si>
    <t>⽩⼲酒（中国⽩酒）;鸡尾酒;⽶酒;⻩酒;⽩酒;⾼粱酒;含酒精的⽓泡⽔;⽼酒（中国蒸馏烈酒）;露酒;烧酒（烈酒）;葡萄酒;果酒（含酒精）</t>
  </si>
  <si>
    <t>亨盛帝</t>
  </si>
  <si>
    <t>杜毅</t>
  </si>
  <si>
    <t>⽩酒;烈酒（饮料）;酒精饮料原汁;含⽔果酒精饮料;清酒;蒸馏饮料;烧酒;果酒（含酒精）;鸡尾酒;威⼠忌</t>
  </si>
  <si>
    <t>缘礼</t>
  </si>
  <si>
    <t>酒之选有限公司</t>
  </si>
  <si>
    <t>烈酒（饮料）;⽶酒;利⼝酒;果酒（含酒精）;⻘稞酒;⻩酒;鸡尾酒;清酒（⽇本⽶酒）;葡萄酒;⽩酒</t>
  </si>
  <si>
    <t>乐大哈</t>
  </si>
  <si>
    <t>亿利达集团有限公司</t>
  </si>
  <si>
    <t>利⼝酒;烧酒;果酒（含酒精）;开胃酒;葡萄酒;⽶酒;⽩酒;烈酒（饮料）;⾕物制蒸馏酒精饮料;酒精饮料原汁</t>
  </si>
  <si>
    <t>皖梦坊</t>
  </si>
  <si>
    <t>郭振</t>
  </si>
  <si>
    <t>⽩酒;⻘稞酒;苹果酒;葡萄酒;威⼠忌;酒精饮料（啤酒除外）;开胃酒;鸡尾酒;果酒（含酒精）;烧酒</t>
  </si>
  <si>
    <t>倾贺酒</t>
  </si>
  <si>
    <t>七十二楼酒业(深圳)有限公司</t>
  </si>
  <si>
    <t>由⾕物蒸馏的⽩酒;蒸煮提取物（利⼝酒和烈酒）;葡萄酒;酒精饮料（啤酒除外）;⽼酒（中国蒸馏烈酒）;⽩酒;⽩⼲酒（中国⽩酒）;含酒精的饮料（啤酒除外）;果酒（含酒精）;烧酒</t>
  </si>
  <si>
    <t>敬千愁</t>
  </si>
  <si>
    <t>广州正云大健康投资有限公司</t>
  </si>
  <si>
    <t>烈酒;⽩酒;蒸煮提取物（利⼝酒和烈酒）;⽼酒（中国蒸馏烈酒）;由⾕物蒸馏的⽩酒;蒸馏⽶酒（泡盛酒）;⾼粱酒;烧酒（烈酒）;⽶酒;⽩⼲酒（中国⽩酒）</t>
  </si>
  <si>
    <t>旷然</t>
  </si>
  <si>
    <t>李省</t>
  </si>
  <si>
    <t>鸡尾酒;葡萄酒;烈酒（饮料）;烧酒;⽩酒;威⼠忌;⽶酒;蒸馏饮料;⻩酒;果酒（含酒精）</t>
  </si>
  <si>
    <t>浩瑞力特</t>
  </si>
  <si>
    <t>青岛力德瑞贸易有限公司</t>
  </si>
  <si>
    <t>威⼠忌;果酒（含酒精）;葡萄酒;⻩酒;⾷⽤酒精;酒精饮料（啤酒除外）;⽩兰地;蒸馏饮料;鸡尾酒;⽩酒</t>
  </si>
  <si>
    <t>富祥潭</t>
  </si>
  <si>
    <t>何炼</t>
  </si>
  <si>
    <t>烧酒;开胃酒;葡萄酒;⽩酒;⻩酒;烈酒（饮料）;鸡尾酒;利⼝酒;⽶酒;含⽔果酒精饮料</t>
  </si>
  <si>
    <t>雅恒泉</t>
  </si>
  <si>
    <t>汾阳市建玉酒业商行</t>
  </si>
  <si>
    <t>⽩酒;烈酒;果酒;红葡萄酒;⽩⼲酒（中国⽩酒）;草莓酒;甜果酒;清酒;⾷⽤酒精;⾼粱酒</t>
  </si>
  <si>
    <t>INJU BREWING</t>
  </si>
  <si>
    <t>广东饮者流品牌管理有限公司</t>
  </si>
  <si>
    <t>黄酒;葡萄酒;蜂蜜酒;鸡尾酒;酒精饮料（啤酒除外）;白酒;威士忌;果酒（含酒精）;朗姆酒;米酒</t>
  </si>
  <si>
    <t>海天阔处</t>
  </si>
  <si>
    <t>央广优选供应链有限公司</t>
  </si>
  <si>
    <t>⻩酒;⽶酒;酒精饮料（啤酒除外）;烈酒（饮料）;果酒（含酒精）;鸡尾酒;烧酒;⽩酒;葡萄酒;⻘稞酒</t>
  </si>
  <si>
    <t>上升花</t>
  </si>
  <si>
    <t>果酒（含酒精）;⻘稞酒;葡萄酒;⽩酒;鸡尾酒;烧酒;酒精饮料（啤酒除外）;烈酒（饮料）;⻩酒;⽶酒</t>
  </si>
  <si>
    <t>染客</t>
  </si>
  <si>
    <t>张贵伦</t>
  </si>
  <si>
    <t>威⼠忌;利⼝酒;⽩酒;⻩酒;果酒（含酒精）;葡萄酒;⽩兰地;伏特加酒;烧酒;鸡尾酒</t>
  </si>
  <si>
    <t>深圳市分转科技有限公司</t>
  </si>
  <si>
    <t>⻩酒;薄荷酒;⽩兰地;果酒（含酒精）;威⼠忌;⽩酒;酒精饮料（啤酒除外）;⽶酒;蒸馏饮料;鸡尾酒</t>
  </si>
  <si>
    <t>贵喜宦</t>
  </si>
  <si>
    <t>⽩兰地;⽩酒;鸡尾酒;⽶酒;威⼠忌;烧酒;葡萄酒;⻘稞酒;⻩酒;烈酒</t>
  </si>
  <si>
    <t>深圳至简设计有限公司</t>
  </si>
  <si>
    <t>果酒（含酒精）;葡萄酒;酒精饮料（啤酒除外）;利⼝酒;烈酒（饮料）;蒸馏饮料;⻩酒;⽩酒;汽酒;开胃酒</t>
  </si>
  <si>
    <t>青都</t>
  </si>
  <si>
    <t>吴爱芝</t>
  </si>
  <si>
    <t>⻘稞酒;烧酒;⻩酒;果酒（含酒精）;⽶酒;酒精饮料（啤酒除外）;伏特加酒;⽩酒;清酒（⽇本⽶酒）;葡萄酒</t>
  </si>
  <si>
    <t>今新元</t>
  </si>
  <si>
    <t>广州市山沐新材料科技有限公司</t>
  </si>
  <si>
    <t>⾷⽤酒精;⽼酒（中国蒸馏烈酒）;果酒（含酒精）;汽酒;烧酒（烈酒）;⽩酒;葡萄酒;⽶酒;⾼粱酒;⻩酒</t>
  </si>
  <si>
    <t>月中柳</t>
  </si>
  <si>
    <t>⽩酒;烧酒;⽶酒;鸡尾酒;烈酒（饮料）;⻘稞酒;⻩酒;葡萄酒;酒精饮料（啤酒除外）;果酒（含酒精）</t>
  </si>
  <si>
    <t>宝拉熊</t>
  </si>
  <si>
    <t>上海可醇食品科技有限公司</t>
  </si>
  <si>
    <t>甜酒;含⽜奶的鸡尾酒;酒精饮料（啤酒除外）;⽶酒;果酒（含酒精）;鸡尾酒;含酒精的⽓泡⽔;⽩酒;佐餐酒;含酒精蛋奶酒</t>
  </si>
  <si>
    <t>积杨醇</t>
  </si>
  <si>
    <t>杨银龙622927********1337</t>
  </si>
  <si>
    <t>⽩酒;酒精饮料（啤酒除外）;蒸馏饮料;⻩酒;果酒;烧酒;⽶酒;葡萄酒;清酒;蒸煮提取物（利⼝酒和烈酒）</t>
  </si>
  <si>
    <t>独先</t>
  </si>
  <si>
    <t>张嘉玲</t>
  </si>
  <si>
    <t>烧酒;⽩酒;含酒精⽔果饮料;⽩兰地;⾕物制蒸馏酒精饮料;⻩酒;果酒（含酒精）;葡萄酒;威⼠忌;⽶酒</t>
  </si>
  <si>
    <t>黔斥</t>
  </si>
  <si>
    <t>江胜锋</t>
  </si>
  <si>
    <t>汽酒;⽩酒;⽶酒;烧酒;⻩酒;葡萄酒;酒精饮料（啤酒除外）;果酒;⽩⼲酒（中国⽩酒）;含酒精的⽓泡⽔</t>
  </si>
  <si>
    <t>中斥</t>
  </si>
  <si>
    <t>陈启明</t>
  </si>
  <si>
    <t>⽶酒;果酒;⽩⼲酒（中国⽩酒）;⽩酒;烧酒;汽酒;⻩酒;含酒精的⽓泡⽔;葡萄酒;酒精饮料（啤酒除外）</t>
  </si>
  <si>
    <t>乘郡</t>
  </si>
  <si>
    <t>山东国井食品科技有限公司</t>
  </si>
  <si>
    <t>清酒（⽇本⽶酒）;葡萄酒;⽼酒（中国蒸馏烈酒）;烧酒（烈酒）;⽶酒;鸡尾酒;烈酒;⽩酒;⽩兰地;烧酒</t>
  </si>
  <si>
    <t>运十三</t>
  </si>
  <si>
    <t>关祖鹿（山西）生物科技有限公司</t>
  </si>
  <si>
    <t>酒精饮料（啤酒除外）;蜂蜜酒;苹果酒;葡萄酒;利⼝酒;开胃酒;⽶酒;蒸煮提取物（利⼝酒和烈酒）;果酒（含酒精）</t>
  </si>
  <si>
    <t>锦威</t>
  </si>
  <si>
    <t>安徽锦威酒业有限公司</t>
  </si>
  <si>
    <t>开胃酒;⻩酒;葡萄酒;蜂蜜酒;蒸馏饮料;⽶酒;⽩酒;含酒精的⽔果鸡尾酒饮料;果酒（含酒精）;烧酒</t>
  </si>
  <si>
    <t>木马快跑</t>
  </si>
  <si>
    <t>方铭（北京）贸易有限公司</t>
  </si>
  <si>
    <t>含⽔果酒精饮料;烧酒;⽶酒;⾕物制蒸馏酒精饮料;烈酒（饮料）;利⼝酒;⾷⽤酒精;蒸馏饮料;酒精饮料（啤酒除外）;含酒精⽔果饮料</t>
  </si>
  <si>
    <t>河南诚稳供应链有限公司</t>
  </si>
  <si>
    <t>利⼝酒;⽩酒;威⼠忌;烧酒;开胃酒;含⽔果酒精饮料;鸡尾酒;葡萄酒;酒精饮料（啤酒除外）;⻩酒</t>
  </si>
  <si>
    <t>君杏瓷</t>
  </si>
  <si>
    <t>⻩酒;蒸馏饮料;鸡尾酒;威⼠忌;果酒（含酒精）;葡萄酒;⽩兰地;⽶酒;烧酒;⽩酒</t>
  </si>
  <si>
    <t>鹿言</t>
  </si>
  <si>
    <t>王爱平</t>
  </si>
  <si>
    <t>鸡尾酒;酒精饮料（啤酒除外）;开胃酒;威⼠忌;⻩酒;清酒（⽇本⽶酒）;葡萄酒;烈酒;果酒（含酒精）;⽩酒</t>
  </si>
  <si>
    <t>不起泡葡萄酒;加烈葡萄酒;红葡萄酒;烈酒;⻨芽威⼠忌;⽩葡萄酒;除啤酒外的酒精饮料;威⼠忌;葡萄酒;⽩兰地</t>
  </si>
  <si>
    <t>独潮咏</t>
  </si>
  <si>
    <t>邓杰</t>
  </si>
  <si>
    <t>果酒（含酒精）;烈酒（饮料）;鸡尾酒;烧酒;清酒;威⼠忌;蒸馏饮料;酒精饮料原汁;含⽔果酒精饮料;⽩酒</t>
  </si>
  <si>
    <t>纷杏池</t>
  </si>
  <si>
    <t>陈小玲</t>
  </si>
  <si>
    <t>清酒（⽇本⽶酒）;烈酒（饮料）;⽩酒;⽩⼲酒（中国⽩酒）;⻩酒;鸡尾酒;果酒;果酒（含酒精）;酒精饮料（啤酒除外）;蒸馏饮料</t>
  </si>
  <si>
    <t>徽华圆</t>
  </si>
  <si>
    <t>青阳县徽华园食品有限公司</t>
  </si>
  <si>
    <t>⽶酒;⻩酒;酒精饮料浓缩汁;⽩酒;烧酒;果酒（含酒精）;烈酒（饮料）;葡萄酒;含⽔果酒精饮料;以葡萄酒为主的饮料</t>
  </si>
  <si>
    <t>口福隆</t>
  </si>
  <si>
    <t>冯太南</t>
  </si>
  <si>
    <t>威⼠忌;开胃酒;⻩酒;⽩酒;果酒;鸡尾酒;含⽔果酒精饮料;⽶酒;葡萄酒;利⼝酒</t>
  </si>
  <si>
    <t>梅小君</t>
  </si>
  <si>
    <t>⽇本梅⼦酒;⽩酒;甜果酒;利⼝酒;梅酒;烧酒;葡萄酒;含酒精的⽔果鸡尾酒饮料;果酒（含酒精）;含⽔果酒精饮料</t>
  </si>
  <si>
    <t>醉泷江</t>
  </si>
  <si>
    <t>罗定市金碧酒业有限公司</t>
  </si>
  <si>
    <t>含⽔果酒精饮料;烈酒（饮料）;酒精饮料（啤酒除外）;蒸馏饮料;威⼠忌;⽶酒;以葡萄酒为主的饮料;果酒（含酒精）;⽩酒;汽酒</t>
  </si>
  <si>
    <t>光易团</t>
  </si>
  <si>
    <t>合肥众生富网络科技有限公司</t>
  </si>
  <si>
    <t>清酒;⻩酒;果酒;苦荞酒;含酒精的饮料（啤酒除外）;烧酒（烈酒）;葡萄酒;⽶酒;汽酒;烧酒</t>
  </si>
  <si>
    <t>趁现</t>
  </si>
  <si>
    <t>威⼠忌;⽩酒;鸡尾酒;果酒（含酒精）;含⽔果酒精饮料;蜂蜜酒;⽶酒;蒸馏饮料;⽩兰地;葡萄酒</t>
  </si>
  <si>
    <t>江北郎五行能量</t>
  </si>
  <si>
    <t>陕西意统果酿酒业有限公司</t>
  </si>
  <si>
    <t>利⼝酒;⻘稞酒;威⼠忌;汽酒;烧酒;苦味酒;苹果酒;⾕物制蒸馏酒精饮料;伏特加酒;酒精饮料（啤酒除外）;甜酒;⽩兰地;⻘梅酒;卡沙萨酒;杨梅酒;梨酒;樱桃酒;烈酒;⽩酒;苦荞酒;薄荷酒;⾼粱酒;⽼酒（中国蒸馏烈酒）;含酒精的⽔果鸡尾酒饮料;清酒;⽩⼲酒（中国⽩酒）</t>
  </si>
  <si>
    <t>百香坞</t>
  </si>
  <si>
    <t>肖丽雪</t>
  </si>
  <si>
    <t>⽶酒;威⼠忌;烈酒（饮料）;烧酒;⽩酒;开胃酒;葡萄酒;⾼粱酒;鸡尾酒;⽩兰地</t>
  </si>
  <si>
    <t>胜天半子</t>
  </si>
  <si>
    <t>托马斯（广州）生命科学研究院（普通合伙）</t>
  </si>
  <si>
    <t>利⼝酒;清酒（⽇本⽶酒）;伏特加酒;烧酒;⽶酒;葡萄酒;酒精饮料（啤酒除外）;含⽔果酒精饮料;果酒（含酒精）;⽩酒</t>
  </si>
  <si>
    <t>梦境飞川</t>
  </si>
  <si>
    <t>郓城昕峰汽车用品有限公司</t>
  </si>
  <si>
    <t>伏特加酒;酒精饮料（啤酒除外）;蒸馏饮料;威⼠忌;⽩酒;以葡萄酒为主的饮料;汽酒;酸酒（低等葡萄酒）;桃红葡萄酒;葡萄酒</t>
  </si>
  <si>
    <t>乾唐韵</t>
  </si>
  <si>
    <t>烧酒;酒精饮料（啤酒除外）;果酒;开胃酒;⽩兰地;佐餐酒;⽩酒;烈酒;⽶酒;⻩酒</t>
  </si>
  <si>
    <t>宝科莱</t>
  </si>
  <si>
    <t>博西奥家庭置业有限公司</t>
  </si>
  <si>
    <t>威⼠忌;葡萄酒;⽶酒;利⼝酒;⽩酒;含⽔果酒精饮料;薄荷酒;朗姆酒;含酒精的⽓泡⽔;开胃酒</t>
  </si>
  <si>
    <t>梅太宗</t>
  </si>
  <si>
    <t>利⼝酒;梅酒;甜果酒;⽩酒;果酒（含酒精）;含⽔果酒精饮料;含酒精的⽔果鸡尾酒饮料;⽇本梅⼦酒;葡萄酒;烧酒</t>
  </si>
  <si>
    <t>瑶阶草</t>
  </si>
  <si>
    <t>烧酒;⽩酒;酒精饮料（啤酒除外）;⻘稞酒;烈酒（饮料）;鸡尾酒;果酒（含酒精）;⽶酒;葡萄酒;⻩酒</t>
  </si>
  <si>
    <t>POLABEAR</t>
  </si>
  <si>
    <t>⽩酒;鸡尾酒;含酒精蛋奶酒;⽶酒;佐餐酒;果酒（含酒精）;酒精饮料（啤酒除外）;含⽜奶的鸡尾酒;含酒精的⽓泡⽔;甜酒</t>
  </si>
  <si>
    <t>上官如意</t>
  </si>
  <si>
    <t>葡萄酒;⽩⼲酒（中国⽩酒）;⽩酒;果酒（含酒精）;蒸煮提取物（利⼝酒和烈酒）;含酒精的饮料（啤酒除外）;烧酒;⽼酒（中国蒸馏烈酒）;由⾕物蒸馏的⽩酒;酒精饮料（啤酒除外）</t>
  </si>
  <si>
    <t>白小侯</t>
  </si>
  <si>
    <t>刘非平</t>
  </si>
  <si>
    <t>开胃酒;清酒（⽇本⽶酒）;酒精饮料（啤酒除外）;烈酒（饮料）;⻩酒;⽩酒;葡萄酒;威⼠忌;果酒;鸡尾酒</t>
  </si>
  <si>
    <t>楚公</t>
  </si>
  <si>
    <t>陈文斐</t>
  </si>
  <si>
    <t>酒精饮料（啤酒除外）;⽩酒;烧酒;葡萄酒;⽶酒;伏特加酒;⻩酒;果酒（含酒精）;⻘稞酒;清酒（⽇本⽶酒）</t>
  </si>
  <si>
    <t>仙海沉乡</t>
  </si>
  <si>
    <t>四川天酿地酒商贸有限公司</t>
  </si>
  <si>
    <t>清酒（⽇本⽶酒）;⽩酒;葡萄酒;⻘稞酒;⻩酒;酒精饮料原汁;⽶酒;露酒;果酒（含酒精）;梨酒</t>
  </si>
  <si>
    <t>杂谈</t>
  </si>
  <si>
    <t>上饶坛心酒业有限公司</t>
  </si>
  <si>
    <t>⽩酒;伏特加酒;烧酒;⻩酒;⽶酒;威⼠忌;开胃酒;餐后酒（利⼝酒和烈酒）;烈酒（饮料）;清酒（⽇本⽶酒）</t>
  </si>
  <si>
    <t>中国免税品(集团)有限责任公司</t>
  </si>
  <si>
    <t>汽酒;⽩酒;苹果酒;鸡尾酒;葡萄酒;果酒（含酒精）;⽶酒;酒精饮料浓缩汁;威⼠忌;⻩酒</t>
  </si>
  <si>
    <t>孙氏润泽堂</t>
  </si>
  <si>
    <t>临沂润泽堂中医院有限公司</t>
  </si>
  <si>
    <t>含⽔果酒精饮料;葡萄酒;⽩酒;清酒;⻩酒;果酒（含酒精）;威⼠忌;酒精饮料浓缩汁;鸡尾酒;⽶酒</t>
  </si>
  <si>
    <t>至樽康乾</t>
  </si>
  <si>
    <t>⻩酒;⽩酒;含酒精⽔果饮料;烧酒;⽶酒;果酒（含酒精）;威⼠忌;⾕物制蒸馏酒精饮料;葡萄酒;⽩兰地</t>
  </si>
  <si>
    <t>直冲九天</t>
  </si>
  <si>
    <t>陈大伟</t>
  </si>
  <si>
    <t>烧酒;葡萄酒;伏特加酒;⽩兰地;蒸馏饮料;果酒（含酒精）;⽶酒;⽩酒;⻩酒;含酒精⽔果饮料</t>
  </si>
  <si>
    <t>凯野草原</t>
  </si>
  <si>
    <t>钟芸</t>
  </si>
  <si>
    <t>房陵君姐</t>
  </si>
  <si>
    <t>王昭君</t>
  </si>
  <si>
    <t>烧酒;果酒;⾼粱酒;烈酒;由⾕物蒸馏的⽩酒;⽶酒;⾕物制蒸馏酒精饮料;甜酒;⻩酒;⽩酒</t>
  </si>
  <si>
    <t>吾养健</t>
  </si>
  <si>
    <t>山东一身酒业有限公司</t>
  </si>
  <si>
    <t>露酒;开胃酒;清酒;果酒;蜂蜜酒;⽩酒;茴⾹酒;⻩酒;⻘稞酒;含⽔果酒精饮料</t>
  </si>
  <si>
    <t>加烈葡萄酒;烈酒;⽩葡萄酒;红葡萄酒;除啤酒外的酒精饮料;威⼠忌;葡萄酒;⽩兰地;不起泡葡萄酒;⻨芽威⼠忌</t>
  </si>
  <si>
    <t>津橘云享</t>
  </si>
  <si>
    <t>云阳县新津乡产业发展服务中心</t>
  </si>
  <si>
    <t>果酒;清酒;⾷⽤酒精;⽶酒;葡萄酒;⾼粱酒;⽩酒;梅酒;烧酒;烈酒</t>
  </si>
  <si>
    <t>传赢</t>
  </si>
  <si>
    <t>杨清迎</t>
  </si>
  <si>
    <t>果酒;含⽔果酒精饮料;⽩酒;⾷⽤酒精;酒精饮料（啤酒除外）;⽶酒;酒精饮料浓缩汁;葡萄酒;威⼠忌;烧酒</t>
  </si>
  <si>
    <t>醉月流辉</t>
  </si>
  <si>
    <t>四川省宾宴销售有限公司</t>
  </si>
  <si>
    <t>烧酒;蒸馏饮料;⾷⽤酒精;⽩酒;葡萄酒;烈酒（饮料）;开胃酒;酒精饮料（啤酒除外）;果酒（含酒精）;利⼝酒</t>
  </si>
  <si>
    <t>蜀宦</t>
  </si>
  <si>
    <t>⽩兰地;⽩酒;葡萄酒;威⼠忌;烧酒;⻩酒;⽶酒;鸡尾酒;烈酒;⻘稞酒</t>
  </si>
  <si>
    <t>杏昇湘</t>
  </si>
  <si>
    <t>汾阳市醉清乡酒业有限公司</t>
  </si>
  <si>
    <t>果酒（含酒精）;鸡尾酒;利⼝酒;烈酒（饮料）;烧酒;开胃酒;清酒（⽇本⽶酒）;威⼠忌;⽩酒;⻩酒</t>
  </si>
  <si>
    <t>望千岛</t>
  </si>
  <si>
    <t>杭州望千岛啤酒有限公司</t>
  </si>
  <si>
    <t>⽩酒;开胃酒;烈酒（饮料）;酒精饮料原汁;⽶酒;⻩酒;鸡尾酒;酒精饮料（啤酒除外）;葡萄酒;含⽔果酒精饮料</t>
  </si>
  <si>
    <t>五湖舟</t>
  </si>
  <si>
    <t>酒精饮料（啤酒除外）;烧酒;含酒精的饮料（啤酒除外）;蒸煮提取物（利⼝酒和烈酒）;⽩⼲酒（中国⽩酒）;由⾕物蒸馏的⽩酒;⽩酒;果酒（含酒精）;⽼酒（中国蒸馏烈酒）;葡萄酒</t>
  </si>
  <si>
    <t>任世铭</t>
  </si>
  <si>
    <t>烈酒（饮料）;⽩酒;烧酒;果酒（含酒精）;清酒（⽇本⽶酒）;⻩酒;⽶酒;鸡尾酒;葡萄酒;酒精饮料（啤酒除外）</t>
  </si>
  <si>
    <t>乐龙门</t>
  </si>
  <si>
    <t>烈酒（饮料）;烧酒;⽩兰地;⽶酒;⾼粱酒;威⼠忌;开胃酒;⽩酒;葡萄酒;鸡尾酒</t>
  </si>
  <si>
    <t>书贤月</t>
  </si>
  <si>
    <t>唐元元</t>
  </si>
  <si>
    <t>烈酒（饮料）;酒精饮料（啤酒除外）;⽶酒;⽢蔗制烈酒;⽩酒;果酒（含酒精）;葡萄酒;鸡尾酒;烧酒;⻩酒</t>
  </si>
  <si>
    <t>添财龙</t>
  </si>
  <si>
    <t>葡萄酒;⻩酒;烈酒;烧酒;⽩酒;露酒;⾼粱酒;清酒;果酒（含酒精）;⽶酒</t>
  </si>
  <si>
    <t>卤乡酒</t>
  </si>
  <si>
    <t>安乡县农链投资有限公司</t>
  </si>
  <si>
    <t>葡萄酒;预先混合的酒精饮料（以啤酒为主的除外）;甜酒;含⽔果酒精饮料;⽩酒;烈酒;蒸煮提取物（利⼝酒和烈酒）;果酒;酒精饮料（啤酒除外）;开胃酒</t>
  </si>
  <si>
    <t>众润白露</t>
  </si>
  <si>
    <t>杨应龙</t>
  </si>
  <si>
    <t>伏特加酒;葡萄酒;⽩兰地;⽩酒;酒精饮料原汁;以葡萄酒为主的饮料;威⼠忌;鸡尾酒;含⽔果酒精饮料;烈酒</t>
  </si>
  <si>
    <t>越欣甄选</t>
  </si>
  <si>
    <t>北京越欣供应链管理有限公司</t>
  </si>
  <si>
    <t>酸酒（低等葡萄酒）;清酒;餐后酒（利⼝酒和烈酒）;⾕物制蒸馏酒精饮料;葡萄酒;⽩兰地;威⼠忌</t>
  </si>
  <si>
    <t>GLENDUDERANCH</t>
  </si>
  <si>
    <t>格兰丹迪（深圳）酒业有限公司</t>
  </si>
  <si>
    <t>⽩兰地;蒸馏饮料;葡萄酒;威⼠忌;⾕物制蒸馏酒精饮料;鸡尾酒;蒸煮提取物（利⼝酒和烈酒）;清酒（⽇本⽶酒）;预先混合的酒精饮料（以啤酒为主的除外）;烈酒（饮料）</t>
  </si>
  <si>
    <t>丝雨</t>
  </si>
  <si>
    <t>湖南乐华乐购贸易有限公司</t>
  </si>
  <si>
    <t>鸡尾酒;果酒（含酒精）;⽩酒;⻘稞酒;⽶酒;含⽔果酒精饮料;酒精饮料（啤酒除外）;⻩酒;烈酒（饮料）;葡萄酒</t>
  </si>
  <si>
    <t>七芝林</t>
  </si>
  <si>
    <t>⽩兰地;葡萄酒;烈酒（饮料）;⽩酒;⽶酒;威⼠忌;果酒（含酒精）;鸡尾酒;酒精饮料（啤酒除外）;烧酒</t>
  </si>
  <si>
    <t>汉匠坊汉韵</t>
  </si>
  <si>
    <t>果酒（含酒精）;葡萄酒;⽶酒;烈酒（饮料）;含⽔果酒精饮料;酒精饮料浓缩汁;酒精饮料（啤酒除外）;⽩酒;蒸馏饮料;酒精饮料原汁</t>
  </si>
  <si>
    <t>天骄弯弓</t>
  </si>
  <si>
    <t>⽩兰地;伏特加酒;⾕物制蒸馏酒精饮料;烧酒;⽶酒;葡萄酒;⻩酒;⽩酒;果酒（含酒精）;⾷⽤酒精</t>
  </si>
  <si>
    <t>进龙门</t>
  </si>
  <si>
    <t>开胃酒;烧酒;⽩兰地;⽶酒;威⼠忌;鸡尾酒;烈酒（饮料）;⾼粱酒;⽩酒;葡萄酒</t>
  </si>
  <si>
    <t>乐有礼</t>
  </si>
  <si>
    <t>深圳市乐有康实业有限公司</t>
  </si>
  <si>
    <t>⽩酒;朗姆酒;⻩酒;⾼粱酒;葡萄酒;威⼠忌;⽶酒;烈酒;果酒;伏特加酒</t>
  </si>
  <si>
    <t>嘉荷</t>
  </si>
  <si>
    <t>王海云</t>
  </si>
  <si>
    <t>烧酒;葡萄酒;⽶酒;清酒（⽇本⽶酒）;⻩酒;⻘稞酒;果酒（含酒精）;⽩酒;伏特加酒;酒精饮料（啤酒除外）</t>
  </si>
  <si>
    <t>实翎醇</t>
  </si>
  <si>
    <t>皓懿实国际有限公司</t>
  </si>
  <si>
    <t>蒸馏饮料;⽶酒;薄荷酒;蜂蜜酒;鸡尾酒;开胃酒;伏特加酒;葡萄酒;烈酒（饮料）;果酒（含酒精）</t>
  </si>
  <si>
    <t>清花德龄</t>
  </si>
  <si>
    <t>烈酒;刺五加酒;⽼酒（中国蒸馏烈酒）;⻩酒;葡萄酒;烧酒;⾼粱酒;五加⽪酒（中国混合烈酒）;果酒（含酒精）;⽩酒</t>
  </si>
  <si>
    <t>唐诗下</t>
  </si>
  <si>
    <t>⽩⼲酒（中国⽩酒）;⽼酒（中国蒸馏烈酒）;⽩酒;烧酒（烈酒）;由⾕物蒸馏的⽩酒;蒸馏⽶酒（泡盛酒）;烈酒;⾼粱酒;蒸煮提取物（利⼝酒和烈酒）;⽶酒</t>
  </si>
  <si>
    <t>拥采</t>
  </si>
  <si>
    <t>黄根华</t>
  </si>
  <si>
    <t>薄荷酒;葡萄酒;⻩酒;果酒（含酒精）;⽩酒;苹果酒;蜂蜜酒;樱桃酒;以葡萄酒为主的饮料;蒸馏饮料</t>
  </si>
  <si>
    <t>北辛官桥</t>
  </si>
  <si>
    <t>滕州市官桥酒业有限公司</t>
  </si>
  <si>
    <t>开胃酒;葡萄酒;利⼝酒;烈酒（饮料）;含酒精的饮料（啤酒除外）;⽩酒;果酒（含酒精）;烧酒;⽶酒;⻩酒</t>
  </si>
  <si>
    <t>善城官桥</t>
  </si>
  <si>
    <t>利口酒;果酒（含酒精）;葡萄酒;烈酒（饮料）;黄酒;含酒精的饮料（啤酒除外）;开胃酒;米酒;烧酒;白酒</t>
  </si>
  <si>
    <t>谷小燃</t>
  </si>
  <si>
    <t>张滢格</t>
  </si>
  <si>
    <t>德相汇</t>
  </si>
  <si>
    <t>安徽汇德酒业有限公司</t>
  </si>
  <si>
    <t>含酒精的饮料（啤酒除外）;鸡尾酒;葡萄酒;含⽔果酒精饮料;甜酒;果酒;清酒;⻩酒;⽩酒;⽶酒</t>
  </si>
  <si>
    <t>布朗情</t>
  </si>
  <si>
    <t>杨军菊</t>
  </si>
  <si>
    <t>⽩酒;苦荞酒;朗姆酒;⻘稞酒;烧酒;果酒（含酒精）;清酒;葡萄酒;⽶酒;⽢蔗制烈酒</t>
  </si>
  <si>
    <t>晋浊贤</t>
  </si>
  <si>
    <t>青岛鸿苑溪商贸有限公司</t>
  </si>
  <si>
    <t>葡萄酒;果酒（含酒精）;⽩酒;烧酒;酒精饮料（啤酒除外）;⽶酒;烈酒;酒精饮料原汁;鸡尾酒;⻩酒</t>
  </si>
  <si>
    <t>百卡罗</t>
  </si>
  <si>
    <t>上海南洲国际贸易有限公司</t>
  </si>
  <si>
    <t>葡萄酒;含⽔果酒精饮料;酒精饮料（啤酒除外）;鸡尾酒;⽩兰地;⽩酒;红葡萄酒;威⼠忌;⽩葡萄酒;果酒（含酒精）</t>
  </si>
  <si>
    <t>万客松</t>
  </si>
  <si>
    <t>烧酒;⽶酒;果酒（含酒精）;酒精饮料（啤酒除外）;清酒（⽇本⽶酒）;葡萄酒;伏特加酒;⻩酒;⻘稞酒;⽩酒</t>
  </si>
  <si>
    <t>民兴陆</t>
  </si>
  <si>
    <t>成都阅席工程项目管理咨询有限公司</t>
  </si>
  <si>
    <t>悦播</t>
  </si>
  <si>
    <t>葡萄酒;鸡尾酒;⽩酒;⽶酒;烈酒（饮料）;果酒（含酒精）;⻘稞酒;⻩酒;烧酒;酒精饮料（啤酒除外）</t>
  </si>
  <si>
    <t>瑞集福至</t>
  </si>
  <si>
    <t>瑞集行（厦门）贸易有限公司</t>
  </si>
  <si>
    <t>梨酒;果酒;⾕物制蒸馏酒精饮料;⽩酒;烧酒;⽶酒;梅酒;葡萄酒;含⽔果酒精饮料;甜果酒</t>
  </si>
  <si>
    <t>蜜踪泉</t>
  </si>
  <si>
    <t>马建320827********3897</t>
  </si>
  <si>
    <t>⻘稞酒;开胃酒;鸡尾酒;⽩酒;⽶酒;酒精饮料（啤酒除外）;蜂蜜酒;果酒（含酒精）;⻩酒;预先混合的酒精饮料（以啤酒为主的除外）</t>
  </si>
  <si>
    <t>邱林虎</t>
  </si>
  <si>
    <t>⽩⼲酒（中国⽩酒）;葡萄酒;⽼酒（中国蒸馏烈酒）;⽶酒;⽩酒;烈酒;果酒;含酒精的充⽓饮料（啤酒除外）;鸡尾酒;⻩酒</t>
  </si>
  <si>
    <t>纵横独樽</t>
  </si>
  <si>
    <t>⽶酒;⾷⽤酒精;⽩酒;果酒（含酒精）;⻩酒;伏特加酒;葡萄酒;⾕物制蒸馏酒精饮料;烧酒;⽩兰地</t>
  </si>
  <si>
    <t>荷管家</t>
  </si>
  <si>
    <t>潘少杰</t>
  </si>
  <si>
    <t>预先混合的酒精饮料（以啤酒为主的除外）;鸡尾酒;烧酒;⾷⽤酒精;威⼠忌;⽩酒;酒精饮料浓缩汁;烈酒（饮料）;酒精饮料（啤酒除外）;葡萄酒</t>
  </si>
  <si>
    <t>枫景树</t>
  </si>
  <si>
    <t>欧邦诺智能科技（广东）有限公司</t>
  </si>
  <si>
    <t>果酒（含酒精）;烈酒（饮料）;酒精饮料（啤酒除外）;烧酒;⾷⽤酒精;⽶酒;⻩酒;汽酒;清酒（⽇本⽶酒）;葡萄酒</t>
  </si>
  <si>
    <t>赤红祖</t>
  </si>
  <si>
    <t>冯瑞敏</t>
  </si>
  <si>
    <t>⽩酒;清酒（⽇本⽶酒）;酒精饮料（啤酒除外）;⽶酒;⻩酒;葡萄酒;含⽔果酒精饮料;伏特加酒;烧酒;蒸馏饮料</t>
  </si>
  <si>
    <t>上海稻醴贸易有限公司</t>
  </si>
  <si>
    <t>甜酒;⽶酒;⽩兰地;⽩酒;威⼠忌;清酒;烈酒;葡萄酒;以葡萄酒为主的饮料;含酒精的饮料（啤酒除外）</t>
  </si>
  <si>
    <t>昕禾睿生</t>
  </si>
  <si>
    <t>昕禾睿生（吉林省）网络科技有限公司</t>
  </si>
  <si>
    <t>酒精饮料（啤酒除外）;杜松⼦酒;鸡尾酒;⻩酒;烈酒（饮料）;葡萄酒;清酒（⽇本⽶酒）;威⼠忌;⽩酒;果酒（含酒精）</t>
  </si>
  <si>
    <t>汉世风</t>
  </si>
  <si>
    <t>北京美陶源文化传播有限责任公司</t>
  </si>
  <si>
    <t>酒精饮料（啤酒除外）;⽩酒;葡萄酒;⻩酒</t>
  </si>
  <si>
    <t>出神金窖</t>
  </si>
  <si>
    <t>仁怀市剩点酒类经营部</t>
  </si>
  <si>
    <t>⻩酒;⾷⽤酒精;威⼠忌;葡萄酒;清酒;果酒（含酒精）;⽩兰地;朗姆酒;烈酒（饮料）;⽩酒</t>
  </si>
  <si>
    <t>晋照堂</t>
  </si>
  <si>
    <t>烈酒;酒精饮料（啤酒除外）;鸡尾酒;酒精饮料原汁;烧酒;葡萄酒;⽶酒;果酒（含酒精）;⽩酒;⻩酒</t>
  </si>
  <si>
    <t>华学英才</t>
  </si>
  <si>
    <t>陈宸兴</t>
  </si>
  <si>
    <t>⽩酒;烧酒;开胃酒;鸡尾酒;蜂蜜酒;烈酒（饮料）;⻩酒;利⼝酒;⽶酒;葡萄酒</t>
  </si>
  <si>
    <t>芒晨</t>
  </si>
  <si>
    <t>杨芯军</t>
  </si>
  <si>
    <t>含酒精⽔果饮料;⻩酒;果酒;⽩酒;酒精饮料（啤酒除外）;烈酒（饮料）;葡萄酒;烧酒;⽶酒;⾼粱酒</t>
  </si>
  <si>
    <t>杭州临平运河综保旅游有限公司</t>
  </si>
  <si>
    <t>酒精饮料（啤酒除外）;⾷⽤酒精;清酒;葡萄酒;烧酒;汽酒;⻩酒;⽩酒;⽶酒;含⽔果酒精饮料</t>
  </si>
  <si>
    <t>逐浪高</t>
  </si>
  <si>
    <t>三亚佳千文化传媒有限公司</t>
  </si>
  <si>
    <t>谷物制蒸馏酒精饮料;白酒;鸡尾酒;米酒;酒精饮料（啤酒除外）;葡萄酒;黄酒;果酒（含酒精）;食用酒精;烧酒</t>
  </si>
  <si>
    <t>禧蒸乐居</t>
  </si>
  <si>
    <t>清酒;⻩酒;⽼酒（中国蒸馏烈酒）;⾷⽤酒精;酒精饮料（啤酒除外）;⾕物制蒸馏酒精饮料;梅酒;利⼝酒;露酒;黑覆盆⼦酒</t>
  </si>
  <si>
    <t>桃绅香</t>
  </si>
  <si>
    <t>清远市清新区浸潭镇高陂山泉酒坊</t>
  </si>
  <si>
    <t>威⼠忌;⽩酒;⽩兰地;酒精饮料原汁;果酒（含酒精）;酒精饮料（啤酒除外）;葡萄酒;鸡尾酒;烈酒（饮料）;茴⾹酒（利⼝酒）</t>
  </si>
  <si>
    <t>过洋汘星</t>
  </si>
  <si>
    <t>大连海之韵酒业有限公司</t>
  </si>
  <si>
    <t>预先混合的酒精饮料（以啤酒为主的除外）;果酒（含酒精）;开胃酒;鸡尾酒;⻩酒;酒精饮料（啤酒除外）;烈酒（饮料）;⽩酒;⻘稞酒;蜂蜜酒</t>
  </si>
  <si>
    <t>宫坊第</t>
  </si>
  <si>
    <t>侯欣欣</t>
  </si>
  <si>
    <t>⽶酒;烧酒（烈酒）;⻩酒;⽩酒;苦艾酒;烈酒（饮料）;烧酒;甜果酒;⽼酒（中国蒸馏烈酒）;以葡萄酒为主的饮料</t>
  </si>
  <si>
    <t>探清花</t>
  </si>
  <si>
    <t>酒精饮料原汁;酒精饮料（啤酒除外）;⽶酒;⽩酒;烧酒;餐后酒（利⼝酒和烈酒）;⻩酒;葡萄酒;烈酒（饮料）;果酒（含酒精）</t>
  </si>
  <si>
    <t>以誉烧坊</t>
  </si>
  <si>
    <t>李妍妍</t>
  </si>
  <si>
    <t>清酒;⽩酒;葡萄酒;果酒;威⼠忌;蜂蜜酒;⻩酒;⽶酒;烧酒;伏特加酒</t>
  </si>
  <si>
    <t>述小二</t>
  </si>
  <si>
    <t>阮玉瓶</t>
  </si>
  <si>
    <t>果酒（含酒精）;烈酒;威⼠忌;开胃酒;⻩酒;酒精饮料（啤酒除外）;鸡尾酒;清酒（⽇本⽶酒）;⽩酒;葡萄酒</t>
  </si>
  <si>
    <t>杏昇泓</t>
  </si>
  <si>
    <t>威⼠忌;烧酒;⻩酒;鸡尾酒;利⼝酒;⽩酒;果酒（含酒精）;开胃酒;清酒（⽇本⽶酒）;烈酒（饮料）</t>
  </si>
  <si>
    <t>飒山海</t>
  </si>
  <si>
    <t>哈尔滨煌龙商贸有限公司</t>
  </si>
  <si>
    <t>果酒;酒精饮料（啤酒除外）;开胃酒;葡萄酒;⻩酒;⽶酒;伏特加酒;朗姆酒;含⽔果酒精饮料;⽩酒</t>
  </si>
  <si>
    <t>碰嗨嗨</t>
  </si>
  <si>
    <t>重庆立玺尚商贸有限公司</t>
  </si>
  <si>
    <t>樱桃酒;⻩酒;⾷⽤酒精;⽶酒;⽩酒;烧酒</t>
  </si>
  <si>
    <t>广束</t>
  </si>
  <si>
    <t>广西广柬家居有限公司</t>
  </si>
  <si>
    <t>酒精饮料（啤酒除外）;含⽔果酒精饮料;⽩酒;烧酒（烈酒）;⽼酒（中国蒸馏烈酒）;烈酒;⻩酒;除啤酒外的酒精饮料;酒精饮料原汁;红葡萄酒</t>
  </si>
  <si>
    <t>MS-MONFAUCON</t>
  </si>
  <si>
    <t>索尔斯堡简易股份有限公司</t>
  </si>
  <si>
    <t>⽩酒;酒精饮料（啤酒除外）;清酒（⽇本⽶酒）;葡萄酒;含⽔果酒精饮料;利⼝酒;果酒（含酒精）;烈酒（饮料）;酒精饮料浓缩汁;⻩酒</t>
  </si>
  <si>
    <t>交天下</t>
  </si>
  <si>
    <t>江苏交天下酒业有限公司</t>
  </si>
  <si>
    <t>蒸煮提取物（利⼝酒和烈酒）;果酒;烈酒（饮料）;酒精饮料（啤酒除外）;⽩酒;烧酒;⾷⽤酒精;利⼝酒;⻩酒;⽶酒</t>
  </si>
  <si>
    <t>凤起之地</t>
  </si>
  <si>
    <t>葡萄酒;⽩酒;含⽔果酒精饮料;⾷⽤酒精;甜果酒;烧酒;鸡尾酒;汽酒;酒精饮料浓缩汁;⽶酒</t>
  </si>
  <si>
    <t>跃鲤</t>
  </si>
  <si>
    <t>严花妹35012********0674X</t>
  </si>
  <si>
    <t>烈酒（饮料）;⽶酒;汽酒;含⽔果酒精饮料;鸡尾酒;⽩酒;烧酒;葡萄酒;清酒;果酒（含酒精）</t>
  </si>
  <si>
    <t>樽启</t>
  </si>
  <si>
    <t>孟琪</t>
  </si>
  <si>
    <t>清酒;⽩酒;⽶酒;烧酒（烈酒）;葡萄酒;汽酒;鸡尾酒;含⽔果酒精饮料;酒精饮料（啤酒除外）;果酒</t>
  </si>
  <si>
    <t>竹贤王</t>
  </si>
  <si>
    <t>烧酒;⽶酒;除啤酒外的酒精饮料;葡萄酒;鸡尾酒;烈酒;果酒;⽩酒;⻩酒;清酒</t>
  </si>
  <si>
    <t>迷匠营</t>
  </si>
  <si>
    <t>丁浪</t>
  </si>
  <si>
    <t>⻩酒;开胃酒;烧酒;⽶酒;葡萄酒;果酒;清酒;⽩酒;酒精饮料(啤酒除外);蒸煮提取物(利⼝酒和烈酒)</t>
  </si>
  <si>
    <t>望品臣</t>
  </si>
  <si>
    <t>霞浦县美度食品经营部</t>
  </si>
  <si>
    <t>威⼠忌;伏特加酒;红葡萄酒;果酒;⽩⼲酒（中国⽩酒）;⽩酒;⽩兰地;烧酒;葡萄酒;⾼粱酒</t>
  </si>
  <si>
    <t>欣漫妮</t>
  </si>
  <si>
    <t>黄蔚霖</t>
  </si>
  <si>
    <t>⽩酒;果酒（含酒精）;樱桃酒;薄荷酒;葡萄酒;蜂蜜酒;⽶酒;开胃酒;苹果酒;鸡尾酒</t>
  </si>
  <si>
    <t>尹剑国</t>
  </si>
  <si>
    <t>果酒（含酒精）;烈酒（饮料）;酒精饮料原汁;朗姆酒;以葡萄酒为主的饮料;⽩兰地;威⼠忌;葡萄酒;含⽔果酒精饮料;蒸馏饮料</t>
  </si>
  <si>
    <t>孙润泽</t>
  </si>
  <si>
    <t>果酒（含酒精）;⽶酒;威⼠忌;鸡尾酒;清酒;含⽔果酒精饮料;酒精饮料浓缩汁;葡萄酒;⽩酒;⻩酒</t>
  </si>
  <si>
    <t>力丽草原</t>
  </si>
  <si>
    <t>周富友</t>
  </si>
  <si>
    <t>楠之礼</t>
  </si>
  <si>
    <t>含⽔果酒精饮料;含酒精的饮料（啤酒除外）;⻩酒;鸡尾酒;清酒;甜酒;⽩酒;果酒;⽶酒;葡萄酒</t>
  </si>
  <si>
    <t>魔力哥</t>
  </si>
  <si>
    <t>武汉佰舸达互联网科技有限公司</t>
  </si>
  <si>
    <t>⾕物制蒸馏酒精饮料;⽶酒;伏特加酒;预先混合的酒精饮料（以啤酒为主的除外）;⻩酒;汽酒;朗姆酒;⾷⽤酒精;⻘稞酒;⽢蔗制酒精饮料</t>
  </si>
  <si>
    <t>声辉</t>
  </si>
  <si>
    <t>⽶酒;烧酒;⻩酒;⽩酒;⻘稞酒;烈酒（饮料）;鸡尾酒;酒精饮料（啤酒除外）;果酒（含酒精）;葡萄酒</t>
  </si>
  <si>
    <t>庆九尊</t>
  </si>
  <si>
    <t>清酒（⽇本⽶酒）;烈酒;⽩酒;葡萄酒;鸡尾酒;⻩酒;开胃酒;威⼠忌;果酒（含酒精）;酒精饮料（啤酒除外）</t>
  </si>
  <si>
    <t>和禾茗鼎</t>
  </si>
  <si>
    <t>四川和禾茗鼎商贸有限公司</t>
  </si>
  <si>
    <t>⽩酒;葡萄酒;⽶酒;汽酒;开胃酒;鸡尾酒;⽩兰地;亚⼒酒;⻩酒;酒精饮料（啤酒除外）</t>
  </si>
  <si>
    <t>密密花田</t>
  </si>
  <si>
    <t>红河花伴一生农业开发有限公司</t>
  </si>
  <si>
    <t>果酒（含酒精）;烈酒（饮料）;⽶酒;⽩酒;酒精饮料（啤酒除外）;烧酒;⻩酒;鸡尾酒;蒸馏饮料;葡萄酒</t>
  </si>
  <si>
    <t>游知己</t>
  </si>
  <si>
    <t>鸡尾酒;⽩兰地;⽩酒;⻩酒;梅酒;⽶酒;果酒（含酒精）;烧酒;葡萄酒;威⼠忌</t>
  </si>
  <si>
    <t>酒州独樽</t>
  </si>
  <si>
    <t>⾷⽤酒精;⽶酒;果酒（含酒精）;⾕物制蒸馏酒精饮料;⻩酒;⽩酒;伏特加酒;葡萄酒;⽩兰地;烧酒</t>
  </si>
  <si>
    <t>古薛官桥</t>
  </si>
  <si>
    <t>⽩酒;利⼝酒;烧酒;⻩酒;⽶酒;葡萄酒;果酒（含酒精）;烈酒（饮料）;开胃酒;含酒精的饮料（啤酒除外）</t>
  </si>
  <si>
    <t>吉鹿山</t>
  </si>
  <si>
    <t>吴碧红</t>
  </si>
  <si>
    <t>汽酒;⽩酒;⽩⼲酒（中国⽩酒）;酒精饮料（啤酒除外）;⽶酒;⻩酒;果酒;含酒精的⽓泡⽔;葡萄酒;烧酒</t>
  </si>
  <si>
    <t>粮冠君</t>
  </si>
  <si>
    <t>王佳辉</t>
  </si>
  <si>
    <t>鸡尾酒;蜂蜜酒;甜酒;果酒（含酒精）;烧酒;⽶酒;⽩酒;葡萄酒;烈酒（饮料）;⽩兰地</t>
  </si>
  <si>
    <t>伊佳尚品</t>
  </si>
  <si>
    <t>兰州伊佳商贸有限公司</t>
  </si>
  <si>
    <t>⾷⽤酒精;⽩酒;⻩酒;果酒（含酒精）;含⽔果酒精饮料;⻘稞酒;甜果酒;苦艾酒;苦荞酒;⽶酒</t>
  </si>
  <si>
    <t>箴火</t>
  </si>
  <si>
    <t>赵丹丹</t>
  </si>
  <si>
    <t>⽩兰地;⽩酒;蒸煮提取物（利⼝酒和烈酒）;清酒（⽇本⽶酒）;葡萄酒;⻩酒;⽶酒;威⼠忌;果酒（含酒精）;开胃酒</t>
  </si>
  <si>
    <t>HQGJ</t>
  </si>
  <si>
    <t>海南云唐会商业管理有限公司</t>
  </si>
  <si>
    <t>蜂蜜酒;威⼠忌;含⽔果酒精饮料;朗姆酒;葡萄酒;⽩兰地;伏特加酒;已调味的⻨芽酿制的酒精饮料（啤酒除外）;果酒（含酒精）;鸡尾酒</t>
  </si>
  <si>
    <t>豪游根</t>
  </si>
  <si>
    <t>开胃酒;烈酒（饮料）;蜂蜜酒;酒精饮料（啤酒除外）;⽩酒;鸡尾酒;预先混合的酒精饮料（以啤酒为主的除外）;⻘稞酒;果酒（含酒精）;⻩酒</t>
  </si>
  <si>
    <t>荷之愿</t>
  </si>
  <si>
    <t>烧酒;⾷⽤酒精;威⼠忌;鸡尾酒;葡萄酒;烈酒（饮料）;预先混合的酒精饮料（以啤酒为主的除外）;酒精饮料（啤酒除外）;酒精饮料浓缩汁;⽩酒</t>
  </si>
  <si>
    <t>观絮</t>
  </si>
  <si>
    <t>刘绍何</t>
  </si>
  <si>
    <t>⻩酒;威⼠忌;烈酒（饮料）;果酒（含酒精）;朗姆酒;伏特加酒;⽩兰地;⽩酒;⾷⽤酒精;葡萄酒</t>
  </si>
  <si>
    <t>欧邦诺</t>
  </si>
  <si>
    <t>清酒（⽇本⽶酒）;⾷⽤酒精;烧酒;果酒（含酒精）;酒精饮料（啤酒除外）;汽酒;烈酒（饮料）;⻩酒;葡萄酒;⽶酒</t>
  </si>
  <si>
    <t>宝酒臻</t>
  </si>
  <si>
    <t>卿建辉</t>
  </si>
  <si>
    <t>果酒（含酒精）;葡萄酒;⽩兰地;⾷⽤酒精;烧酒;⽶酒;⻩酒;伏特加酒;⾕物制蒸馏酒精饮料;⽩酒</t>
  </si>
  <si>
    <t>龙之瑞</t>
  </si>
  <si>
    <t>卢锡磊52213********8003X</t>
  </si>
  <si>
    <t>葡萄酒;⽩酒;蒸馏饮料;鸡尾酒;烧酒;⽶酒;果酒（含酒精）;⻩酒;威⼠忌;⽩兰地</t>
  </si>
  <si>
    <t>友粮心</t>
  </si>
  <si>
    <t>⽩酒;葡萄酒;鸡尾酒;⻩酒;果酒（含酒精）;烈酒;酒精饮料（啤酒除外）;威⼠忌;开胃酒;清酒（⽇本⽶酒）</t>
  </si>
  <si>
    <t>榴小汐</t>
  </si>
  <si>
    <t>台州市榴小汐科技有限公司</t>
  </si>
  <si>
    <t>含⽔果酒精饮料;清酒（⽇本⽶酒）;酒精饮料（啤酒除外）;含酒精的⽓泡⽔;酒精饮料原汁;烈酒（饮料）;葡萄酒;预先混合的酒精饮料（以啤酒为主的除外）;果酒（含酒精）;⽩酒</t>
  </si>
  <si>
    <t>尤奎特</t>
  </si>
  <si>
    <t>⽩酒;含酒精⽔果饮料;果酒;烧酒;酒精饮料（啤酒除外）;⾼粱酒;葡萄酒;⻩酒;⽶酒;烈酒（饮料）</t>
  </si>
  <si>
    <t>长谈知己</t>
  </si>
  <si>
    <t>泉州万红贸易有限公司</t>
  </si>
  <si>
    <t>烈酒;⽩兰地;⻩酒;鸡尾酒;⽶酒;威⼠忌;⽩酒;烧酒;⻘稞酒;葡萄酒</t>
  </si>
  <si>
    <t>九狮图</t>
  </si>
  <si>
    <t>⽩酒;烧酒;⽩兰地;⻩酒;佐餐酒;烈酒;果酒;⽶酒;酒精饮料（啤酒除外）;开胃酒</t>
  </si>
  <si>
    <t>马氏茂记</t>
  </si>
  <si>
    <t>嵊州开投蓝城城市开发有限公司</t>
  </si>
  <si>
    <t>⻩酒;⽩酒;清酒（⽇本⽶酒）;⽶酒;烈酒（饮料）;葡萄酒;烧酒;果酒（含酒精）;鸡尾酒;开胃酒</t>
  </si>
  <si>
    <t>汉匠坊汉风</t>
  </si>
  <si>
    <t>⽩酒;烈酒（饮料）;蒸馏饮料;酒精饮料（啤酒除外）;⽶酒;葡萄酒;酒精饮料原汁;酒精饮料浓缩汁;含⽔果酒精饮料;果酒（含酒精）</t>
  </si>
  <si>
    <t>虎嫲岽</t>
  </si>
  <si>
    <t>长汀县富源玫瑰茄花茶农民专业合作社</t>
  </si>
  <si>
    <t>清酒;酒精饮料原汁;葡萄酒;酒精饮料（啤酒除外）;果酒（含酒精）;汽酒;⻩酒;⽶酒;烧酒;⽩酒</t>
  </si>
  <si>
    <t>梅小令</t>
  </si>
  <si>
    <t>梅酒;利⼝酒;含⽔果酒精饮料;⽇本梅⼦酒;葡萄酒;果酒（含酒精）;甜果酒;烧酒;⽩酒;含酒精的⽔果鸡尾酒饮料</t>
  </si>
  <si>
    <t>四川世纪润源商贸有限公司</t>
  </si>
  <si>
    <t>酒精饮料（啤酒除外）;⽶酒;⽩酒;伏特加酒;⽩兰地;葡萄酒;威⼠忌;烈酒;鸡尾酒;果酒（含酒精）</t>
  </si>
  <si>
    <t>酿仙柔</t>
  </si>
  <si>
    <t>李瑞雪</t>
  </si>
  <si>
    <t>葡萄酒;朗姆酒;⽶酒;⽩酒;烧酒;鸡尾酒;利⼝酒;烧酒（烈酒）;⽩⼲酒（中国⽩酒）;⻩酒</t>
  </si>
  <si>
    <t>沧山梦</t>
  </si>
  <si>
    <t>张大奎</t>
  </si>
  <si>
    <t>⻩酒;酒精饮料（啤酒除外）;烈酒（饮料）;开胃酒;清酒（⽇本⽶酒）;威⼠忌;⽩酒;葡萄酒;鸡尾酒;果酒</t>
  </si>
  <si>
    <t>年创始孙绍铨</t>
  </si>
  <si>
    <t>⽩酒;烈酒;鸡尾酒;酒精饮料（啤酒除外）;⾼粱酒;葡萄酒;威⼠忌;烧酒;⽶酒;⽼酒（中国蒸馏烈酒）</t>
  </si>
  <si>
    <t>粮师友</t>
  </si>
  <si>
    <t>石峰</t>
  </si>
  <si>
    <t>烈酒（饮料）;⾼粱酒;红葡萄酒;⾷⽤酒精;鸡尾酒;果酒;⽶酒;⻩酒;⽩酒;威⼠忌</t>
  </si>
  <si>
    <t>闽靖福</t>
  </si>
  <si>
    <t>郑子发</t>
  </si>
  <si>
    <t>甜酒;⻩酒;⽶酒;蜂蜜酒;果酒;⽩酒;由⾕物蒸馏的⽩酒;果酒（含酒精）;酒精饮料（啤酒除外）;⻘梅酒</t>
  </si>
  <si>
    <t>天龙御典</t>
  </si>
  <si>
    <t>⽩酒;烧酒;开胃酒;烈酒（饮料）;⽶酒;⻩酒;利⼝酒;酒精饮料（啤酒除外）;葡萄酒;含⽔果酒精饮料</t>
  </si>
  <si>
    <t>杏天成</t>
  </si>
  <si>
    <t>伍小梅</t>
  </si>
  <si>
    <t>⽶酒;烧酒;威⼠忌;葡萄酒;鸡尾酒;果酒（含酒精）;⽩酒;⻩酒;⽩兰地;蒸馏饮料</t>
  </si>
  <si>
    <t>锦德嵘馨</t>
  </si>
  <si>
    <t>怀仁市锦德商贸有限公司</t>
  </si>
  <si>
    <t>以蒸馏酒为主的开胃酒;⽩酒;葡萄酒;果酒;⽶酒;汽酒;⻩酒;清酒;烈酒;已调味的蒸馏酒</t>
  </si>
  <si>
    <t>龙来留</t>
  </si>
  <si>
    <t>果酒（含酒精）;⽶酒;⾕物制蒸馏酒精饮料;⽩酒;⻩酒;⾷⽤酒精;葡萄酒;烧酒;⽩兰地;伏特加酒</t>
  </si>
  <si>
    <t>相授</t>
  </si>
  <si>
    <t>⽩酒;⽩兰地;蒸馏饮料;葡萄酒;威⼠忌;蜂蜜酒;⽶酒;果酒（含酒精）;鸡尾酒;含⽔果酒精饮料</t>
  </si>
  <si>
    <t>霍骠骑</t>
  </si>
  <si>
    <t>中安绿能（成都）集团有限公司</t>
  </si>
  <si>
    <t>⽩酒;⻘稞酒;果酒（含酒精）;含⽔果酒精饮料;⻩酒;烈酒（饮料）;⽶酒;烧酒;⾷⽤酒精;威⼠忌</t>
  </si>
  <si>
    <t>天幕征途</t>
  </si>
  <si>
    <t>爱与海（北京）文化传媒有限公司</t>
  </si>
  <si>
    <t>YAO HU TOWN</t>
  </si>
  <si>
    <t>江苏茗岭窑湖小镇旅游有限公司</t>
  </si>
  <si>
    <t>含⽔果酒精饮料;⽩兰地;⻩酒;葡萄酒;威⼠忌;酒精饮料（啤酒除外）;蒸煮提取物（利⼝酒和烈酒）;鸡尾酒;开胃酒;⽩酒</t>
  </si>
  <si>
    <t>昌芝林</t>
  </si>
  <si>
    <t>亳州市琪昌药业有限公司</t>
  </si>
  <si>
    <t>果酒;⾼粱酒;鸡尾酒;⾷⽤酒精;⻩酒;⽶酒;葡萄酒;含⽔果酒精饮料;⽩酒;烧酒</t>
  </si>
  <si>
    <t>京冉酒业</t>
  </si>
  <si>
    <t>山东九恒私募基金管理有限公司</t>
  </si>
  <si>
    <t>⻩酒;烈酒;⾷⽤酒精;葡萄酒;烧酒（烈酒）;⾼粱酒;⽩葡萄酒;⽩⼲酒（中国⽩酒）;⽼酒（中国蒸馏烈酒）;⽩酒</t>
  </si>
  <si>
    <t>孙纯江</t>
  </si>
  <si>
    <t>贵州省仁怀市醇泉酒业有限公司</t>
  </si>
  <si>
    <t>酒精饮料（啤酒除外）;⽼酒（中国蒸馏烈酒）;烧酒;威⼠忌;⽶酒;⾼粱酒;葡萄酒;⽩酒;烈酒;鸡尾酒</t>
  </si>
  <si>
    <t>米无双</t>
  </si>
  <si>
    <t>海口龙华汀兰枝食品经营部</t>
  </si>
  <si>
    <t>⽶酒;果酒;烧酒;清酒;蒸馏⽶酒（泡盛酒）;酒精饮料（啤酒除外）;⻩酒;⽩酒;⾼粱酒;威⼠忌</t>
  </si>
  <si>
    <t>馋喵阿奇帕克</t>
  </si>
  <si>
    <t>蚂蚁春天超市（且末）有限公司</t>
  </si>
  <si>
    <t>葡萄酒;佐餐酒;⽔果汽酒;以蒸馏酒为主的开胃酒;含酒精⽔果饮料;餐后酒（利⼝酒和烈酒）;苹果酒;⽩酒;红葡萄酒;果酒（含酒精）</t>
  </si>
  <si>
    <t>广顺汇</t>
  </si>
  <si>
    <t>闫志英</t>
  </si>
  <si>
    <t>⽶酒;酒精饮料（啤酒除外）;烧酒;果酒（含酒精）;葡萄酒;酸酒（低等葡萄酒）;樱桃酒;⻘稞酒;蒸馏饮料;⽩酒</t>
  </si>
  <si>
    <t>灿露</t>
  </si>
  <si>
    <t>北京高投数科科技有限公司</t>
  </si>
  <si>
    <t>⽼酒（中国蒸馏烈酒）;⽶酒;烈酒（饮料）;⽩酒;⾷⽤酒精;鸡尾酒;葡萄酒;果酒（含酒精）;蒸馏饮料;含酒精⽔果饮料</t>
  </si>
  <si>
    <t>蜜语诗人</t>
  </si>
  <si>
    <t>上海云引国际贸易有限公司</t>
  </si>
  <si>
    <t>果酒（含酒精）;清酒（⽇本⽶酒）;葡萄酒;伏特加酒;威⼠忌;含⽔果酒精饮料;⻩酒;⽩酒;以葡萄酒为主的饮料;⽩兰地</t>
  </si>
  <si>
    <t>进财凤</t>
  </si>
  <si>
    <t>葡萄酒;⻩酒;⽩酒;露酒;烧酒;⾼粱酒;果酒（含酒精）;⽶酒;烈酒;清酒</t>
  </si>
  <si>
    <t>YOJA</t>
  </si>
  <si>
    <t>湖南长坡厚雪食品有限公司</t>
  </si>
  <si>
    <t>汽酒;⽶酒;烧酒;烈酒;葡萄酒;酒精饮料（啤酒除外）;鸡尾酒;⽩兰地;果酒（含酒精）;⽩酒</t>
  </si>
  <si>
    <t>花之柔</t>
  </si>
  <si>
    <t>刘秀丽</t>
  </si>
  <si>
    <t>鸡尾酒;⽶酒;烧酒;⻘稞酒;葡萄酒;清酒（⽇本⽶酒）;烈酒;酒精饮料（啤酒除外）;苦艾酒;⽩酒</t>
  </si>
  <si>
    <t>大润坊</t>
  </si>
  <si>
    <t>内蒙古百酒源酒业有限公司</t>
  </si>
  <si>
    <t>含⽔果酒精饮料;⻩酒;葡萄酒;预先混合的酒精饮料（以啤酒为主的除外）;酒精饮料（啤酒除外）;已调味的⻨芽酿制的酒精饮料（啤酒除外）;以葡萄酒为主的饮料;果酒（含酒精）;烧酒;⽩酒</t>
  </si>
  <si>
    <t>锦云田</t>
  </si>
  <si>
    <t>果酒（含酒精）;葡萄酒;⽶酒;威⼠忌;酒精饮料（啤酒除外）;鸡尾酒;⽩兰地;伏特加酒;⽩酒;烈酒</t>
  </si>
  <si>
    <t>奥兰小红帽爱跑</t>
  </si>
  <si>
    <t>南京佛勒都娜贸易有限公司</t>
  </si>
  <si>
    <t>薄荷酒;伏特加酒;⻩酒;⽩酒;烧酒;⽩兰地;含⽔果酒精饮料;⽶酒;酒精饮料（啤酒除外）;葡萄酒</t>
  </si>
  <si>
    <t>著宝</t>
  </si>
  <si>
    <t>杜金柱372324********3232</t>
  </si>
  <si>
    <t>⻩酒;清酒（⽇本⽶酒）;果酒（含酒精）;⽶酒;烧酒（烈酒）;烈酒（饮料）;葡萄酒;酒精饮料（啤酒除外）;⽩酒;含⽔果酒精饮料</t>
  </si>
  <si>
    <t>传世胜景</t>
  </si>
  <si>
    <t>潮州市府城四爷餐饮服务有限公司</t>
  </si>
  <si>
    <t>葡萄酒;威⼠忌;⽶酒;伏特加酒;果酒;清酒（⽇本⽶酒）;烈酒（饮料）;⾷⽤酒精;烧酒;⽩酒</t>
  </si>
  <si>
    <t>涧芳</t>
  </si>
  <si>
    <t>吴骏炜</t>
  </si>
  <si>
    <t>烈酒;威⼠忌;蒸馏饮料;酒精饮料（啤酒除外）;葡萄酒;开胃酒;果酒（含酒精）;⽩酒;鸡尾酒;清酒</t>
  </si>
  <si>
    <t>BOIS DE PINS</t>
  </si>
  <si>
    <t>深圳市华富美陶瓷有限公司</t>
  </si>
  <si>
    <t>汽酒;烈酒（饮料）;烧酒;果酒（含酒精）;⽩兰地;⽶酒;⻩酒;⽩酒;清酒;葡萄酒</t>
  </si>
  <si>
    <t>卓云瑞井</t>
  </si>
  <si>
    <t>鸡尾酒;威⼠忌;⽶酒;伏特加酒;⽩兰地;烈酒;酒精饮料（啤酒除外）;果酒（含酒精）;葡萄酒;⽩酒</t>
  </si>
  <si>
    <t>夕花拾</t>
  </si>
  <si>
    <t>⽩酒;烈酒（饮料）;⾼粱酒;烧酒（烈酒）;甜酒;果酒;⻩酒;亚⼒酒;葡萄酒;⽶酒</t>
  </si>
  <si>
    <t>言难晋</t>
  </si>
  <si>
    <t>⽶酒;⻩酒;威⼠忌;烈酒（饮料）;果酒;⾷⽤酒精;鸡尾酒;⾼粱酒;红葡萄酒;⽩酒</t>
  </si>
  <si>
    <t>墨雨云间</t>
  </si>
  <si>
    <t>⽩酒;烧酒;葡萄酒;鸡尾酒;含⽔果酒精饮料;烈酒（饮料）;⽶酒;果酒（含酒精）;酒精饮料浓缩汁;⻩酒</t>
  </si>
  <si>
    <t>应景乐</t>
  </si>
  <si>
    <t>⻩酒;葡萄酒;果酒（含酒精）;鸡尾酒;⻘稞酒;⽩酒;烧酒;⽶酒;烈酒（饮料）;酒精饮料（啤酒除外）</t>
  </si>
  <si>
    <t>乳冠</t>
  </si>
  <si>
    <t>云南乳冠乳业有限公司</t>
  </si>
  <si>
    <t>含⽔果酒精饮料;果酒（含酒精）;酒精饮料（啤酒除外）;⽩酒;⾷⽤酒精;葡萄酒;蒸馏饮料;烧酒;⽩兰地;⽶酒</t>
  </si>
  <si>
    <t>负暄</t>
  </si>
  <si>
    <t>贵州酱造贵标技术服务有限公司</t>
  </si>
  <si>
    <t>⽶酒;⽩酒;露酒;⾕物制蒸馏酒精饮料;果酒（含酒精）;苹果酒;葡萄酒;烈酒（饮料）;餐后酒（利⼝酒和烈酒）;蒸馏饮料</t>
  </si>
  <si>
    <t>中国烟草总公司天津市公司</t>
  </si>
  <si>
    <t>柔小满</t>
  </si>
  <si>
    <t>鸡尾酒;果酒（含酒精）;清酒;开胃酒;酒精饮料（啤酒除外）;蒸馏饮料;葡萄酒;⽩酒;烈酒;威⼠忌</t>
  </si>
  <si>
    <t>医方捷</t>
  </si>
  <si>
    <t>山东王叔和中医药研究有限公司</t>
  </si>
  <si>
    <t>酒精饮料（啤酒除外）;⻘稞酒;⽶酒;⽩酒;⽩兰地;葡萄酒;开胃酒;清酒;烧酒;⾷⽤酒精</t>
  </si>
  <si>
    <t>拾光倒流</t>
  </si>
  <si>
    <t>徐海涛</t>
  </si>
  <si>
    <t>威⼠忌;酒精饮料（啤酒除外）;伏特加酒;⽩兰地;鸡尾酒;葡萄酒;预先混合的酒精饮料（以啤酒为主的除外）;汽酒;⽩酒;酒精饮料原汁</t>
  </si>
  <si>
    <t>海迷失</t>
  </si>
  <si>
    <t>昆明华美居装饰设计工程有限公司</t>
  </si>
  <si>
    <t>酒精饮料（啤酒除外）;烧酒;酒精饮料原汁;鸡尾酒;利⼝酒;杜松⼦酒;葡萄酒;烈酒（饮料）;果酒（含酒精）;餐后酒（利⼝酒和烈酒）</t>
  </si>
  <si>
    <t>京乐田</t>
  </si>
  <si>
    <t>北京创意元信商贸有限公司</t>
  </si>
  <si>
    <t>果酒（含酒精）;威⼠忌;酒精饮料（啤酒除外）;⻩酒;⽩酒;含⽔果酒精饮料;薄荷酒;蒸馏饮料;葡萄酒;开胃酒</t>
  </si>
  <si>
    <t>春江候</t>
  </si>
  <si>
    <t>万寿安</t>
  </si>
  <si>
    <t>烈酒（饮料）;烧酒;⻘稞酒;⻩酒;⽩酒;威⼠忌;蜂蜜酒;开胃酒;清酒（⽇本⽶酒）;鸡尾酒</t>
  </si>
  <si>
    <t>洛樱桃容</t>
  </si>
  <si>
    <t>春和永（磐安）医药科技有限公司</t>
  </si>
  <si>
    <t>葡萄酒;鸡尾酒;清酒;⻘稞酒;酒精饮料（啤酒除外）;⽩酒;⻩酒;烧酒;⽶酒;果酒（含酒精）</t>
  </si>
  <si>
    <t>淳白</t>
  </si>
  <si>
    <t>葡萄酒;烈酒;果酒（含酒精）;⽩酒;鸡尾酒;⻩酒;开胃酒;清酒（⽇本⽶酒）;酒精饮料（啤酒除外）;威⼠忌</t>
  </si>
  <si>
    <t>海大金</t>
  </si>
  <si>
    <t>海大情酒业（海南）有限公司</t>
  </si>
  <si>
    <t>烈酒（饮料）;⽩酒;酒精饮料（啤酒除外）;⻩酒;葡萄酒;蒸馏饮料;酒精饮料原汁;果酒（含酒精）;⽶酒;清酒</t>
  </si>
  <si>
    <t>艺启向前冲</t>
  </si>
  <si>
    <t>北京季季精彩文化科技有限公司</t>
  </si>
  <si>
    <t>葡萄酒;⽩酒;⽩⼲酒（中国⽩酒）;果酒（含酒精）;除啤酒外的酒精饮料;含酒精⽔果饮料;⻩酒;⾼粱酒;含酒精的饮料（啤酒除外）;⾷⽤酒精</t>
  </si>
  <si>
    <t>凤献凰</t>
  </si>
  <si>
    <t>鸡尾酒;果酒（含酒精）;葡萄酒;蒸馏饮料;⽩酒;蜂蜜酒;⽩兰地;含⽔果酒精饮料;⽶酒;威⼠忌</t>
  </si>
  <si>
    <t>鹿阳闲趣</t>
  </si>
  <si>
    <t>内蒙古鹿阳春酒业有限公司</t>
  </si>
  <si>
    <t>烈酒（饮料）;⽩酒;烈酒;烧酒（烈酒）;清酒;⻘稞酒;⻩酒;⽼酒（中国蒸馏烈酒）;烈酒浓缩汁;⾕物制蒸馏酒精饮料</t>
  </si>
  <si>
    <t>孙汇</t>
  </si>
  <si>
    <t>威⼠忌;⽼酒（中国蒸馏烈酒）;烧酒;⽶酒;葡萄酒;⾼粱酒;鸡尾酒;酒精饮料（啤酒除外）;⽩酒;烈酒</t>
  </si>
  <si>
    <t>孙克怀</t>
  </si>
  <si>
    <t>⽶酒;⽩酒;烧酒;⾼粱酒;⽼酒（中国蒸馏烈酒）;鸡尾酒;烈酒;威⼠忌;酒精饮料（啤酒除外）;葡萄酒</t>
  </si>
  <si>
    <t>柯芈青</t>
  </si>
  <si>
    <t>绍兴江老汗酒业有限公司</t>
  </si>
  <si>
    <t>葡萄酒;⽶酒;烧酒（烈酒）;果酒;含酒精⽔果饮料;⻩酒;露酒;开胃酒;⽩酒;酒精饮料（啤酒除外）</t>
  </si>
  <si>
    <t>万洋芈青</t>
  </si>
  <si>
    <t>开胃酒;葡萄酒;果酒;酒精饮料（啤酒除外）;烧酒（烈酒）;露酒;⻩酒;⽩酒;含酒精⽔果饮料;⽶酒</t>
  </si>
  <si>
    <t>金华造物集科技有限公司</t>
  </si>
  <si>
    <t>蜂蜜酒;烧酒;薄荷酒;苹果酒;含酒精的饮料（啤酒除外）;含酒精的⽔果鸡尾酒饮料;茴⾹酒;草莓酒;果酒;预先混合的酒精饮料（以啤酒为主的除外）</t>
  </si>
  <si>
    <t>井天成</t>
  </si>
  <si>
    <t>鸡尾酒;葡萄酒;⻩酒;威⼠忌;⽩酒;果酒（含酒精）;蒸馏饮料;烧酒;⽩兰地;⽶酒</t>
  </si>
  <si>
    <t>链人</t>
  </si>
  <si>
    <t>湖北美丽乡村文化传播有限公司</t>
  </si>
  <si>
    <t>烧酒;⽼酒（中国蒸馏烈酒）;⾼粱酒;⻩酒;⽩⼲酒（中国⽩酒）;烧酒（烈酒）;⾕物制蒸馏酒精饮料;⾷⽤酒精;果酒;⽩酒</t>
  </si>
  <si>
    <t>嘉源海</t>
  </si>
  <si>
    <t>上海嘉源海企业发展有限公司</t>
  </si>
  <si>
    <t>葡萄酒;果酒（含酒精）;⽶酒;汽酒;混合威⼠忌酒;蒸馏饮料;⽩酒;⻩酒;烈酒（饮料）;开胃酒</t>
  </si>
  <si>
    <t>叶仕金樽</t>
  </si>
  <si>
    <t>深圳市煌诺拓展商贸有限公司</t>
  </si>
  <si>
    <t>⽩兰地;葡萄酒;清酒（⽇本⽶酒）;威⼠忌;⽶酒;果酒（含酒精）;⽩酒;⻩酒;烧酒;酒精饮料（啤酒除外）</t>
  </si>
  <si>
    <t>战言</t>
  </si>
  <si>
    <t>⻘稞酒;⽶酒;烈酒;威⼠忌;⽩酒;烧酒;鸡尾酒;葡萄酒;⽩兰地;⻩酒</t>
  </si>
  <si>
    <t>耘畔</t>
  </si>
  <si>
    <t>河南耘梧畔生态农业有限公司</t>
  </si>
  <si>
    <t>鸡尾酒;烈酒（饮料）;⽶酒;⽢蔗制烈酒;果酒（含酒精）;烧酒;⻩酒;葡萄酒;⽩酒;酒精饮料（啤酒除外）</t>
  </si>
  <si>
    <t>WORLD HOT</t>
  </si>
  <si>
    <t>南京源夫农产品有限公司</t>
  </si>
  <si>
    <t>甜酒;酒精饮料原汁;露酒;⽶酒;⽩兰地;预先混合的酒精饮料（以啤酒为主的除外）;葡萄酒;⽩酒;鸡尾酒;果酒</t>
  </si>
  <si>
    <t>粮辛大</t>
  </si>
  <si>
    <t>安徽国酿酒业有限公司</t>
  </si>
  <si>
    <t>果酒（含酒精）;威⼠忌;酒精饮料（啤酒除外）;⻩酒;烈酒（饮料）;烧酒;⽩酒;⽶酒;鸡尾酒;葡萄酒</t>
  </si>
  <si>
    <t>壶之友</t>
  </si>
  <si>
    <t>成华区江凝宏兜商贸部</t>
  </si>
  <si>
    <t>威⼠忌;葡萄酒;含酒精的饮料（啤酒除外）;果酒;⽩酒;利⼝酒;苹果酒;鸡尾酒;烈酒（饮料）;开胃酒</t>
  </si>
  <si>
    <t>井诗</t>
  </si>
  <si>
    <t>⽶酒;⽩酒;⽩⼲酒（中国⽩酒）;鸡尾酒;开胃酒;葡萄酒;⻩酒;⾼粱酒;烧酒（烈酒）;清酒（⽇本⽶酒）</t>
  </si>
  <si>
    <t>孙绍铨烧坊</t>
  </si>
  <si>
    <t>⽩酒;烧酒;烈酒;鸡尾酒;⽶酒;酒精饮料（啤酒除外）;⾼粱酒;葡萄酒;⽼酒（中国蒸馏烈酒）;威⼠忌</t>
  </si>
  <si>
    <t>地乡天</t>
  </si>
  <si>
    <t>南阳地乡天生态农业科技有限公司</t>
  </si>
  <si>
    <t>苦艾酒;果酒（含酒精）;⽶酒;⽩酒;⻘稞酒;葡萄酒;清酒（⽇本⽶酒）;⾼粱酒;露酒;⻩酒</t>
  </si>
  <si>
    <t>舒盛舒盛</t>
  </si>
  <si>
    <t>厦门四海联众进出口有限公司</t>
  </si>
  <si>
    <t>葡萄酒;酒精饮料（啤酒除外）;威⼠忌;蒸馏饮料;⽩酒;含酒精的⽓泡⽔;果酒（含酒精）;含⽔果酒精饮料;烧酒;鸡尾酒</t>
  </si>
  <si>
    <t>郑荣聪</t>
  </si>
  <si>
    <t>果酒（含酒精）;杜松⼦酒;烈酒;开胃酒;威⼠忌;含⽔果酒精饮料;⻘稞酒;⻩酒;⽩酒;葡萄酒</t>
  </si>
  <si>
    <t>香溪孕秀</t>
  </si>
  <si>
    <t>湖北昭君旅游文化发展有限公司</t>
  </si>
  <si>
    <t>汽酒;⽩酒;甜酒;⾼粱酒;清酒;烧酒;果酒;⽶酒;⻩酒;露酒</t>
  </si>
  <si>
    <t>和欣农特</t>
  </si>
  <si>
    <t>凉山州和欣农特科技有限责任公司</t>
  </si>
  <si>
    <t>⽩酒;果酒（含酒精）;⽶酒;⻘稞酒;鸡尾酒;酒精饮料原汁;葡萄酒;伏特加酒;清酒;⻩酒</t>
  </si>
  <si>
    <t>大窑飘飘然</t>
  </si>
  <si>
    <t>内蒙古金元集团呼和浩特制酒厂股份有限公司</t>
  </si>
  <si>
    <t>蒸馏饮料;伏特加酒;果酒（含酒精）;烈酒（饮料）;烧酒;酒精饮料（啤酒除外）;预先混合的酒精饮料（以啤酒为主的除外）;汽酒;⽩酒;葡萄酒;含⽔果酒精饮料</t>
  </si>
  <si>
    <t>海南力火商贸有限公司</t>
  </si>
  <si>
    <t>果酒（含酒精）;⽶酒;威⼠忌;⽩酒;烧酒;开胃酒;⻩酒;鸡尾酒;清酒;⾷⽤酒精</t>
  </si>
  <si>
    <t>石坝滩</t>
  </si>
  <si>
    <t>刘先平</t>
  </si>
  <si>
    <t>烈酒（饮料）;预先混合的酒精饮料（以啤酒为主的除外）;⻩酒;⽶酒;⾕物制蒸馏酒精饮料;葡萄酒;果酒（含酒精）;烧酒;开胃酒;⽩酒</t>
  </si>
  <si>
    <t>春和百花香</t>
  </si>
  <si>
    <t>酒精饮料（啤酒除外）;葡萄酒;⻘稞酒;鸡尾酒;果酒（含酒精）;⻩酒;烧酒;⽶酒;清酒;⽩酒</t>
  </si>
  <si>
    <t>玢滔</t>
  </si>
  <si>
    <t>山西永胜酒业有限公司</t>
  </si>
  <si>
    <t>果酒（含酒精）;烈酒（饮料）;伏特加酒;⽩酒;⾷⽤酒精;酒精饮料原汁;烧酒;露酒;酒精饮料（啤酒除外）;⽩⼲酒（中国⽩酒）</t>
  </si>
  <si>
    <t>赵宫宴</t>
  </si>
  <si>
    <t>葡萄酒;⽩兰地;⽩酒;汽酒;开胃酒;果酒;⻩酒;烈酒;⽶酒;⾷⽤酒精</t>
  </si>
  <si>
    <t>金域三和</t>
  </si>
  <si>
    <t>北京金域三和商贸有限公司</t>
  </si>
  <si>
    <t>酒精饮料（啤酒除外）;⻘稞酒;酒精饮料原汁;果酒（含酒精）;⾷⽤酒精;葡萄酒;以葡萄酒为主的饮料;鸡尾酒;⽩酒;⻩酒</t>
  </si>
  <si>
    <t>美护宝</t>
  </si>
  <si>
    <t>张强娟</t>
  </si>
  <si>
    <t>果酒;清酒;葡萄酒;⻩酒;⾷⽤酒精;开胃酒;甜酒;⽶酒;⽩酒;汽酒</t>
  </si>
  <si>
    <t>春和永百花香</t>
  </si>
  <si>
    <t>葡萄酒;烧酒;果酒（含酒精）;⻩酒;⽶酒;鸡尾酒;清酒;酒精饮料（啤酒除外）;⽩酒;⻘稞酒</t>
  </si>
  <si>
    <t>乌兰骑士</t>
  </si>
  <si>
    <t>宁城生物源酒业有限责任公司</t>
  </si>
  <si>
    <t>葡萄酒;鸡尾酒;⾷⽤酒精;蒸煮提取物（利⼝酒和烈酒）;烧酒;⻩酒;⽩酒;果酒（含酒精）;开胃酒;烈酒（饮料）</t>
  </si>
  <si>
    <t>温河王御品</t>
  </si>
  <si>
    <t>葡萄酒;⽶酒;含⽔果酒精饮料;⽩酒;烈酒;鸡尾酒;利⼝酒;烧酒;⽼酒（中国蒸馏烈酒）;果酒（含酒精）</t>
  </si>
  <si>
    <t>合济人生</t>
  </si>
  <si>
    <t>⾷⽤酒精;葡萄酒;烧酒（烈酒）;清酒（⽇本⽶酒）;⽩⼲酒（中国⽩酒）;⽩酒;酒精饮料（啤酒除外）;五加⽪酒（中国混合烈酒）;⽼酒（中国蒸馏烈酒）;烧酒</t>
  </si>
  <si>
    <t>盘涧</t>
  </si>
  <si>
    <t>开胃酒;威⼠忌;酒精饮料（啤酒除外）;果酒（含酒精）;清酒;鸡尾酒;蒸馏饮料;烈酒;葡萄酒;⽩酒</t>
  </si>
  <si>
    <t>凤生长赢</t>
  </si>
  <si>
    <t>江西归你洽农业发展有限公司</t>
  </si>
  <si>
    <t>⾕物制蒸馏酒精饮料;含酒精的⽓泡⽔;⻩酒;含酒精的饮料（啤酒除外）;预先混合的酒精饮料（以啤酒为主的除外）;⽢蔗制酒精饮料;⾷⽤酒精;由⾕物蒸馏的⽩酒;含酒精蛋奶酒;含酒精⽔果饮料</t>
  </si>
  <si>
    <t>格兰红途</t>
  </si>
  <si>
    <t>厦门红途贸易有限公司</t>
  </si>
  <si>
    <t>果酒（含酒精）;鸡尾酒;朗姆酒;⽩酒;威⼠忌;葡萄酒;⽩兰地;含⽔果酒精饮料;露酒;⻨芽威⼠忌</t>
  </si>
  <si>
    <t>熙嵊斋</t>
  </si>
  <si>
    <t>邯郸市大卓汽车贸易有限公司</t>
  </si>
  <si>
    <t>⽶酒;果酒（含酒精）;鸡尾酒;烈酒（饮料）;⽩⼲酒（中国⽩酒）;⾕物制蒸馏酒精饮料;蒸馏饮料;葡萄酒;⽩兰地;烧酒</t>
  </si>
  <si>
    <t>正华乐宝</t>
  </si>
  <si>
    <t>北京正华众达实业集团有限公司</t>
  </si>
  <si>
    <t>烧酒;果酒（含酒精）;⽶酒;含酒精的⽓泡⽔;⻩酒;⽩酒;甜酒;由⾕物蒸馏的⽩酒;⽩⼲酒（中国⽩酒）;汽酒</t>
  </si>
  <si>
    <t>鑫宝德旺</t>
  </si>
  <si>
    <t>福建月亮国际贸易有限公司</t>
  </si>
  <si>
    <t>三只品</t>
  </si>
  <si>
    <t>汤克金</t>
  </si>
  <si>
    <t>伏特加酒;烧酒;蜂蜜酒;葡萄汽酒;⽩酒;含酒精蛋奶酒;亚⼒酒;⻩酒;⾷⽤酒精;果酒（含酒精）</t>
  </si>
  <si>
    <t>MOXY</t>
  </si>
  <si>
    <t>邱尊嵘</t>
  </si>
  <si>
    <t>鸡尾酒;威⼠忌;果酒（含酒精）;烧酒;⽶酒;蒸馏饮料;酒精饮料（啤酒除外）;烈酒（饮料）;⽩酒;葡萄酒</t>
  </si>
  <si>
    <t>波力爽</t>
  </si>
  <si>
    <t>江苏喜之淼食品有限公司</t>
  </si>
  <si>
    <t>果酒（含酒精）;⽩兰地;酒精饮料浓缩汁;酒精饮料（啤酒除外）;⽩酒;鸡尾酒;⻩酒;葡萄酒;烈酒（饮料）;⾷⽤酒精</t>
  </si>
  <si>
    <t>贵莺禾</t>
  </si>
  <si>
    <t>桂枫杰</t>
  </si>
  <si>
    <t>⽩酒;烈酒（饮料）;含⽔果酒精饮料;威⼠忌;清酒;鸡尾酒;酒精饮料原汁;烧酒;果酒（含酒精）;蒸馏饮料</t>
  </si>
  <si>
    <t>京诚至</t>
  </si>
  <si>
    <t>⽩酒;果酒;烈酒（饮料）;红葡萄酒;⾷⽤酒精;鸡尾酒;⻩酒;⾼粱酒;⽶酒;威⼠忌</t>
  </si>
  <si>
    <t>皮恩思</t>
  </si>
  <si>
    <t>果酒（含酒精）;⻩酒;清酒;汽酒;烧酒;⽶酒;⽩酒;葡萄酒;烈酒（饮料）;⽩兰地</t>
  </si>
  <si>
    <t>正华讨乐</t>
  </si>
  <si>
    <t>⻩酒;⽩酒;⽶酒;含酒精的⽓泡⽔;⽩⼲酒（中国⽩酒）;果酒（含酒精）;汽酒;甜酒;由⾕物蒸馏的⽩酒;烧酒</t>
  </si>
  <si>
    <t>燕国清花</t>
  </si>
  <si>
    <t>烧酒;清酒（⽇本⽶酒）;酒精饮料（啤酒除外）;⻩酒;开胃酒;鸡尾酒;⽩酒;果酒（含酒精）;葡萄酒;蜂蜜酒</t>
  </si>
  <si>
    <t>迎仙客</t>
  </si>
  <si>
    <t>四川朗光生物科技有限公司</t>
  </si>
  <si>
    <t>果酒（含酒精）;葡萄酒;威⼠忌;⻘稞酒;⾕物制蒸馏酒精饮料;⻩酒;⽩酒;⽼酒（中国蒸馏烈酒）;⽶酒;烧酒</t>
  </si>
  <si>
    <t>点灯山</t>
  </si>
  <si>
    <t>郑洪池</t>
  </si>
  <si>
    <t>梅酒;清酒;烈酒（饮料）;⽶酒;酒精饮料（啤酒除外）;果酒（含酒精）;含酒精⽔果饮料;开胃酒;葡萄酒;含⽔果酒精饮料</t>
  </si>
  <si>
    <t>抖味</t>
  </si>
  <si>
    <t>宁波好阿优时尚饮品有限公司</t>
  </si>
  <si>
    <t>酒精饮料原汁;葡萄酒;烈酒（饮料）;威⼠忌;烧酒;果酒（含酒精）;汽酒;⽩酒;⽶酒;⻩酒</t>
  </si>
  <si>
    <t>刘时川</t>
  </si>
  <si>
    <t>北京轻舟万山网络科技有限公司</t>
  </si>
  <si>
    <t>葡萄酒;鸡尾酒;威⼠忌;⽩酒;⽶酒;⻘稞酒;烧酒;酒精饮料（啤酒除外）;⻩酒;果酒（含酒精）</t>
  </si>
  <si>
    <t>鹿瑶里</t>
  </si>
  <si>
    <t>湖北胜昔科技发展有限公司</t>
  </si>
  <si>
    <t>果酒（含酒精）;含⽔果酒精饮料;⻘稞酒;⾕物制蒸馏酒精饮料;酒精饮料（啤酒除外）;酒精饮料原汁;酒精饮料浓缩汁;预先混合的酒精饮料（以啤酒为主的除外）;⾷⽤酒精;蒸馏饮料</t>
  </si>
  <si>
    <t>楚序</t>
  </si>
  <si>
    <t>湖北杨林关酒业有限公司</t>
  </si>
  <si>
    <t>⽶酒;鸡尾酒;葡萄酒;⻩酒;酒精饮料（啤酒除外）;烈酒（饮料）;⻘稞酒;⽩酒;开胃酒;烧酒</t>
  </si>
  <si>
    <t>怀医德</t>
  </si>
  <si>
    <t>葡萄酒;⾷⽤酒精;⽶酒;酒精饮料（啤酒除外）;⻘稞酒;烧酒;开胃酒;⽩酒;⽩兰地;清酒</t>
  </si>
  <si>
    <t>弗莱得递</t>
  </si>
  <si>
    <t>上海中和投实业集团有限公司</t>
  </si>
  <si>
    <t>鸡尾酒;以葡萄酒为主的开胃酒;清酒;威⼠忌;含酒精的⽔果鸡尾酒饮料;含⽔果酒精饮料;葡萄酒;红葡萄酒;⽩葡萄酒;⽩酒</t>
  </si>
  <si>
    <t>通千古</t>
  </si>
  <si>
    <t>冉长飞</t>
  </si>
  <si>
    <t>烈酒（饮料）;含⽔果酒精饮料;⽩酒;葡萄酒;⾼粱酒;清酒（⽇本⽶酒）;⽶酒;⽩⼲酒（中国⽩酒）;烈酒;烧酒</t>
  </si>
  <si>
    <t>温河贵族王</t>
  </si>
  <si>
    <t>利⼝酒;果酒（含酒精）;鸡尾酒;含⽔果酒精饮料;⽶酒;⽼酒（中国蒸馏烈酒）;葡萄酒;⽩酒;烈酒;烧酒</t>
  </si>
  <si>
    <t>晋可能</t>
  </si>
  <si>
    <t>⻩酒;⽩酒;⽶酒;⾼粱酒;鸡尾酒;烈酒（饮料）;红葡萄酒;果酒;威⼠忌;⾷⽤酒精</t>
  </si>
  <si>
    <t>飞山</t>
  </si>
  <si>
    <t>湖南省飞山厂酒业有限公司</t>
  </si>
  <si>
    <t>烧酒;⻩酒;葡萄酒;威⼠忌;果酒;⻘稞酒;酒精饮料（啤酒除外）;鸡尾酒;⽩酒;⽩兰地</t>
  </si>
  <si>
    <t>福熙樽禄</t>
  </si>
  <si>
    <t>合肥国葵电子商务有限公司</t>
  </si>
  <si>
    <t>⽩酒;⻩酒;⽶酒;梅酒;葡萄酒;伏特加酒;果酒;果酒（含酒精）;鸡尾酒;威⼠忌</t>
  </si>
  <si>
    <t>镇壶仙</t>
  </si>
  <si>
    <t>合肥北景贸易有限公司</t>
  </si>
  <si>
    <t>伏特加酒;⽶酒;果酒（含酒精）;威⼠忌;梅酒;鸡尾酒;葡萄酒;⻩酒;果酒;⽩酒</t>
  </si>
  <si>
    <t>东来赋</t>
  </si>
  <si>
    <t>郑州永亨商贸有限公司</t>
  </si>
  <si>
    <t>⽩酒;朗姆酒;烈酒（饮料）;⽩兰地;⽶酒;酒精饮料（啤酒除外）;含⽔果酒精饮料;葡萄酒;烧酒;利⼝酒</t>
  </si>
  <si>
    <t>梁金花</t>
  </si>
  <si>
    <t>果酒（含酒精）;葡萄酒;汽酒;鸡尾酒;烈酒（饮料）;酒精饮料原汁;蒸馏饮料;酒精饮料（啤酒除外）;⽩酒;威⼠忌</t>
  </si>
  <si>
    <t>仫大叔</t>
  </si>
  <si>
    <t>广西一衡衡器有限公司</t>
  </si>
  <si>
    <t>有秦义</t>
  </si>
  <si>
    <t>酒精饮料（啤酒除外）;威⼠忌;果酒（含酒精）;⽩酒;烈酒;开胃酒;清酒（⽇本⽶酒）;鸡尾酒;葡萄酒;⻩酒</t>
  </si>
  <si>
    <t>⾕物制蒸馏酒精饮料;⽶酒;⽼酒（中国蒸馏烈酒）;由⾕物蒸馏的⽩酒;果酒（含酒精）;⾼粱酒;烧酒;⽩⼲酒（中国⽩酒）;⽩酒;⻘稞酒</t>
  </si>
  <si>
    <t>开山河</t>
  </si>
  <si>
    <t>烈酒（饮料）;含⽔果酒精饮料;⽶酒;⾼粱酒;葡萄酒;清酒（⽇本⽶酒）;⽩⼲酒（中国⽩酒）;烧酒;⽩酒;烈酒</t>
  </si>
  <si>
    <t>西域和生堂</t>
  </si>
  <si>
    <t>海南星晨屿共投资集团有限公司</t>
  </si>
  <si>
    <t>薄荷酒;果酒（含酒精）;葡萄酒;⻩酒;含⽔果酒精饮料;开胃酒;蒸馏饮料;威⼠忌;酒精饮料（啤酒除外）;⽩酒</t>
  </si>
  <si>
    <t>贺穗草原</t>
  </si>
  <si>
    <t>刘少将</t>
  </si>
  <si>
    <t>商如意</t>
  </si>
  <si>
    <t>无限便利(杭州)科技有限公司</t>
  </si>
  <si>
    <t>烈酒;⽩酒;⾕物制蒸馏酒精饮料;⾼粱酒;果酒（含酒精）;预先混合的酒精饮料（以啤酒为主的除外）;烧酒;酒精饮料浓缩汁;餐后酒（利⼝酒和烈酒）;含⽔果酒精饮料</t>
  </si>
  <si>
    <t>御互</t>
  </si>
  <si>
    <t>孙元飞</t>
  </si>
  <si>
    <t>蒸煮提取物（利⼝酒和烈酒）;利⼝酒;⽩酒;果酒（含酒精）;葡萄酒;⻩酒;开胃酒;烧酒;蜂蜜酒;⽶酒</t>
  </si>
  <si>
    <t>叮咚妞妞</t>
  </si>
  <si>
    <t>邢爱峰</t>
  </si>
  <si>
    <t>⽩酒;⻩酒;清酒;含酒精的饮料（啤酒除外）;鸡尾酒;开胃酒;蒸馏饮料;葡萄酒;⽶酒;酒精饮料（啤酒除外）</t>
  </si>
  <si>
    <t>大秦狼族</t>
  </si>
  <si>
    <t>母先斌</t>
  </si>
  <si>
    <t>烧酒;果酒;开胃酒;酒精饮料（啤酒除外）;蒸煮提取物（利⼝酒和烈酒）;烈酒;葡萄酒;⻩酒;⽩酒;⽶酒</t>
  </si>
  <si>
    <t>黔陇源无堺</t>
  </si>
  <si>
    <t>酒泉黔陇源商贸有限公司</t>
  </si>
  <si>
    <t>⽼酒（中国蒸馏烈酒）;⽩⼲酒（中国⽩酒）;烈酒（饮料）;⽩酒;⻩酒;⽶酒;烧酒;葡萄酒;露酒;果酒</t>
  </si>
  <si>
    <t>夫子井</t>
  </si>
  <si>
    <t>高超</t>
  </si>
  <si>
    <t>⽩酒;开胃酒;⽶酒;烧酒;红葡萄酒;汽酒;果酒（含酒精）;清酒（⽇本⽶酒）;威⼠忌;鸡尾酒</t>
  </si>
  <si>
    <t>果酒（含酒精）;葡萄酒;薄荷酒;威⼠忌;蒸馏饮料;⽩酒;含⽔果酒精饮料;开胃酒;酒精饮料（啤酒除外）;⻩酒</t>
  </si>
  <si>
    <t>河之潭</t>
  </si>
  <si>
    <t>岳阳市河泊潭酒业有限公司</t>
  </si>
  <si>
    <t>果酒（含酒精）;葡萄酒;酒精饮料（啤酒除外）;⽶酒;⻩酒;⽩⼲酒（中国⽩酒）;烈酒（饮料）;⽩酒;⽩兰地;烧酒</t>
  </si>
  <si>
    <t>米九爷</t>
  </si>
  <si>
    <t>海口龙华阮苓贸易商行</t>
  </si>
  <si>
    <t>⻩酒;梅酒;⽶酒;烧酒;威⼠忌;果酒;⽩酒;⾼粱酒;葡萄酒;清酒</t>
  </si>
  <si>
    <t>年创始烧坊</t>
  </si>
  <si>
    <t>烧酒;⽶酒;鸡尾酒;威⼠忌;⽼酒（中国蒸馏烈酒）;烈酒;⽩酒;葡萄酒;⾼粱酒;酒精饮料（啤酒除外）</t>
  </si>
  <si>
    <t>栾辉</t>
  </si>
  <si>
    <t>栾正</t>
  </si>
  <si>
    <t>含⽔果酒精饮料;酒精饮料（啤酒除外）;伏特加酒;开胃酒;葡萄酒;⽩兰地;蒸馏饮料;利⼝酒;果酒（含酒精）;威⼠忌</t>
  </si>
  <si>
    <t>雍瑞坊</t>
  </si>
  <si>
    <t>郑州可立美美容服务有限公司</t>
  </si>
  <si>
    <t>鸡尾酒;蒸馏饮料;⻩酒;开胃酒;果酒（含酒精）;烈酒（饮料）;⽩酒;薄荷酒;烧酒;汽酒</t>
  </si>
  <si>
    <t>金井缘</t>
  </si>
  <si>
    <t>榆树市正泰酒业有限责任公司</t>
  </si>
  <si>
    <t>酒精饮料（啤酒除外）;⽼酒（中国蒸馏烈酒）;含酒精⽔果饮料;果酒（含酒精）;烧酒;刺五加酒;露酒;⽩⼲酒（中国⽩酒）;⾼粱酒;⽩酒</t>
  </si>
  <si>
    <t>方圆半亩</t>
  </si>
  <si>
    <t>深圳市红晟实业发展有限公司</t>
  </si>
  <si>
    <t>葡萄酒;红葡萄酒;⽩酒;威⼠忌;鸡尾酒;清酒;伏特加酒;朗姆酒;果酒;⽩兰地</t>
  </si>
  <si>
    <t>玺乾坤</t>
  </si>
  <si>
    <t>开胃酒;⽶酒;烧酒;⽩酒;酒精饮料（啤酒除外）;利⼝酒;烈酒（饮料）;含⽔果酒精饮料;⻩酒;葡萄酒</t>
  </si>
  <si>
    <t>崂至</t>
  </si>
  <si>
    <t>青岛吉瑞优家房产经纪有限公司</t>
  </si>
  <si>
    <t>⽩酒;⻩酒;樱桃酒;樱桃⽩兰地;⾕物制蒸馏酒精饮料;威⼠忌;⽶酒;果酒（含酒精）;⽩兰地;露酒</t>
  </si>
  <si>
    <t>郝厂长</t>
  </si>
  <si>
    <t>王忠林</t>
  </si>
  <si>
    <t>果酒（含酒精）;鸡尾酒;清酒（⽇本⽶酒）;威⼠忌;⽩酒;⾷⽤酒精;开胃酒;利⼝酒;烈酒（饮料）;⽶酒</t>
  </si>
  <si>
    <t>OPEN OASIS</t>
  </si>
  <si>
    <t>深圳市玲琅贸易有限公司</t>
  </si>
  <si>
    <t>含⽔果酒精饮料;开胃酒;清酒;酒精饮料（啤酒除外）;烈酒;⽩酒;威⼠忌;葡萄酒;果酒;⽶酒</t>
  </si>
  <si>
    <t>方济康合</t>
  </si>
  <si>
    <t>刘晓峰</t>
  </si>
  <si>
    <t>果酒（含酒精）;酒精饮料原汁;酒精饮料浓缩汁;酒精饮料（啤酒除外）;由⾕物蒸馏的⽩酒;葡萄酒;⽩酒;烈酒（饮料）;含⽔果酒精饮料;露酒</t>
  </si>
  <si>
    <t>楠木桩</t>
  </si>
  <si>
    <t>酉阳土家族苗族自治县楠木乡红庄村经济联合社</t>
  </si>
  <si>
    <t>葡萄酒;⽶酒;开胃酒;蜂蜜酒;⽩酒;果酒（含酒精）;樱桃酒;烧酒;⾷⽤酒精;⻩酒</t>
  </si>
  <si>
    <t>果小盼</t>
  </si>
  <si>
    <t>威⼠忌;⽶酒;清酒;⽩酒;梅酒;汽酒;葡萄酒;⻩酒;甜酒;果酒</t>
  </si>
  <si>
    <t>显威</t>
  </si>
  <si>
    <t>刘振岭</t>
  </si>
  <si>
    <t>⽼酒（中国蒸馏烈酒）;由⾕物蒸馏的⽩酒;⽩酒;烧酒（烈酒）;已调味的蒸馏酒;⾼粱酒;⽩⼲酒（中国⽩酒）;烈性⼲酒;烧酒;⽶酒</t>
  </si>
  <si>
    <t>方大叔</t>
  </si>
  <si>
    <t>方家铺子（莆田）绿色食品有限公司</t>
  </si>
  <si>
    <t>威⼠忌;烧酒;利⼝酒;果酒（含酒精）;⻩酒;烈酒（饮料）;葡萄酒;酒精饮料（啤酒除外）;⾷⽤酒精;蒸馏饮料</t>
  </si>
  <si>
    <t>楚香浔</t>
  </si>
  <si>
    <t>烈酒（饮料）;清酒（⽇本⽶酒）;蜂蜜酒;鸡尾酒;⽩酒;⻘稞酒;⻩酒;开胃酒;烧酒;威⼠忌</t>
  </si>
  <si>
    <t>饶清花</t>
  </si>
  <si>
    <t>烈酒（饮料）;⽶酒;果酒（含酒精）;餐后酒（利⼝酒和烈酒）;⽩酒;葡萄酒;酒精饮料（啤酒除外）;烧酒;⻩酒;酒精饮料原汁</t>
  </si>
  <si>
    <t>亮之情</t>
  </si>
  <si>
    <t>陕西亮业科建设工程集团有限公司</t>
  </si>
  <si>
    <t>烈酒（饮料）;⽩酒;⾕物制蒸馏酒精饮料</t>
  </si>
  <si>
    <t>2024/06/21</t>
  </si>
  <si>
    <t>蕫君醉</t>
  </si>
  <si>
    <t>罗辉</t>
  </si>
  <si>
    <t>果酒（含酒精）;酒精饮料（啤酒除外）;⽩酒;露酒;⻩酒;葡萄酒;⾷⽤酒精;烧酒;鸡尾酒;⽶酒</t>
  </si>
  <si>
    <t>茁著</t>
  </si>
  <si>
    <t>北京茁著文化有限公司</t>
  </si>
  <si>
    <t>⽩酒;果酒;酒精饮料（啤酒除外）;⻩酒;葡萄酒;汽酒;除啤酒外的酒精饮料;含酒精的⽓泡⽔;含酒精的鸡尾酒混合饮品;⽶酒</t>
  </si>
  <si>
    <t>老赭阳</t>
  </si>
  <si>
    <t>熊均伟</t>
  </si>
  <si>
    <t>⻩酒;露酒;葡萄酒;蜂蜜酒;烧酒;酒精饮料（啤酒除外）;⽶酒;⽩酒;汽酒;果酒</t>
  </si>
  <si>
    <t>良醇家</t>
  </si>
  <si>
    <t>宾川县良醇酒厂</t>
  </si>
  <si>
    <t>烈酒（饮料）;⾕物制蒸馏酒精饮料;含酒精的饮料（啤酒除外）;果酒（含酒精）;⽩酒;含⽔果酒精饮料;⽶酒;葡萄酒;⽩兰地</t>
  </si>
  <si>
    <t>贝贝王国</t>
  </si>
  <si>
    <t>杭州通赛网络科技有限公司</t>
  </si>
  <si>
    <t>鸡尾酒;⽶酒;开胃酒;葡萄酒;⾕物制蒸馏酒精饮料;苹果酒;威⼠忌;以葡萄酒为主的饮料;含⽔果酒精饮料;果酒（含酒精）</t>
  </si>
  <si>
    <t>创江南</t>
  </si>
  <si>
    <t>梁亚兰</t>
  </si>
  <si>
    <t>酒精饮料（啤酒除外）;⻩酒;蒸馏饮料;威⼠忌;酒精饮料原汁;果酒（含酒精）;鸡尾酒;葡萄酒;⽶酒;⽩酒</t>
  </si>
  <si>
    <t>草堂千秋雪</t>
  </si>
  <si>
    <t>四川大邑将军酒厂</t>
  </si>
  <si>
    <t>烧酒;含⽔果酒精饮料;酒精饮料（啤酒除外）;果酒;⻩酒;⽩酒;汽酒;预先混合的酒精饮料（以啤酒为主的除外）;葡萄酒;苦味酒</t>
  </si>
  <si>
    <t>与霏同行</t>
  </si>
  <si>
    <t>山西汾杏花都酒业有限公司</t>
  </si>
  <si>
    <t>果酒;⽩酒;含酒精的饮料（啤酒除外）;葡萄酒;⾼粱酒;⻩酒;鸡尾酒;威⼠忌;⽩⼲酒（中国⽩酒）;⽶酒</t>
  </si>
  <si>
    <t>陇三和</t>
  </si>
  <si>
    <t>闫月琴</t>
  </si>
  <si>
    <t>烈酒（饮料）;⻩酒;鸡尾酒;利⼝酒;开胃酒;果酒（含酒精）;葡萄酒;⽩酒;烧酒;⻘稞酒</t>
  </si>
  <si>
    <t>洪乾</t>
  </si>
  <si>
    <t>北京爱茅商贸有限公司</t>
  </si>
  <si>
    <t>烈酒（饮料）;清酒（⽇本⽶酒）;⾷⽤酒精;⽩酒;利⼝酒;酒精饮料（啤酒除外）;烧酒;⻩酒;⽶酒;葡萄酒</t>
  </si>
  <si>
    <t>六曲香金樽</t>
  </si>
  <si>
    <t>北京红星股份有限公司</t>
  </si>
  <si>
    <t>蒸馏饮料;⽩兰地;酒精饮料（啤酒除外）;预先混合的酒精饮料（以啤酒为主的除外）;含⽔果酒精饮料;鸡尾酒;伏特加酒;⽩酒;烧酒;烈酒（饮料）</t>
  </si>
  <si>
    <t>鹤淇丰农</t>
  </si>
  <si>
    <t>鹤壁萤火虫商贸有限公司</t>
  </si>
  <si>
    <t>⾼粱酒;伏特加酒;果酒;烧酒;⽩⼲酒（中国⽩酒）;⽩酒;酒精饮料（啤酒除外）;含酒精⽔果饮料;红葡萄酒;⽶酒</t>
  </si>
  <si>
    <t>万祺山</t>
  </si>
  <si>
    <t>柒玖业（南京）贸易有限公司</t>
  </si>
  <si>
    <t>葡萄酒;⽩兰地;清酒（⽇本⽶酒）;以葡萄酒为主的饮料;⽶酒;酒精饮料（啤酒除外）;威⼠忌;果酒（含酒精）;鸡尾酒;⽩酒</t>
  </si>
  <si>
    <t>蒙客敬</t>
  </si>
  <si>
    <t>内蒙古农夫饮品科技开发有限责任公司</t>
  </si>
  <si>
    <t>果酒（含酒精）;⻩酒;葡萄酒;酒精饮料原汁;⽩兰地;酒精饮料（啤酒除外）;⽩酒;⽶酒;烈酒（饮料）;鸡尾酒</t>
  </si>
  <si>
    <t>泰儒河</t>
  </si>
  <si>
    <t>山东养正酒业有限公司</t>
  </si>
  <si>
    <t>烧酒;果酒（含酒精）;开胃酒;烈酒（饮料）;汽酒;苹果酒;⽩酒;利⼝酒;葡萄酒;酒精饮料（啤酒除外）</t>
  </si>
  <si>
    <t>爱隆禧（浙江）科技控股有限公司</t>
  </si>
  <si>
    <t>蒸馏饮料;鸡尾酒;威⼠忌;⽩酒;朗姆酒;烈酒（饮料）;酒精饮料（啤酒除外）;⻩酒;⽩兰地;果酒（含酒精）</t>
  </si>
  <si>
    <t>小君仙</t>
  </si>
  <si>
    <t>郭志恒</t>
  </si>
  <si>
    <t>果酒（含酒精）;烧酒;酒精饮料（啤酒除外）;⽩酒;利⼝酒;⻩酒</t>
  </si>
  <si>
    <t>宝陵港湾</t>
  </si>
  <si>
    <t>海南华隆铜鼓岭旅游控股有限公司</t>
  </si>
  <si>
    <t>葡萄酒;果酒（含酒精）;薄荷酒;含⽔果酒精饮料;⻩酒;开胃酒;威⼠忌;酒精饮料（啤酒除外）;蒸馏饮料;⽩酒</t>
  </si>
  <si>
    <t>巨滇</t>
  </si>
  <si>
    <t>富力食品有限公司</t>
  </si>
  <si>
    <t>葡萄酒;⻩酒;果酒（含酒精）;鸡尾酒;⽩酒;酒精饮料（啤酒除外）;⽶酒;含⽔果酒精饮料;⾷⽤酒精;⽩兰地</t>
  </si>
  <si>
    <t>那片云采</t>
  </si>
  <si>
    <t>济南解馋商贸有限公司</t>
  </si>
  <si>
    <t>威⼠忌;⽩兰地;果酒（含酒精）;酒精饮料（啤酒除外）;蒸馏饮料;⽶酒;⻩酒;鸡尾酒;⽩酒;葡萄酒</t>
  </si>
  <si>
    <t>华鼎和</t>
  </si>
  <si>
    <t>游忠</t>
  </si>
  <si>
    <t>⽩酒;酒精饮料（啤酒除外）;葡萄酒;⻩酒;由⾕物蒸馏的⽩酒;果酒（含酒精）;烈酒（饮料）;威⼠忌;⽶酒;清酒（⽇本⽶酒）</t>
  </si>
  <si>
    <t>MEVOL</t>
  </si>
  <si>
    <t>深圳米我创芯科技有限公司</t>
  </si>
  <si>
    <t>烈酒;利⼝酒;预先混合的酒精饮料（以啤酒为主的除外）;⾕物制蒸馏酒精饮料;⽩酒;酒精饮料浓缩汁;酒精饮料（啤酒除外）;⽶酒;加⾹料的热葡萄酒;⾷⽤酒精</t>
  </si>
  <si>
    <t>匠造芊成</t>
  </si>
  <si>
    <t>马光</t>
  </si>
  <si>
    <t>果酒（含酒精）;开胃酒;烧酒;⾼粱酒;⻨芽威⼠忌;⽶酒;烈酒（饮料）;威⼠忌;⽩酒;葡萄酒</t>
  </si>
  <si>
    <t>壶园</t>
  </si>
  <si>
    <t>郭晴</t>
  </si>
  <si>
    <t>含酒精的饮料（啤酒除外）;开胃酒;葡萄酒;⽩酒;苹果酒;朗姆酒;鸡尾酒;清酒（⽇本⽶酒）;利⼝酒;⻩酒</t>
  </si>
  <si>
    <t>夏扑流萤</t>
  </si>
  <si>
    <t>巽风科技（贵州）有限公司</t>
  </si>
  <si>
    <t>果酒;酒精饮料（啤酒除外）;⽩酒;⽩⼲酒（中国⽩酒）;⽼酒（中国蒸馏烈酒）;蒸馏饮料;酒精饮料原汁;烧酒（烈酒）;酒精饮料浓缩汁;由⾕物蒸馏的⽩酒</t>
  </si>
  <si>
    <t>爱隆禧</t>
  </si>
  <si>
    <t>蒸馏饮料;烈酒（饮料）;威⼠忌;⽩酒;果酒（含酒精）;酒精饮料（啤酒除外）;朗姆酒;⻩酒;⽩兰地;鸡尾酒</t>
  </si>
  <si>
    <t>摇举</t>
  </si>
  <si>
    <t>黄凤</t>
  </si>
  <si>
    <t>葡萄酒;鸡尾酒;蜂蜜酒;清酒（⽇本⽶酒）;⽶酒;含⽔果酒精饮料;烧酒;⽩酒;酒精饮料（啤酒除外）;果酒（含酒精）</t>
  </si>
  <si>
    <t>大潮海陆</t>
  </si>
  <si>
    <t>陈锡群</t>
  </si>
  <si>
    <t>⻩酒;⽩兰地;酒精饮料（啤酒除外）;⽶酒;含⽔果酒精饮料;⾕物制蒸馏酒精饮料;汽酒;葡萄酒;烧酒;⽩酒</t>
  </si>
  <si>
    <t>桑同学</t>
  </si>
  <si>
    <t>黄亮</t>
  </si>
  <si>
    <t>酒精饮料（啤酒除外）;葡萄酒;烧酒;⽩酒;烈酒（饮料）;⻩酒;⽶酒;开胃酒;鸡尾酒;果酒（含酒精）</t>
  </si>
  <si>
    <t>海天翼皇</t>
  </si>
  <si>
    <t>南阳雄凤源食品有限公司</t>
  </si>
  <si>
    <t>朝鲜族⽶酒;⽩酒;葡萄酒;威⼠忌;酒精饮料（啤酒除外）;果酒（含酒精）;清酒（⽇本⽶酒）;鸡尾酒;⽶酒;含酒精的⽓泡⽔</t>
  </si>
  <si>
    <t>润十五</t>
  </si>
  <si>
    <t>湖南瑞蒂酒业销售有限公司</t>
  </si>
  <si>
    <t>伏特加酒;开胃酒;果酒（含酒精）;葡萄酒;⽩酒;威⼠忌;⽩兰地;鸡尾酒;汽酒;⻩酒</t>
  </si>
  <si>
    <t>盾良山</t>
  </si>
  <si>
    <t>党正</t>
  </si>
  <si>
    <t>果酒（含酒精）;蒸馏饮料;酒精饮料原汁;烧酒;威⼠忌;鸡尾酒;含⽔果酒精饮料;⽩酒;清酒;烈酒（饮料）</t>
  </si>
  <si>
    <t>梁山明珠</t>
  </si>
  <si>
    <t>黄阳洋</t>
  </si>
  <si>
    <t>⽶酒;⻘稞酒;烧酒;果酒（含酒精）;⽩酒;⻩酒;威⼠忌;鸡尾酒;葡萄酒;酒精饮料（啤酒除外）</t>
  </si>
  <si>
    <t>遂安擎</t>
  </si>
  <si>
    <t>赖春华</t>
  </si>
  <si>
    <t>⽶酒;烧酒;开胃酒;⾕物制蒸馏酒精饮料;果酒（含酒精）;⽩酒;葡萄酒;蒸馏饮料</t>
  </si>
  <si>
    <t>鑫荣懋果业科技集团股份有限公司</t>
  </si>
  <si>
    <t>果酒;以葡萄酒为主的饮料;果酒（含酒精）;酒精饮料浓缩汁;酒精饮料原汁;含酒精的鸡尾酒混合饮品;含酒精⽔果饮料;苹果酒;含⽔果酒精饮料</t>
  </si>
  <si>
    <t>荷相知</t>
  </si>
  <si>
    <t>果酒;伏特加酒;清酒;朗姆酒;威⼠忌;酒精饮料（啤酒除外）;⽩兰地;蒸馏饮料;⽩酒;葡萄酒</t>
  </si>
  <si>
    <t>瑞龙威</t>
  </si>
  <si>
    <t>杭州千岛金久酒业有限公司</t>
  </si>
  <si>
    <t>预先混合的酒精饮料（以啤酒为主的除外）;汽酒;⽩兰地;果酒;朗姆酒;威⼠忌;伏特加酒;利⼝酒;杜松⼦酒;含⽔果酒精饮料</t>
  </si>
  <si>
    <t>帝居</t>
  </si>
  <si>
    <t>果酒（含酒精）;酒精饮料（啤酒除外）;鸡尾酒;烧酒;蜂蜜酒;清酒（⽇本⽶酒）;含⽔果酒精饮料;葡萄酒;⽶酒;⽩酒</t>
  </si>
  <si>
    <t>蜀御雅源</t>
  </si>
  <si>
    <t>郑旭双</t>
  </si>
  <si>
    <t>⽩酒;⻩酒;果酒（含酒精）;⾷⽤酒精;⻘稞酒;伏特加酒;威⼠忌;葡萄酒;鸡尾酒;⽶酒</t>
  </si>
  <si>
    <t>福鹿翁</t>
  </si>
  <si>
    <t>周志军</t>
  </si>
  <si>
    <t>⽶酒;葡萄酒;果酒（含酒精）;酒精饮料（啤酒除外）;⽩酒;烈酒（饮料）;鸡尾酒;⻩酒;烧酒;开胃酒</t>
  </si>
  <si>
    <t>颐茗颐草</t>
  </si>
  <si>
    <t>陈忠军</t>
  </si>
  <si>
    <t>开胃酒;葡萄酒;⽼酒（中国蒸馏烈酒）;薄荷酒;蜂蜜酒;⻩酒;⽩酒;⽶酒;果酒;含酒精的饮料（啤酒除外）</t>
  </si>
  <si>
    <t>荷相爱</t>
  </si>
  <si>
    <t>⽩酒;伏特加酒;酒精饮料（啤酒除外）;威⼠忌;葡萄酒;⽩兰地;果酒;蒸馏饮料;朗姆酒;清酒</t>
  </si>
  <si>
    <t>中抖中</t>
  </si>
  <si>
    <t>朱蒙成</t>
  </si>
  <si>
    <t>烧酒;⽶酒;⾼粱酒;清酒;果酒;⽩酒;威⼠忌;开胃酒;葡萄酒;烈酒（饮料）</t>
  </si>
  <si>
    <t>聚满金</t>
  </si>
  <si>
    <t>哈密聚满金商贸有限责任公司</t>
  </si>
  <si>
    <t>鸡尾酒;烧酒;酒精饮料（啤酒除外）;威⼠忌;以葡萄酒为主的饮料;葡萄酒;苹果酒;⽩酒;烈酒（饮料）;果酒（含酒精）</t>
  </si>
  <si>
    <t>盈益森</t>
  </si>
  <si>
    <t>湖南更好愿景生物科技有限公司</t>
  </si>
  <si>
    <t>⽇式甜⽶酒;清酒;⻘梅酒;⽩酒;含酒精的饮料（啤酒除外）;果酒;杨梅酒;由⾕物蒸馏的⽩酒;⾕物制蒸馏酒精饮料;蒸馏⽶酒（泡盛酒）</t>
  </si>
  <si>
    <t>吉答</t>
  </si>
  <si>
    <t>栾春华</t>
  </si>
  <si>
    <t>烧酒;葡萄酒;酒精饮料（啤酒除外）;果酒（含酒精）;开胃酒;蜂蜜酒;含⽔果酒精饮料;⽶酒;⽩酒;⻩酒</t>
  </si>
  <si>
    <t>仲福年</t>
  </si>
  <si>
    <t>陈志明</t>
  </si>
  <si>
    <t>烈酒（饮料）;⽩酒;朗姆酒;果酒（含酒精）;葡萄酒;伏特加酒;⽩兰地;⻩酒;威⼠忌;⾷⽤酒精</t>
  </si>
  <si>
    <t>膜澳汉方</t>
  </si>
  <si>
    <t>广州散益通医疗健康科技有限公司</t>
  </si>
  <si>
    <t>含⽔果酒精饮料;开胃酒;果酒;甜酒;苦荞酒;蜂蜜酒;⾷⽤酒精;⽩酒;薄荷酒;⻩酒</t>
  </si>
  <si>
    <t>亲造</t>
  </si>
  <si>
    <t>陈旭光</t>
  </si>
  <si>
    <t>烈酒（饮料）;果酒（含酒精）;鸡尾酒;葡萄酒;⽶酒;蒸馏饮料;酒精饮料（啤酒除外）;⻩酒;威⼠忌;⽩酒</t>
  </si>
  <si>
    <t>马度山</t>
  </si>
  <si>
    <t>罗苡方</t>
  </si>
  <si>
    <t>⻩酒;⾷⽤酒精;⽩酒;含酒精的充⽓饮料（啤酒除外）;蜂蜜酒;果酒;含酒精的饮料（啤酒除外）;葡萄酒;蒸馏饮料;⽶酒</t>
  </si>
  <si>
    <t>善回味</t>
  </si>
  <si>
    <t>陈国瑞</t>
  </si>
  <si>
    <t>威⼠忌;烧酒;果酒（含酒精）;清酒;含⽔果酒精饮料;酒精饮料原汁;⽩酒;蒸馏饮料;鸡尾酒;烈酒（饮料）</t>
  </si>
  <si>
    <t>君王诏</t>
  </si>
  <si>
    <t>烧酒;⽶酒;鸡尾酒;蜂蜜酒;果酒（含酒精）;酒精饮料（啤酒除外）;葡萄酒;⽩酒;清酒（⽇本⽶酒）;含⽔果酒精饮料</t>
  </si>
  <si>
    <t>盛唐亭院</t>
  </si>
  <si>
    <t>黄雪焕</t>
  </si>
  <si>
    <t>汽酒;⽶酒;⾷⽤酒精;⻩酒;葡萄酒;开胃酒;果酒;清酒;甜酒;⽩酒</t>
  </si>
  <si>
    <t>宜贵山</t>
  </si>
  <si>
    <t>⾷⽤酒精;葡萄酒;含酒精的充⽓饮料（啤酒除外）;⽶酒;⻩酒;果酒;含酒精的饮料（啤酒除外）;蒸馏饮料;⽩酒;蜂蜜酒</t>
  </si>
  <si>
    <t>疆好悠</t>
  </si>
  <si>
    <t>陈丽辉</t>
  </si>
  <si>
    <t>酒精饮料原汁;烧酒;蒸馏饮料;鸡尾酒;烈酒（饮料）;⽩酒;果酒（含酒精）;威⼠忌;含⽔果酒精饮料;清酒</t>
  </si>
  <si>
    <t>GDOUER</t>
  </si>
  <si>
    <t>朗姆酒;威⼠忌;鸡尾酒;葡萄酒;⻩酒;烧酒（烈酒）;⽩酒;⽩兰地;⽶酒;果酒</t>
  </si>
  <si>
    <t>牧粱诚</t>
  </si>
  <si>
    <t>内蒙古牧梁诚商贸有限责任公司</t>
  </si>
  <si>
    <t>鸡尾酒;⻩酒;⽩酒;果酒（含酒精）;⽶酒;⾼粱酒;葡萄酒;烈酒（饮料）;酒精饮料（啤酒除外）;烧酒</t>
  </si>
  <si>
    <t>亮之依</t>
  </si>
  <si>
    <t>烈酒（饮料）;⾕物制蒸馏酒精饮料;⽩酒</t>
  </si>
  <si>
    <t>金水根</t>
  </si>
  <si>
    <t>⻩酒;葡萄酒;酒精饮料（啤酒除外）;⽼酒（中国蒸馏烈酒）;蒸馏饮料;⽩酒;果酒;烧酒;鸡尾酒;汽酒</t>
  </si>
  <si>
    <t>荷相识</t>
  </si>
  <si>
    <t>蒸馏饮料;⽩酒;果酒;清酒;伏特加酒;⽩兰地;威⼠忌;朗姆酒;葡萄酒;酒精饮料（啤酒除外）</t>
  </si>
  <si>
    <t>XIZIXIAO</t>
  </si>
  <si>
    <t>河南正点酷饮品有限公司</t>
  </si>
  <si>
    <t>酒精饮料（啤酒除外）;烈酒（饮料）;果酒;⽩酒;预先混合的酒精饮料（以啤酒为主的除外）;鸡尾酒;⻩酒;烧酒;汽酒;葡萄酒</t>
  </si>
  <si>
    <t>树箐小酒</t>
  </si>
  <si>
    <t>宣威市衡康酒业有限公司</t>
  </si>
  <si>
    <t>由⾕物蒸馏的⽩酒;烧酒（烈酒）;蒸煮提取物（利⼝酒和烈酒）;⽩酒;⾕物制蒸馏酒精饮料;已调味的蒸馏酒;⽼酒（中国蒸馏烈酒）;果酒（含酒精）;酒精饮料（啤酒除外）;除啤酒外的酒精饮料</t>
  </si>
  <si>
    <t>不如悦见</t>
  </si>
  <si>
    <t>郑珺如350425********0020</t>
  </si>
  <si>
    <t>⽶酒;酒精饮料原汁;汽酒;烧酒;酒精饮料（啤酒除外）;葡萄酒;果酒（含酒精）;⾷⽤酒精;开胃酒;鸡尾酒</t>
  </si>
  <si>
    <t>深圳市天禽医疗科技有限公司</t>
  </si>
  <si>
    <t>酒精饮料（啤酒除外）;⽶酒;烧酒;果酒;葡萄酒;威⼠忌;⻩酒;⾷⽤酒精;⽩酒;清酒</t>
  </si>
  <si>
    <t>釜坛封山</t>
  </si>
  <si>
    <t>⽶酒;⽩酒;蒸馏饮料;葡萄酒;鸡尾酒;烧酒;⾷⽤酒精;⽼酒（中国蒸馏烈酒）;果酒（含酒精）;烈酒（饮料）</t>
  </si>
  <si>
    <t>普州杜氏</t>
  </si>
  <si>
    <t>唐江</t>
  </si>
  <si>
    <t>葡萄酒;果酒（含酒精）;⾷⽤酒精;⽩酒;烧酒;⻘稞酒;⻩酒;⾕物制蒸馏酒精饮料;⽶酒;⾼粱酒</t>
  </si>
  <si>
    <t>名士山</t>
  </si>
  <si>
    <t>贵州黔面拐点管理咨询有限公司</t>
  </si>
  <si>
    <t>清酒（⽇本⽶酒）;除啤酒外的酒精饮料;烧酒;烈酒（饮料）;⾼粱酒;⽩酒;⽶酒;果酒;威⼠忌;已调味的⻨芽酿制的酒精饮料（啤酒除外）</t>
  </si>
  <si>
    <t>阜冈黄金缘</t>
  </si>
  <si>
    <t>建湖县顺丰果园专业合作社</t>
  </si>
  <si>
    <t>果酒（含酒精）;苹果酒;葡萄酒;樱桃酒;蜂蜜酒;⽶酒;含酒精的⽓泡⽔;⻩酒;鸡尾酒;⽩酒</t>
  </si>
  <si>
    <t>莲兮</t>
  </si>
  <si>
    <t>葡萄酒;清酒;酒精饮料（啤酒除外）;果酒;朗姆酒;威⼠忌;⽩兰地;⽩酒;伏特加酒;蒸馏饮料</t>
  </si>
  <si>
    <t>乡戎惠</t>
  </si>
  <si>
    <t>爱农驿站（重庆）科技有限责任公司</t>
  </si>
  <si>
    <t>含酒精的⽓泡⽔;果酒（含酒精）;⽩酒;⻩酒;伏特加酒;⾕物制蒸馏酒精饮料;烧酒;葡萄酒;烈酒（饮料）;酒精饮料（啤酒除外）</t>
  </si>
  <si>
    <t>曜九州</t>
  </si>
  <si>
    <t>宣汉县江鑫生态养殖专业合作社</t>
  </si>
  <si>
    <t>葡萄酒;烈酒（饮料）;含⽔果酒精饮料;烧酒;⾷⽤酒精;果酒（含酒精）;开胃酒;蜂蜜酒;梨酒;⽩酒</t>
  </si>
  <si>
    <t>尚森德</t>
  </si>
  <si>
    <t>河南恒耀食品有限公司</t>
  </si>
  <si>
    <t>烈酒（饮料）;⽩兰地;⽶酒;威⼠忌;⽩酒;清酒（⽇本⽶酒）;开胃酒;利⼝酒;鸡尾酒;苹果酒</t>
  </si>
  <si>
    <t>果酒（含酒精）;蒸馏饮料;葡萄酒;酒精饮料（啤酒除外）;威⼠忌;烈酒（饮料）;汽酒;酒精饮料原汁;鸡尾酒;⽩酒</t>
  </si>
  <si>
    <t>徐士栋</t>
  </si>
  <si>
    <t>王玉珍</t>
  </si>
  <si>
    <t>葡萄酒;⻩酒;⽩酒;果酒（含酒精）;鸡尾酒;烧酒;⽶酒;烈酒（饮料）;酒精饮料（啤酒除外）;含⽔果酒精饮料</t>
  </si>
  <si>
    <t>怀泽山</t>
  </si>
  <si>
    <t>果酒;食用酒精;含酒精的饮料（啤酒除外）;黄酒;米酒;含酒精的充气饮料（啤酒除外）;葡萄酒;蜂蜜酒;蒸馏饮料;白酒</t>
  </si>
  <si>
    <t>艺先知</t>
  </si>
  <si>
    <t>铭悦邦投资(济南)有限公司</t>
  </si>
  <si>
    <t>蜂蜜酒;含⽔果酒精饮料;⽩酒;甜酒;烧酒;葡萄酒;⻩酒;⽶酒;果酒;开胃酒</t>
  </si>
  <si>
    <t>榆林山南水北电子商务有限公司</t>
  </si>
  <si>
    <t>酒精饮料（啤酒除外）;烈酒（饮料）;蒸馏饮料;含⽔果酒精饮料;⽩酒;烧酒;葡萄酒;酒精饮料浓缩汁;⽶酒;果酒（含酒精）</t>
  </si>
  <si>
    <t>2024/06/22</t>
  </si>
  <si>
    <t>酒精饮料（啤酒除外）;含⽔果酒精饮料;⽩酒;酒精饮料浓缩汁;葡萄酒;蒸馏饮料;⽶酒;果酒（含酒精）;烈酒（饮料）;烧酒</t>
  </si>
  <si>
    <t>晋物语</t>
  </si>
  <si>
    <t>山西秦通天下网络科技有限公司</t>
  </si>
  <si>
    <t>⻩酒;葡萄酒;⽶酒;烧酒;⾷⽤酒精;⽩酒;开胃酒;果酒（含酒精）;酒精饮料（啤酒除外）;⻘稞酒</t>
  </si>
  <si>
    <t>界坐标</t>
  </si>
  <si>
    <t>四川物通科技有限公司</t>
  </si>
  <si>
    <t>含酒精⽔果饮料;蒸煮提取物（利⼝酒和烈酒）;烈酒;⾼粱酒;⽩酒;⾷⽤酒精;⽼酒（中国蒸馏烈酒）;⽶酒;烧酒;酸酒（低等葡萄酒）</t>
  </si>
  <si>
    <t>懿千钧</t>
  </si>
  <si>
    <t>刘晓涛</t>
  </si>
  <si>
    <t>⽩⼲酒（中国⽩酒）;⻘稞酒;⾼粱酒;⽶酒;烈酒;葡萄酒;由⾕物蒸馏的⽩酒;⽼酒（中国蒸馏烈酒）;烧酒;⽩酒</t>
  </si>
  <si>
    <t>古沙牌</t>
  </si>
  <si>
    <t>黄汉尧</t>
  </si>
  <si>
    <t>⽩兰地;⾕物制蒸馏酒精饮料;果酒（含酒精）;餐后酒（利⼝酒和烈酒）;⽩酒;⻩酒;葡萄酒;蒸馏饮料;酒精饮料（啤酒除外）;清酒（⽇本⽶酒）</t>
  </si>
  <si>
    <t>云朵星球</t>
  </si>
  <si>
    <t>广州笑脸科技有限公司</t>
  </si>
  <si>
    <t>红葡萄酒;烧酒（烈酒）;果酒;含酒精的⽓泡⽔;⽶酒;⽩葡萄酒;⽩酒;含酒精的鸡尾酒混合饮品;威⼠忌;酒精饮料（啤酒除外）</t>
  </si>
  <si>
    <t>冬如初</t>
  </si>
  <si>
    <t>无锡小马登登文化传媒有限公司</t>
  </si>
  <si>
    <t>果酒（含酒精）;葡萄酒;⾕物制蒸馏酒精饮料;酒精饮料（啤酒除外）;⽩酒;薄荷酒;蒸馏饮料;威⼠忌;酒精饮料原汁;⻩酒</t>
  </si>
  <si>
    <t>忆壹叁壹肆</t>
  </si>
  <si>
    <t>建国壹号（河南）酒业有限公司</t>
  </si>
  <si>
    <t>鸡尾酒;烧酒;⽩酒;开胃酒;梨酒;⽶酒;葡萄酒;⻩酒;樱桃酒;⽩兰地</t>
  </si>
  <si>
    <t>葡萄酒;蒸馏饮料;威⼠忌;⽩酒;汽酒;酒精饮料（啤酒除外）;烈酒（饮料）;鸡尾酒;酒精饮料原汁;果酒（含酒精）</t>
  </si>
  <si>
    <t>古沙酒坊</t>
  </si>
  <si>
    <t>餐后酒（利⼝酒和烈酒）;⽩兰地;⾕物制蒸馏酒精饮料;酒精饮料（啤酒除外）;⽩酒;蒸馏饮料;清酒（⽇本⽶酒）;葡萄酒;⻩酒;果酒（含酒精）</t>
  </si>
  <si>
    <t>刘婉婉</t>
  </si>
  <si>
    <t>曹郅旸</t>
  </si>
  <si>
    <t>含⽔果酒精饮料;⽩酒;⽶酒;鸡尾酒;葡萄酒;酒精饮料（啤酒除外）;⻩酒;蜂蜜酒;烧酒;烈酒（饮料）</t>
  </si>
  <si>
    <t>果酒（含酒精）;烈酒（饮料）;酒精饮料浓缩汁;酒精饮料（啤酒除外）;蒸馏饮料;⽩酒;烧酒;葡萄酒;含⽔果酒精饮料;⽶酒</t>
  </si>
  <si>
    <t>果酒（含酒精）;烈酒（饮料）;蒸馏饮料;酒精饮料浓缩汁;含⽔果酒精饮料;⽩酒;酒精饮料（啤酒除外）;烧酒;葡萄酒;⽶酒</t>
  </si>
  <si>
    <t>贵薇贝贝</t>
  </si>
  <si>
    <t>林豪国际有限公司</t>
  </si>
  <si>
    <t>果酒（含酒精）;蒸馏饮料;蜂蜜酒;酒精饮料原汁;酒精饮料（啤酒除外）;开胃酒;酒精饮料浓缩汁;含⽔果酒精饮料;⾕物制蒸馏酒精饮料;预先混合的酒精饮料（以啤酒为主的除外）</t>
  </si>
  <si>
    <t>立久久</t>
  </si>
  <si>
    <t>卢晓生</t>
  </si>
  <si>
    <t>⽶酒;酒精饮料（啤酒除外）;烧酒;蒸馏饮料;⻩酒;果酒（含酒精）;鸡尾酒;烈酒（饮料）;⽩酒;葡萄酒</t>
  </si>
  <si>
    <t>古沙酒业</t>
  </si>
  <si>
    <t>蒸馏饮料;酒精饮料（啤酒除外）;餐后酒（利⼝酒和烈酒）;⾕物制蒸馏酒精饮料;⽩酒;葡萄酒;⻩酒;⽩兰地;清酒（⽇本⽶酒）;果酒（含酒精）</t>
  </si>
  <si>
    <t>欣华夏黑沃土</t>
  </si>
  <si>
    <t>山东源盟企业管理有限公司</t>
  </si>
  <si>
    <t>⽩酒;果酒;⽩兰地;葡萄酒;酒精饮料（啤酒除外）;蒸馏饮料;开胃酒;烈酒（饮料）;薄荷酒;含⽔果酒精饮料</t>
  </si>
  <si>
    <t>继梵</t>
  </si>
  <si>
    <t>太原市利企晋通网络科技有限公司</t>
  </si>
  <si>
    <t>烧酒;⾷⽤酒精;葡萄酒;⽶酒;⻩酒;⽩酒;果酒;果酒（含酒精）;鸡尾酒;威⼠忌</t>
  </si>
  <si>
    <t>贵薇宝贝</t>
  </si>
  <si>
    <t>开胃酒;酒精饮料原汁;酒精饮料浓缩汁;果酒（含酒精）;蜂蜜酒;预先混合的酒精饮料（以啤酒为主的除外）;含⽔果酒精饮料;蒸馏饮料;酒精饮料（啤酒除外）;⾕物制蒸馏酒精饮料</t>
  </si>
  <si>
    <t>每日鲜语</t>
  </si>
  <si>
    <t>安徽徽味林食品销售有限公司</t>
  </si>
  <si>
    <t>薄荷酒;葡萄酒;汽酒;果酒;⽶酒;甜酒;开胃酒;⻩酒;⽩酒;杨梅酒</t>
  </si>
  <si>
    <t>壮边</t>
  </si>
  <si>
    <t>刘志军</t>
  </si>
  <si>
    <t>果酒（含酒精）;烧酒;⽶酒;开胃酒;⻩酒;⽩酒;鸡尾酒;葡萄酒;威⼠忌;⽔果汽酒</t>
  </si>
  <si>
    <t>古沙酒庄</t>
  </si>
  <si>
    <t>蒸馏饮料;葡萄酒;清酒（⽇本⽶酒）;餐后酒（利⼝酒和烈酒）;果酒（含酒精）;酒精饮料（啤酒除外）;⾕物制蒸馏酒精饮料;⻩酒;⽩酒;⽩兰地</t>
  </si>
  <si>
    <t>百鹤宁</t>
  </si>
  <si>
    <t>李友丽</t>
  </si>
  <si>
    <t>酒精饮料（啤酒除外）;⽩酒;⽼酒（中国蒸馏烈酒）;清酒;⾼粱酒;烧酒;果酒（含酒精）;葡萄酒;⽶酒;开胃酒</t>
  </si>
  <si>
    <t>和事圆</t>
  </si>
  <si>
    <t>贵薇宝宝</t>
  </si>
  <si>
    <t>蒸馏饮料;酒精饮料浓缩汁;预先混合的酒精饮料（以啤酒为主的除外）;果酒（含酒精）;酒精饮料原汁;⾕物制蒸馏酒精饮料;含⽔果酒精饮料;开胃酒;酒精饮料（啤酒除外）;蜂蜜酒</t>
  </si>
  <si>
    <t>鹿乡围场</t>
  </si>
  <si>
    <t>铁岭吉达梅花鹿繁育基地</t>
  </si>
  <si>
    <t>果酒（含酒精）;葡萄酒;利⼝酒;含⽔果酒精饮料;烈酒（饮料）;⽩酒;鸡尾酒;薄荷酒;开胃酒;烧酒</t>
  </si>
  <si>
    <t>2024/06/23</t>
  </si>
  <si>
    <t>捷书</t>
  </si>
  <si>
    <t>果酒（含酒精）;⽶酒;烧酒;清酒;⾼粱酒;⽩酒;烈酒;露酒;葡萄酒;⻩酒</t>
  </si>
  <si>
    <t>鲤鱼池</t>
  </si>
  <si>
    <t>重庆碧桂缘国际贸易有限公司</t>
  </si>
  <si>
    <t>⻩酒;含酒精的饮料（啤酒除外）;⽩酒;果酒;鸡尾酒;清酒（⽇本⽶酒）;⽇本梅⼦酒</t>
  </si>
  <si>
    <t>遵之享</t>
  </si>
  <si>
    <t>邵大子</t>
  </si>
  <si>
    <t>沉睡匠</t>
  </si>
  <si>
    <t>贵州黔旅酒业集团有限公司</t>
  </si>
  <si>
    <t>抚临才子贡</t>
  </si>
  <si>
    <t>抚州栢汇企业管理合伙企业(有限合伙)</t>
  </si>
  <si>
    <t>除啤酒外的酒精饮料;⽶酒;⽩酒;烧酒;甜酒;烈酒;⾼粱酒;⻩酒;⽼酒（中国蒸馏烈酒）;红葡萄酒</t>
  </si>
  <si>
    <t>晋九渡</t>
  </si>
  <si>
    <t>贾宝河</t>
  </si>
  <si>
    <t>⾷⽤酒精;酒精饮料（啤酒除外）;⽩酒;果酒（含酒精）;⽶酒;⻩酒;鸡尾酒;含⽔果酒精饮料;⽩兰地;葡萄酒</t>
  </si>
  <si>
    <t>遵畅</t>
  </si>
  <si>
    <t>苹果酒;⽩酒;开胃酒;葡萄酒;烈酒（饮料）;鸡尾酒;利⼝酒;清酒;果酒;威⼠忌</t>
  </si>
  <si>
    <t>顺遇</t>
  </si>
  <si>
    <t>王星星</t>
  </si>
  <si>
    <t>罗卡蒂亚</t>
  </si>
  <si>
    <t>潍坊米悦美时品牌管理有限公司</t>
  </si>
  <si>
    <t>利⼝酒;⽩兰地;伏特加酒;果酒（含酒精）;威⼠忌;清酒（⽇本⽶酒）;朗姆酒;鸡尾酒;葡萄酒;杜松⼦酒</t>
  </si>
  <si>
    <t>蒙玺王</t>
  </si>
  <si>
    <t>北京熙泉涌国珍商贸有限公司</t>
  </si>
  <si>
    <t>葡萄酒;烈酒（饮料）;⽩酒;⽼酒（中国蒸馏烈酒）;⻩酒;果酒（含酒精）;蒸馏饮料;酒精饮料（啤酒除外）;⽶酒;烧酒</t>
  </si>
  <si>
    <t>遵香派</t>
  </si>
  <si>
    <t>苹果酒;葡萄酒;开胃酒;烈酒（饮料）;威⼠忌;清酒;鸡尾酒;利⼝酒;果酒;⽩酒</t>
  </si>
  <si>
    <t>贵品穗</t>
  </si>
  <si>
    <t>惠新朝</t>
  </si>
  <si>
    <t>酒精饮料（啤酒除外）;⻩酒;葡萄酒;⽩酒;鸡尾酒;果酒（含酒精）;含⽔果酒精饮料;⽩兰地;⽶酒;⾷⽤酒精</t>
  </si>
  <si>
    <t>卓越大人物 DARENWU</t>
  </si>
  <si>
    <t>郝喜萌</t>
  </si>
  <si>
    <t>⽼酒（中国蒸馏烈酒）;⾼粱酒;果酒;烈酒;⽩酒;葡萄酒;酒精饮料（啤酒除外）;⻩酒;⽶酒;烧酒</t>
  </si>
  <si>
    <t>抚临才乡贡</t>
  </si>
  <si>
    <t>⽼酒（中国蒸馏烈酒）;红葡萄酒;甜酒;⾼粱酒;烈酒;⽩酒;除啤酒外的酒精饮料;⻩酒;烧酒;⽶酒</t>
  </si>
  <si>
    <t>索泊喝</t>
  </si>
  <si>
    <t>青岛通圣生物科技有限公司</t>
  </si>
  <si>
    <t>鸡尾酒;清酒;果酒;威⼠忌;⻩酒;烧酒;露酒;⽩酒;⽩兰地;酒精饮料（啤酒除外）</t>
  </si>
  <si>
    <t>2024/06/24</t>
  </si>
  <si>
    <t>五仙临</t>
  </si>
  <si>
    <t>烧酒;⽩⼲酒（中国⽩酒）;⻩酒;⻘稞酒;梨酒;⽩酒;利⼝酒;烈酒;红葡萄酒;以葡萄酒为主的饮料</t>
  </si>
  <si>
    <t>今沃康 JIWOKANG</t>
  </si>
  <si>
    <t>华大（江西）健康科技有限公司</t>
  </si>
  <si>
    <t>⽼酒（中国蒸馏烈酒）;以葡萄酒为主的饮料;餐后酒（利⼝酒和烈酒）;烧酒;⻩酒;⽩酒;⽶酒;葡萄酒;果酒（含酒精）;烈酒（饮料）</t>
  </si>
  <si>
    <t>葡缇仙谷</t>
  </si>
  <si>
    <t>烟台金鼎葡园酒业有限公司</t>
  </si>
  <si>
    <t>葡萄酒;烈酒（饮料）;鸡尾酒;樱桃酒;汽酒;果酒（含酒精）;威士忌;伏特加酒;朗姆酒;白兰地</t>
  </si>
  <si>
    <t>君爵风范</t>
  </si>
  <si>
    <t>任丘市运华商贸有限公司</t>
  </si>
  <si>
    <t>威⼠忌;酒精饮料（啤酒除外）;⽩兰地;果酒（含酒精）;烧酒;鸡尾酒;伏特加酒;⽩酒;⻘稞酒;⻩酒</t>
  </si>
  <si>
    <t>海岛春花</t>
  </si>
  <si>
    <t>吴毓华</t>
  </si>
  <si>
    <t>⾷⽤酒精;蒸煮提取物（利⼝酒和烈酒）;酒精饮料（啤酒除外）;⽩酒;烈酒（饮料）;葡萄酒;蒸馏饮料;烧酒;果酒（含酒精）;⻩酒</t>
  </si>
  <si>
    <t>今龙康</t>
  </si>
  <si>
    <t>果酒（含酒精）;⻩酒;⽼酒（中国蒸馏烈酒）;烈酒（饮料）;烧酒;餐后酒（利⼝酒和烈酒）;⽩酒;⽶酒;以葡萄酒为主的饮料;葡萄酒</t>
  </si>
  <si>
    <t>玖昌九</t>
  </si>
  <si>
    <t>安丘市德丰电子有限公司</t>
  </si>
  <si>
    <t>⽩酒;酒精饮料（啤酒除外）;⻩酒;烈酒（饮料）;鸡尾酒;⽢蔗制烈酒;葡萄酒;⽶酒;烧酒;果酒（含酒精）</t>
  </si>
  <si>
    <t>迈普罗</t>
  </si>
  <si>
    <t>吉林省九鼎医药有限公司</t>
  </si>
  <si>
    <t>葡萄酒;酒精饮料（啤酒除外）;⽶酒;⻩酒;汽酒;果酒（含酒精）;烈酒（饮料）;⾕物制蒸馏酒精饮料;烧酒;⽩酒</t>
  </si>
  <si>
    <t>酉水凤来</t>
  </si>
  <si>
    <t>桐乡市攀盛进出口有限公司</t>
  </si>
  <si>
    <t>⽶酒;果酒（含酒精）;开胃酒;含⽔果酒精饮料;⽩酒;烈酒;酒精饮料（啤酒除外）;烧酒;⻩酒;葡萄酒</t>
  </si>
  <si>
    <t>米品欢</t>
  </si>
  <si>
    <t>刘振夫</t>
  </si>
  <si>
    <t>威⼠忌;⽶酒;⻘稞酒;⻩酒;烈酒（饮料）;果酒（含酒精）;⽩酒;⾷⽤酒精;含⽔果酒精饮料;烧酒</t>
  </si>
  <si>
    <t>丙乾嵘</t>
  </si>
  <si>
    <t>吴雨龙</t>
  </si>
  <si>
    <t>⻩酒;葡萄酒;烈酒;⽶酒;烧酒;⽩兰地;威⼠忌;⻘稞酒;⽩酒;鸡尾酒</t>
  </si>
  <si>
    <t>花半拆</t>
  </si>
  <si>
    <t>果酒（含酒精）;清酒（⽇本⽶酒）;酒精饮料（啤酒除外）;含⽔果酒精饮料;鸡尾酒;威⼠忌;含酒精⽔果饮料;咖啡利⼝酒;蒸馏饮料;以葡萄酒为主的饮料</t>
  </si>
  <si>
    <t>朗戈小酌</t>
  </si>
  <si>
    <t>安徽江汽进出口贸易有限公司</t>
  </si>
  <si>
    <t>清酒;⽩酒;⻩酒;⽶酒;葡萄酒;酒精饮料（啤酒除外）;烧酒;开胃酒;果酒（含酒精）;⾷⽤酒精</t>
  </si>
  <si>
    <t>宝石河</t>
  </si>
  <si>
    <t>宝清县宇辰酒业有限公司</t>
  </si>
  <si>
    <t>果酒（含酒精）;鸡尾酒;⽶酒;⻩酒;⾼粱酒;酒精饮料（啤酒除外）;烧酒;⽩酒;清酒;露酒</t>
  </si>
  <si>
    <t>黔北罗三</t>
  </si>
  <si>
    <t>罗永平</t>
  </si>
  <si>
    <t>甜酒</t>
  </si>
  <si>
    <t>桃乐纯</t>
  </si>
  <si>
    <t>王继成</t>
  </si>
  <si>
    <t>威⼠忌;⽶酒;⻘稞酒;⽩酒;烈酒（饮料）;⾷⽤酒精;烧酒;含⽔果酒精饮料;果酒（含酒精）;⻩酒</t>
  </si>
  <si>
    <t>酒精饮料原汁;汽酒;威⼠忌;⽩酒;烈酒（饮料）;鸡尾酒;酒精饮料（啤酒除外）;果酒（含酒精）;葡萄酒;蒸馏饮料</t>
  </si>
  <si>
    <t>穆盛客</t>
  </si>
  <si>
    <t>陕西艾尚草原饮食文化有限公司</t>
  </si>
  <si>
    <t>开胃酒;⽩酒;利⼝酒;果酒;清酒;烧酒;⽶酒;葡萄酒;酒精饮料（啤酒除外）;烈酒（饮料）</t>
  </si>
  <si>
    <t>渝长江</t>
  </si>
  <si>
    <t>重庆爱为营健康科技有限责任公司</t>
  </si>
  <si>
    <t>果酒（含酒精）;⻘稞酒;清酒（⽇本⽶酒）;⽩酒;葡萄酒;⽶酒;⻩酒</t>
  </si>
  <si>
    <t>宜宾市李庄酿造酒业有限公司</t>
  </si>
  <si>
    <t>⾷⽤酒精;果酒（含酒精）;开胃酒;葡萄酒;⻩酒;⽩酒;⽶酒;蒸馏饮料;酒精饮料（啤酒除外）;烧酒</t>
  </si>
  <si>
    <t>淳爻</t>
  </si>
  <si>
    <t>上海淳爻酒业有限公司</t>
  </si>
  <si>
    <t>伏特加酒;⽩酒;鸡尾酒;⻘稞酒;朗姆酒;威⼠忌;⽩兰地;烧酒;⽶酒;⻩酒</t>
  </si>
  <si>
    <t>昌科</t>
  </si>
  <si>
    <t>常州昌科新材料科技有限公司</t>
  </si>
  <si>
    <t>苦荞酒;⽩兰地;⻩酒;⽶酒;⽩酒;⻘稞酒;葡萄酒;鸡尾酒;伏特加酒;⾼粱酒</t>
  </si>
  <si>
    <t>重辰</t>
  </si>
  <si>
    <t>宿迁市梦三仙酒业科技有限公司</t>
  </si>
  <si>
    <t>⾷⽤酒精;预先混合的酒精饮料（以啤酒为主的除外）;果酒（含酒精）;葡萄酒;烧酒;蒸煮提取物（利⼝酒和烈酒）;⽩酒;烈酒（饮料）;酒精饮料（啤酒除外）;利⼝酒</t>
  </si>
  <si>
    <t>泉玉荡</t>
  </si>
  <si>
    <t>黄智超</t>
  </si>
  <si>
    <t>烧酒;果酒（含酒精）;蒸馏饮料;清酒;⽩酒;烈酒（饮料）;酒精饮料原汁;含⽔果酒精饮料;鸡尾酒;威⼠忌</t>
  </si>
  <si>
    <t>巴君子</t>
  </si>
  <si>
    <t>巴伦牛</t>
  </si>
  <si>
    <t>物智众科</t>
  </si>
  <si>
    <t>陕西未来村文化传媒科技有限公司</t>
  </si>
  <si>
    <t>⽩酒;预先混合的酒精饮料（以啤酒为主的除外）;酒精饮料（啤酒除外）;含⽔果酒精饮料;樱桃酒;葡萄酒;果酒（含酒精）;⽩兰地;⽶酒;酒精饮料浓缩汁</t>
  </si>
  <si>
    <t>厦门艾哈酒业贸易有限公司</t>
  </si>
  <si>
    <t>鸡尾酒;预先混合的酒精饮料（以啤酒为主的除外）;伏特加酒;苦味酒;杜松⼦酒;烈酒（饮料）;蒸馏饮料;葡萄酒;利⼝酒;果酒（含酒精）</t>
  </si>
  <si>
    <t>慵懒大叔</t>
  </si>
  <si>
    <t>大连圣泰利商贸有限公司</t>
  </si>
  <si>
    <t>⽩酒;樱桃酒;果酒（含酒精）;烧酒;葡萄酒;酸酒（低等葡萄酒）;含⽔果酒精饮料;蒸馏饮料;苹果酒;⻘稞酒</t>
  </si>
  <si>
    <t>世援</t>
  </si>
  <si>
    <t>世援科技发展（上海）有限公司</t>
  </si>
  <si>
    <t>茴芹酒（利⼝酒）;蜂蜜酒;薄荷酒;苦味酒;⽶酒;伏特加酒;果酒（含酒精）;茴⾹酒（利⼝酒）;柑⾹酒;清酒（⽇本⽶酒）</t>
  </si>
  <si>
    <t>四川金马慈母贸易有限责任公司</t>
  </si>
  <si>
    <t>葡萄酒;烈酒（饮料）;果酒（含酒精）;开胃酒;⻩酒;⽩兰地;鸡尾酒;威⼠忌;⽩酒;⽶酒</t>
  </si>
  <si>
    <t>朗姆酒;⽶酒;⽩兰地;⽩酒;⻩酒;威⼠忌;鸡尾酒;伏特加酒;烧酒;⻘稞酒</t>
  </si>
  <si>
    <t>渝阳胡亭寨</t>
  </si>
  <si>
    <t>重庆庆莉木材加工坊（个人独资）</t>
  </si>
  <si>
    <t>⽶酒;果酒;烈酒;⾷⽤酒精;⻩酒;葡萄酒;⾼粱酒;⽩酒;清酒;烧酒</t>
  </si>
  <si>
    <t>卓言</t>
  </si>
  <si>
    <t>⻩酒;⻘稞酒;⽩酒;以葡萄酒为主的饮料;烧酒;红葡萄酒;⽩⼲酒（中国⽩酒）;烈酒;梨酒;利⼝酒</t>
  </si>
  <si>
    <t>大鹏九万里</t>
  </si>
  <si>
    <t>上海桑迪营销策划有限公司</t>
  </si>
  <si>
    <t>烈酒;果酒;⽩⼲酒（中国⽩酒）;烧酒;含⽔果酒精饮料;⽩酒;葡萄酒;清酒;鸡尾酒;⻩酒</t>
  </si>
  <si>
    <t>睡尚饮</t>
  </si>
  <si>
    <t>亳州市悠养生物科技有限责任公司</t>
  </si>
  <si>
    <t>⽩酒;蒸馏饮料;伏特加酒;薄荷酒;酒精饮料（啤酒除外）;⽶酒;含酒精的⽓泡⽔;威⼠忌;⾷⽤酒精;含⽔果酒精饮料</t>
  </si>
  <si>
    <t>御米婆</t>
  </si>
  <si>
    <t>⻩酒;⾷⽤酒精;含⽔果酒精饮料;烈酒（饮料）;⽶酒;威⼠忌;烧酒;果酒（含酒精）;⽩酒;⻘稞酒</t>
  </si>
  <si>
    <t>康优</t>
  </si>
  <si>
    <t>严洁</t>
  </si>
  <si>
    <t>果酒（含酒精）;⽩兰地;酒精饮料（啤酒除外）;⻩酒;⾷⽤酒精;⽩酒;蒸馏饮料;葡萄酒;威⼠忌;⽶酒</t>
  </si>
  <si>
    <t>TXDJ</t>
  </si>
  <si>
    <t>黄山丹基食品科技有限公司</t>
  </si>
  <si>
    <t>清酒;鸡尾酒;烧酒;⽩酒;烈酒（饮料）;⾷⽤酒精;⻩酒;果酒;⽶酒;葡萄酒</t>
  </si>
  <si>
    <t>北魂</t>
  </si>
  <si>
    <t>鸡尾酒;开胃酒;果酒;酒精饮料（啤酒除外）;烧酒;⽩酒;葡萄酒;清酒（⽇本⽶酒）;朗姆酒;利⼝酒</t>
  </si>
  <si>
    <t>竹居计划</t>
  </si>
  <si>
    <t>龙游碧坞家庭农场</t>
  </si>
  <si>
    <t>鸡尾酒;⽶酒;开胃酒;清酒（⽇本⽶酒）;烈酒（饮料）;⽩酒;果酒（含酒精）;利⼝酒;⾷⽤酒精;威⼠忌</t>
  </si>
  <si>
    <t>金龄华</t>
  </si>
  <si>
    <t>深圳华鑫细胞医疗科技有限责任公司</t>
  </si>
  <si>
    <t>⽶酒;蒸馏饮料;⻩酒;⽩酒;⽩兰地;鸡尾酒;威⼠忌;果酒（含酒精）;葡萄酒;烧酒</t>
  </si>
  <si>
    <t>舶乐</t>
  </si>
  <si>
    <t>邱龙伟</t>
  </si>
  <si>
    <t>⾼粱酒;烧酒;⻩酒;杨梅酒;以蒸馏酒为主的开胃酒;⽶酒;葡萄酒;酒精饮料（啤酒除外）;⽩酒;鸡尾酒</t>
  </si>
  <si>
    <t>小车大爱</t>
  </si>
  <si>
    <t>上海小车大爱汽车科技有限公司</t>
  </si>
  <si>
    <t>⽶酒;蜂蜜酒;⽩酒;酒精饮料原汁;烧酒;葡萄酒;⽩兰地;鸡尾酒;⻩酒;果酒</t>
  </si>
  <si>
    <t>龟龟象</t>
  </si>
  <si>
    <t>山西善泽康养医疗科技有限公司</t>
  </si>
  <si>
    <t>开胃酒;果酒;清酒;葡萄酒;鸡尾酒;⻘稞酒;⾷⽤酒精;⻩酒;⽩酒;⽶酒</t>
  </si>
  <si>
    <t>琪富</t>
  </si>
  <si>
    <t>深圳市和诚酒业有限公司</t>
  </si>
  <si>
    <t>⽩酒;⻩酒;威⼠忌;葡萄酒;汽酒;鸡尾酒;伏特加酒;开胃酒;⽩兰地;朗姆酒</t>
  </si>
  <si>
    <t>胖西来</t>
  </si>
  <si>
    <t>葡萄酒;烈酒（饮料）;烧酒;⻩酒;威⼠忌;⽩酒;预先混合的酒精饮料（以啤酒为主的除外）;果酒（含酒精）;利⼝酒;⽶酒</t>
  </si>
  <si>
    <t>亿灿</t>
  </si>
  <si>
    <t>陈雨浩131127********3413</t>
  </si>
  <si>
    <t>果酒（含酒精）;酒精饮料（啤酒除外）;⽶酒;烧酒;鸡尾酒;⽢蔗制烈酒;烈酒（饮料）;⽩酒;葡萄酒;⻩酒</t>
  </si>
  <si>
    <t>醇辛思</t>
  </si>
  <si>
    <t>何乃会</t>
  </si>
  <si>
    <t>⽩酒;酒精饮料原汁;清酒;烈酒（饮料）;含⽔果酒精饮料;威⼠忌;蒸馏饮料;烧酒;鸡尾酒;果酒（含酒精）</t>
  </si>
  <si>
    <t>喜嘉田</t>
  </si>
  <si>
    <t>广西河松生物科技有限公司</t>
  </si>
  <si>
    <t>烈酒;酒精饮料（啤酒除外）;⽩酒;⽼酒（中国蒸馏烈酒）;预先混合的酒精饮料（以啤酒为主的除外）;果酒（含酒精）;开胃酒;葡萄酒;烈酒（饮料）;⽶酒</t>
  </si>
  <si>
    <t>岁魂</t>
  </si>
  <si>
    <t>鸡尾酒;⽩酒;开胃酒;果酒;烧酒;利⼝酒;葡萄酒;酒精饮料（啤酒除外）;清酒（⽇本⽶酒）;朗姆酒</t>
  </si>
  <si>
    <t>泽灿</t>
  </si>
  <si>
    <t>酒精饮料（啤酒除外）;⽩酒;葡萄酒;⽶酒;果酒（含酒精）;烈酒（饮料）;⻩酒;鸡尾酒;⽢蔗制烈酒;烧酒</t>
  </si>
  <si>
    <t>ODIKAM</t>
  </si>
  <si>
    <t>果酒（含酒精）;伏特加酒;蜂蜜酒;⽩兰地;露酒;⽩酒;葡萄酒;利⼝酒;威⼠忌;果酒</t>
  </si>
  <si>
    <t>坝上遇路阳</t>
  </si>
  <si>
    <t>重庆康敏石材加工厂（个人独资）</t>
  </si>
  <si>
    <t>果酒;葡萄酒;⾷⽤酒精;⽶酒;⽩酒;清酒;烧酒;⻩酒;⾼粱酒;烈酒</t>
  </si>
  <si>
    <t>万如渊</t>
  </si>
  <si>
    <t>万波</t>
  </si>
  <si>
    <t>果酒（含酒精）;⽩酒;⽩⼲酒（中国⽩酒）;⾼粱酒;梅酒;烧酒;已调味的蒸馏酒;⾷⽤酒精;烈酒;⽼酒（中国蒸馏烈酒）</t>
  </si>
  <si>
    <t>德跃先 DEYAOXIAN</t>
  </si>
  <si>
    <t>重庆绿色阳光生态农业发展有限公司</t>
  </si>
  <si>
    <t>烈酒（饮料）;以葡萄酒为主的饮料;蒸馏饮料;⽶酒;⻩酒;清酒（⽇本⽶酒）;含⽔果酒精饮料;⾕物制蒸馏酒精饮料;已调味的⻨芽酿制的酒精饮料（啤酒除外）;⽩酒</t>
  </si>
  <si>
    <t>臻流年</t>
  </si>
  <si>
    <t>胡进辉</t>
  </si>
  <si>
    <t>清酒;烈酒（饮料）;鸡尾酒;含⽔果酒精饮料;蒸馏饮料;⽩酒;烧酒;果酒（含酒精）;酒精饮料原汁;威⼠忌</t>
  </si>
  <si>
    <t>凤驿福道</t>
  </si>
  <si>
    <t>山东驿捷农业科技有限公司</t>
  </si>
  <si>
    <t>葡萄酒;⽶酒;烈酒（饮料）;酒精饮料原汁;⽩酒;果酒（含酒精）;清酒（⽇本⽶酒）;酒精饮料（啤酒除外）;⾷⽤酒精;⻩酒</t>
  </si>
  <si>
    <t>鞠晓杰</t>
  </si>
  <si>
    <t>蒸馏饮料;含⽔果酒精饮料;⽩酒;果酒（含酒精）;樱桃酒;酒精饮料（啤酒除外）;鸡尾酒;葡萄酒;蜂蜜酒;⽶酒</t>
  </si>
  <si>
    <t>FUACI</t>
  </si>
  <si>
    <t>刘海文</t>
  </si>
  <si>
    <t>果酒（含酒精）;鸡尾酒;⽶酒;⽩酒;含酒精的⽔果鸡尾酒饮料;甜果酒;葡萄酒;烈酒（饮料）;酒精饮料原汁;红葡萄酒</t>
  </si>
  <si>
    <t>虎啸威</t>
  </si>
  <si>
    <t>白酒;米酒;黄酒;鸡尾酒;甘蔗制烈酒;果酒（含酒精）;酒精饮料（啤酒除外）;烧酒;烈酒（饮料）;葡萄酒</t>
  </si>
  <si>
    <t>巢空鸟</t>
  </si>
  <si>
    <t>唐古军</t>
  </si>
  <si>
    <t>葡萄酒;⽩酒;果酒（含酒精）;含⽔果酒精饮料;⻩酒;⽶酒;⻘稞酒;烈酒（饮料）;酒精饮料（啤酒除外）;酒精饮料原汁</t>
  </si>
  <si>
    <t>微风畔</t>
  </si>
  <si>
    <t>泗水唯美家居有限公司</t>
  </si>
  <si>
    <t>葡萄酒;烈酒（饮料）;⽶酒;⽼酒（中国蒸馏烈酒）;⽩酒;酒精饮料（啤酒除外）;烧酒;⻩酒;果酒（含酒精）;⽩兰地</t>
  </si>
  <si>
    <t>酉水光年</t>
  </si>
  <si>
    <t>果酒（含酒精）;含⽔果酒精饮料;⻩酒;开胃酒;⽶酒;烈酒;酒精饮料（啤酒除外）;⽩酒;烧酒;葡萄酒</t>
  </si>
  <si>
    <t>金酩雨澜</t>
  </si>
  <si>
    <t>金泓福（海南）生物科技有限公司</t>
  </si>
  <si>
    <t>果酒;鸡尾酒;含⽔果酒精饮料;酒精饮料浓缩汁;⽩⼲酒（中国⽩酒）;开胃酒;酒精饮料原汁;预先混合的酒精饮料（以啤酒为主的除外）;酒精饮料（啤酒除外）;⽩酒</t>
  </si>
  <si>
    <t>烧酒;利⼝酒;果酒;清酒;⽩酒;开胃酒;烈酒（饮料）;葡萄酒;酒精饮料（啤酒除外）;⽶酒</t>
  </si>
  <si>
    <t>观断桥</t>
  </si>
  <si>
    <t>丹东文腾精酿酒业有限公司</t>
  </si>
  <si>
    <t>葡萄酒;烧酒;果酒（含酒精）;⻩酒;⽔果汽酒;鸡尾酒;开胃酒;⽶酒;威⼠忌;⽩酒</t>
  </si>
  <si>
    <t>彩旺</t>
  </si>
  <si>
    <t>开胃酒;利⼝酒;葡萄酒;清酒（⽇本⽶酒）;朗姆酒;烧酒;鸡尾酒;⽩酒;果酒;酒精饮料（啤酒除外）</t>
  </si>
  <si>
    <t>今楚康 JICHUKANG</t>
  </si>
  <si>
    <t>⽩酒;⽶酒;烈酒（饮料）;烧酒;果酒（含酒精）;⽼酒（中国蒸馏烈酒）;餐后酒（利⼝酒和烈酒）;以葡萄酒为主的饮料;葡萄酒;⻩酒</t>
  </si>
  <si>
    <t>今广康 JIGUANG KANG</t>
  </si>
  <si>
    <t>⽩酒;果酒（含酒精）;⽼酒（中国蒸馏烈酒）;烧酒;餐后酒（利⼝酒和烈酒）;葡萄酒;⻩酒;⽶酒;以葡萄酒为主的饮料;烈酒（饮料）</t>
  </si>
  <si>
    <t>盅不忘</t>
  </si>
  <si>
    <t>⻩酒;⾷⽤酒精;⽶酒;⽩酒;烧酒;⻘稞酒;含⽔果酒精饮料;果酒（含酒精）;威⼠忌;烈酒（饮料）</t>
  </si>
  <si>
    <t>跳乖</t>
  </si>
  <si>
    <t>蔡军</t>
  </si>
  <si>
    <t>葡萄酒;含⽔果酒精饮料;⾕物制蒸馏酒精饮料;苹果酒;⽶酒;酒精饮料（啤酒除外）;⽩兰地;⽩酒;果酒;酸酒（低等葡萄酒）;预先混合的酒精饮料（以啤酒为主的除外）</t>
  </si>
  <si>
    <t>今豫贵</t>
  </si>
  <si>
    <t>烈酒（饮料）;烧酒;葡萄酒;⽶酒;甜酒;果酒（含酒精）;鸡尾酒;蜂蜜酒;⽩兰地;⽩酒</t>
  </si>
  <si>
    <t>株田颜酒</t>
  </si>
  <si>
    <t>酒精饮料（啤酒除外）;⽩酒;天然汽酒;甜酒;鸡尾酒;烧酒;⽶酒;⻩酒;梅酒;清酒（⽇本⽶酒）</t>
  </si>
  <si>
    <t>庆言欢</t>
  </si>
  <si>
    <t>古进福</t>
  </si>
  <si>
    <t>烧酒;⻩酒;葡萄酒;果酒;酒精饮料（啤酒除外）;⽶酒;烈酒;甜酒;鸡尾酒;⽩酒</t>
  </si>
  <si>
    <t>SUOJSEIF</t>
  </si>
  <si>
    <t>金牛区硕己茶楼（个体工商户）</t>
  </si>
  <si>
    <t>⾼粱酒;⻘稞酒;果酒;清酒;葡萄酒;⽩酒;杨梅酒;⻘梅酒;甜酒;⻩酒</t>
  </si>
  <si>
    <t>酌蕴</t>
  </si>
  <si>
    <t>王飞飞</t>
  </si>
  <si>
    <t>葡萄酒;威⼠忌;酒精饮料（啤酒除外）;⽩酒;⻩酒;果酒（含酒精）;开胃酒;鸡尾酒;⽶酒;蒸馏饮料</t>
  </si>
  <si>
    <t>艾九龙</t>
  </si>
  <si>
    <t>宝鸡九龙天供应链管理有限公司</t>
  </si>
  <si>
    <t>葡萄酒;伏特加酒;烈酒（饮料）;⽶酒;⽩酒;蜂蜜酒;酒精饮料（啤酒除外）;烧酒;⾷⽤酒精;果酒（含酒精）</t>
  </si>
  <si>
    <t>佳庄</t>
  </si>
  <si>
    <t>果酒（含酒精）;鸡尾酒;葡萄酒;威⼠忌;⻩酒;⽩酒;蒸馏饮料;酒精饮料（啤酒除外）;⽶酒;开胃酒</t>
  </si>
  <si>
    <t>李旺财</t>
  </si>
  <si>
    <t>胡浪浪</t>
  </si>
  <si>
    <t>果酒（含酒精）;苹果酒;利⼝酒;烈酒（饮料）;烧酒;鸡尾酒;⻩酒;⽩酒;葡萄酒;⾕物制蒸馏酒精饮料</t>
  </si>
  <si>
    <t>逸四季</t>
  </si>
  <si>
    <t>杨美</t>
  </si>
  <si>
    <t>⽩酒;烧酒;薄荷酒;果酒（含酒精）;葡萄酒;⽶酒;⻩酒;开胃酒;⽩兰地;鸡尾酒</t>
  </si>
  <si>
    <t>咏东坡</t>
  </si>
  <si>
    <t>葡萄酒;蜂蜜酒;烈酒（饮料）;烧酒;⽩酒;威⼠忌;酒精饮料（啤酒除外）;⻩酒;⽶酒;果酒（含酒精）</t>
  </si>
  <si>
    <t>隆珠食品</t>
  </si>
  <si>
    <t>酒精饮料原汁;⽶酒;餐后酒（利⼝酒和烈酒）;烧酒;烈酒（饮料）;⻩酒;⽩酒;果酒（含酒精）;葡萄酒;酒精饮料（啤酒除外）</t>
  </si>
  <si>
    <t>2024/06/25</t>
  </si>
  <si>
    <t>君即山</t>
  </si>
  <si>
    <t>保定稻言商贸有限公司</t>
  </si>
  <si>
    <t>⽩酒;烧酒;酒精饮料（啤酒除外）;清酒（⽇本⽶酒）</t>
  </si>
  <si>
    <t>志云鸟</t>
  </si>
  <si>
    <t>上海志云鸟技术有限公司</t>
  </si>
  <si>
    <t>⽩酒;蒸馏饮料;餐后酒（利⼝酒和烈酒）;葡萄酒;⾷⽤酒精;烧酒;鸡尾酒;⽶酒;预先混合的酒精饮料（以啤酒为主的除外）;酒精饮料（啤酒除外）</t>
  </si>
  <si>
    <t>福旺鸿运开</t>
  </si>
  <si>
    <t>陕西百年精典品牌管理有限公司</t>
  </si>
  <si>
    <t>烧酒;⻩酒;⽶酒;鸡尾酒;红葡萄酒;露酒;⽩酒;⻘稞酒;⽼酒（中国蒸馏烈酒）;果酒（含酒精）</t>
  </si>
  <si>
    <t>CARSONOVA</t>
  </si>
  <si>
    <t>安顺市成威科技有限公司</t>
  </si>
  <si>
    <t>⽶酒;烈性⼲酒;葡萄酒;蒸煮提取物（利⼝酒和烈酒）;⽼酒（中国蒸馏烈酒）;烈酒;含酒精的鸡尾酒混合饮品;⽩⼲酒（中国⽩酒）;由⾕物蒸馏的⽩酒;⽩酒</t>
  </si>
  <si>
    <t>妥盈</t>
  </si>
  <si>
    <t>吉林省顺天实业有限公司</t>
  </si>
  <si>
    <t>果酒（含酒精）;鸡尾酒;⽶酒;蜂蜜酒;清酒;烈酒（饮料）;以葡萄酒为主的饮料;烧酒;⽩酒;葡萄酒</t>
  </si>
  <si>
    <t>翠林仙源</t>
  </si>
  <si>
    <t>台州世合永粲生态农业专业合作社</t>
  </si>
  <si>
    <t>葡萄酒;清酒（⽇本⽶酒）;⽶酒;⻩酒;⽩酒;杨梅酒;汽酒;果酒（含酒精）;酒精饮料（啤酒除外）;鸡尾酒</t>
  </si>
  <si>
    <t>百灵兴</t>
  </si>
  <si>
    <t>林茂钿</t>
  </si>
  <si>
    <t>伏特加酒;葡萄酒;⾷⽤酒精;⽩酒;威⼠忌;⻩酒;酒精饮料（啤酒除外）;果酒（含酒精）;烈酒（饮料）;⽩兰地</t>
  </si>
  <si>
    <t>酩师榜</t>
  </si>
  <si>
    <t>龙毅</t>
  </si>
  <si>
    <t>⻩酒;开胃酒;清酒（⽇本⽶酒）;⽩酒;威⼠忌;葡萄酒;烈酒（饮料）;果酒;酒精饮料（啤酒除外）;鸡尾酒</t>
  </si>
  <si>
    <t>竞龙门</t>
  </si>
  <si>
    <t>杨美旋</t>
  </si>
  <si>
    <t>葡萄酒;鸡尾酒;威⼠忌;开胃酒;⽶酒;⽩酒;⾼粱酒;烈酒（饮料）;⽩兰地;烧酒</t>
  </si>
  <si>
    <t>东麓百福</t>
  </si>
  <si>
    <t>宁夏罗兰马歌酒庄有限公司</t>
  </si>
  <si>
    <t>开胃酒;汽酒;果酒;⽩兰地;酸酒（低等葡萄酒）;⽩葡萄酒;⽩酒;酒精饮料原汁;蒸煮提取物（利⼝酒和烈酒）;葡萄酒</t>
  </si>
  <si>
    <t>岁月武夷</t>
  </si>
  <si>
    <t>姚小琴</t>
  </si>
  <si>
    <t>⻘稞酒;⻩酒;果酒（含酒精）;鸡尾酒;威⼠忌;⽶酒;⽼酒（中国蒸馏烈酒）;烧酒;⽩酒;葡萄酒</t>
  </si>
  <si>
    <t>武帝久辰</t>
  </si>
  <si>
    <t>久辰(广西防城港市)电子商务有限公司</t>
  </si>
  <si>
    <t>含酒精⽔果饮料;葡萄酒;⽶酒;⽩酒;果酒（含酒精）;⾼粱酒;⻘稞酒;杨梅酒;甜酒;清酒</t>
  </si>
  <si>
    <t>瑠钧</t>
  </si>
  <si>
    <t>李苗苗</t>
  </si>
  <si>
    <t>⻩酒;果酒;烈酒;开胃酒;⽶酒;⽩酒;鸡尾酒;葡萄酒;含⽔果酒精饮料;烧酒</t>
  </si>
  <si>
    <t>特之酉</t>
  </si>
  <si>
    <t>刁雪萌</t>
  </si>
  <si>
    <t>⾕物制蒸馏酒精饮料;果酒（含酒精）;⽩酒;开胃酒;⾷⽤酒精;酒精饮料原汁;⽶酒;⻘稞酒;鸡尾酒;葡萄酒</t>
  </si>
  <si>
    <t>绍启酿</t>
  </si>
  <si>
    <t>黄生财</t>
  </si>
  <si>
    <t>酒精饮料原汁;含⽔果酒精饮料;威⼠忌;⽩酒;清酒;鸡尾酒;烧酒;蒸馏饮料;烈酒（饮料）;果酒（含酒精）</t>
  </si>
  <si>
    <t>颐九福</t>
  </si>
  <si>
    <t>周文祥</t>
  </si>
  <si>
    <t>烈酒（饮料）;⻩酒;⽩酒;威⼠忌;葡萄酒;鸡尾酒;清酒（⽇本⽶酒）;果酒;开胃酒;酒精饮料（啤酒除外）</t>
  </si>
  <si>
    <t>再相逢山城</t>
  </si>
  <si>
    <t>吴长柏</t>
  </si>
  <si>
    <t>⽩酒;烈酒（饮料）;⽶酒;⻩酒;烧酒;葡萄酒;蜂蜜酒;含⽔果酒精饮料;朗姆酒;苹果酒</t>
  </si>
  <si>
    <t>ZIYUEJIUZHANG</t>
  </si>
  <si>
    <t>子曰春秋（苏州）文化发展有限公司</t>
  </si>
  <si>
    <t>葡萄酒;⽩酒;⽶酒;蒸馏饮料;⽩兰地;烈酒（饮料）;⾷⽤酒精;果酒（含酒精）;⻩酒;含⽔果酒精饮料</t>
  </si>
  <si>
    <t>梵悦凌云</t>
  </si>
  <si>
    <t>葡萄酒;⻩酒;汽酒;⽩酒;清酒（⽇本⽶酒）;⽶酒;果酒（含酒精）;烧酒;鸡尾酒;⽩兰地</t>
  </si>
  <si>
    <t>大国匠品(北京)科技有限公司</t>
  </si>
  <si>
    <t>五加⽪酒（中国混合烈酒）;果酒;甜果酒;伏特加酒;葡萄酒;烈酒;鸡尾酒;⽩兰地;⽩酒;威⼠忌</t>
  </si>
  <si>
    <t>小样欻映吧</t>
  </si>
  <si>
    <t>深圳市华视五洲文化传播有限公司</t>
  </si>
  <si>
    <t>开胃酒;餐后酒（利⼝酒和烈酒）;葡萄酒;⽩酒;威⼠忌;烈酒;⽩兰地;伏特加酒;鸡尾酒;果酒</t>
  </si>
  <si>
    <t>蔓想</t>
  </si>
  <si>
    <t>赵英学</t>
  </si>
  <si>
    <t>起泡红葡萄酒;起泡⽩葡萄酒;含⽔果酒精饮料;由⾕物蒸馏的⽩酒;⽩酒;含酒精蛋奶酒;⽶酒;果酒（含酒精）;果酒;开胃酒</t>
  </si>
  <si>
    <t>君如山</t>
  </si>
  <si>
    <t>⽩酒;清酒（⽇本⽶酒）;烧酒;酒精饮料（啤酒除外）</t>
  </si>
  <si>
    <t>春遐秋想</t>
  </si>
  <si>
    <t>深圳诸子争鸣供应链有限公司</t>
  </si>
  <si>
    <t>⽩兰地;果酒(含酒精);威⼠忌;⽶酒;梅酒;蒸馏饮料;葡萄酒;⽩酒;烈酒(饮料);甜酒</t>
  </si>
  <si>
    <t>NUEVO SIGLO</t>
  </si>
  <si>
    <t>义乌市亿禄旺贸易有限公司</t>
  </si>
  <si>
    <t>⻩酒;葡萄酒;果酒;含酒精的⽓泡⽔;烈酒;杨梅酒;⽩酒;威⼠忌;薄荷酒;汽酒</t>
  </si>
  <si>
    <t>塬尚</t>
  </si>
  <si>
    <t>北京和通一舍文化传媒有限公司</t>
  </si>
  <si>
    <t>⽩酒;⽶酒;酒精饮料（啤酒除外）;葡萄酒;⻩酒;含⽔果酒精饮料;开胃酒;果酒（含酒精）;梨酒;酒精饮料原汁</t>
  </si>
  <si>
    <t>吉鉴酒</t>
  </si>
  <si>
    <t>仁怀市诚恳副食店</t>
  </si>
  <si>
    <t>威⼠忌;葡萄酒;朗姆酒;果酒（含酒精）;清酒;⻩酒;⽩兰地;⽩酒;⾷⽤酒精;烈酒（饮料）</t>
  </si>
  <si>
    <t>桑明星</t>
  </si>
  <si>
    <t>新余拓广建筑工程有限公司</t>
  </si>
  <si>
    <t>烧酒;果酒（含酒精）;酒精饮料（啤酒除外）;开胃酒;葡萄酒;⽶酒;⽩酒;鸡尾酒;烈酒（饮料）;⻩酒</t>
  </si>
  <si>
    <t>蕴小满</t>
  </si>
  <si>
    <t>张山标</t>
  </si>
  <si>
    <t>⽩酒;朗姆酒;清酒;伏特加酒;甜酒;⻩酒;⽶酒;梅酒;葡萄酒;果酒（含酒精）</t>
  </si>
  <si>
    <t>嘉金悦</t>
  </si>
  <si>
    <t>孙利春</t>
  </si>
  <si>
    <t>烈酒（饮料）;含⽔果酒精饮料;⽶酒;烧酒;酒精饮料（啤酒除外）;⻩酒;葡萄酒;⽩兰地;威⼠忌;⽩酒</t>
  </si>
  <si>
    <t>FARMONY</t>
  </si>
  <si>
    <t>全农泰（上海）农业发展有限公司</t>
  </si>
  <si>
    <t>烈酒（饮料）;⻩酒;汽酒;朗姆酒;⽩酒;果酒（含酒精）;葡萄酒;⽶酒;烧酒;酒精饮料（啤酒除外）</t>
  </si>
  <si>
    <t>DYAⅠEO</t>
  </si>
  <si>
    <t>开胃酒;⽩兰地;⾼粱酒;果酒;鸡尾酒;⽶酒;⾷⽤酒精;烧酒;⽩酒;果酒（含酒精）</t>
  </si>
  <si>
    <t>福寿茸融</t>
  </si>
  <si>
    <t>陕西金禾天润农业发展有限公司</t>
  </si>
  <si>
    <t>含⽔果酒精饮料;烧酒;果酒（含酒精）;烈酒（饮料）;五加⽪酒（中国混合烈酒）;⻩酒;⾕物制蒸馏酒精饮料;蜂蜜酒;露酒;⽩酒</t>
  </si>
  <si>
    <t>亭庄</t>
  </si>
  <si>
    <t>郭家吟</t>
  </si>
  <si>
    <t>烈酒（饮料）;⽶酒;葡萄酒;⻩酒;鸡尾酒;⽩酒;果酒（含酒精）;威⼠忌;酒精饮料（啤酒除外）;烧酒</t>
  </si>
  <si>
    <t>恰露</t>
  </si>
  <si>
    <t>吴余珍</t>
  </si>
  <si>
    <t>⻩酒;⽶酒;⻘稞酒;⽩酒;含⽔果酒精饮料;威⼠忌;烈酒（饮料）;烧酒;果酒（含酒精）;⾷⽤酒精</t>
  </si>
  <si>
    <t>HIGHJU</t>
  </si>
  <si>
    <t>哈尔滨锐爽啤酒有限公司</t>
  </si>
  <si>
    <t>鸡尾酒;酒精饮料（啤酒除外）;开胃酒;利⼝酒;威⼠忌;⽩酒;葡萄酒;⽩兰地;汽酒;清酒（⽇本⽶酒）</t>
  </si>
  <si>
    <t>金窖吉</t>
  </si>
  <si>
    <t>果酒（含酒精）;⻩酒;⽩酒;威⼠忌;清酒;⽩兰地;葡萄酒;⾷⽤酒精;朗姆酒;烈酒（饮料）</t>
  </si>
  <si>
    <t>灵缘闯</t>
  </si>
  <si>
    <t>上海魏轩贸易有限公司</t>
  </si>
  <si>
    <t>蒸馏饮料;鸡尾酒;餐后酒（利⼝酒和烈酒）;预先混合的酒精饮料（以啤酒为主的除外）;⽩酒;酒精饮料（啤酒除外）;⽶酒;⾷⽤酒精;烧酒;葡萄酒</t>
  </si>
  <si>
    <t>新寓</t>
  </si>
  <si>
    <t>青岛寓中漫步公寓管理有限公司</t>
  </si>
  <si>
    <t>⽩酒;葡萄酒;酒精饮料原汁;烈酒（饮料）;⽶酒;酒精饮料（啤酒除外）;烧酒;果酒（含酒精）;鸡尾酒;⻩酒</t>
  </si>
  <si>
    <t>家咏</t>
  </si>
  <si>
    <t>丰泽区管收百货商行</t>
  </si>
  <si>
    <t>开胃酒;利⼝酒;清酒;果酒;⽩酒;鸡尾酒;葡萄酒;威⼠忌;烈酒（饮料）;苹果酒</t>
  </si>
  <si>
    <t>初锦仙</t>
  </si>
  <si>
    <t>陈鸣红</t>
  </si>
  <si>
    <t>蒸馏饮料;葡萄酒;烈酒（饮料）;⾷⽤酒精;酒精饮料（啤酒除外）;清酒（⽇本⽶酒）;⽶酒;汽酒;果酒（含酒精）;⽩酒</t>
  </si>
  <si>
    <t>七臻事</t>
  </si>
  <si>
    <t>张立勋</t>
  </si>
  <si>
    <t>果酒（含酒精）;烈酒（饮料）;葡萄酒;酒精饮料（啤酒除外）;开胃酒;⽩兰地;⽶酒;⾕物制蒸馏酒精饮料;⽩酒;朗姆酒</t>
  </si>
  <si>
    <t>拙人街品牌管理（深圳）有限公司</t>
  </si>
  <si>
    <t>樱桃酒;⽩酒;餐后酒（利⼝酒和烈酒）;汽酒;预先混合的酒精饮料（以啤酒为主的除外）;烈酒（饮料）;含⽔果酒精饮料;蒸馏饮料;⽶酒;果酒（含酒精）</t>
  </si>
  <si>
    <t>匠华巅</t>
  </si>
  <si>
    <t>周迎梅</t>
  </si>
  <si>
    <t>烧酒;⽶酒;⾼粱酒;酒精饮料（啤酒除外）;鸡尾酒;⽩酒;烈酒（饮料）;果酒;葡萄酒;⻩酒</t>
  </si>
  <si>
    <t>汉家宝草</t>
  </si>
  <si>
    <t>北京盈科致远科技有限公司</t>
  </si>
  <si>
    <t>⻩酒;烧酒;朗姆酒;⽶酒;清酒（⽇本⽶酒）;鸡尾酒;⽩酒;伏特加酒;苹果酒;葡萄酒</t>
  </si>
  <si>
    <t>佳雨顺</t>
  </si>
  <si>
    <t>亳州市突破生物科技有限公司</t>
  </si>
  <si>
    <t>⽶酒;葡萄酒;⻩酒;⽩酒;汽酒;烈酒;果酒（含酒精）;⻘稞酒;甜酒;烧酒</t>
  </si>
  <si>
    <t>佳旭顺</t>
  </si>
  <si>
    <t>⽩酒;⽶酒;汽酒;⻩酒;⻘稞酒;甜酒;果酒（含酒精）;烧酒;烈酒;葡萄酒</t>
  </si>
  <si>
    <t>浓境</t>
  </si>
  <si>
    <t>蜂蜜酒;威⼠忌;含⽔果酒精饮料;⽩酒;⽶酒;蒸馏饮料;葡萄酒;鸡尾酒;⽩兰地;果酒（含酒精）</t>
  </si>
  <si>
    <t>伍佰旺 WUBWA</t>
  </si>
  <si>
    <t>薄荷酒;葡萄酒;杨梅酒;烈酒;果酒;⻩酒;威⼠忌;含酒精的⽓泡⽔;⽩酒;汽酒</t>
  </si>
  <si>
    <t>香韬</t>
  </si>
  <si>
    <t>刘孜钰</t>
  </si>
  <si>
    <t>⻩酒;开胃酒;烧酒;葡萄酒;⽶酒;汽酒;蒸馏饮料;鸡尾酒;⽩酒;果酒（含酒精）</t>
  </si>
  <si>
    <t>文境酒</t>
  </si>
  <si>
    <t>吉俊彦</t>
  </si>
  <si>
    <t>含水果酒精饮料;酒精饮料（啤酒除外）;青稞酒;葡萄酒;谷物制蒸馏酒精饮料;白酒;烈酒（饮料）;黄酒;朗姆酒;蒸馏饮料</t>
  </si>
  <si>
    <t>吉美妙膳</t>
  </si>
  <si>
    <t>广西吉美尤品健康科技有限公司</t>
  </si>
  <si>
    <t>含⽔果酒精饮料;葡萄酒;⽼酒（中国蒸馏烈酒）;果酒;⽩⼲酒（中国⽩酒）;⽩酒;烧酒;⾼粱酒;⻩酒;烈酒</t>
  </si>
  <si>
    <t>正德泰</t>
  </si>
  <si>
    <t>⽩酒;果酒（含酒精）;⽩兰地;⽶酒;⻩酒;含酒精⽔果饮料;葡萄酒;威⼠忌;⾕物制蒸馏酒精饮料;烧酒</t>
  </si>
  <si>
    <t>喜砚</t>
  </si>
  <si>
    <t>仁怀市谷仓酒馆</t>
  </si>
  <si>
    <t>⽩酒;烈酒（饮料）;⾕物制蒸馏酒精饮料;由⾕物蒸馏的⽩酒;⾼粱酒;葡萄酒;酒精饮料（啤酒除外）;⽶酒;⽼酒（中国蒸馏烈酒）;⾷⽤酒精</t>
  </si>
  <si>
    <t>誉满上</t>
  </si>
  <si>
    <t>张朝会</t>
  </si>
  <si>
    <t>果酒;⽩酒;酒精饮料（啤酒除外）;烈酒（饮料）;开胃酒;葡萄酒;⻩酒;威⼠忌;鸡尾酒;清酒（⽇本⽶酒）</t>
  </si>
  <si>
    <t>臻本适</t>
  </si>
  <si>
    <t>⽩酒;果酒(含酒精);烈酒(饮料);⽶酒;蒸馏饮料;甜酒;⽩兰地;梅酒;威⼠忌;葡萄酒</t>
  </si>
  <si>
    <t>益起微马</t>
  </si>
  <si>
    <t>深圳途有好伴信息技术咨询合伙企业（有限合伙）</t>
  </si>
  <si>
    <t>⻩酒;威⼠忌;葡萄酒;⽶酒;朗姆酒;⽩葡萄酒;烧酒;红葡萄酒;鸡尾酒;⽩酒</t>
  </si>
  <si>
    <t>泸色清花</t>
  </si>
  <si>
    <t>颜杰</t>
  </si>
  <si>
    <t>鸡尾酒;酒精饮料（啤酒除外）;⻩酒;⽩兰地;清酒（⽇本⽶酒）;⽩酒;威⼠忌;果酒（含酒精）;烧酒;葡萄酒</t>
  </si>
  <si>
    <t>爽界</t>
  </si>
  <si>
    <t>张有新</t>
  </si>
  <si>
    <t>⾕物制蒸馏酒精饮料;⽶酒;烈酒（饮料）;⽩酒;鸡尾酒;⾷⽤酒精;利⼝酒;果酒（含酒精）;酒精饮料（啤酒除外）;酒精饮料原汁</t>
  </si>
  <si>
    <t>倾授</t>
  </si>
  <si>
    <t>鸡尾酒;蜂蜜酒;蒸馏饮料;⽩兰地;⽶酒;含⽔果酒精饮料;⽩酒;果酒（含酒精）;葡萄酒;威⼠忌</t>
  </si>
  <si>
    <t>灵猿创</t>
  </si>
  <si>
    <t>蒸馏饮料;餐后酒（利⼝酒和烈酒）;酒精饮料（啤酒除外）;⽶酒;⽩酒;烧酒;预先混合的酒精饮料（以啤酒为主的除外）;鸡尾酒;葡萄酒;⾷⽤酒精</t>
  </si>
  <si>
    <t>秘友</t>
  </si>
  <si>
    <t>果酒;开胃酒;⽩酒;清酒;威⼠忌;葡萄酒;苹果酒;烈酒（饮料）;利⼝酒;鸡尾酒</t>
  </si>
  <si>
    <t>宛师傅</t>
  </si>
  <si>
    <t>严楠</t>
  </si>
  <si>
    <t>鸡尾酒;⽶酒;果酒（含酒精）;酒精饮料（啤酒除外）;⻩酒;威⼠忌;⽩酒;烈酒（饮料）;葡萄酒;烧酒</t>
  </si>
  <si>
    <t>迷彩闪电</t>
  </si>
  <si>
    <t>六十三(重庆)科技有限公司</t>
  </si>
  <si>
    <t>⽶酒;葡萄酒;蒸馏饮料;⽩酒;⻘稞酒;鸡尾酒;开胃酒;果酒（含酒精）;薄荷酒;苹果酒</t>
  </si>
  <si>
    <t>录龙门</t>
  </si>
  <si>
    <t>烧酒;米酒;葡萄酒;威士忌;高粱酒;白兰地;开胃酒;鸡尾酒;白酒;烈酒（饮料）</t>
  </si>
  <si>
    <t>年画运</t>
  </si>
  <si>
    <t>⾷⽤酒精;含酒精的饮料（啤酒除外）;⽩⼲酒（中国⽩酒）;⽩酒;餐后酒（利⼝酒和烈酒）;⽼酒（中国蒸馏烈酒）;烈酒;果酒（含酒精）;烧酒;蒸煮提取物（利⼝酒和烈酒）</t>
  </si>
  <si>
    <t>百师颂</t>
  </si>
  <si>
    <t>南京云柿供应链管理有限公司</t>
  </si>
  <si>
    <t>开胃酒;威⼠忌;果酒（含酒精）;葡萄酒;⻩酒;酒精饮料（啤酒除外）;清酒;烈酒;鸡尾酒;⽩酒</t>
  </si>
  <si>
    <t>祖址</t>
  </si>
  <si>
    <t>蒸馏饮料;葡萄酒;含⽔果酒精饮料;蜂蜜酒;⽩兰地;果酒（含酒精）;威⼠忌;⽶酒;鸡尾酒;⽩酒</t>
  </si>
  <si>
    <t>屹天剑</t>
  </si>
  <si>
    <t>四川屹天剑体育文化发展有限公司</t>
  </si>
  <si>
    <t>果酒;烧酒;葡萄酒;⽶酒;⾷⽤酒精;含酒精的饮料（啤酒除外）;烈酒;⽩酒;⻩酒;⾼粱酒</t>
  </si>
  <si>
    <t>吴正松</t>
  </si>
  <si>
    <t>果酒（含酒精）;烧酒;葡萄酒;餐后酒（利⼝酒和烈酒）;开胃酒;⽩酒;酒精饮料（啤酒除外）;清酒（⽇本⽶酒）;⽶酒;梨酒</t>
  </si>
  <si>
    <t>子龙志</t>
  </si>
  <si>
    <t>预先混合的酒精饮料（以啤酒为主的除外）;苦味酒;汽酒;酒精饮料（啤酒除外）;烧酒;含⽔果酒精饮料;⻩酒;果酒;葡萄酒;⽩酒</t>
  </si>
  <si>
    <t>酌志</t>
  </si>
  <si>
    <t>烈酒（饮料）;威⼠忌;⽶酒;烧酒;葡萄酒;⽩酒;鸡尾酒;果酒（含酒精）;酒精饮料（啤酒除外）;⻩酒</t>
  </si>
  <si>
    <t>上中天</t>
  </si>
  <si>
    <t>⾷⽤酒精;烧酒;烈酒;含酒精的⽓泡⽔;⻘稞酒;汽酒;⻩酒;果酒;清酒;⽩酒</t>
  </si>
  <si>
    <t>珍大咖</t>
  </si>
  <si>
    <t>吴正锋</t>
  </si>
  <si>
    <t>开胃酒;⻩酒;果酒（含酒精）;⽩酒;⽶酒;⾷⽤酒精;酒精饮料（啤酒除外）;葡萄酒;威⼠忌;烧酒</t>
  </si>
  <si>
    <t>悦之年</t>
  </si>
  <si>
    <t>井陉县国岚商贸有限公司</t>
  </si>
  <si>
    <t>⽩⼲酒（中国⽩酒）;⻘稞酒;⾼粱酒;⽼酒（中国蒸馏烈酒）;烈酒;⻩酒;五加⽪酒（中国混合烈酒）;⽩酒;蒸煮提取物（利⼝酒和烈酒）;烧酒</t>
  </si>
  <si>
    <t>承汉唐</t>
  </si>
  <si>
    <t>葡萄酒;鸡尾酒;蜂蜜酒;⽩兰地;⽩酒;蒸馏饮料;威⼠忌;含⽔果酒精饮料;⽶酒;果酒（含酒精）</t>
  </si>
  <si>
    <t>空山月</t>
  </si>
  <si>
    <t>东营区满觉陇茶艺工作室</t>
  </si>
  <si>
    <t>含⽔果酒精饮料;⻩酒;露酒;果酒（含酒精）;清酒;⽩酒;⽩兰地;⽶酒;梅酒;烈酒</t>
  </si>
  <si>
    <t>语天醉</t>
  </si>
  <si>
    <t>李兵</t>
  </si>
  <si>
    <t>⻩酒;利⼝酒;⻘稞酒;甜果酒;清酒;葡萄酒;⽩酒;苹果酒;果酒;⽶酒</t>
  </si>
  <si>
    <t>知本金</t>
  </si>
  <si>
    <t>南京维克多文化传播有限公司</t>
  </si>
  <si>
    <t>含酒精⽔果饮料;烧酒;含酒精的⽓泡⽔;桃红葡萄酒;⽩酒;酒精饮料原汁;⾷⽤酒精;果酒（含酒精）;烈酒（饮料）;鸡尾酒</t>
  </si>
  <si>
    <t>九山吟</t>
  </si>
  <si>
    <t>七雨食品有限公司</t>
  </si>
  <si>
    <t>酒精饮料（啤酒除外）;含⽔果酒精饮料;⽶酒;果酒（含酒精）;鸡尾酒;⻩酒;⾷⽤酒精;葡萄酒;⽩兰地;⽩酒</t>
  </si>
  <si>
    <t>颂八方</t>
  </si>
  <si>
    <t>酒精饮料（啤酒除外）;⽶酒;甜酒;清酒;葡萄酒;⻩酒;果酒;鸡尾酒;⽩酒;烧酒</t>
  </si>
  <si>
    <t>穗礼人家</t>
  </si>
  <si>
    <t>南京匠馨商贸有限公司</t>
  </si>
  <si>
    <t>葡萄酒;清酒;烧酒;酒精饮料（啤酒除外）;⽩兰地;汽酒;开胃酒;⾷⽤酒精;⽩酒;果酒（含酒精）</t>
  </si>
  <si>
    <t>刘小熊</t>
  </si>
  <si>
    <t>鞍山市万德商贸有限公司</t>
  </si>
  <si>
    <t>⽩酒;汽酒;⻩酒;露酒;含⽔果酒精饮料;烈酒（饮料）;苦荞酒;利⼝酒;预先混合的酒精饮料（以啤酒为主的除外）;⽶酒</t>
  </si>
  <si>
    <t>仙境龙凤</t>
  </si>
  <si>
    <t>陕西龙凤电子科技有限公司</t>
  </si>
  <si>
    <t>果酒;甜果酒;含⽔果酒精饮料;⽩兰地;⻩酒;含酒精的饮料（啤酒除外）;红葡萄酒;⽩酒;威⼠忌;清酒;甜酒;⻘梅酒;⾕物制蒸馏酒精饮料;⽩⼲酒（中国⽩酒）;由⾕物蒸馏的⽩酒;⾼粱酒;⽶酒;葡萄酒</t>
  </si>
  <si>
    <t>府友</t>
  </si>
  <si>
    <t>葡萄酒;⽩酒;威⼠忌;苹果酒;利⼝酒;果酒;清酒;开胃酒;鸡尾酒;烈酒（饮料）</t>
  </si>
  <si>
    <t>北友</t>
  </si>
  <si>
    <t>开胃酒;葡萄酒;烈酒（饮料）;利⼝酒;苹果酒;清酒;果酒;鸡尾酒;⽩酒;威⼠忌</t>
  </si>
  <si>
    <t>向上之路</t>
  </si>
  <si>
    <t>上海爱驾文化传媒有限公司</t>
  </si>
  <si>
    <t>⽩酒;⽩兰地;葡萄酒;蒸煮提取物（利⼝酒和烈酒）;威⼠忌;汽酒;酒精饮料（啤酒除外）;蒸馏饮料;含酒精⽔果饮料;果酒</t>
  </si>
  <si>
    <t>七彩秦川</t>
  </si>
  <si>
    <t>陕西秦川酒酒业有限公司</t>
  </si>
  <si>
    <t>⻩酒;烧酒;⽶酒;葡萄酒;蜂蜜酒;蒸馏饮料;含酒精的⽔果鸡尾酒饮料;开胃酒;果酒（含酒精）;⽩酒</t>
  </si>
  <si>
    <t>艺纭华</t>
  </si>
  <si>
    <t>孙占坤</t>
  </si>
  <si>
    <t>⻩酒;葡萄酒;烧酒;⽩酒;⽩兰地;⾷⽤酒精;樱桃酒;⻘稞酒;⽶酒;鸡尾酒</t>
  </si>
  <si>
    <t>尽威</t>
  </si>
  <si>
    <t>⽩酒;含⽔果酒精饮料;⽶酒;⾷⽤酒精;威⼠忌;果酒（含酒精）;烈酒（饮料）;⻘稞酒;⻩酒;烧酒</t>
  </si>
  <si>
    <t>琉珺</t>
  </si>
  <si>
    <t>鸡尾酒;葡萄酒;烧酒;果酒;⽩酒;⻩酒;⽶酒;开胃酒;含⽔果酒精饮料;烈酒</t>
  </si>
  <si>
    <t>砚门</t>
  </si>
  <si>
    <t>⾕物制蒸馏酒精饮料;葡萄酒;⽶酒;⾷⽤酒精;酒精饮料（啤酒除外）;⽼酒（中国蒸馏烈酒）;⾼粱酒;由⾕物蒸馏的⽩酒;烈酒（饮料）;⽩酒</t>
  </si>
  <si>
    <t>历鉴</t>
  </si>
  <si>
    <t>威⼠忌;朗姆酒;果酒（含酒精）;葡萄酒;清酒;烈酒（饮料）;⽩兰地;⽩酒;⻩酒;⾷⽤酒精</t>
  </si>
  <si>
    <t>渊名酒业</t>
  </si>
  <si>
    <t>⻩酒;鸡尾酒;⽩酒;酒精饮料（啤酒除外）;葡萄酒;果酒;烈酒（饮料）;开胃酒;威⼠忌;清酒（⽇本⽶酒）</t>
  </si>
  <si>
    <t>添砖</t>
  </si>
  <si>
    <t>朱小英</t>
  </si>
  <si>
    <t>烧酒;⻩酒;葡萄酒;⽩兰地;⽩酒;果酒（含酒精）;威⼠忌;⽶酒;⾕物制蒸馏酒精饮料;含酒精⽔果饮料</t>
  </si>
  <si>
    <t>古蜀御液</t>
  </si>
  <si>
    <t>四川古蜀坊酒业有限责任公司</t>
  </si>
  <si>
    <t>酒精饮料（啤酒除外）;酒精饮料原汁;⾼粱酒;烈酒;清酒（⽇本⽶酒）;⽩酒;葡萄酒;鸡尾酒;果酒（含酒精）;⽩⼲酒（中国⽩酒）</t>
  </si>
  <si>
    <t>2024/06/26</t>
  </si>
  <si>
    <t>徐享梁</t>
  </si>
  <si>
    <t>已调味的蒸馏酒;⽩酒;⻩酒;葡萄酒;汽酒;烧酒;果酒;⽶酒;⾷⽤酒精;酒精饮料（啤酒除外）</t>
  </si>
  <si>
    <t>御御生坊</t>
  </si>
  <si>
    <t>广州市御生坊健康咨询服务有限公司</t>
  </si>
  <si>
    <t>朗姆酒;开胃酒;鸡尾酒;⻩酒;伏特加酒;⽩酒;果酒（含酒精）;葡萄酒;烧酒;蒸馏饮料</t>
  </si>
  <si>
    <t>东歌森</t>
  </si>
  <si>
    <t>东歌森贸易（上海）有限公司</t>
  </si>
  <si>
    <t>威⼠忌;烧酒（烈酒）;⽩兰地;朗姆酒;清酒;威末酒;烈酒;利⼝酒;杜松⼦酒;葡萄酒</t>
  </si>
  <si>
    <t>淝斛玉液</t>
  </si>
  <si>
    <t>合肥淝上汇品牌管理有限公司</t>
  </si>
  <si>
    <t>⻩酒;威⼠忌;鸡尾酒;⽩酒;⽶酒;清酒（⽇本⽶酒）;葡萄酒;伏特加酒;烈酒;⽩兰地</t>
  </si>
  <si>
    <t>佐小氿</t>
  </si>
  <si>
    <t>扬州刁一拾餐饮管理有限公司</t>
  </si>
  <si>
    <t>葡萄酒;⽶酒;果酒;⽩酒;⻩酒;酒精饮料（啤酒除外）;已调味的蒸馏酒;⽩兰地;威⼠忌;⾷⽤酒精</t>
  </si>
  <si>
    <t>花筹</t>
  </si>
  <si>
    <t>大冶六丰农业发展有限公司</t>
  </si>
  <si>
    <t>威⼠忌;薄荷酒;开胃酒;酒精饮料（啤酒除外）;葡萄酒;⽩酒;含⽔果酒精饮料;果酒（含酒精）;蒸馏饮料;⻩酒</t>
  </si>
  <si>
    <t>李夏好邻居</t>
  </si>
  <si>
    <t>威海李夏传媒有限公司</t>
  </si>
  <si>
    <t>⽩酒;酒精饮料（啤酒除外）;苹果酒;⽶酒;葡萄酒;酒精饮料原汁;鸡尾酒;蜂蜜酒;果酒;含⽔果酒精饮料</t>
  </si>
  <si>
    <t>晴名色</t>
  </si>
  <si>
    <t>徐英平</t>
  </si>
  <si>
    <t>葡萄酒;烈酒（饮料）;果酒（含酒精）;⽩兰地;威⼠忌;朗姆酒;伏特加酒;⾷⽤酒精;⽩酒;⻩酒</t>
  </si>
  <si>
    <t>窖开禧来</t>
  </si>
  <si>
    <t>重庆昂扬物资有限公司</t>
  </si>
  <si>
    <t>⻩酒;蒸馏饮料;葡萄酒;⽩酒;⾷⽤酒精;含⽔果酒精饮料;果酒（含酒精）;烧酒;⽶酒;⽼酒（中国蒸馏烈酒）</t>
  </si>
  <si>
    <t>以琳泉</t>
  </si>
  <si>
    <t>刘汉金</t>
  </si>
  <si>
    <t>烧酒;樱桃酒;⽩酒;⽶酒;果酒（含酒精）;葡萄酒;朝鲜族⽶酒;⻘稞酒;⻩酒;伏特加酒</t>
  </si>
  <si>
    <t>山野徽</t>
  </si>
  <si>
    <t>合肥半勺企业管理咨询有限公司</t>
  </si>
  <si>
    <t>果酒;鸡尾酒;清酒;威⼠忌;酒精饮料（啤酒除外）;⽶酒;葡萄酒;甜酒;预先混合的酒精饮料（以啤酒为主的除外）;餐后酒（利⼝酒和烈酒）</t>
  </si>
  <si>
    <t>酿樊</t>
  </si>
  <si>
    <t>陈肖</t>
  </si>
  <si>
    <t>蒸煮提取物（利⼝酒和烈酒）;葡萄酒;烧酒;⾷⽤酒精;果酒（含酒精）;烧酒（烈酒）;酒精饮料（啤酒除外）;⽶酒;⽩酒;酒精饮料浓缩汁</t>
  </si>
  <si>
    <t>叁陆武</t>
  </si>
  <si>
    <t>安徽省叁陆伍农业发展有限公司</t>
  </si>
  <si>
    <t>⽼酒（中国蒸馏烈酒）;⾼粱酒;薄荷酒;烧酒（烈酒）;鸡尾酒;⻩酒;清酒（⽇本⽶酒）;⽩酒;⽶酒;果酒</t>
  </si>
  <si>
    <t>誉仙鹤</t>
  </si>
  <si>
    <t>蒋连云</t>
  </si>
  <si>
    <t>⽶酒;⽩酒;葡萄酒;威⼠忌;酒精饮料（啤酒除外）;烧酒;鸡尾酒;⻩酒;果酒（含酒精）;烈酒（饮料）</t>
  </si>
  <si>
    <t>奕庐</t>
  </si>
  <si>
    <t>深圳觅寻电子商务有限公司</t>
  </si>
  <si>
    <t>⽶酒;果酒（含酒精）;威⼠忌;开胃酒;⻩酒;汽酒;蒸馏饮料;⽩酒;鸡尾酒;葡萄酒</t>
  </si>
  <si>
    <t>荆宋湖</t>
  </si>
  <si>
    <t>由⾕物蒸馏的⽩酒;⽶酒;⽼酒（中国蒸馏烈酒）;烈酒;⽩酒;苦荞酒;⾼粱酒;烧酒;⽩⼲酒（中国⽩酒）;⻩酒</t>
  </si>
  <si>
    <t>丹犟</t>
  </si>
  <si>
    <t>烧酒;鸡尾酒;开胃酒;薄荷酒;⽶酒;伏特加酒;烈酒（饮料）;威⼠忌;蜂蜜酒;⽩酒</t>
  </si>
  <si>
    <t>黔王剑</t>
  </si>
  <si>
    <t>陈号子</t>
  </si>
  <si>
    <t>⽶酒;酒精饮料（啤酒除外）;⽩酒;预先混合的酒精饮料（以啤酒为主的除外）;果酒;烈酒;预调甜酒;烧酒;开胃酒;⻩酒</t>
  </si>
  <si>
    <t>JANESLOCK</t>
  </si>
  <si>
    <t>广东坚士制锁有限公司</t>
  </si>
  <si>
    <t>⽩酒;⾷⽤酒精;烈酒;烧酒;露酒;葡萄酒;⽶酒;汽酒;⻩酒;果酒</t>
  </si>
  <si>
    <t>益优零果</t>
  </si>
  <si>
    <t>安化县清塘稻花鱼生态农业科技有限公司</t>
  </si>
  <si>
    <t>果酒（含酒精）;酒精饮料（啤酒除外）;含⽔果酒精饮料;开胃酒;⽩酒;酒精饮料原汁;烈酒（饮料）;以葡萄酒为主的饮料;烧酒;鸡尾酒</t>
  </si>
  <si>
    <t>粮清欢</t>
  </si>
  <si>
    <t>鸡尾酒;⽩酒;甜酒;酒精饮料（啤酒除外）;葡萄酒;⾼粱酒;⻩酒;果酒;⽶酒;烧酒</t>
  </si>
  <si>
    <t>古蜀佳酿</t>
  </si>
  <si>
    <t>果酒（含酒精）;⽩⼲酒（中国⽩酒）;⾼粱酒;烈酒;酒精饮料原汁;清酒（⽇本⽶酒）;⽩酒;葡萄酒;酒精饮料（啤酒除外）;鸡尾酒</t>
  </si>
  <si>
    <t>酒有戏</t>
  </si>
  <si>
    <t>北京有戏未来健康科技有限公司</t>
  </si>
  <si>
    <t>含⽔果酒精饮料;朗姆酒;预先混合的酒精饮料（以啤酒为主的除外）;果酒（含酒精）;薄荷酒;酒精饮料（啤酒除外）;酒精饮料原汁;酒精饮料浓缩汁;⽩酒;苹果酒</t>
  </si>
  <si>
    <t>LONGZHIXINSHENGTAILIAN</t>
  </si>
  <si>
    <t>龙之心生态农业科技发展(济南)有限公司</t>
  </si>
  <si>
    <t>烈酒（饮料）;蒸馏饮料;威⼠忌;果酒（含酒精）;⽶酒;⻩酒;苹果酒;葡萄酒;鸡尾酒;⽩酒</t>
  </si>
  <si>
    <t>望八方</t>
  </si>
  <si>
    <t>烧酒;⻩酒;甜酒;鸡尾酒;⽶酒;⾼粱酒;葡萄酒;果酒;酒精饮料（啤酒除外）;⽩酒</t>
  </si>
  <si>
    <t>古蜀大师</t>
  </si>
  <si>
    <t>果酒（含酒精）;清酒（⽇本⽶酒）;⽩酒;葡萄酒;酒精饮料原汁;⽩⼲酒（中国⽩酒）;烈酒;鸡尾酒;酒精饮料（啤酒除外）;⾼粱酒</t>
  </si>
  <si>
    <t>源古丰禾</t>
  </si>
  <si>
    <t>果酒;露酒;⽶酒;⽩酒;开胃酒;葡萄酒;甜酒;果酒（含酒精）;烧酒;含⽔果酒精饮料</t>
  </si>
  <si>
    <t>源商渠晟</t>
  </si>
  <si>
    <t>云南衢晟食品有限责任公司</t>
  </si>
  <si>
    <t>⽩酒;果酒（含酒精）;酒精饮料（啤酒除外）;烧酒;⾷⽤酒精;含⽔果酒精饮料;酒精饮料原汁;⽶酒;烈酒（饮料）;葡萄酒</t>
  </si>
  <si>
    <t>和盛普兴</t>
  </si>
  <si>
    <t>和盛联（广州）餐饮企业管理有限公司</t>
  </si>
  <si>
    <t>⽩酒;⽩⼲酒（中国⽩酒）;烧酒;鸡尾酒;⽶酒;⾼粱酒;含酒精⽔果饮料;葡萄酒;清酒（⽇本⽶酒）;烈酒</t>
  </si>
  <si>
    <t>健浔</t>
  </si>
  <si>
    <t>海口美兰木多食品经营部（个体工商户）</t>
  </si>
  <si>
    <t>酒精饮料（啤酒除外）;梅酒;⽩酒;威⼠忌;果酒;葡萄酒;清酒;烧酒;⻩酒;⽶酒</t>
  </si>
  <si>
    <t>释柏年</t>
  </si>
  <si>
    <t>⻩酒;果酒（含酒精）;餐后酒（利⼝酒和烈酒）;酒精饮料原汁;⽩酒;⽶酒;葡萄酒;烈酒（饮料）;烧酒;酒精饮料（啤酒除外）</t>
  </si>
  <si>
    <t>古蜀酒道</t>
  </si>
  <si>
    <t>果酒（含酒精）;⽩⼲酒（中国⽩酒）;酒精饮料（啤酒除外）;酒精饮料原汁;鸡尾酒;⽩酒;葡萄酒;⾼粱酒;清酒（⽇本⽶酒）;烈酒</t>
  </si>
  <si>
    <t>古蜀青铜行者</t>
  </si>
  <si>
    <t>葡萄酒;酒精饮料原汁;⽩酒;清酒（⽇本⽶酒）;鸡尾酒;果酒（含酒精）;烈酒;⾼粱酒;酒精饮料（啤酒除外）;⽩⼲酒（中国⽩酒）</t>
  </si>
  <si>
    <t>古蜀翡翠</t>
  </si>
  <si>
    <t>⽩⼲酒（中国⽩酒）;果酒（含酒精）;烈酒;葡萄酒;清酒（⽇本⽶酒）;⽩酒;酒精饮料原汁;⾼粱酒;鸡尾酒;酒精饮料（啤酒除外）</t>
  </si>
  <si>
    <t>精彩绮美拉</t>
  </si>
  <si>
    <t>杭州暃旸电子商务有限公司</t>
  </si>
  <si>
    <t>烧酒;果酒（含酒精）;⽶酒;葡萄酒;烈酒（饮料）;⽩酒;鸡尾酒;清酒（⽇本⽶酒）;⻩酒;含酒精的饮料（啤酒除外）</t>
  </si>
  <si>
    <t>梅岭云端</t>
  </si>
  <si>
    <t>南昌市怡景旅游投资有限公司</t>
  </si>
  <si>
    <t>烈酒;除啤酒外的酒精饮料;果酒;鸡尾酒;⽶酒;⽔果汽酒;葡萄酒;含⽔果酒精饮料;⾼粱酒;⽩酒</t>
  </si>
  <si>
    <t>晔昂甄选</t>
  </si>
  <si>
    <t>山东晔昂农业发展有限公司</t>
  </si>
  <si>
    <t>除啤酒外的酒精饮料;伏特加酒;葡萄酒;鸡尾酒;⻩酒;烧酒（烈酒）;威⼠忌;⽶酒;⽩酒;汽酒</t>
  </si>
  <si>
    <t>顶修</t>
  </si>
  <si>
    <t>⽶酒;果酒;⽩酒;预调甜酒;烈酒;开胃酒;烧酒;酒精饮料（啤酒除外）;⻩酒;预先混合的酒精饮料（以啤酒为主的除外）</t>
  </si>
  <si>
    <t>岚萃里</t>
  </si>
  <si>
    <t>四川岚萃里企业管理有限公司</t>
  </si>
  <si>
    <t>果酒（含酒精）;烈酒（饮料）;酒精饮料（啤酒除外）;葡萄酒;威⼠忌;酸酒（低等葡萄酒）;⻩酒;⽩酒;苹果酒;⽩兰地</t>
  </si>
  <si>
    <t>巴泉特</t>
  </si>
  <si>
    <t>哈尔滨市天泉酿酒有限公司</t>
  </si>
  <si>
    <t>⽶酒;蒸煮提取物（利⼝酒和烈酒）;⾷⽤酒精;果酒（含酒精）;⽩酒;烧酒;开胃酒;蒸馏饮料;汽酒;酒精饮料（啤酒除外）</t>
  </si>
  <si>
    <t>夕阳收藏家</t>
  </si>
  <si>
    <t>悦想语者（青岛）文化科技有限公司</t>
  </si>
  <si>
    <t>果酒（含酒精）;威⼠忌;⽶酒;酒精饮料（啤酒除外）;⽩酒;蒸馏饮料;预先混合的酒精饮料（以啤酒为主的除外）;含酒精的⽓泡⽔;⻩酒;含⽔果酒精饮料</t>
  </si>
  <si>
    <t>鸡尾酒;⾷⽤酒精;葡萄酒;⽶酒;含酒精的⽓泡⽔;⾼粱酒;果酒（含酒精）;⽩酒;烧酒;⻘稞酒</t>
  </si>
  <si>
    <t>高洲春之酿</t>
  </si>
  <si>
    <t>四川省宜宾高洲酒业有限责任公司</t>
  </si>
  <si>
    <t>⽶酒;烈酒（饮料）;餐后酒（利⼝酒和烈酒）;⾕物制蒸馏酒精饮料;果酒（含酒精）;葡萄酒;露酒;⽩酒;蒸馏饮料;苹果酒</t>
  </si>
  <si>
    <t>高洲秋之酿</t>
  </si>
  <si>
    <t>蒸馏饮料;⽶酒;⽩酒;果酒（含酒精）;餐后酒（利⼝酒和烈酒）;露酒;苹果酒;⾕物制蒸馏酒精饮料;烈酒（饮料）;葡萄酒</t>
  </si>
  <si>
    <t>栗之尖</t>
  </si>
  <si>
    <t>航跃(五峰)生态农业有限公司</t>
  </si>
  <si>
    <t>酒精饮料原汁;⻩酒;⽩酒;葡萄酒;⽶酒;蜂蜜酒;果酒（含酒精）;酒精饮料（啤酒除外）;已调味的⻨芽酿制的酒精饮料（啤酒除外）;⾷⽤酒精</t>
  </si>
  <si>
    <t>MIKIMOTO</t>
  </si>
  <si>
    <t>株式会社御木本</t>
  </si>
  <si>
    <t>古蜀景泰</t>
  </si>
  <si>
    <t>酒精饮料（啤酒除外）;酒精饮料原汁;⾼粱酒;清酒（⽇本⽶酒）;鸡尾酒;果酒（含酒精）;烈酒;⽩⼲酒（中国⽩酒）;⽩酒;葡萄酒</t>
  </si>
  <si>
    <t>生真源</t>
  </si>
  <si>
    <t>深圳时感应科技有限公司</t>
  </si>
  <si>
    <t>果酒（含酒精）;开胃酒;鸡尾酒;酒精饮料（啤酒除外）;⽶酒;威⼠忌;⽩酒;汽酒;⽩兰地;烧酒</t>
  </si>
  <si>
    <t>怀庄文化品牌</t>
  </si>
  <si>
    <t>⾷⽤酒精;鸡尾酒;酒精饮料（啤酒除外）;⽶酒;烈酒（饮料）;葡萄酒;⽩酒;烧酒;果酒（含酒精）;甜果酒</t>
  </si>
  <si>
    <t>晨杨</t>
  </si>
  <si>
    <t>重庆晨杨食品有限公司</t>
  </si>
  <si>
    <t>薄荷酒;⽩兰地;威⼠忌;茴芹酒（利⼝酒）;鸡尾酒;葡萄酒;开胃酒;⽩酒;苦味酒;苹果酒</t>
  </si>
  <si>
    <t>桑然</t>
  </si>
  <si>
    <t>杨阿暖</t>
  </si>
  <si>
    <t>⽩酒;清酒（⽇本⽶酒）;鸡尾酒;酒精饮料（啤酒除外）;葡萄酒;⻩酒;开胃酒;威⼠忌;果酒;烈酒（饮料）</t>
  </si>
  <si>
    <t>古蜀王</t>
  </si>
  <si>
    <t>清酒（⽇本⽶酒）;烈酒;果酒（含酒精）;⽩酒;酒精饮料原汁;鸡尾酒;⽩⼲酒（中国⽩酒）;葡萄酒;酒精饮料（啤酒除外）;⾼粱酒</t>
  </si>
  <si>
    <t>古蜀琉璃</t>
  </si>
  <si>
    <t>清酒（⽇本⽶酒）;⽩⼲酒（中国⽩酒）;⽩酒;⾼粱酒;酒精饮料（啤酒除外）;酒精饮料原汁;鸡尾酒;果酒（含酒精）;葡萄酒;烈酒</t>
  </si>
  <si>
    <t>沧海东方</t>
  </si>
  <si>
    <t>黄卿</t>
  </si>
  <si>
    <t>葡萄酒;⽩兰地;⽼酒（中国蒸馏烈酒）;⾕物制蒸馏酒精饮料;露酒;⽩酒;酒精饮料（啤酒除外）;⾼粱酒;梅酒;威⼠忌</t>
  </si>
  <si>
    <t>御木本</t>
  </si>
  <si>
    <t>丰势</t>
  </si>
  <si>
    <t>预调甜酒;⽩酒;烧酒;预先混合的酒精饮料（以啤酒为主的除外）;烈酒;⽶酒;开胃酒;酒精饮料（啤酒除外）;果酒;⻩酒</t>
  </si>
  <si>
    <t>众视健康</t>
  </si>
  <si>
    <t>广州众视健康管理有限公司</t>
  </si>
  <si>
    <t>薄荷酒;酸酒（低等葡萄酒）;⽶酒;⽩酒;⻩酒;蒸馏饮料;餐后酒（利⼝酒和烈酒）;酒精饮料浓缩汁;⻘稞酒;果酒（含酒精）</t>
  </si>
  <si>
    <t>宣亭郡</t>
  </si>
  <si>
    <t>宣晗</t>
  </si>
  <si>
    <t>酒精饮料（啤酒除外）;⽶酒;预先混合的酒精饮料（以啤酒为主的除外）;葡萄酒;烧酒;利⼝酒;⾷⽤酒精;⽩酒;果酒（含酒精）;⻩酒</t>
  </si>
  <si>
    <t>蔡百岁</t>
  </si>
  <si>
    <t>徐桂琴</t>
  </si>
  <si>
    <t>⾼粱酒;蝮蛇酒;苦艾酒;⽶酒;草莓酒;梅酒;烈酒;杨梅酒;⽩酒;五加⽪酒（中国混合烈酒）</t>
  </si>
  <si>
    <t>金川高山</t>
  </si>
  <si>
    <t>曾朝香513226********1629</t>
  </si>
  <si>
    <t>酒精饮料（啤酒除外）;烧酒;烈酒（饮料）;⽢蔗制烈酒;鸡尾酒;⻩酒;⽩酒;果酒（含酒精）;⽶酒;葡萄酒</t>
  </si>
  <si>
    <t>米喜鹿</t>
  </si>
  <si>
    <t>威⼠忌;⽩酒;⻩酒;果酒（含酒精）;酒精饮料（啤酒除外）;葡萄酒;鸡尾酒;烈酒（饮料）;⽶酒;烧酒</t>
  </si>
  <si>
    <t>彤昶韩滩</t>
  </si>
  <si>
    <t>成都韩滩老窖酒业有限公司</t>
  </si>
  <si>
    <t>果酒（含酒精）;烈酒;葡萄酒;高粱酒;烈酒（饮料）;甜酒;烧酒;黄酒;除啤酒外的酒精饮料;白酒</t>
  </si>
  <si>
    <t>望季</t>
  </si>
  <si>
    <t>龚明平522130********3625</t>
  </si>
  <si>
    <t>葡萄酒;威⼠忌;果酒（含酒精）;⽶酒;⻩酒;烧酒;开胃酒;酒精饮料（啤酒除外）;⽩酒;⾷⽤酒精</t>
  </si>
  <si>
    <t>古蜀瑰宝</t>
  </si>
  <si>
    <t>白干酒（中国白酒）;葡萄酒;高粱酒;果酒（含酒精）;白酒;酒精饮料（啤酒除外）;酒精饮料原汁;鸡尾酒;清酒（日本米酒）;烈酒</t>
  </si>
  <si>
    <t>春花序</t>
  </si>
  <si>
    <t>黄海祥</t>
  </si>
  <si>
    <t>⻩酒;鸡尾酒;葡萄酒;果酒（含酒精）;蜂蜜酒;⽶酒;威⼠忌;清酒（⽇本⽶酒）;烈酒（饮料）;⽩酒</t>
  </si>
  <si>
    <t>银辰农畔</t>
  </si>
  <si>
    <t>青岛银辰农业科技有限公司</t>
  </si>
  <si>
    <t>烈酒（饮料）;酒精饮料（啤酒除外）;酒精饮料浓缩汁;⻩酒;⽩酒;⽶酒;葡萄酒;果酒（含酒精）;含⽔果酒精饮料;烧酒</t>
  </si>
  <si>
    <t>优顿绿都</t>
  </si>
  <si>
    <t>宽甸满族自治县忠盛门窗幕墙装潢有限公司</t>
  </si>
  <si>
    <t>果酒（含酒精）;⻩酒;鸡尾酒;⽶酒;⽩酒;烧酒;伏特加酒;蒸馏饮料;葡萄酒;⻘稞酒</t>
  </si>
  <si>
    <t>华循</t>
  </si>
  <si>
    <t>⻩酒;烧酒;威⼠忌;葡萄酒;⽩酒;果酒;含酒精的饮料（啤酒除外）;梅酒;汽酒;⽶酒</t>
  </si>
  <si>
    <t>古蜀合欢</t>
  </si>
  <si>
    <t>果酒（含酒精）;白酒;葡萄酒;清酒（日本米酒）;鸡尾酒;烈酒;酒精饮料原汁;高粱酒;酒精饮料（啤酒除外）;白干酒（中国白酒）</t>
  </si>
  <si>
    <t>璊瑞</t>
  </si>
  <si>
    <t>徐瑞芳</t>
  </si>
  <si>
    <t>清酒;⽶酒;葡萄酒;⽩酒;烧酒;果酒;烈酒;蒸馏饮料;酒精饮料（啤酒除外）;⻩酒</t>
  </si>
  <si>
    <t>柏年祥</t>
  </si>
  <si>
    <t>葡萄酒;酒精饮料原汁;⻩酒;烧酒;酒精饮料（啤酒除外）;餐后酒（利⼝酒和烈酒）;烈酒（饮料）;⽶酒;⽩酒;果酒（含酒精）</t>
  </si>
  <si>
    <t>五子娃</t>
  </si>
  <si>
    <t>太极集团四川绵阳制药有限公司</t>
  </si>
  <si>
    <t>开胃酒;鸡尾酒;威士忌;烈酒（饮料）;清酒（日本米酒）;利口酒;米酒;白酒;果酒（含酒精）;食用酒精</t>
  </si>
  <si>
    <t>漠海藏</t>
  </si>
  <si>
    <t>张少锋</t>
  </si>
  <si>
    <t>开胃酒;葡萄酒;黄酒;米酒;白兰地;果酒（含酒精）;烧酒;白酒;利口酒;酒精饮料（啤酒除外）</t>
  </si>
  <si>
    <t>玉酒翁</t>
  </si>
  <si>
    <t>李云</t>
  </si>
  <si>
    <t>鸡尾酒;威⼠忌;酒精饮料（啤酒除外）;⽶酒;⽩酒;酒精饮料原汁;果酒（含酒精）;葡萄酒;烈酒（饮料）;⻩酒</t>
  </si>
  <si>
    <t>后羿英雄</t>
  </si>
  <si>
    <t>钱凤娥</t>
  </si>
  <si>
    <t>威⼠忌;烧酒;⽩酒;鸡尾酒;⻩酒;果酒（含酒精）;⽩兰地;葡萄酒;酒精饮料（啤酒除外）;清酒（⽇本⽶酒）</t>
  </si>
  <si>
    <t>钱特加</t>
  </si>
  <si>
    <t>龚子雨</t>
  </si>
  <si>
    <t>含酒精蛋奶酒;汽酒;米酒;葡萄酒;青稞酒;酒精饮料（啤酒除外）;果酒;白酒;黄酒;烧酒</t>
  </si>
  <si>
    <t>宜文酒</t>
  </si>
  <si>
    <t>刘国勤</t>
  </si>
  <si>
    <t>鸡尾酒;含⽔果酒精饮料;葡萄酒;⽩酒;清酒;酒精饮料（啤酒除外）;⽶酒;烧酒;红葡萄酒;烈酒</t>
  </si>
  <si>
    <t>高洲春酒酿</t>
  </si>
  <si>
    <t>露酒;⽩酒;⾕物制蒸馏酒精饮料;葡萄酒;烈酒（饮料）;果酒（含酒精）;餐后酒（利⼝酒和烈酒）;蒸馏饮料;苹果酒;⽶酒</t>
  </si>
  <si>
    <t>鑫添吉</t>
  </si>
  <si>
    <t>胡静芝21080********2104X</t>
  </si>
  <si>
    <t>薄荷酒;鸡尾酒;开胃酒;⾼粱酒;果酒（含酒精）;朗姆酒;葡萄酒;⽩兰地;伏特加酒;清酒</t>
  </si>
  <si>
    <t>万曲福</t>
  </si>
  <si>
    <t>⻩酒;开胃酒;清酒（⽇本⽶酒）;⽩酒;果酒;葡萄酒;鸡尾酒;酒精饮料（啤酒除外）;烈酒（饮料）;威⼠忌</t>
  </si>
  <si>
    <t>赋英韶</t>
  </si>
  <si>
    <t>⾷⽤酒精;果酒（含酒精）;酒精饮料（啤酒除外）;⽩酒;⽶酒;鸡尾酒;⽩兰地;含⽔果酒精饮料;⻩酒;葡萄酒</t>
  </si>
  <si>
    <t>牧秾情</t>
  </si>
  <si>
    <t>固阳县蒙阳肉食加工店</t>
  </si>
  <si>
    <t>⾼粱酒;果酒;红葡萄酒;烧酒;⽩酒;⻩酒;⾷⽤酒精;露酒;汽酒;含酒精的饮料（啤酒除外）</t>
  </si>
  <si>
    <t>陇味小匠</t>
  </si>
  <si>
    <t>宕昌县润辰农业科技有限公司</t>
  </si>
  <si>
    <t>果酒（含酒精）;⽩酒;含⽔果酒精饮料;⽶酒;烧酒（烈酒）;开胃酒;蒸馏饮料;⾕物制蒸馏酒精饮料;⾼粱酒;汽酒</t>
  </si>
  <si>
    <t>知胤</t>
  </si>
  <si>
    <t>锦州知胤科技有限公司</t>
  </si>
  <si>
    <t>果酒（含酒精）;苹果酒;鸡尾酒;⽶酒;⻩酒;开胃酒;⽩酒;烈酒（饮料）;烧酒;汽酒</t>
  </si>
  <si>
    <t>曼妮袋鼠</t>
  </si>
  <si>
    <t>朱佳豪</t>
  </si>
  <si>
    <t>酒精饮料（啤酒除外）;开胃酒;葡萄酒;含⽔果酒精饮料;烈酒（饮料）;蒸馏饮料;果酒（含酒精）;⽩酒;鸡尾酒;⻩酒</t>
  </si>
  <si>
    <t>栗茗斋</t>
  </si>
  <si>
    <t>葡萄酒;蜂蜜酒;⽶酒;含酒精的⽓泡⽔;⾷⽤酒精;⽩酒;果酒（含酒精）;含⽔果酒精饮料;已调味的⻨芽酿制的酒精饮料（啤酒除外）;⻩酒</t>
  </si>
  <si>
    <t>嘉醴春</t>
  </si>
  <si>
    <t>北京博研阁医学研究院</t>
  </si>
  <si>
    <t>酒精饮料原汁;鸡尾酒;⽩酒;开胃酒;葡萄酒;烈酒（饮料）;含⽔果酒精饮料;烧酒;果酒（含酒精）;⽶酒</t>
  </si>
  <si>
    <t>满窖戏</t>
  </si>
  <si>
    <t>烧酒（烈酒）;葡萄酒;⽩酒;蒸煮提取物（利⼝酒和烈酒）;烧酒;酒精饮料浓缩汁;酒精饮料（啤酒除外）;果酒（含酒精）;⽶酒;⾷⽤酒精</t>
  </si>
  <si>
    <t>古蜀贡酒</t>
  </si>
  <si>
    <t>⽩酒;⽩⼲酒（中国⽩酒）;酒精饮料（啤酒除外）;⾼粱酒;酒精饮料原汁;果酒（含酒精）;清酒（⽇本⽶酒）;烈酒;葡萄酒;鸡尾酒</t>
  </si>
  <si>
    <t>东曙</t>
  </si>
  <si>
    <t>张振鹏</t>
  </si>
  <si>
    <t>⽩酒;开胃酒;清酒（⽇本⽶酒）;威⼠忌;⻩酒;果酒;酒精饮料（啤酒除外）;葡萄酒;烈酒（饮料）;鸡尾酒</t>
  </si>
  <si>
    <t>任胖子</t>
  </si>
  <si>
    <t>果酒（含酒精）;鸡尾酒;烈酒（饮料）;清酒（⽇本⽶酒）;⻩酒;葡萄酒;⽩酒;⽶酒;酒精饮料（啤酒除外）;烧酒</t>
  </si>
  <si>
    <t>龙匠宾</t>
  </si>
  <si>
    <t>王佳伟</t>
  </si>
  <si>
    <t>⽩酒;⽶酒;⽩兰地;含⽔果酒精饮料;梅酒;⻩酒;烧酒;以葡萄酒为主的饮料;威⼠忌;汽酒</t>
  </si>
  <si>
    <t>2024/06/27</t>
  </si>
  <si>
    <t>赣承</t>
  </si>
  <si>
    <t>卢宏</t>
  </si>
  <si>
    <t>⾼粱酒;鸡尾酒;烧酒;⽶酒;⽩酒;酒精饮料（啤酒除外）;烈酒（饮料）;⻩酒;葡萄酒;果酒（含酒精）</t>
  </si>
  <si>
    <t>皮浪</t>
  </si>
  <si>
    <t>陕西赋比兴酒业有限公司</t>
  </si>
  <si>
    <t>果酒（含酒精）;威⼠忌;梅酒;汽酒;苹果酒;鸡尾酒;利⼝酒;含酒精的鸡尾酒混合饮品;⽶酒;清酒（⽇本⽶酒）</t>
  </si>
  <si>
    <t>君纪美</t>
  </si>
  <si>
    <t>⽩兰地;汽酒;烧酒;梅酒;⽶酒;⻩酒;⽩酒;以葡萄酒为主的饮料;含⽔果酒精饮料;威⼠忌</t>
  </si>
  <si>
    <t>发条虎</t>
  </si>
  <si>
    <t>苹果酒;清酒（⽇本⽶酒）;鸡尾酒;利⼝酒;⽶酒;果酒（含酒精）;梅酒;汽酒;威⼠忌;含酒精的鸡尾酒混合饮品</t>
  </si>
  <si>
    <t>明禹</t>
  </si>
  <si>
    <t>青岛鑫杰明禹酒业有限公司</t>
  </si>
  <si>
    <t>利⼝酒;⾷⽤酒精;果酒（含酒精）;鸡尾酒;⽩酒;开胃酒;烈酒（饮料）;威⼠忌;清酒（⽇本⽶酒）;⽶酒</t>
  </si>
  <si>
    <t>麓山有材</t>
  </si>
  <si>
    <t>湖南青瓷红袖文化产业有限公司</t>
  </si>
  <si>
    <t>蜂蜜酒;含⽔果酒精饮料;酒精饮料（啤酒除外）;⻩酒;酒精饮料原汁;葡萄酒;⽶酒;⽩酒;果酒（含酒精）;餐后酒（利⼝酒和烈酒）</t>
  </si>
  <si>
    <t>凌云池</t>
  </si>
  <si>
    <t>麻智峰</t>
  </si>
  <si>
    <t>酒精饮料（啤酒除外）;开胃酒;烈酒;⽶酒;鸡尾酒;⾷⽤酒精;葡萄酒;⽩酒;果酒;⻩酒</t>
  </si>
  <si>
    <t>名杰</t>
  </si>
  <si>
    <t>开胃酒;鸡尾酒;烈酒（饮料）;⽶酒;威⼠忌;清酒（⽇本⽶酒）;⽩酒;⾷⽤酒精;果酒（含酒精）;利⼝酒</t>
  </si>
  <si>
    <t>滨水生活</t>
  </si>
  <si>
    <t>四川省滨水城乡发展有限责任公司</t>
  </si>
  <si>
    <t>葡萄酒;酒精饮料原汁;⾕物制蒸馏酒精饮料;果酒（含酒精）;蜂蜜酒;⽩酒;酒精饮料（啤酒除外）;清酒（⽇本⽶酒）;⽶酒;以葡萄酒为主的饮料</t>
  </si>
  <si>
    <t>黔醉多</t>
  </si>
  <si>
    <t>上海黔醉多酒业有限公司</t>
  </si>
  <si>
    <t>烈酒（饮料）;⽶酒;伏特加酒;⾷⽤酒精;威⼠忌;⽩兰地;甜果酒;葡萄酒;⽩酒;鸡尾酒</t>
  </si>
  <si>
    <t>升再</t>
  </si>
  <si>
    <t>重庆再升科技股份有限公司</t>
  </si>
  <si>
    <t>酒精饮料浓缩汁;⽶酒;薄荷酒;含⽔果酒精饮料;⽩酒;葡萄酒;果酒（含酒精）;酒精饮料（啤酒除外）;蒸馏饮料;开胃酒</t>
  </si>
  <si>
    <t>赣鸿福</t>
  </si>
  <si>
    <t>孙文杰</t>
  </si>
  <si>
    <t>果酒（含酒精）;含⽔果酒精饮料;⽶酒;鸡尾酒;⽩兰地;⽩酒;⾷⽤酒精;葡萄酒;酒精饮料（啤酒除外）;⻩酒</t>
  </si>
  <si>
    <t>小果志</t>
  </si>
  <si>
    <t>李成玉</t>
  </si>
  <si>
    <t>烈酒（饮料）;清酒（⽇本⽶酒）;果酒;开胃酒;酒精饮料（啤酒除外）;⻩酒;⽩酒;鸡尾酒;葡萄酒;威⼠忌</t>
  </si>
  <si>
    <t>富雍</t>
  </si>
  <si>
    <t>开胃酒;葡萄酒;威⼠忌;酒精饮料（啤酒除外）;果酒;烈酒（饮料）;鸡尾酒;清酒（⽇本⽶酒）;⽩酒;⻩酒</t>
  </si>
  <si>
    <t>兰姐姐</t>
  </si>
  <si>
    <t>徐淑兰</t>
  </si>
  <si>
    <t>果酒;葡萄酒;由⾕物蒸馏的⽩酒;⽩兰地;⻩酒;⽩酒;亚⼒酒;果酒（含酒精）;鸡尾酒;烧酒</t>
  </si>
  <si>
    <t>潭湘候</t>
  </si>
  <si>
    <t>烈酒;酒精饮料（啤酒除外）;开胃酒;葡萄酒;⽩酒;果酒;⽶酒;⻩酒;鸡尾酒;⾷⽤酒精</t>
  </si>
  <si>
    <t>魅小匠</t>
  </si>
  <si>
    <t>东莞市鸣鸿智能科技有限公司</t>
  </si>
  <si>
    <t>⽶酒;蒸馏⽶酒（泡盛酒）;果酒（含酒精）;烧酒;⻩酒;⽩酒;烈酒;梅酒;清酒（⽇本⽶酒）;⽼酒（中国蒸馏烈酒）</t>
  </si>
  <si>
    <t>筑江南</t>
  </si>
  <si>
    <t>威⼠忌;以葡萄酒为主的饮料;⽩酒;烧酒;梅酒;含⽔果酒精饮料;⻩酒;⽶酒;汽酒;⽩兰地</t>
  </si>
  <si>
    <t>御弘福</t>
  </si>
  <si>
    <t>杨静</t>
  </si>
  <si>
    <t>果酒（含酒精）;⽶酒;⾷⽤酒精;蒸煮提取物（利⼝酒和烈酒）;酒精饮料浓缩汁;酒精饮料（啤酒除外）;⾼粱酒;烧酒;葡萄酒;⽩酒</t>
  </si>
  <si>
    <t>誉坊台</t>
  </si>
  <si>
    <t>果酒（含酒精）;蒸煮提取物（利⼝酒和烈酒）;葡萄酒;⽩酒;⾷⽤酒精;酒精饮料（啤酒除外）;酒精饮料浓缩汁;⾼粱酒;烧酒;⽶酒</t>
  </si>
  <si>
    <t>爱列科 ALEKO</t>
  </si>
  <si>
    <t>青岛亿静顺国际贸易有限公司</t>
  </si>
  <si>
    <t>葡萄酒;伏特加酒;⻘稞酒;蒸馏饮料;威⼠忌;果酒;酒精饮料（啤酒除外）;蒸煮提取物（利⼝酒和烈酒）;⽩兰地;烈酒</t>
  </si>
  <si>
    <t>摇头熊</t>
  </si>
  <si>
    <t>威⼠忌;果酒（含酒精）;苹果酒;利⼝酒;清酒（⽇本⽶酒）;梅酒;鸡尾酒;⽶酒;汽酒;含酒精的鸡尾酒混合饮品</t>
  </si>
  <si>
    <t>汽岛</t>
  </si>
  <si>
    <t>梅酒;鸡尾酒;含酒精的鸡尾酒混合饮品;威⼠忌;清酒（⽇本⽶酒）;利⼝酒;汽酒;果酒（含酒精）;⽶酒;苹果酒</t>
  </si>
  <si>
    <t>水殿泉</t>
  </si>
  <si>
    <t>⽶酒;烈酒;酒精饮料（啤酒除外）;果酒;鸡尾酒;葡萄酒;⽩酒;⻩酒;⾷⽤酒精;开胃酒</t>
  </si>
  <si>
    <t>谷鉴仙</t>
  </si>
  <si>
    <t>张世文</t>
  </si>
  <si>
    <t>⽩酒;果酒（含酒精）;酒精饮料浓缩汁;烧酒;⾷⽤酒精;葡萄酒;酒精饮料（啤酒除外）;⾼粱酒;蒸煮提取物（利⼝酒和烈酒）;⽶酒</t>
  </si>
  <si>
    <t>上海格物致远网络科技有限公司</t>
  </si>
  <si>
    <t>酒精饮料（啤酒除外）;烈酒（饮料）;葡萄酒;⾷⽤酒精;鸡尾酒;果酒（含酒精）;酒精饮料原汁;蒸馏饮料;含⽔果酒精饮料;⽩酒</t>
  </si>
  <si>
    <t>呜莓猫猫</t>
  </si>
  <si>
    <t>株式会社飞利德</t>
  </si>
  <si>
    <t>威⼠忌;果酒;烧酒;鸡尾酒;⾷⽤酒精;⻩酒;清酒;开胃酒;⽩酒;⽶酒</t>
  </si>
  <si>
    <t>熊湖</t>
  </si>
  <si>
    <t>利⼝酒;果酒（含酒精）;⽶酒;鸡尾酒;梅酒;威⼠忌;汽酒;苹果酒;含酒精的鸡尾酒混合饮品;清酒（⽇本⽶酒）</t>
  </si>
  <si>
    <t>比兴</t>
  </si>
  <si>
    <t>威⼠忌;果酒（含酒精）;汽酒;含酒精的鸡尾酒混合饮品;清酒（⽇本⽶酒）;利⼝酒;梅酒;苹果酒;⽶酒;鸡尾酒</t>
  </si>
  <si>
    <t>乌蓬越</t>
  </si>
  <si>
    <t>曹月旋</t>
  </si>
  <si>
    <t>薄荷酒;蒸馏饮料;葡萄酒;清酒;鸡尾酒;果酒;威⼠忌;⽩酒;⻩酒;烧酒</t>
  </si>
  <si>
    <t>如誉</t>
  </si>
  <si>
    <t>云南燕道商贸有限公司</t>
  </si>
  <si>
    <t>果酒（含酒精）;⽶酒;鸡尾酒;汽酒;⽩酒;⾷⽤酒精;烧酒（烈酒）;蜂蜜酒;葡萄酒;蒸馏饮料</t>
  </si>
  <si>
    <t>金榼</t>
  </si>
  <si>
    <t>开胃酒;酒精饮料（啤酒除外）;果酒;烈酒;⾷⽤酒精;⻩酒;葡萄酒;鸡尾酒;⽶酒;⽩酒</t>
  </si>
  <si>
    <t>玉钟清</t>
  </si>
  <si>
    <t>开胃酒;⽩酒;烈酒;⻩酒;⾷⽤酒精;酒精饮料（啤酒除外）;果酒;鸡尾酒;葡萄酒;⽶酒</t>
  </si>
  <si>
    <t>凌奇巨酒</t>
  </si>
  <si>
    <t>青岛铭昊天海生物科技有限公司</t>
  </si>
  <si>
    <t>露酒;由⾕物蒸馏的⽩酒;樱桃酒;⽩酒;含⽔果酒精饮料;含酒精的饮料（啤酒除外）;甜果酒;已调味的⻨芽酿制的酒精饮料（啤酒除外）;樱桃⽩兰地;⽶酒</t>
  </si>
  <si>
    <t>湖畔藏珑 TREASURE DU LAC</t>
  </si>
  <si>
    <t>上臣名爵酒业（深圳）有限公司</t>
  </si>
  <si>
    <t>朗姆酒;奶油利⼝酒;⻨芽威⼠忌;⽩兰地;威⼠忌;⽩酒;葡萄酒;起泡红葡萄酒;果酒;伏特加酒</t>
  </si>
  <si>
    <t>良樽迎</t>
  </si>
  <si>
    <t>李云梅</t>
  </si>
  <si>
    <t>⽩酒;烧酒;果酒（含酒精）;酒精饮料浓缩汁;⽶酒;葡萄酒;烧酒（烈酒）;酒精饮料（啤酒除外）;蒸煮提取物（利⼝酒和烈酒）;⾷⽤酒精</t>
  </si>
  <si>
    <t>未来智慧城市（北京）科技有限公司</t>
  </si>
  <si>
    <t>含⽔果酒精饮料;⽩酒;清酒（⽇本⽶酒）;⻩酒;酒精饮料（啤酒除外）;果酒（含酒精）;鸡尾酒;葡萄酒;⽶酒;蒸馏饮料</t>
  </si>
  <si>
    <t>瓷窖匠心</t>
  </si>
  <si>
    <t>以葡萄酒为主的饮料;含⽔果酒精饮料;⻩酒;⽩酒;⽶酒;威⼠忌;汽酒;烧酒;梅酒;⽩兰地</t>
  </si>
  <si>
    <t>斛甄养</t>
  </si>
  <si>
    <t>⽶酒;⽩兰地;汽酒;⻩酒;梅酒;以葡萄酒为主的饮料;⽩酒;含⽔果酒精饮料;威⼠忌;烧酒</t>
  </si>
  <si>
    <t>液蕴东方</t>
  </si>
  <si>
    <t>朱春桃</t>
  </si>
  <si>
    <t>清酒（⽇本⽶酒）;威⼠忌;⽩酒;⾼粱酒;果酒（含酒精）;⻘梅酒;⽶酒;⾕物制蒸馏酒精饮料;露酒;酒精饮料（啤酒除外）</t>
  </si>
  <si>
    <t>藏易多</t>
  </si>
  <si>
    <t>青海藏柯药业有限公司</t>
  </si>
  <si>
    <t>⽩兰地;⽩酒;蜂蜜酒;蒸馏饮料;苦味酒;开胃酒;清酒;葡萄酒;⻩酒;酒精饮料（啤酒除外）</t>
  </si>
  <si>
    <t>匠王星</t>
  </si>
  <si>
    <t>以葡萄酒为主的饮料;⽩酒;⽩兰地;含⽔果酒精饮料;梅酒;⻩酒;烧酒;威⼠忌;⽶酒;汽酒</t>
  </si>
  <si>
    <t>晋关山</t>
  </si>
  <si>
    <t>鸡尾酒;⽶酒;酒精饮料（啤酒除外）;果酒;⽩酒;⾷⽤酒精;开胃酒;葡萄酒;烈酒;⻩酒</t>
  </si>
  <si>
    <t>液东君</t>
  </si>
  <si>
    <t>酒精饮料（啤酒除外）;烈酒;⽩酒;果酒;⾷⽤酒精;葡萄酒;鸡尾酒;⽶酒;⻩酒;开胃酒</t>
  </si>
  <si>
    <t>东鑫和</t>
  </si>
  <si>
    <t>汽酒;鸡尾酒;烧酒;果酒（含酒精）;⽩酒;含⽔果酒精饮料;葡萄酒;威⼠忌;酒精饮料（啤酒除外）;蒸馏饮料</t>
  </si>
  <si>
    <t>2024/07/08</t>
  </si>
  <si>
    <t>五粮液东鑫和</t>
  </si>
  <si>
    <t>威士忌;酒精饮料（啤酒除外）;含水果酒精饮料;蒸馏饮料;鸡尾酒;烧酒;果酒（含酒精）;白酒;汽酒;葡萄酒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</si>
</sst>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0" borderId="1" xfId="1" applyBorder="1" applyAlignment="1">
      <alignment horizontal="right"/>
    </xf>
    <xf numFmtId="0" fontId="3" fillId="0" borderId="1" xfId="1" applyBorder="1"/>
    <xf numFmtId="0" fontId="4" fillId="0" borderId="1" xfId="2" applyBorder="1" applyAlignment="1"/>
  </cellXfs>
  <cellStyles count="3">
    <cellStyle name="ハイパーリンク" xfId="2" builtinId="8"/>
    <cellStyle name="標準" xfId="0" builtinId="0"/>
    <cellStyle name="標準_1901th" xfId="1" xr:uid="{F41C3249-DB41-4B0F-ABFC-5B34052751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3636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10" t="s">
        <v>9</v>
      </c>
      <c r="C2" s="10" t="s">
        <v>363</v>
      </c>
      <c r="D2" s="10" t="s">
        <v>364</v>
      </c>
      <c r="E2" s="11" t="str">
        <f>+HYPERLINK("http://trademark.i-assist.jp/data/china/image_1902th/43226405.pdf", "43226405")</f>
        <v>43226405</v>
      </c>
      <c r="F2" s="10" t="s">
        <v>365</v>
      </c>
      <c r="G2" s="10" t="s">
        <v>366</v>
      </c>
      <c r="H2" s="10" t="s">
        <v>367</v>
      </c>
      <c r="I2" s="10" t="s">
        <v>368</v>
      </c>
    </row>
    <row r="3" spans="1:9" x14ac:dyDescent="0.15">
      <c r="A3" s="9">
        <v>2</v>
      </c>
      <c r="B3" s="10" t="s">
        <v>9</v>
      </c>
      <c r="C3" s="10" t="s">
        <v>363</v>
      </c>
      <c r="D3" s="10" t="s">
        <v>364</v>
      </c>
      <c r="E3" s="11" t="str">
        <f>+HYPERLINK("http://trademark.i-assist.jp/data/china/image_1902th/46972259.pdf", "46972259")</f>
        <v>46972259</v>
      </c>
      <c r="F3" s="10" t="s">
        <v>365</v>
      </c>
      <c r="G3" s="10" t="s">
        <v>366</v>
      </c>
      <c r="H3" s="10" t="s">
        <v>369</v>
      </c>
      <c r="I3" s="10" t="s">
        <v>370</v>
      </c>
    </row>
    <row r="4" spans="1:9" x14ac:dyDescent="0.15">
      <c r="A4" s="9">
        <v>3</v>
      </c>
      <c r="B4" s="10" t="s">
        <v>9</v>
      </c>
      <c r="C4" s="10" t="s">
        <v>363</v>
      </c>
      <c r="D4" s="10" t="s">
        <v>364</v>
      </c>
      <c r="E4" s="11" t="str">
        <f>+HYPERLINK("http://trademark.i-assist.jp/data/china/image_1902th/58562165.pdf", "58562165")</f>
        <v>58562165</v>
      </c>
      <c r="F4" s="10" t="s">
        <v>371</v>
      </c>
      <c r="G4" s="10" t="s">
        <v>372</v>
      </c>
      <c r="H4" s="10" t="s">
        <v>373</v>
      </c>
      <c r="I4" s="10" t="s">
        <v>374</v>
      </c>
    </row>
    <row r="5" spans="1:9" x14ac:dyDescent="0.15">
      <c r="A5" s="9">
        <v>4</v>
      </c>
      <c r="B5" s="10" t="s">
        <v>9</v>
      </c>
      <c r="C5" s="10" t="s">
        <v>363</v>
      </c>
      <c r="D5" s="10" t="s">
        <v>364</v>
      </c>
      <c r="E5" s="11" t="str">
        <f>+HYPERLINK("http://trademark.i-assist.jp/data/china/image_1902th/62674921.pdf", "62674921")</f>
        <v>62674921</v>
      </c>
      <c r="F5" s="10" t="s">
        <v>375</v>
      </c>
      <c r="G5" s="10" t="s">
        <v>10</v>
      </c>
      <c r="H5" s="10" t="s">
        <v>11</v>
      </c>
      <c r="I5" s="10" t="s">
        <v>376</v>
      </c>
    </row>
    <row r="6" spans="1:9" x14ac:dyDescent="0.15">
      <c r="A6" s="9">
        <v>5</v>
      </c>
      <c r="B6" s="10" t="s">
        <v>9</v>
      </c>
      <c r="C6" s="10" t="s">
        <v>363</v>
      </c>
      <c r="D6" s="10" t="s">
        <v>364</v>
      </c>
      <c r="E6" s="11" t="str">
        <f>+HYPERLINK("http://trademark.i-assist.jp/data/china/image_1902th/62810321.pdf", "62810321")</f>
        <v>62810321</v>
      </c>
      <c r="F6" s="10" t="s">
        <v>377</v>
      </c>
      <c r="G6" s="10" t="s">
        <v>372</v>
      </c>
      <c r="H6" s="10" t="s">
        <v>373</v>
      </c>
      <c r="I6" s="10" t="s">
        <v>378</v>
      </c>
    </row>
    <row r="7" spans="1:9" x14ac:dyDescent="0.15">
      <c r="A7" s="9">
        <v>6</v>
      </c>
      <c r="B7" s="10" t="s">
        <v>9</v>
      </c>
      <c r="C7" s="10" t="s">
        <v>363</v>
      </c>
      <c r="D7" s="10" t="s">
        <v>364</v>
      </c>
      <c r="E7" s="11" t="str">
        <f>+HYPERLINK("http://trademark.i-assist.jp/data/china/image_1902th/62906828.pdf", "62906828")</f>
        <v>62906828</v>
      </c>
      <c r="F7" s="10" t="s">
        <v>379</v>
      </c>
      <c r="G7" s="10" t="s">
        <v>380</v>
      </c>
      <c r="H7" s="10" t="s">
        <v>381</v>
      </c>
      <c r="I7" s="10" t="s">
        <v>382</v>
      </c>
    </row>
    <row r="8" spans="1:9" x14ac:dyDescent="0.15">
      <c r="A8" s="9">
        <v>7</v>
      </c>
      <c r="B8" s="10" t="s">
        <v>9</v>
      </c>
      <c r="C8" s="10" t="s">
        <v>363</v>
      </c>
      <c r="D8" s="10" t="s">
        <v>364</v>
      </c>
      <c r="E8" s="11" t="str">
        <f>+HYPERLINK("http://trademark.i-assist.jp/data/china/image_1902th/64252983.pdf", "64252983")</f>
        <v>64252983</v>
      </c>
      <c r="F8" s="10" t="s">
        <v>383</v>
      </c>
      <c r="G8" s="10" t="s">
        <v>384</v>
      </c>
      <c r="H8" s="10" t="s">
        <v>385</v>
      </c>
      <c r="I8" s="10" t="s">
        <v>386</v>
      </c>
    </row>
    <row r="9" spans="1:9" x14ac:dyDescent="0.15">
      <c r="A9" s="9">
        <v>8</v>
      </c>
      <c r="B9" s="10" t="s">
        <v>9</v>
      </c>
      <c r="C9" s="10" t="s">
        <v>363</v>
      </c>
      <c r="D9" s="10" t="s">
        <v>364</v>
      </c>
      <c r="E9" s="11" t="str">
        <f>+HYPERLINK("http://trademark.i-assist.jp/data/china/image_1902th/64739676.pdf", "64739676")</f>
        <v>64739676</v>
      </c>
      <c r="F9" s="10" t="s">
        <v>387</v>
      </c>
      <c r="G9" s="10" t="s">
        <v>372</v>
      </c>
      <c r="H9" s="10" t="s">
        <v>373</v>
      </c>
      <c r="I9" s="10" t="s">
        <v>388</v>
      </c>
    </row>
    <row r="10" spans="1:9" x14ac:dyDescent="0.15">
      <c r="A10" s="9">
        <v>9</v>
      </c>
      <c r="B10" s="10" t="s">
        <v>9</v>
      </c>
      <c r="C10" s="10" t="s">
        <v>363</v>
      </c>
      <c r="D10" s="10" t="s">
        <v>364</v>
      </c>
      <c r="E10" s="11" t="str">
        <f>+HYPERLINK("http://trademark.i-assist.jp/data/china/image_1902th/64743932.pdf", "64743932")</f>
        <v>64743932</v>
      </c>
      <c r="F10" s="10" t="s">
        <v>389</v>
      </c>
      <c r="G10" s="10" t="s">
        <v>372</v>
      </c>
      <c r="H10" s="10" t="s">
        <v>373</v>
      </c>
      <c r="I10" s="10" t="s">
        <v>388</v>
      </c>
    </row>
    <row r="11" spans="1:9" x14ac:dyDescent="0.15">
      <c r="A11" s="9">
        <v>10</v>
      </c>
      <c r="B11" s="10" t="s">
        <v>9</v>
      </c>
      <c r="C11" s="10" t="s">
        <v>363</v>
      </c>
      <c r="D11" s="10" t="s">
        <v>364</v>
      </c>
      <c r="E11" s="11" t="str">
        <f>+HYPERLINK("http://trademark.i-assist.jp/data/china/image_1902th/64749015.pdf", "64749015")</f>
        <v>64749015</v>
      </c>
      <c r="F11" s="10" t="s">
        <v>390</v>
      </c>
      <c r="G11" s="10" t="s">
        <v>372</v>
      </c>
      <c r="H11" s="10" t="s">
        <v>391</v>
      </c>
      <c r="I11" s="10" t="s">
        <v>388</v>
      </c>
    </row>
    <row r="12" spans="1:9" x14ac:dyDescent="0.15">
      <c r="A12" s="9">
        <v>11</v>
      </c>
      <c r="B12" s="10" t="s">
        <v>9</v>
      </c>
      <c r="C12" s="10" t="s">
        <v>363</v>
      </c>
      <c r="D12" s="10" t="s">
        <v>364</v>
      </c>
      <c r="E12" s="11" t="str">
        <f>+HYPERLINK("http://trademark.i-assist.jp/data/china/image_1902th/65113293.pdf", "65113293")</f>
        <v>65113293</v>
      </c>
      <c r="F12" s="10" t="s">
        <v>392</v>
      </c>
      <c r="G12" s="10" t="s">
        <v>393</v>
      </c>
      <c r="H12" s="10" t="s">
        <v>82</v>
      </c>
      <c r="I12" s="10" t="s">
        <v>394</v>
      </c>
    </row>
    <row r="13" spans="1:9" x14ac:dyDescent="0.15">
      <c r="A13" s="9">
        <v>12</v>
      </c>
      <c r="B13" s="10" t="s">
        <v>9</v>
      </c>
      <c r="C13" s="10" t="s">
        <v>363</v>
      </c>
      <c r="D13" s="10" t="s">
        <v>364</v>
      </c>
      <c r="E13" s="11" t="str">
        <f>+HYPERLINK("http://trademark.i-assist.jp/data/china/image_1902th/65649082.pdf", "65649082")</f>
        <v>65649082</v>
      </c>
      <c r="F13" s="10" t="s">
        <v>395</v>
      </c>
      <c r="G13" s="10" t="s">
        <v>396</v>
      </c>
      <c r="H13" s="10" t="s">
        <v>397</v>
      </c>
      <c r="I13" s="10" t="s">
        <v>398</v>
      </c>
    </row>
    <row r="14" spans="1:9" x14ac:dyDescent="0.15">
      <c r="A14" s="9">
        <v>13</v>
      </c>
      <c r="B14" s="10" t="s">
        <v>9</v>
      </c>
      <c r="C14" s="10" t="s">
        <v>363</v>
      </c>
      <c r="D14" s="10" t="s">
        <v>364</v>
      </c>
      <c r="E14" s="11" t="str">
        <f>+HYPERLINK("http://trademark.i-assist.jp/data/china/image_1902th/65959446.pdf", "65959446")</f>
        <v>65959446</v>
      </c>
      <c r="F14" s="10" t="s">
        <v>399</v>
      </c>
      <c r="G14" s="10" t="s">
        <v>400</v>
      </c>
      <c r="H14" s="10" t="s">
        <v>401</v>
      </c>
      <c r="I14" s="10" t="s">
        <v>402</v>
      </c>
    </row>
    <row r="15" spans="1:9" x14ac:dyDescent="0.15">
      <c r="A15" s="9">
        <v>14</v>
      </c>
      <c r="B15" s="10" t="s">
        <v>9</v>
      </c>
      <c r="C15" s="10" t="s">
        <v>363</v>
      </c>
      <c r="D15" s="10" t="s">
        <v>364</v>
      </c>
      <c r="E15" s="11" t="str">
        <f>+HYPERLINK("http://trademark.i-assist.jp/data/china/image_1902th/65986450.pdf", "65986450")</f>
        <v>65986450</v>
      </c>
      <c r="F15" s="10" t="s">
        <v>403</v>
      </c>
      <c r="G15" s="10" t="s">
        <v>404</v>
      </c>
      <c r="H15" s="10" t="s">
        <v>405</v>
      </c>
      <c r="I15" s="10" t="s">
        <v>406</v>
      </c>
    </row>
    <row r="16" spans="1:9" x14ac:dyDescent="0.15">
      <c r="A16" s="9">
        <v>15</v>
      </c>
      <c r="B16" s="10" t="s">
        <v>9</v>
      </c>
      <c r="C16" s="10" t="s">
        <v>363</v>
      </c>
      <c r="D16" s="10" t="s">
        <v>364</v>
      </c>
      <c r="E16" s="11" t="str">
        <f>+HYPERLINK("http://trademark.i-assist.jp/data/china/image_1902th/66479925.pdf", "66479925")</f>
        <v>66479925</v>
      </c>
      <c r="F16" s="10" t="s">
        <v>407</v>
      </c>
      <c r="G16" s="10" t="s">
        <v>408</v>
      </c>
      <c r="H16" s="10" t="s">
        <v>409</v>
      </c>
      <c r="I16" s="10" t="s">
        <v>410</v>
      </c>
    </row>
    <row r="17" spans="1:9" x14ac:dyDescent="0.15">
      <c r="A17" s="9">
        <v>16</v>
      </c>
      <c r="B17" s="10" t="s">
        <v>9</v>
      </c>
      <c r="C17" s="10" t="s">
        <v>363</v>
      </c>
      <c r="D17" s="10" t="s">
        <v>364</v>
      </c>
      <c r="E17" s="11" t="str">
        <f>+HYPERLINK("http://trademark.i-assist.jp/data/china/image_1902th/66514872.pdf", "66514872")</f>
        <v>66514872</v>
      </c>
      <c r="F17" s="10" t="s">
        <v>411</v>
      </c>
      <c r="G17" s="10" t="s">
        <v>412</v>
      </c>
      <c r="H17" s="10" t="s">
        <v>413</v>
      </c>
      <c r="I17" s="10" t="s">
        <v>414</v>
      </c>
    </row>
    <row r="18" spans="1:9" x14ac:dyDescent="0.15">
      <c r="A18" s="9">
        <v>17</v>
      </c>
      <c r="B18" s="10" t="s">
        <v>9</v>
      </c>
      <c r="C18" s="10" t="s">
        <v>363</v>
      </c>
      <c r="D18" s="10" t="s">
        <v>364</v>
      </c>
      <c r="E18" s="11" t="str">
        <f>+HYPERLINK("http://trademark.i-assist.jp/data/china/image_1902th/67005206.pdf", "67005206")</f>
        <v>67005206</v>
      </c>
      <c r="F18" s="10" t="s">
        <v>415</v>
      </c>
      <c r="G18" s="10" t="s">
        <v>416</v>
      </c>
      <c r="H18" s="10" t="s">
        <v>417</v>
      </c>
      <c r="I18" s="10" t="s">
        <v>418</v>
      </c>
    </row>
    <row r="19" spans="1:9" x14ac:dyDescent="0.15">
      <c r="A19" s="9">
        <v>18</v>
      </c>
      <c r="B19" s="10" t="s">
        <v>9</v>
      </c>
      <c r="C19" s="10" t="s">
        <v>363</v>
      </c>
      <c r="D19" s="10" t="s">
        <v>364</v>
      </c>
      <c r="E19" s="11" t="str">
        <f>+HYPERLINK("http://trademark.i-assist.jp/data/china/image_1902th/67282904.pdf", "67282904")</f>
        <v>67282904</v>
      </c>
      <c r="F19" s="10" t="s">
        <v>419</v>
      </c>
      <c r="G19" s="10" t="s">
        <v>420</v>
      </c>
      <c r="H19" s="10" t="s">
        <v>421</v>
      </c>
      <c r="I19" s="10" t="s">
        <v>422</v>
      </c>
    </row>
    <row r="20" spans="1:9" x14ac:dyDescent="0.15">
      <c r="A20" s="9">
        <v>19</v>
      </c>
      <c r="B20" s="10" t="s">
        <v>9</v>
      </c>
      <c r="C20" s="10" t="s">
        <v>363</v>
      </c>
      <c r="D20" s="10" t="s">
        <v>364</v>
      </c>
      <c r="E20" s="11" t="str">
        <f>+HYPERLINK("http://trademark.i-assist.jp/data/china/image_1902th/67377499.pdf", "67377499")</f>
        <v>67377499</v>
      </c>
      <c r="F20" s="10" t="s">
        <v>423</v>
      </c>
      <c r="G20" s="10" t="s">
        <v>424</v>
      </c>
      <c r="H20" s="10" t="s">
        <v>425</v>
      </c>
      <c r="I20" s="10" t="s">
        <v>426</v>
      </c>
    </row>
    <row r="21" spans="1:9" x14ac:dyDescent="0.15">
      <c r="A21" s="9">
        <v>20</v>
      </c>
      <c r="B21" s="10" t="s">
        <v>9</v>
      </c>
      <c r="C21" s="10" t="s">
        <v>363</v>
      </c>
      <c r="D21" s="10" t="s">
        <v>364</v>
      </c>
      <c r="E21" s="11" t="str">
        <f>+HYPERLINK("http://trademark.i-assist.jp/data/china/image_1902th/68345665.pdf", "68345665")</f>
        <v>68345665</v>
      </c>
      <c r="F21" s="10" t="s">
        <v>427</v>
      </c>
      <c r="G21" s="10" t="s">
        <v>428</v>
      </c>
      <c r="H21" s="10" t="s">
        <v>429</v>
      </c>
      <c r="I21" s="10" t="s">
        <v>430</v>
      </c>
    </row>
    <row r="22" spans="1:9" x14ac:dyDescent="0.15">
      <c r="A22" s="9">
        <v>21</v>
      </c>
      <c r="B22" s="10" t="s">
        <v>9</v>
      </c>
      <c r="C22" s="10" t="s">
        <v>363</v>
      </c>
      <c r="D22" s="10" t="s">
        <v>364</v>
      </c>
      <c r="E22" s="11" t="str">
        <f>+HYPERLINK("http://trademark.i-assist.jp/data/china/image_1902th/68440549.pdf", "68440549")</f>
        <v>68440549</v>
      </c>
      <c r="F22" s="10" t="s">
        <v>12</v>
      </c>
      <c r="G22" s="10" t="s">
        <v>431</v>
      </c>
      <c r="H22" s="10" t="s">
        <v>432</v>
      </c>
      <c r="I22" s="10" t="s">
        <v>433</v>
      </c>
    </row>
    <row r="23" spans="1:9" x14ac:dyDescent="0.15">
      <c r="A23" s="9">
        <v>22</v>
      </c>
      <c r="B23" s="10" t="s">
        <v>9</v>
      </c>
      <c r="C23" s="10" t="s">
        <v>363</v>
      </c>
      <c r="D23" s="10" t="s">
        <v>364</v>
      </c>
      <c r="E23" s="11" t="str">
        <f>+HYPERLINK("http://trademark.i-assist.jp/data/china/image_1902th/68550063.pdf", "68550063")</f>
        <v>68550063</v>
      </c>
      <c r="F23" s="10" t="s">
        <v>434</v>
      </c>
      <c r="G23" s="10" t="s">
        <v>435</v>
      </c>
      <c r="H23" s="10" t="s">
        <v>436</v>
      </c>
      <c r="I23" s="10" t="s">
        <v>437</v>
      </c>
    </row>
    <row r="24" spans="1:9" x14ac:dyDescent="0.15">
      <c r="A24" s="9">
        <v>23</v>
      </c>
      <c r="B24" s="10" t="s">
        <v>9</v>
      </c>
      <c r="C24" s="10" t="s">
        <v>363</v>
      </c>
      <c r="D24" s="10" t="s">
        <v>364</v>
      </c>
      <c r="E24" s="11" t="str">
        <f>+HYPERLINK("http://trademark.i-assist.jp/data/china/image_1902th/68848214.pdf", "68848214")</f>
        <v>68848214</v>
      </c>
      <c r="F24" s="10" t="s">
        <v>438</v>
      </c>
      <c r="G24" s="10" t="s">
        <v>439</v>
      </c>
      <c r="H24" s="10" t="s">
        <v>440</v>
      </c>
      <c r="I24" s="10" t="s">
        <v>441</v>
      </c>
    </row>
    <row r="25" spans="1:9" x14ac:dyDescent="0.15">
      <c r="A25" s="9">
        <v>24</v>
      </c>
      <c r="B25" s="10" t="s">
        <v>9</v>
      </c>
      <c r="C25" s="10" t="s">
        <v>363</v>
      </c>
      <c r="D25" s="10" t="s">
        <v>364</v>
      </c>
      <c r="E25" s="11" t="str">
        <f>+HYPERLINK("http://trademark.i-assist.jp/data/china/image_1902th/69157451.pdf", "69157451")</f>
        <v>69157451</v>
      </c>
      <c r="F25" s="10" t="s">
        <v>442</v>
      </c>
      <c r="G25" s="10" t="s">
        <v>443</v>
      </c>
      <c r="H25" s="10" t="s">
        <v>444</v>
      </c>
      <c r="I25" s="10" t="s">
        <v>445</v>
      </c>
    </row>
    <row r="26" spans="1:9" x14ac:dyDescent="0.15">
      <c r="A26" s="9">
        <v>25</v>
      </c>
      <c r="B26" s="10" t="s">
        <v>9</v>
      </c>
      <c r="C26" s="10" t="s">
        <v>363</v>
      </c>
      <c r="D26" s="10" t="s">
        <v>364</v>
      </c>
      <c r="E26" s="11" t="str">
        <f>+HYPERLINK("http://trademark.i-assist.jp/data/china/image_1902th/69256813.pdf", "69256813")</f>
        <v>69256813</v>
      </c>
      <c r="F26" s="10" t="s">
        <v>377</v>
      </c>
      <c r="G26" s="10" t="s">
        <v>372</v>
      </c>
      <c r="H26" s="10" t="s">
        <v>373</v>
      </c>
      <c r="I26" s="10" t="s">
        <v>446</v>
      </c>
    </row>
    <row r="27" spans="1:9" x14ac:dyDescent="0.15">
      <c r="A27" s="9">
        <v>26</v>
      </c>
      <c r="B27" s="10" t="s">
        <v>9</v>
      </c>
      <c r="C27" s="10" t="s">
        <v>363</v>
      </c>
      <c r="D27" s="10" t="s">
        <v>364</v>
      </c>
      <c r="E27" s="11" t="str">
        <f>+HYPERLINK("http://trademark.i-assist.jp/data/china/image_1902th/69265991.pdf", "69265991")</f>
        <v>69265991</v>
      </c>
      <c r="F27" s="10" t="s">
        <v>12</v>
      </c>
      <c r="G27" s="10" t="s">
        <v>447</v>
      </c>
      <c r="H27" s="10" t="s">
        <v>448</v>
      </c>
      <c r="I27" s="10" t="s">
        <v>449</v>
      </c>
    </row>
    <row r="28" spans="1:9" x14ac:dyDescent="0.15">
      <c r="A28" s="9">
        <v>27</v>
      </c>
      <c r="B28" s="10" t="s">
        <v>9</v>
      </c>
      <c r="C28" s="10" t="s">
        <v>363</v>
      </c>
      <c r="D28" s="10" t="s">
        <v>364</v>
      </c>
      <c r="E28" s="11" t="str">
        <f>+HYPERLINK("http://trademark.i-assist.jp/data/china/image_1902th/69300549.pdf", "69300549")</f>
        <v>69300549</v>
      </c>
      <c r="F28" s="10" t="s">
        <v>450</v>
      </c>
      <c r="G28" s="10" t="s">
        <v>451</v>
      </c>
      <c r="H28" s="10" t="s">
        <v>13</v>
      </c>
      <c r="I28" s="10" t="s">
        <v>452</v>
      </c>
    </row>
    <row r="29" spans="1:9" x14ac:dyDescent="0.15">
      <c r="A29" s="9">
        <v>28</v>
      </c>
      <c r="B29" s="10" t="s">
        <v>9</v>
      </c>
      <c r="C29" s="10" t="s">
        <v>363</v>
      </c>
      <c r="D29" s="10" t="s">
        <v>364</v>
      </c>
      <c r="E29" s="11" t="str">
        <f>+HYPERLINK("http://trademark.i-assist.jp/data/china/image_1902th/69739781.pdf", "69739781")</f>
        <v>69739781</v>
      </c>
      <c r="F29" s="10" t="s">
        <v>453</v>
      </c>
      <c r="G29" s="10" t="s">
        <v>454</v>
      </c>
      <c r="H29" s="10" t="s">
        <v>13</v>
      </c>
      <c r="I29" s="10" t="s">
        <v>455</v>
      </c>
    </row>
    <row r="30" spans="1:9" x14ac:dyDescent="0.15">
      <c r="A30" s="9">
        <v>29</v>
      </c>
      <c r="B30" s="10" t="s">
        <v>9</v>
      </c>
      <c r="C30" s="10" t="s">
        <v>363</v>
      </c>
      <c r="D30" s="10" t="s">
        <v>364</v>
      </c>
      <c r="E30" s="11" t="str">
        <f>+HYPERLINK("http://trademark.i-assist.jp/data/china/image_1902th/69882621.pdf", "69882621")</f>
        <v>69882621</v>
      </c>
      <c r="F30" s="10" t="s">
        <v>456</v>
      </c>
      <c r="G30" s="10" t="s">
        <v>457</v>
      </c>
      <c r="H30" s="10" t="s">
        <v>458</v>
      </c>
      <c r="I30" s="10" t="s">
        <v>459</v>
      </c>
    </row>
    <row r="31" spans="1:9" x14ac:dyDescent="0.15">
      <c r="A31" s="9">
        <v>30</v>
      </c>
      <c r="B31" s="10" t="s">
        <v>9</v>
      </c>
      <c r="C31" s="10" t="s">
        <v>363</v>
      </c>
      <c r="D31" s="10" t="s">
        <v>364</v>
      </c>
      <c r="E31" s="11" t="str">
        <f>+HYPERLINK("http://trademark.i-assist.jp/data/china/image_1902th/70544924.pdf", "70544924")</f>
        <v>70544924</v>
      </c>
      <c r="F31" s="10" t="s">
        <v>460</v>
      </c>
      <c r="G31" s="10" t="s">
        <v>461</v>
      </c>
      <c r="H31" s="10" t="s">
        <v>462</v>
      </c>
      <c r="I31" s="10" t="s">
        <v>463</v>
      </c>
    </row>
    <row r="32" spans="1:9" x14ac:dyDescent="0.15">
      <c r="A32" s="9">
        <v>31</v>
      </c>
      <c r="B32" s="10" t="s">
        <v>9</v>
      </c>
      <c r="C32" s="10" t="s">
        <v>363</v>
      </c>
      <c r="D32" s="10" t="s">
        <v>364</v>
      </c>
      <c r="E32" s="11" t="str">
        <f>+HYPERLINK("http://trademark.i-assist.jp/data/china/image_1902th/70546790.pdf", "70546790")</f>
        <v>70546790</v>
      </c>
      <c r="F32" s="10" t="s">
        <v>464</v>
      </c>
      <c r="G32" s="10" t="s">
        <v>465</v>
      </c>
      <c r="H32" s="10" t="s">
        <v>466</v>
      </c>
      <c r="I32" s="10" t="s">
        <v>463</v>
      </c>
    </row>
    <row r="33" spans="1:9" x14ac:dyDescent="0.15">
      <c r="A33" s="9">
        <v>32</v>
      </c>
      <c r="B33" s="10" t="s">
        <v>9</v>
      </c>
      <c r="C33" s="10" t="s">
        <v>363</v>
      </c>
      <c r="D33" s="10" t="s">
        <v>364</v>
      </c>
      <c r="E33" s="11" t="str">
        <f>+HYPERLINK("http://trademark.i-assist.jp/data/china/image_1902th/70693707.pdf", "70693707")</f>
        <v>70693707</v>
      </c>
      <c r="F33" s="10" t="s">
        <v>467</v>
      </c>
      <c r="G33" s="10" t="s">
        <v>468</v>
      </c>
      <c r="H33" s="10" t="s">
        <v>469</v>
      </c>
      <c r="I33" s="10" t="s">
        <v>470</v>
      </c>
    </row>
    <row r="34" spans="1:9" x14ac:dyDescent="0.15">
      <c r="A34" s="9">
        <v>33</v>
      </c>
      <c r="B34" s="10" t="s">
        <v>9</v>
      </c>
      <c r="C34" s="10" t="s">
        <v>363</v>
      </c>
      <c r="D34" s="10" t="s">
        <v>364</v>
      </c>
      <c r="E34" s="11" t="str">
        <f>+HYPERLINK("http://trademark.i-assist.jp/data/china/image_1902th/70829404.pdf", "70829404")</f>
        <v>70829404</v>
      </c>
      <c r="F34" s="10" t="s">
        <v>471</v>
      </c>
      <c r="G34" s="10" t="s">
        <v>472</v>
      </c>
      <c r="H34" s="10" t="s">
        <v>473</v>
      </c>
      <c r="I34" s="10" t="s">
        <v>474</v>
      </c>
    </row>
    <row r="35" spans="1:9" x14ac:dyDescent="0.15">
      <c r="A35" s="9">
        <v>34</v>
      </c>
      <c r="B35" s="10" t="s">
        <v>9</v>
      </c>
      <c r="C35" s="10" t="s">
        <v>363</v>
      </c>
      <c r="D35" s="10" t="s">
        <v>364</v>
      </c>
      <c r="E35" s="11" t="str">
        <f>+HYPERLINK("http://trademark.i-assist.jp/data/china/image_1902th/70870511.pdf", "70870511")</f>
        <v>70870511</v>
      </c>
      <c r="F35" s="10" t="s">
        <v>475</v>
      </c>
      <c r="G35" s="10" t="s">
        <v>476</v>
      </c>
      <c r="H35" s="10" t="s">
        <v>477</v>
      </c>
      <c r="I35" s="10" t="s">
        <v>84</v>
      </c>
    </row>
    <row r="36" spans="1:9" x14ac:dyDescent="0.15">
      <c r="A36" s="9">
        <v>35</v>
      </c>
      <c r="B36" s="10" t="s">
        <v>9</v>
      </c>
      <c r="C36" s="10" t="s">
        <v>363</v>
      </c>
      <c r="D36" s="10" t="s">
        <v>364</v>
      </c>
      <c r="E36" s="11" t="str">
        <f>+HYPERLINK("http://trademark.i-assist.jp/data/china/image_1902th/70937454.pdf", "70937454")</f>
        <v>70937454</v>
      </c>
      <c r="F36" s="10" t="s">
        <v>478</v>
      </c>
      <c r="G36" s="10" t="s">
        <v>479</v>
      </c>
      <c r="H36" s="10" t="s">
        <v>480</v>
      </c>
      <c r="I36" s="10" t="s">
        <v>481</v>
      </c>
    </row>
    <row r="37" spans="1:9" x14ac:dyDescent="0.15">
      <c r="A37" s="9">
        <v>36</v>
      </c>
      <c r="B37" s="10" t="s">
        <v>9</v>
      </c>
      <c r="C37" s="10" t="s">
        <v>363</v>
      </c>
      <c r="D37" s="10" t="s">
        <v>364</v>
      </c>
      <c r="E37" s="11" t="str">
        <f>+HYPERLINK("http://trademark.i-assist.jp/data/china/image_1902th/70946937.pdf", "70946937")</f>
        <v>70946937</v>
      </c>
      <c r="F37" s="10" t="s">
        <v>12</v>
      </c>
      <c r="G37" s="10" t="s">
        <v>482</v>
      </c>
      <c r="H37" s="10" t="s">
        <v>483</v>
      </c>
      <c r="I37" s="10" t="s">
        <v>484</v>
      </c>
    </row>
    <row r="38" spans="1:9" x14ac:dyDescent="0.15">
      <c r="A38" s="9">
        <v>37</v>
      </c>
      <c r="B38" s="10" t="s">
        <v>9</v>
      </c>
      <c r="C38" s="10" t="s">
        <v>363</v>
      </c>
      <c r="D38" s="10" t="s">
        <v>364</v>
      </c>
      <c r="E38" s="11" t="str">
        <f>+HYPERLINK("http://trademark.i-assist.jp/data/china/image_1902th/71154557.pdf", "71154557")</f>
        <v>71154557</v>
      </c>
      <c r="F38" s="10" t="s">
        <v>485</v>
      </c>
      <c r="G38" s="10" t="s">
        <v>486</v>
      </c>
      <c r="H38" s="10" t="s">
        <v>487</v>
      </c>
      <c r="I38" s="10" t="s">
        <v>488</v>
      </c>
    </row>
    <row r="39" spans="1:9" x14ac:dyDescent="0.15">
      <c r="A39" s="9">
        <v>38</v>
      </c>
      <c r="B39" s="10" t="s">
        <v>9</v>
      </c>
      <c r="C39" s="10" t="s">
        <v>363</v>
      </c>
      <c r="D39" s="10" t="s">
        <v>364</v>
      </c>
      <c r="E39" s="11" t="str">
        <f>+HYPERLINK("http://trademark.i-assist.jp/data/china/image_1902th/71167319.pdf", "71167319")</f>
        <v>71167319</v>
      </c>
      <c r="F39" s="10" t="s">
        <v>489</v>
      </c>
      <c r="G39" s="10" t="s">
        <v>490</v>
      </c>
      <c r="H39" s="10" t="s">
        <v>491</v>
      </c>
      <c r="I39" s="10" t="s">
        <v>488</v>
      </c>
    </row>
    <row r="40" spans="1:9" x14ac:dyDescent="0.15">
      <c r="A40" s="9">
        <v>39</v>
      </c>
      <c r="B40" s="10" t="s">
        <v>9</v>
      </c>
      <c r="C40" s="10" t="s">
        <v>363</v>
      </c>
      <c r="D40" s="10" t="s">
        <v>364</v>
      </c>
      <c r="E40" s="11" t="str">
        <f>+HYPERLINK("http://trademark.i-assist.jp/data/china/image_1902th/71181427.pdf", "71181427")</f>
        <v>71181427</v>
      </c>
      <c r="F40" s="10" t="s">
        <v>492</v>
      </c>
      <c r="G40" s="10" t="s">
        <v>493</v>
      </c>
      <c r="H40" s="10" t="s">
        <v>494</v>
      </c>
      <c r="I40" s="10" t="s">
        <v>85</v>
      </c>
    </row>
    <row r="41" spans="1:9" x14ac:dyDescent="0.15">
      <c r="A41" s="9">
        <v>40</v>
      </c>
      <c r="B41" s="10" t="s">
        <v>9</v>
      </c>
      <c r="C41" s="10" t="s">
        <v>363</v>
      </c>
      <c r="D41" s="10" t="s">
        <v>364</v>
      </c>
      <c r="E41" s="11" t="str">
        <f>+HYPERLINK("http://trademark.i-assist.jp/data/china/image_1902th/71246928.pdf", "71246928")</f>
        <v>71246928</v>
      </c>
      <c r="F41" s="10" t="s">
        <v>495</v>
      </c>
      <c r="G41" s="10" t="s">
        <v>496</v>
      </c>
      <c r="H41" s="10" t="s">
        <v>497</v>
      </c>
      <c r="I41" s="10" t="s">
        <v>498</v>
      </c>
    </row>
    <row r="42" spans="1:9" x14ac:dyDescent="0.15">
      <c r="A42" s="9">
        <v>41</v>
      </c>
      <c r="B42" s="10" t="s">
        <v>9</v>
      </c>
      <c r="C42" s="10" t="s">
        <v>363</v>
      </c>
      <c r="D42" s="10" t="s">
        <v>364</v>
      </c>
      <c r="E42" s="11" t="str">
        <f>+HYPERLINK("http://trademark.i-assist.jp/data/china/image_1902th/71277847.pdf", "71277847")</f>
        <v>71277847</v>
      </c>
      <c r="F42" s="10" t="s">
        <v>499</v>
      </c>
      <c r="G42" s="10" t="s">
        <v>496</v>
      </c>
      <c r="H42" s="10" t="s">
        <v>500</v>
      </c>
      <c r="I42" s="10" t="s">
        <v>498</v>
      </c>
    </row>
    <row r="43" spans="1:9" x14ac:dyDescent="0.15">
      <c r="A43" s="9">
        <v>42</v>
      </c>
      <c r="B43" s="10" t="s">
        <v>9</v>
      </c>
      <c r="C43" s="10" t="s">
        <v>363</v>
      </c>
      <c r="D43" s="10" t="s">
        <v>364</v>
      </c>
      <c r="E43" s="11" t="str">
        <f>+HYPERLINK("http://trademark.i-assist.jp/data/china/image_1902th/71469199.pdf", "71469199")</f>
        <v>71469199</v>
      </c>
      <c r="F43" s="10" t="s">
        <v>501</v>
      </c>
      <c r="G43" s="10" t="s">
        <v>502</v>
      </c>
      <c r="H43" s="10" t="s">
        <v>503</v>
      </c>
      <c r="I43" s="10" t="s">
        <v>86</v>
      </c>
    </row>
    <row r="44" spans="1:9" x14ac:dyDescent="0.15">
      <c r="A44" s="9">
        <v>43</v>
      </c>
      <c r="B44" s="10" t="s">
        <v>9</v>
      </c>
      <c r="C44" s="10" t="s">
        <v>363</v>
      </c>
      <c r="D44" s="10" t="s">
        <v>364</v>
      </c>
      <c r="E44" s="11" t="str">
        <f>+HYPERLINK("http://trademark.i-assist.jp/data/china/image_1902th/71489530.pdf", "71489530")</f>
        <v>71489530</v>
      </c>
      <c r="F44" s="10" t="s">
        <v>504</v>
      </c>
      <c r="G44" s="10" t="s">
        <v>505</v>
      </c>
      <c r="H44" s="10" t="s">
        <v>506</v>
      </c>
      <c r="I44" s="10" t="s">
        <v>507</v>
      </c>
    </row>
    <row r="45" spans="1:9" x14ac:dyDescent="0.15">
      <c r="A45" s="9">
        <v>44</v>
      </c>
      <c r="B45" s="10" t="s">
        <v>9</v>
      </c>
      <c r="C45" s="10" t="s">
        <v>363</v>
      </c>
      <c r="D45" s="10" t="s">
        <v>364</v>
      </c>
      <c r="E45" s="11" t="str">
        <f>+HYPERLINK("http://trademark.i-assist.jp/data/china/image_1902th/71490427.pdf", "71490427")</f>
        <v>71490427</v>
      </c>
      <c r="F45" s="10" t="s">
        <v>508</v>
      </c>
      <c r="G45" s="10" t="s">
        <v>509</v>
      </c>
      <c r="H45" s="10" t="s">
        <v>510</v>
      </c>
      <c r="I45" s="10" t="s">
        <v>507</v>
      </c>
    </row>
    <row r="46" spans="1:9" x14ac:dyDescent="0.15">
      <c r="A46" s="9">
        <v>45</v>
      </c>
      <c r="B46" s="10" t="s">
        <v>9</v>
      </c>
      <c r="C46" s="10" t="s">
        <v>363</v>
      </c>
      <c r="D46" s="10" t="s">
        <v>364</v>
      </c>
      <c r="E46" s="11" t="str">
        <f>+HYPERLINK("http://trademark.i-assist.jp/data/china/image_1902th/71546957.pdf", "71546957")</f>
        <v>71546957</v>
      </c>
      <c r="F46" s="10" t="s">
        <v>511</v>
      </c>
      <c r="G46" s="10" t="s">
        <v>512</v>
      </c>
      <c r="H46" s="10" t="s">
        <v>513</v>
      </c>
      <c r="I46" s="10" t="s">
        <v>514</v>
      </c>
    </row>
    <row r="47" spans="1:9" x14ac:dyDescent="0.15">
      <c r="A47" s="9">
        <v>46</v>
      </c>
      <c r="B47" s="10" t="s">
        <v>9</v>
      </c>
      <c r="C47" s="10" t="s">
        <v>363</v>
      </c>
      <c r="D47" s="10" t="s">
        <v>364</v>
      </c>
      <c r="E47" s="11" t="str">
        <f>+HYPERLINK("http://trademark.i-assist.jp/data/china/image_1902th/71568444.pdf", "71568444")</f>
        <v>71568444</v>
      </c>
      <c r="F47" s="10" t="s">
        <v>515</v>
      </c>
      <c r="G47" s="10" t="s">
        <v>87</v>
      </c>
      <c r="H47" s="10" t="s">
        <v>516</v>
      </c>
      <c r="I47" s="10" t="s">
        <v>514</v>
      </c>
    </row>
    <row r="48" spans="1:9" x14ac:dyDescent="0.15">
      <c r="A48" s="9">
        <v>47</v>
      </c>
      <c r="B48" s="10" t="s">
        <v>9</v>
      </c>
      <c r="C48" s="10" t="s">
        <v>363</v>
      </c>
      <c r="D48" s="10" t="s">
        <v>364</v>
      </c>
      <c r="E48" s="11" t="str">
        <f>+HYPERLINK("http://trademark.i-assist.jp/data/china/image_1902th/71616997.pdf", "71616997")</f>
        <v>71616997</v>
      </c>
      <c r="F48" s="10" t="s">
        <v>517</v>
      </c>
      <c r="G48" s="10" t="s">
        <v>518</v>
      </c>
      <c r="H48" s="10" t="s">
        <v>519</v>
      </c>
      <c r="I48" s="10" t="s">
        <v>520</v>
      </c>
    </row>
    <row r="49" spans="1:9" x14ac:dyDescent="0.15">
      <c r="A49" s="9">
        <v>48</v>
      </c>
      <c r="B49" s="10" t="s">
        <v>9</v>
      </c>
      <c r="C49" s="10" t="s">
        <v>363</v>
      </c>
      <c r="D49" s="10" t="s">
        <v>364</v>
      </c>
      <c r="E49" s="11" t="str">
        <f>+HYPERLINK("http://trademark.i-assist.jp/data/china/image_1902th/71893743.pdf", "71893743")</f>
        <v>71893743</v>
      </c>
      <c r="F49" s="10" t="s">
        <v>521</v>
      </c>
      <c r="G49" s="10" t="s">
        <v>522</v>
      </c>
      <c r="H49" s="10" t="s">
        <v>523</v>
      </c>
      <c r="I49" s="10" t="s">
        <v>524</v>
      </c>
    </row>
    <row r="50" spans="1:9" x14ac:dyDescent="0.15">
      <c r="A50" s="9">
        <v>49</v>
      </c>
      <c r="B50" s="10" t="s">
        <v>9</v>
      </c>
      <c r="C50" s="10" t="s">
        <v>363</v>
      </c>
      <c r="D50" s="10" t="s">
        <v>364</v>
      </c>
      <c r="E50" s="11" t="str">
        <f>+HYPERLINK("http://trademark.i-assist.jp/data/china/image_1902th/71896936.pdf", "71896936")</f>
        <v>71896936</v>
      </c>
      <c r="F50" s="10" t="s">
        <v>525</v>
      </c>
      <c r="G50" s="10" t="s">
        <v>526</v>
      </c>
      <c r="H50" s="10" t="s">
        <v>527</v>
      </c>
      <c r="I50" s="10" t="s">
        <v>528</v>
      </c>
    </row>
    <row r="51" spans="1:9" x14ac:dyDescent="0.15">
      <c r="A51" s="9">
        <v>50</v>
      </c>
      <c r="B51" s="10" t="s">
        <v>9</v>
      </c>
      <c r="C51" s="10" t="s">
        <v>363</v>
      </c>
      <c r="D51" s="10" t="s">
        <v>364</v>
      </c>
      <c r="E51" s="11" t="str">
        <f>+HYPERLINK("http://trademark.i-assist.jp/data/china/image_1902th/71962093.pdf", "71962093")</f>
        <v>71962093</v>
      </c>
      <c r="F51" s="10" t="s">
        <v>529</v>
      </c>
      <c r="G51" s="10" t="s">
        <v>530</v>
      </c>
      <c r="H51" s="10" t="s">
        <v>531</v>
      </c>
      <c r="I51" s="10" t="s">
        <v>532</v>
      </c>
    </row>
    <row r="52" spans="1:9" x14ac:dyDescent="0.15">
      <c r="A52" s="9">
        <v>51</v>
      </c>
      <c r="B52" s="10" t="s">
        <v>9</v>
      </c>
      <c r="C52" s="10" t="s">
        <v>363</v>
      </c>
      <c r="D52" s="10" t="s">
        <v>364</v>
      </c>
      <c r="E52" s="11" t="str">
        <f>+HYPERLINK("http://trademark.i-assist.jp/data/china/image_1902th/71980195.pdf", "71980195")</f>
        <v>71980195</v>
      </c>
      <c r="F52" s="10" t="s">
        <v>533</v>
      </c>
      <c r="G52" s="10" t="s">
        <v>530</v>
      </c>
      <c r="H52" s="10" t="s">
        <v>534</v>
      </c>
      <c r="I52" s="10" t="s">
        <v>532</v>
      </c>
    </row>
    <row r="53" spans="1:9" x14ac:dyDescent="0.15">
      <c r="A53" s="9">
        <v>52</v>
      </c>
      <c r="B53" s="10" t="s">
        <v>9</v>
      </c>
      <c r="C53" s="10" t="s">
        <v>363</v>
      </c>
      <c r="D53" s="10" t="s">
        <v>364</v>
      </c>
      <c r="E53" s="11" t="str">
        <f>+HYPERLINK("http://trademark.i-assist.jp/data/china/image_1902th/72024970.pdf", "72024970")</f>
        <v>72024970</v>
      </c>
      <c r="F53" s="10" t="s">
        <v>535</v>
      </c>
      <c r="G53" s="10" t="s">
        <v>536</v>
      </c>
      <c r="H53" s="10" t="s">
        <v>537</v>
      </c>
      <c r="I53" s="10" t="s">
        <v>14</v>
      </c>
    </row>
    <row r="54" spans="1:9" x14ac:dyDescent="0.15">
      <c r="A54" s="9">
        <v>53</v>
      </c>
      <c r="B54" s="10" t="s">
        <v>9</v>
      </c>
      <c r="C54" s="10" t="s">
        <v>363</v>
      </c>
      <c r="D54" s="10" t="s">
        <v>364</v>
      </c>
      <c r="E54" s="11" t="str">
        <f>+HYPERLINK("http://trademark.i-assist.jp/data/china/image_1902th/72122774.pdf", "72122774")</f>
        <v>72122774</v>
      </c>
      <c r="F54" s="10" t="s">
        <v>538</v>
      </c>
      <c r="G54" s="10" t="s">
        <v>539</v>
      </c>
      <c r="H54" s="10" t="s">
        <v>540</v>
      </c>
      <c r="I54" s="10" t="s">
        <v>541</v>
      </c>
    </row>
    <row r="55" spans="1:9" x14ac:dyDescent="0.15">
      <c r="A55" s="9">
        <v>54</v>
      </c>
      <c r="B55" s="10" t="s">
        <v>9</v>
      </c>
      <c r="C55" s="10" t="s">
        <v>363</v>
      </c>
      <c r="D55" s="10" t="s">
        <v>364</v>
      </c>
      <c r="E55" s="11" t="str">
        <f>+HYPERLINK("http://trademark.i-assist.jp/data/china/image_1902th/72126998.pdf", "72126998")</f>
        <v>72126998</v>
      </c>
      <c r="F55" s="10" t="s">
        <v>542</v>
      </c>
      <c r="G55" s="10" t="s">
        <v>539</v>
      </c>
      <c r="H55" s="10" t="s">
        <v>543</v>
      </c>
      <c r="I55" s="10" t="s">
        <v>541</v>
      </c>
    </row>
    <row r="56" spans="1:9" x14ac:dyDescent="0.15">
      <c r="A56" s="9">
        <v>55</v>
      </c>
      <c r="B56" s="10" t="s">
        <v>9</v>
      </c>
      <c r="C56" s="10" t="s">
        <v>363</v>
      </c>
      <c r="D56" s="10" t="s">
        <v>364</v>
      </c>
      <c r="E56" s="11" t="str">
        <f>+HYPERLINK("http://trademark.i-assist.jp/data/china/image_1902th/72194431.pdf", "72194431")</f>
        <v>72194431</v>
      </c>
      <c r="F56" s="10" t="s">
        <v>544</v>
      </c>
      <c r="G56" s="10" t="s">
        <v>545</v>
      </c>
      <c r="H56" s="10" t="s">
        <v>546</v>
      </c>
      <c r="I56" s="10" t="s">
        <v>547</v>
      </c>
    </row>
    <row r="57" spans="1:9" x14ac:dyDescent="0.15">
      <c r="A57" s="9">
        <v>56</v>
      </c>
      <c r="B57" s="10" t="s">
        <v>9</v>
      </c>
      <c r="C57" s="10" t="s">
        <v>363</v>
      </c>
      <c r="D57" s="10" t="s">
        <v>364</v>
      </c>
      <c r="E57" s="11" t="str">
        <f>+HYPERLINK("http://trademark.i-assist.jp/data/china/image_1902th/72265270.pdf", "72265270")</f>
        <v>72265270</v>
      </c>
      <c r="F57" s="10" t="s">
        <v>548</v>
      </c>
      <c r="G57" s="10" t="s">
        <v>549</v>
      </c>
      <c r="H57" s="10" t="s">
        <v>550</v>
      </c>
      <c r="I57" s="10" t="s">
        <v>551</v>
      </c>
    </row>
    <row r="58" spans="1:9" x14ac:dyDescent="0.15">
      <c r="A58" s="9">
        <v>57</v>
      </c>
      <c r="B58" s="10" t="s">
        <v>9</v>
      </c>
      <c r="C58" s="10" t="s">
        <v>363</v>
      </c>
      <c r="D58" s="10" t="s">
        <v>364</v>
      </c>
      <c r="E58" s="11" t="str">
        <f>+HYPERLINK("http://trademark.i-assist.jp/data/china/image_1902th/72279994.pdf", "72279994")</f>
        <v>72279994</v>
      </c>
      <c r="F58" s="10" t="s">
        <v>552</v>
      </c>
      <c r="G58" s="10" t="s">
        <v>553</v>
      </c>
      <c r="H58" s="10" t="s">
        <v>554</v>
      </c>
      <c r="I58" s="10" t="s">
        <v>551</v>
      </c>
    </row>
    <row r="59" spans="1:9" x14ac:dyDescent="0.15">
      <c r="A59" s="9">
        <v>58</v>
      </c>
      <c r="B59" s="10" t="s">
        <v>9</v>
      </c>
      <c r="C59" s="10" t="s">
        <v>363</v>
      </c>
      <c r="D59" s="10" t="s">
        <v>364</v>
      </c>
      <c r="E59" s="11" t="str">
        <f>+HYPERLINK("http://trademark.i-assist.jp/data/china/image_1902th/72303961.pdf", "72303961")</f>
        <v>72303961</v>
      </c>
      <c r="F59" s="10" t="s">
        <v>555</v>
      </c>
      <c r="G59" s="10" t="s">
        <v>556</v>
      </c>
      <c r="H59" s="10" t="s">
        <v>557</v>
      </c>
      <c r="I59" s="10" t="s">
        <v>558</v>
      </c>
    </row>
    <row r="60" spans="1:9" x14ac:dyDescent="0.15">
      <c r="A60" s="9">
        <v>59</v>
      </c>
      <c r="B60" s="10" t="s">
        <v>9</v>
      </c>
      <c r="C60" s="10" t="s">
        <v>363</v>
      </c>
      <c r="D60" s="10" t="s">
        <v>364</v>
      </c>
      <c r="E60" s="11" t="str">
        <f>+HYPERLINK("http://trademark.i-assist.jp/data/china/image_1902th/72476736.pdf", "72476736")</f>
        <v>72476736</v>
      </c>
      <c r="F60" s="10" t="s">
        <v>559</v>
      </c>
      <c r="G60" s="10" t="s">
        <v>560</v>
      </c>
      <c r="H60" s="10" t="s">
        <v>561</v>
      </c>
      <c r="I60" s="10" t="s">
        <v>562</v>
      </c>
    </row>
    <row r="61" spans="1:9" x14ac:dyDescent="0.15">
      <c r="A61" s="9">
        <v>60</v>
      </c>
      <c r="B61" s="10" t="s">
        <v>9</v>
      </c>
      <c r="C61" s="10" t="s">
        <v>363</v>
      </c>
      <c r="D61" s="10" t="s">
        <v>364</v>
      </c>
      <c r="E61" s="11" t="str">
        <f>+HYPERLINK("http://trademark.i-assist.jp/data/china/image_1902th/72517834.pdf", "72517834")</f>
        <v>72517834</v>
      </c>
      <c r="F61" s="10" t="s">
        <v>563</v>
      </c>
      <c r="G61" s="10" t="s">
        <v>10</v>
      </c>
      <c r="H61" s="10" t="s">
        <v>564</v>
      </c>
      <c r="I61" s="10" t="s">
        <v>565</v>
      </c>
    </row>
    <row r="62" spans="1:9" x14ac:dyDescent="0.15">
      <c r="A62" s="9">
        <v>61</v>
      </c>
      <c r="B62" s="10" t="s">
        <v>9</v>
      </c>
      <c r="C62" s="10" t="s">
        <v>363</v>
      </c>
      <c r="D62" s="10" t="s">
        <v>364</v>
      </c>
      <c r="E62" s="11" t="str">
        <f>+HYPERLINK("http://trademark.i-assist.jp/data/china/image_1902th/72763272.pdf", "72763272")</f>
        <v>72763272</v>
      </c>
      <c r="F62" s="10" t="s">
        <v>566</v>
      </c>
      <c r="G62" s="10" t="s">
        <v>567</v>
      </c>
      <c r="H62" s="10" t="s">
        <v>13</v>
      </c>
      <c r="I62" s="10" t="s">
        <v>568</v>
      </c>
    </row>
    <row r="63" spans="1:9" x14ac:dyDescent="0.15">
      <c r="A63" s="9">
        <v>62</v>
      </c>
      <c r="B63" s="10" t="s">
        <v>9</v>
      </c>
      <c r="C63" s="10" t="s">
        <v>363</v>
      </c>
      <c r="D63" s="10" t="s">
        <v>364</v>
      </c>
      <c r="E63" s="11" t="str">
        <f>+HYPERLINK("http://trademark.i-assist.jp/data/china/image_1902th/72922551.pdf", "72922551")</f>
        <v>72922551</v>
      </c>
      <c r="F63" s="10" t="s">
        <v>569</v>
      </c>
      <c r="G63" s="10" t="s">
        <v>570</v>
      </c>
      <c r="H63" s="10" t="s">
        <v>571</v>
      </c>
      <c r="I63" s="10" t="s">
        <v>572</v>
      </c>
    </row>
    <row r="64" spans="1:9" x14ac:dyDescent="0.15">
      <c r="A64" s="9">
        <v>63</v>
      </c>
      <c r="B64" s="10" t="s">
        <v>9</v>
      </c>
      <c r="C64" s="10" t="s">
        <v>363</v>
      </c>
      <c r="D64" s="10" t="s">
        <v>364</v>
      </c>
      <c r="E64" s="11" t="str">
        <f>+HYPERLINK("http://trademark.i-assist.jp/data/china/image_1902th/72946431.pdf", "72946431")</f>
        <v>72946431</v>
      </c>
      <c r="F64" s="10" t="s">
        <v>573</v>
      </c>
      <c r="G64" s="10" t="s">
        <v>574</v>
      </c>
      <c r="H64" s="10" t="s">
        <v>575</v>
      </c>
      <c r="I64" s="10" t="s">
        <v>88</v>
      </c>
    </row>
    <row r="65" spans="1:9" x14ac:dyDescent="0.15">
      <c r="A65" s="9">
        <v>64</v>
      </c>
      <c r="B65" s="10" t="s">
        <v>9</v>
      </c>
      <c r="C65" s="10" t="s">
        <v>363</v>
      </c>
      <c r="D65" s="10" t="s">
        <v>364</v>
      </c>
      <c r="E65" s="11" t="str">
        <f>+HYPERLINK("http://trademark.i-assist.jp/data/china/image_1902th/73004070.pdf", "73004070")</f>
        <v>73004070</v>
      </c>
      <c r="F65" s="10" t="s">
        <v>576</v>
      </c>
      <c r="G65" s="10" t="s">
        <v>577</v>
      </c>
      <c r="H65" s="10" t="s">
        <v>578</v>
      </c>
      <c r="I65" s="10" t="s">
        <v>579</v>
      </c>
    </row>
    <row r="66" spans="1:9" x14ac:dyDescent="0.15">
      <c r="A66" s="9">
        <v>65</v>
      </c>
      <c r="B66" s="10" t="s">
        <v>9</v>
      </c>
      <c r="C66" s="10" t="s">
        <v>363</v>
      </c>
      <c r="D66" s="10" t="s">
        <v>364</v>
      </c>
      <c r="E66" s="11" t="str">
        <f>+HYPERLINK("http://trademark.i-assist.jp/data/china/image_1902th/73032774.pdf", "73032774")</f>
        <v>73032774</v>
      </c>
      <c r="F66" s="10" t="s">
        <v>580</v>
      </c>
      <c r="G66" s="10" t="s">
        <v>581</v>
      </c>
      <c r="H66" s="10" t="s">
        <v>582</v>
      </c>
      <c r="I66" s="10" t="s">
        <v>583</v>
      </c>
    </row>
    <row r="67" spans="1:9" x14ac:dyDescent="0.15">
      <c r="A67" s="9">
        <v>66</v>
      </c>
      <c r="B67" s="10" t="s">
        <v>9</v>
      </c>
      <c r="C67" s="10" t="s">
        <v>363</v>
      </c>
      <c r="D67" s="10" t="s">
        <v>364</v>
      </c>
      <c r="E67" s="11" t="str">
        <f>+HYPERLINK("http://trademark.i-assist.jp/data/china/image_1902th/73250828.pdf", "73250828")</f>
        <v>73250828</v>
      </c>
      <c r="F67" s="10" t="s">
        <v>584</v>
      </c>
      <c r="G67" s="10" t="s">
        <v>585</v>
      </c>
      <c r="H67" s="10" t="s">
        <v>586</v>
      </c>
      <c r="I67" s="10" t="s">
        <v>587</v>
      </c>
    </row>
    <row r="68" spans="1:9" x14ac:dyDescent="0.15">
      <c r="A68" s="9">
        <v>67</v>
      </c>
      <c r="B68" s="10" t="s">
        <v>9</v>
      </c>
      <c r="C68" s="10" t="s">
        <v>363</v>
      </c>
      <c r="D68" s="10" t="s">
        <v>364</v>
      </c>
      <c r="E68" s="11" t="str">
        <f>+HYPERLINK("http://trademark.i-assist.jp/data/china/image_1902th/73304713.pdf", "73304713")</f>
        <v>73304713</v>
      </c>
      <c r="F68" s="10" t="s">
        <v>588</v>
      </c>
      <c r="G68" s="10" t="s">
        <v>589</v>
      </c>
      <c r="H68" s="10" t="s">
        <v>590</v>
      </c>
      <c r="I68" s="10" t="s">
        <v>591</v>
      </c>
    </row>
    <row r="69" spans="1:9" x14ac:dyDescent="0.15">
      <c r="A69" s="9">
        <v>68</v>
      </c>
      <c r="B69" s="10" t="s">
        <v>9</v>
      </c>
      <c r="C69" s="10" t="s">
        <v>363</v>
      </c>
      <c r="D69" s="10" t="s">
        <v>364</v>
      </c>
      <c r="E69" s="11" t="str">
        <f>+HYPERLINK("http://trademark.i-assist.jp/data/china/image_1902th/73355840.pdf", "73355840")</f>
        <v>73355840</v>
      </c>
      <c r="F69" s="10" t="s">
        <v>592</v>
      </c>
      <c r="G69" s="10" t="s">
        <v>593</v>
      </c>
      <c r="H69" s="10" t="s">
        <v>594</v>
      </c>
      <c r="I69" s="10" t="s">
        <v>89</v>
      </c>
    </row>
    <row r="70" spans="1:9" x14ac:dyDescent="0.15">
      <c r="A70" s="9">
        <v>69</v>
      </c>
      <c r="B70" s="10" t="s">
        <v>9</v>
      </c>
      <c r="C70" s="10" t="s">
        <v>363</v>
      </c>
      <c r="D70" s="10" t="s">
        <v>364</v>
      </c>
      <c r="E70" s="11" t="str">
        <f>+HYPERLINK("http://trademark.i-assist.jp/data/china/image_1902th/73361617.pdf", "73361617")</f>
        <v>73361617</v>
      </c>
      <c r="F70" s="10" t="s">
        <v>595</v>
      </c>
      <c r="G70" s="10" t="s">
        <v>596</v>
      </c>
      <c r="H70" s="10" t="s">
        <v>597</v>
      </c>
      <c r="I70" s="10" t="s">
        <v>598</v>
      </c>
    </row>
    <row r="71" spans="1:9" x14ac:dyDescent="0.15">
      <c r="A71" s="9">
        <v>70</v>
      </c>
      <c r="B71" s="10" t="s">
        <v>9</v>
      </c>
      <c r="C71" s="10" t="s">
        <v>363</v>
      </c>
      <c r="D71" s="10" t="s">
        <v>364</v>
      </c>
      <c r="E71" s="11" t="str">
        <f>+HYPERLINK("http://trademark.i-assist.jp/data/china/image_1902th/73386717.pdf", "73386717")</f>
        <v>73386717</v>
      </c>
      <c r="F71" s="10" t="s">
        <v>599</v>
      </c>
      <c r="G71" s="10" t="s">
        <v>600</v>
      </c>
      <c r="H71" s="10" t="s">
        <v>601</v>
      </c>
      <c r="I71" s="10" t="s">
        <v>90</v>
      </c>
    </row>
    <row r="72" spans="1:9" x14ac:dyDescent="0.15">
      <c r="A72" s="9">
        <v>71</v>
      </c>
      <c r="B72" s="10" t="s">
        <v>9</v>
      </c>
      <c r="C72" s="10" t="s">
        <v>363</v>
      </c>
      <c r="D72" s="10" t="s">
        <v>364</v>
      </c>
      <c r="E72" s="11" t="str">
        <f>+HYPERLINK("http://trademark.i-assist.jp/data/china/image_1902th/73420374.pdf", "73420374")</f>
        <v>73420374</v>
      </c>
      <c r="F72" s="10" t="s">
        <v>602</v>
      </c>
      <c r="G72" s="10" t="s">
        <v>603</v>
      </c>
      <c r="H72" s="10" t="s">
        <v>604</v>
      </c>
      <c r="I72" s="10" t="s">
        <v>605</v>
      </c>
    </row>
    <row r="73" spans="1:9" x14ac:dyDescent="0.15">
      <c r="A73" s="9">
        <v>72</v>
      </c>
      <c r="B73" s="10" t="s">
        <v>9</v>
      </c>
      <c r="C73" s="10" t="s">
        <v>363</v>
      </c>
      <c r="D73" s="10" t="s">
        <v>364</v>
      </c>
      <c r="E73" s="11" t="str">
        <f>+HYPERLINK("http://trademark.i-assist.jp/data/china/image_1902th/73476897.pdf", "73476897")</f>
        <v>73476897</v>
      </c>
      <c r="F73" s="10" t="s">
        <v>606</v>
      </c>
      <c r="G73" s="10" t="s">
        <v>607</v>
      </c>
      <c r="H73" s="10" t="s">
        <v>608</v>
      </c>
      <c r="I73" s="10" t="s">
        <v>609</v>
      </c>
    </row>
    <row r="74" spans="1:9" x14ac:dyDescent="0.15">
      <c r="A74" s="9">
        <v>73</v>
      </c>
      <c r="B74" s="10" t="s">
        <v>9</v>
      </c>
      <c r="C74" s="10" t="s">
        <v>363</v>
      </c>
      <c r="D74" s="10" t="s">
        <v>364</v>
      </c>
      <c r="E74" s="11" t="str">
        <f>+HYPERLINK("http://trademark.i-assist.jp/data/china/image_1902th/73511959.pdf", "73511959")</f>
        <v>73511959</v>
      </c>
      <c r="F74" s="10" t="s">
        <v>610</v>
      </c>
      <c r="G74" s="10" t="s">
        <v>611</v>
      </c>
      <c r="H74" s="10" t="s">
        <v>612</v>
      </c>
      <c r="I74" s="10" t="s">
        <v>91</v>
      </c>
    </row>
    <row r="75" spans="1:9" x14ac:dyDescent="0.15">
      <c r="A75" s="9">
        <v>74</v>
      </c>
      <c r="B75" s="10" t="s">
        <v>9</v>
      </c>
      <c r="C75" s="10" t="s">
        <v>363</v>
      </c>
      <c r="D75" s="10" t="s">
        <v>364</v>
      </c>
      <c r="E75" s="11" t="str">
        <f>+HYPERLINK("http://trademark.i-assist.jp/data/china/image_1902th/73533948.pdf", "73533948")</f>
        <v>73533948</v>
      </c>
      <c r="F75" s="10" t="s">
        <v>613</v>
      </c>
      <c r="G75" s="10" t="s">
        <v>614</v>
      </c>
      <c r="H75" s="10" t="s">
        <v>615</v>
      </c>
      <c r="I75" s="10" t="s">
        <v>616</v>
      </c>
    </row>
    <row r="76" spans="1:9" x14ac:dyDescent="0.15">
      <c r="A76" s="9">
        <v>75</v>
      </c>
      <c r="B76" s="10" t="s">
        <v>9</v>
      </c>
      <c r="C76" s="10" t="s">
        <v>363</v>
      </c>
      <c r="D76" s="10" t="s">
        <v>364</v>
      </c>
      <c r="E76" s="11" t="str">
        <f>+HYPERLINK("http://trademark.i-assist.jp/data/china/image_1902th/73626685.pdf", "73626685")</f>
        <v>73626685</v>
      </c>
      <c r="F76" s="10" t="s">
        <v>617</v>
      </c>
      <c r="G76" s="10" t="s">
        <v>618</v>
      </c>
      <c r="H76" s="10" t="s">
        <v>619</v>
      </c>
      <c r="I76" s="10" t="s">
        <v>620</v>
      </c>
    </row>
    <row r="77" spans="1:9" x14ac:dyDescent="0.15">
      <c r="A77" s="9">
        <v>76</v>
      </c>
      <c r="B77" s="10" t="s">
        <v>9</v>
      </c>
      <c r="C77" s="10" t="s">
        <v>363</v>
      </c>
      <c r="D77" s="10" t="s">
        <v>364</v>
      </c>
      <c r="E77" s="11" t="str">
        <f>+HYPERLINK("http://trademark.i-assist.jp/data/china/image_1902th/73661172.pdf", "73661172")</f>
        <v>73661172</v>
      </c>
      <c r="F77" s="10" t="s">
        <v>621</v>
      </c>
      <c r="G77" s="10" t="s">
        <v>622</v>
      </c>
      <c r="H77" s="10" t="s">
        <v>623</v>
      </c>
      <c r="I77" s="10" t="s">
        <v>92</v>
      </c>
    </row>
    <row r="78" spans="1:9" x14ac:dyDescent="0.15">
      <c r="A78" s="9">
        <v>77</v>
      </c>
      <c r="B78" s="10" t="s">
        <v>9</v>
      </c>
      <c r="C78" s="10" t="s">
        <v>363</v>
      </c>
      <c r="D78" s="10" t="s">
        <v>364</v>
      </c>
      <c r="E78" s="11" t="str">
        <f>+HYPERLINK("http://trademark.i-assist.jp/data/china/image_1902th/73663173.pdf", "73663173")</f>
        <v>73663173</v>
      </c>
      <c r="F78" s="10" t="s">
        <v>624</v>
      </c>
      <c r="G78" s="10" t="s">
        <v>625</v>
      </c>
      <c r="H78" s="10" t="s">
        <v>626</v>
      </c>
      <c r="I78" s="10" t="s">
        <v>627</v>
      </c>
    </row>
    <row r="79" spans="1:9" x14ac:dyDescent="0.15">
      <c r="A79" s="9">
        <v>78</v>
      </c>
      <c r="B79" s="10" t="s">
        <v>9</v>
      </c>
      <c r="C79" s="10" t="s">
        <v>363</v>
      </c>
      <c r="D79" s="10" t="s">
        <v>364</v>
      </c>
      <c r="E79" s="11" t="str">
        <f>+HYPERLINK("http://trademark.i-assist.jp/data/china/image_1902th/73750225.pdf", "73750225")</f>
        <v>73750225</v>
      </c>
      <c r="F79" s="10" t="s">
        <v>628</v>
      </c>
      <c r="G79" s="10" t="s">
        <v>629</v>
      </c>
      <c r="H79" s="10" t="s">
        <v>630</v>
      </c>
      <c r="I79" s="10" t="s">
        <v>93</v>
      </c>
    </row>
    <row r="80" spans="1:9" x14ac:dyDescent="0.15">
      <c r="A80" s="9">
        <v>79</v>
      </c>
      <c r="B80" s="10" t="s">
        <v>9</v>
      </c>
      <c r="C80" s="10" t="s">
        <v>363</v>
      </c>
      <c r="D80" s="10" t="s">
        <v>364</v>
      </c>
      <c r="E80" s="11" t="str">
        <f>+HYPERLINK("http://trademark.i-assist.jp/data/china/image_1902th/73828339.pdf", "73828339")</f>
        <v>73828339</v>
      </c>
      <c r="F80" s="10" t="s">
        <v>631</v>
      </c>
      <c r="G80" s="10" t="s">
        <v>632</v>
      </c>
      <c r="H80" s="10" t="s">
        <v>633</v>
      </c>
      <c r="I80" s="10" t="s">
        <v>94</v>
      </c>
    </row>
    <row r="81" spans="1:9" x14ac:dyDescent="0.15">
      <c r="A81" s="9">
        <v>80</v>
      </c>
      <c r="B81" s="10" t="s">
        <v>9</v>
      </c>
      <c r="C81" s="10" t="s">
        <v>363</v>
      </c>
      <c r="D81" s="10" t="s">
        <v>364</v>
      </c>
      <c r="E81" s="11" t="str">
        <f>+HYPERLINK("http://trademark.i-assist.jp/data/china/image_1902th/73841889.pdf", "73841889")</f>
        <v>73841889</v>
      </c>
      <c r="F81" s="10" t="s">
        <v>634</v>
      </c>
      <c r="G81" s="10" t="s">
        <v>635</v>
      </c>
      <c r="H81" s="10" t="s">
        <v>13</v>
      </c>
      <c r="I81" s="10" t="s">
        <v>94</v>
      </c>
    </row>
    <row r="82" spans="1:9" x14ac:dyDescent="0.15">
      <c r="A82" s="9">
        <v>81</v>
      </c>
      <c r="B82" s="10" t="s">
        <v>9</v>
      </c>
      <c r="C82" s="10" t="s">
        <v>363</v>
      </c>
      <c r="D82" s="10" t="s">
        <v>364</v>
      </c>
      <c r="E82" s="11" t="str">
        <f>+HYPERLINK("http://trademark.i-assist.jp/data/china/image_1902th/73848860.pdf", "73848860")</f>
        <v>73848860</v>
      </c>
      <c r="F82" s="10" t="s">
        <v>636</v>
      </c>
      <c r="G82" s="10" t="s">
        <v>637</v>
      </c>
      <c r="H82" s="10" t="s">
        <v>638</v>
      </c>
      <c r="I82" s="10" t="s">
        <v>639</v>
      </c>
    </row>
    <row r="83" spans="1:9" x14ac:dyDescent="0.15">
      <c r="A83" s="9">
        <v>82</v>
      </c>
      <c r="B83" s="10" t="s">
        <v>9</v>
      </c>
      <c r="C83" s="10" t="s">
        <v>363</v>
      </c>
      <c r="D83" s="10" t="s">
        <v>364</v>
      </c>
      <c r="E83" s="11" t="str">
        <f>+HYPERLINK("http://trademark.i-assist.jp/data/china/image_1902th/73939744.pdf", "73939744")</f>
        <v>73939744</v>
      </c>
      <c r="F83" s="10" t="s">
        <v>640</v>
      </c>
      <c r="G83" s="10" t="s">
        <v>641</v>
      </c>
      <c r="H83" s="10" t="s">
        <v>642</v>
      </c>
      <c r="I83" s="10" t="s">
        <v>95</v>
      </c>
    </row>
    <row r="84" spans="1:9" x14ac:dyDescent="0.15">
      <c r="A84" s="9">
        <v>83</v>
      </c>
      <c r="B84" s="10" t="s">
        <v>9</v>
      </c>
      <c r="C84" s="10" t="s">
        <v>363</v>
      </c>
      <c r="D84" s="10" t="s">
        <v>364</v>
      </c>
      <c r="E84" s="11" t="str">
        <f>+HYPERLINK("http://trademark.i-assist.jp/data/china/image_1902th/73956306.pdf", "73956306")</f>
        <v>73956306</v>
      </c>
      <c r="F84" s="10" t="s">
        <v>643</v>
      </c>
      <c r="G84" s="10" t="s">
        <v>644</v>
      </c>
      <c r="H84" s="10" t="s">
        <v>645</v>
      </c>
      <c r="I84" s="10" t="s">
        <v>95</v>
      </c>
    </row>
    <row r="85" spans="1:9" x14ac:dyDescent="0.15">
      <c r="A85" s="9">
        <v>84</v>
      </c>
      <c r="B85" s="10" t="s">
        <v>9</v>
      </c>
      <c r="C85" s="10" t="s">
        <v>363</v>
      </c>
      <c r="D85" s="10" t="s">
        <v>364</v>
      </c>
      <c r="E85" s="11" t="str">
        <f>+HYPERLINK("http://trademark.i-assist.jp/data/china/image_1902th/74019188.pdf", "74019188")</f>
        <v>74019188</v>
      </c>
      <c r="F85" s="10" t="s">
        <v>646</v>
      </c>
      <c r="G85" s="10" t="s">
        <v>647</v>
      </c>
      <c r="H85" s="10" t="s">
        <v>648</v>
      </c>
      <c r="I85" s="10" t="s">
        <v>649</v>
      </c>
    </row>
    <row r="86" spans="1:9" x14ac:dyDescent="0.15">
      <c r="A86" s="9">
        <v>85</v>
      </c>
      <c r="B86" s="10" t="s">
        <v>9</v>
      </c>
      <c r="C86" s="10" t="s">
        <v>363</v>
      </c>
      <c r="D86" s="10" t="s">
        <v>364</v>
      </c>
      <c r="E86" s="11" t="str">
        <f>+HYPERLINK("http://trademark.i-assist.jp/data/china/image_1902th/74064081.pdf", "74064081")</f>
        <v>74064081</v>
      </c>
      <c r="F86" s="10" t="s">
        <v>650</v>
      </c>
      <c r="G86" s="10" t="s">
        <v>651</v>
      </c>
      <c r="H86" s="10" t="s">
        <v>652</v>
      </c>
      <c r="I86" s="10" t="s">
        <v>16</v>
      </c>
    </row>
    <row r="87" spans="1:9" x14ac:dyDescent="0.15">
      <c r="A87" s="9">
        <v>86</v>
      </c>
      <c r="B87" s="10" t="s">
        <v>9</v>
      </c>
      <c r="C87" s="10" t="s">
        <v>363</v>
      </c>
      <c r="D87" s="10" t="s">
        <v>364</v>
      </c>
      <c r="E87" s="11" t="str">
        <f>+HYPERLINK("http://trademark.i-assist.jp/data/china/image_1902th/74094917.pdf", "74094917")</f>
        <v>74094917</v>
      </c>
      <c r="F87" s="10" t="s">
        <v>653</v>
      </c>
      <c r="G87" s="10" t="s">
        <v>654</v>
      </c>
      <c r="H87" s="10" t="s">
        <v>655</v>
      </c>
      <c r="I87" s="10" t="s">
        <v>656</v>
      </c>
    </row>
    <row r="88" spans="1:9" x14ac:dyDescent="0.15">
      <c r="A88" s="9">
        <v>87</v>
      </c>
      <c r="B88" s="10" t="s">
        <v>9</v>
      </c>
      <c r="C88" s="10" t="s">
        <v>363</v>
      </c>
      <c r="D88" s="10" t="s">
        <v>364</v>
      </c>
      <c r="E88" s="11" t="str">
        <f>+HYPERLINK("http://trademark.i-assist.jp/data/china/image_1902th/74115421.pdf", "74115421")</f>
        <v>74115421</v>
      </c>
      <c r="F88" s="10" t="s">
        <v>657</v>
      </c>
      <c r="G88" s="10" t="s">
        <v>658</v>
      </c>
      <c r="H88" s="10" t="s">
        <v>659</v>
      </c>
      <c r="I88" s="10" t="s">
        <v>660</v>
      </c>
    </row>
    <row r="89" spans="1:9" x14ac:dyDescent="0.15">
      <c r="A89" s="9">
        <v>88</v>
      </c>
      <c r="B89" s="10" t="s">
        <v>9</v>
      </c>
      <c r="C89" s="10" t="s">
        <v>363</v>
      </c>
      <c r="D89" s="10" t="s">
        <v>364</v>
      </c>
      <c r="E89" s="11" t="str">
        <f>+HYPERLINK("http://trademark.i-assist.jp/data/china/image_1902th/74212343.pdf", "74212343")</f>
        <v>74212343</v>
      </c>
      <c r="F89" s="10" t="s">
        <v>661</v>
      </c>
      <c r="G89" s="10" t="s">
        <v>662</v>
      </c>
      <c r="H89" s="10" t="s">
        <v>663</v>
      </c>
      <c r="I89" s="10" t="s">
        <v>96</v>
      </c>
    </row>
    <row r="90" spans="1:9" x14ac:dyDescent="0.15">
      <c r="A90" s="9">
        <v>89</v>
      </c>
      <c r="B90" s="10" t="s">
        <v>9</v>
      </c>
      <c r="C90" s="10" t="s">
        <v>363</v>
      </c>
      <c r="D90" s="10" t="s">
        <v>364</v>
      </c>
      <c r="E90" s="11" t="str">
        <f>+HYPERLINK("http://trademark.i-assist.jp/data/china/image_1902th/74240182.pdf", "74240182")</f>
        <v>74240182</v>
      </c>
      <c r="F90" s="10" t="s">
        <v>664</v>
      </c>
      <c r="G90" s="10" t="s">
        <v>665</v>
      </c>
      <c r="H90" s="10" t="s">
        <v>666</v>
      </c>
      <c r="I90" s="10" t="s">
        <v>667</v>
      </c>
    </row>
    <row r="91" spans="1:9" x14ac:dyDescent="0.15">
      <c r="A91" s="9">
        <v>90</v>
      </c>
      <c r="B91" s="10" t="s">
        <v>9</v>
      </c>
      <c r="C91" s="10" t="s">
        <v>363</v>
      </c>
      <c r="D91" s="10" t="s">
        <v>364</v>
      </c>
      <c r="E91" s="11" t="str">
        <f>+HYPERLINK("http://trademark.i-assist.jp/data/china/image_1902th/74271058.pdf", "74271058")</f>
        <v>74271058</v>
      </c>
      <c r="F91" s="10" t="s">
        <v>668</v>
      </c>
      <c r="G91" s="10" t="s">
        <v>669</v>
      </c>
      <c r="H91" s="10" t="s">
        <v>670</v>
      </c>
      <c r="I91" s="10" t="s">
        <v>97</v>
      </c>
    </row>
    <row r="92" spans="1:9" x14ac:dyDescent="0.15">
      <c r="A92" s="9">
        <v>91</v>
      </c>
      <c r="B92" s="10" t="s">
        <v>9</v>
      </c>
      <c r="C92" s="10" t="s">
        <v>363</v>
      </c>
      <c r="D92" s="10" t="s">
        <v>364</v>
      </c>
      <c r="E92" s="11" t="str">
        <f>+HYPERLINK("http://trademark.i-assist.jp/data/china/image_1902th/74275742.pdf", "74275742")</f>
        <v>74275742</v>
      </c>
      <c r="F92" s="10" t="s">
        <v>671</v>
      </c>
      <c r="G92" s="10" t="s">
        <v>672</v>
      </c>
      <c r="H92" s="10" t="s">
        <v>673</v>
      </c>
      <c r="I92" s="10" t="s">
        <v>97</v>
      </c>
    </row>
    <row r="93" spans="1:9" x14ac:dyDescent="0.15">
      <c r="A93" s="9">
        <v>92</v>
      </c>
      <c r="B93" s="10" t="s">
        <v>9</v>
      </c>
      <c r="C93" s="10" t="s">
        <v>363</v>
      </c>
      <c r="D93" s="10" t="s">
        <v>364</v>
      </c>
      <c r="E93" s="11" t="str">
        <f>+HYPERLINK("http://trademark.i-assist.jp/data/china/image_1902th/74294147.pdf", "74294147")</f>
        <v>74294147</v>
      </c>
      <c r="F93" s="10" t="s">
        <v>674</v>
      </c>
      <c r="G93" s="10" t="s">
        <v>675</v>
      </c>
      <c r="H93" s="10" t="s">
        <v>676</v>
      </c>
      <c r="I93" s="10" t="s">
        <v>97</v>
      </c>
    </row>
    <row r="94" spans="1:9" x14ac:dyDescent="0.15">
      <c r="A94" s="9">
        <v>93</v>
      </c>
      <c r="B94" s="10" t="s">
        <v>9</v>
      </c>
      <c r="C94" s="10" t="s">
        <v>363</v>
      </c>
      <c r="D94" s="10" t="s">
        <v>364</v>
      </c>
      <c r="E94" s="11" t="str">
        <f>+HYPERLINK("http://trademark.i-assist.jp/data/china/image_1902th/74294497.pdf", "74294497")</f>
        <v>74294497</v>
      </c>
      <c r="F94" s="10" t="s">
        <v>677</v>
      </c>
      <c r="G94" s="10" t="s">
        <v>678</v>
      </c>
      <c r="H94" s="10" t="s">
        <v>679</v>
      </c>
      <c r="I94" s="10" t="s">
        <v>97</v>
      </c>
    </row>
    <row r="95" spans="1:9" x14ac:dyDescent="0.15">
      <c r="A95" s="9">
        <v>94</v>
      </c>
      <c r="B95" s="10" t="s">
        <v>9</v>
      </c>
      <c r="C95" s="10" t="s">
        <v>363</v>
      </c>
      <c r="D95" s="10" t="s">
        <v>364</v>
      </c>
      <c r="E95" s="11" t="str">
        <f>+HYPERLINK("http://trademark.i-assist.jp/data/china/image_1902th/74297828.pdf", "74297828")</f>
        <v>74297828</v>
      </c>
      <c r="F95" s="10" t="s">
        <v>680</v>
      </c>
      <c r="G95" s="10" t="s">
        <v>681</v>
      </c>
      <c r="H95" s="10" t="s">
        <v>682</v>
      </c>
      <c r="I95" s="10" t="s">
        <v>98</v>
      </c>
    </row>
    <row r="96" spans="1:9" x14ac:dyDescent="0.15">
      <c r="A96" s="9">
        <v>95</v>
      </c>
      <c r="B96" s="10" t="s">
        <v>9</v>
      </c>
      <c r="C96" s="10" t="s">
        <v>363</v>
      </c>
      <c r="D96" s="10" t="s">
        <v>364</v>
      </c>
      <c r="E96" s="11" t="str">
        <f>+HYPERLINK("http://trademark.i-assist.jp/data/china/image_1902th/74307815.pdf", "74307815")</f>
        <v>74307815</v>
      </c>
      <c r="F96" s="10" t="s">
        <v>683</v>
      </c>
      <c r="G96" s="10" t="s">
        <v>292</v>
      </c>
      <c r="H96" s="10" t="s">
        <v>684</v>
      </c>
      <c r="I96" s="10" t="s">
        <v>98</v>
      </c>
    </row>
    <row r="97" spans="1:9" x14ac:dyDescent="0.15">
      <c r="A97" s="9">
        <v>96</v>
      </c>
      <c r="B97" s="10" t="s">
        <v>9</v>
      </c>
      <c r="C97" s="10" t="s">
        <v>363</v>
      </c>
      <c r="D97" s="10" t="s">
        <v>364</v>
      </c>
      <c r="E97" s="11" t="str">
        <f>+HYPERLINK("http://trademark.i-assist.jp/data/china/image_1902th/74320161.pdf", "74320161")</f>
        <v>74320161</v>
      </c>
      <c r="F97" s="10" t="s">
        <v>685</v>
      </c>
      <c r="G97" s="10" t="s">
        <v>686</v>
      </c>
      <c r="H97" s="10" t="s">
        <v>687</v>
      </c>
      <c r="I97" s="10" t="s">
        <v>98</v>
      </c>
    </row>
    <row r="98" spans="1:9" x14ac:dyDescent="0.15">
      <c r="A98" s="9">
        <v>97</v>
      </c>
      <c r="B98" s="10" t="s">
        <v>9</v>
      </c>
      <c r="C98" s="10" t="s">
        <v>363</v>
      </c>
      <c r="D98" s="10" t="s">
        <v>364</v>
      </c>
      <c r="E98" s="11" t="str">
        <f>+HYPERLINK("http://trademark.i-assist.jp/data/china/image_1902th/74350886.pdf", "74350886")</f>
        <v>74350886</v>
      </c>
      <c r="F98" s="10" t="s">
        <v>688</v>
      </c>
      <c r="G98" s="10" t="s">
        <v>689</v>
      </c>
      <c r="H98" s="10" t="s">
        <v>690</v>
      </c>
      <c r="I98" s="10" t="s">
        <v>99</v>
      </c>
    </row>
    <row r="99" spans="1:9" x14ac:dyDescent="0.15">
      <c r="A99" s="9">
        <v>98</v>
      </c>
      <c r="B99" s="10" t="s">
        <v>9</v>
      </c>
      <c r="C99" s="10" t="s">
        <v>363</v>
      </c>
      <c r="D99" s="10" t="s">
        <v>364</v>
      </c>
      <c r="E99" s="11" t="str">
        <f>+HYPERLINK("http://trademark.i-assist.jp/data/china/image_1902th/74352353.pdf", "74352353")</f>
        <v>74352353</v>
      </c>
      <c r="F99" s="10" t="s">
        <v>691</v>
      </c>
      <c r="G99" s="10" t="s">
        <v>692</v>
      </c>
      <c r="H99" s="10" t="s">
        <v>693</v>
      </c>
      <c r="I99" s="10" t="s">
        <v>99</v>
      </c>
    </row>
    <row r="100" spans="1:9" x14ac:dyDescent="0.15">
      <c r="A100" s="9">
        <v>99</v>
      </c>
      <c r="B100" s="10" t="s">
        <v>9</v>
      </c>
      <c r="C100" s="10" t="s">
        <v>363</v>
      </c>
      <c r="D100" s="10" t="s">
        <v>364</v>
      </c>
      <c r="E100" s="11" t="str">
        <f>+HYPERLINK("http://trademark.i-assist.jp/data/china/image_1902th/74401815.pdf", "74401815")</f>
        <v>74401815</v>
      </c>
      <c r="F100" s="10" t="s">
        <v>694</v>
      </c>
      <c r="G100" s="10" t="s">
        <v>695</v>
      </c>
      <c r="H100" s="10" t="s">
        <v>696</v>
      </c>
      <c r="I100" s="10" t="s">
        <v>100</v>
      </c>
    </row>
    <row r="101" spans="1:9" x14ac:dyDescent="0.15">
      <c r="A101" s="9">
        <v>100</v>
      </c>
      <c r="B101" s="10" t="s">
        <v>9</v>
      </c>
      <c r="C101" s="10" t="s">
        <v>363</v>
      </c>
      <c r="D101" s="10" t="s">
        <v>364</v>
      </c>
      <c r="E101" s="11" t="str">
        <f>+HYPERLINK("http://trademark.i-assist.jp/data/china/image_1902th/74401820.pdf", "74401820")</f>
        <v>74401820</v>
      </c>
      <c r="F101" s="10" t="s">
        <v>697</v>
      </c>
      <c r="G101" s="10" t="s">
        <v>695</v>
      </c>
      <c r="H101" s="10" t="s">
        <v>698</v>
      </c>
      <c r="I101" s="10" t="s">
        <v>100</v>
      </c>
    </row>
    <row r="102" spans="1:9" x14ac:dyDescent="0.15">
      <c r="A102" s="9">
        <v>101</v>
      </c>
      <c r="B102" s="10" t="s">
        <v>9</v>
      </c>
      <c r="C102" s="10" t="s">
        <v>363</v>
      </c>
      <c r="D102" s="10" t="s">
        <v>364</v>
      </c>
      <c r="E102" s="11" t="str">
        <f>+HYPERLINK("http://trademark.i-assist.jp/data/china/image_1902th/74414005.pdf", "74414005")</f>
        <v>74414005</v>
      </c>
      <c r="F102" s="10" t="s">
        <v>699</v>
      </c>
      <c r="G102" s="10" t="s">
        <v>700</v>
      </c>
      <c r="H102" s="10" t="s">
        <v>701</v>
      </c>
      <c r="I102" s="10" t="s">
        <v>100</v>
      </c>
    </row>
    <row r="103" spans="1:9" x14ac:dyDescent="0.15">
      <c r="A103" s="9">
        <v>102</v>
      </c>
      <c r="B103" s="10" t="s">
        <v>9</v>
      </c>
      <c r="C103" s="10" t="s">
        <v>363</v>
      </c>
      <c r="D103" s="10" t="s">
        <v>364</v>
      </c>
      <c r="E103" s="11" t="str">
        <f>+HYPERLINK("http://trademark.i-assist.jp/data/china/image_1902th/74435394.pdf", "74435394")</f>
        <v>74435394</v>
      </c>
      <c r="F103" s="10" t="s">
        <v>702</v>
      </c>
      <c r="G103" s="10" t="s">
        <v>703</v>
      </c>
      <c r="H103" s="10" t="s">
        <v>15</v>
      </c>
      <c r="I103" s="10" t="s">
        <v>17</v>
      </c>
    </row>
    <row r="104" spans="1:9" x14ac:dyDescent="0.15">
      <c r="A104" s="9">
        <v>103</v>
      </c>
      <c r="B104" s="10" t="s">
        <v>9</v>
      </c>
      <c r="C104" s="10" t="s">
        <v>363</v>
      </c>
      <c r="D104" s="10" t="s">
        <v>364</v>
      </c>
      <c r="E104" s="11" t="str">
        <f>+HYPERLINK("http://trademark.i-assist.jp/data/china/image_1902th/74444622.pdf", "74444622")</f>
        <v>74444622</v>
      </c>
      <c r="F104" s="10" t="s">
        <v>704</v>
      </c>
      <c r="G104" s="10" t="s">
        <v>705</v>
      </c>
      <c r="H104" s="10" t="s">
        <v>706</v>
      </c>
      <c r="I104" s="10" t="s">
        <v>18</v>
      </c>
    </row>
    <row r="105" spans="1:9" x14ac:dyDescent="0.15">
      <c r="A105" s="9">
        <v>104</v>
      </c>
      <c r="B105" s="10" t="s">
        <v>9</v>
      </c>
      <c r="C105" s="10" t="s">
        <v>363</v>
      </c>
      <c r="D105" s="10" t="s">
        <v>364</v>
      </c>
      <c r="E105" s="11" t="str">
        <f>+HYPERLINK("http://trademark.i-assist.jp/data/china/image_1902th/74449655.pdf", "74449655")</f>
        <v>74449655</v>
      </c>
      <c r="F105" s="10" t="s">
        <v>707</v>
      </c>
      <c r="G105" s="10" t="s">
        <v>708</v>
      </c>
      <c r="H105" s="10" t="s">
        <v>709</v>
      </c>
      <c r="I105" s="10" t="s">
        <v>18</v>
      </c>
    </row>
    <row r="106" spans="1:9" x14ac:dyDescent="0.15">
      <c r="A106" s="9">
        <v>105</v>
      </c>
      <c r="B106" s="10" t="s">
        <v>9</v>
      </c>
      <c r="C106" s="10" t="s">
        <v>363</v>
      </c>
      <c r="D106" s="10" t="s">
        <v>364</v>
      </c>
      <c r="E106" s="11" t="str">
        <f>+HYPERLINK("http://trademark.i-assist.jp/data/china/image_1902th/74451303.pdf", "74451303")</f>
        <v>74451303</v>
      </c>
      <c r="F106" s="10" t="s">
        <v>710</v>
      </c>
      <c r="G106" s="10" t="s">
        <v>711</v>
      </c>
      <c r="H106" s="10" t="s">
        <v>712</v>
      </c>
      <c r="I106" s="10" t="s">
        <v>18</v>
      </c>
    </row>
    <row r="107" spans="1:9" x14ac:dyDescent="0.15">
      <c r="A107" s="9">
        <v>106</v>
      </c>
      <c r="B107" s="10" t="s">
        <v>9</v>
      </c>
      <c r="C107" s="10" t="s">
        <v>363</v>
      </c>
      <c r="D107" s="10" t="s">
        <v>364</v>
      </c>
      <c r="E107" s="11" t="str">
        <f>+HYPERLINK("http://trademark.i-assist.jp/data/china/image_1902th/74470980.pdf", "74470980")</f>
        <v>74470980</v>
      </c>
      <c r="F107" s="10" t="s">
        <v>713</v>
      </c>
      <c r="G107" s="10" t="s">
        <v>10</v>
      </c>
      <c r="H107" s="10" t="s">
        <v>714</v>
      </c>
      <c r="I107" s="10" t="s">
        <v>715</v>
      </c>
    </row>
    <row r="108" spans="1:9" x14ac:dyDescent="0.15">
      <c r="A108" s="9">
        <v>107</v>
      </c>
      <c r="B108" s="10" t="s">
        <v>9</v>
      </c>
      <c r="C108" s="10" t="s">
        <v>363</v>
      </c>
      <c r="D108" s="10" t="s">
        <v>364</v>
      </c>
      <c r="E108" s="11" t="str">
        <f>+HYPERLINK("http://trademark.i-assist.jp/data/china/image_1902th/74493841.pdf", "74493841")</f>
        <v>74493841</v>
      </c>
      <c r="F108" s="10" t="s">
        <v>716</v>
      </c>
      <c r="G108" s="10" t="s">
        <v>717</v>
      </c>
      <c r="H108" s="10" t="s">
        <v>718</v>
      </c>
      <c r="I108" s="10" t="s">
        <v>719</v>
      </c>
    </row>
    <row r="109" spans="1:9" x14ac:dyDescent="0.15">
      <c r="A109" s="9">
        <v>108</v>
      </c>
      <c r="B109" s="10" t="s">
        <v>9</v>
      </c>
      <c r="C109" s="10" t="s">
        <v>363</v>
      </c>
      <c r="D109" s="10" t="s">
        <v>364</v>
      </c>
      <c r="E109" s="11" t="str">
        <f>+HYPERLINK("http://trademark.i-assist.jp/data/china/image_1902th/74504154.pdf", "74504154")</f>
        <v>74504154</v>
      </c>
      <c r="F109" s="10" t="s">
        <v>720</v>
      </c>
      <c r="G109" s="10" t="s">
        <v>721</v>
      </c>
      <c r="H109" s="10" t="s">
        <v>722</v>
      </c>
      <c r="I109" s="10" t="s">
        <v>719</v>
      </c>
    </row>
    <row r="110" spans="1:9" x14ac:dyDescent="0.15">
      <c r="A110" s="9">
        <v>109</v>
      </c>
      <c r="B110" s="10" t="s">
        <v>9</v>
      </c>
      <c r="C110" s="10" t="s">
        <v>363</v>
      </c>
      <c r="D110" s="10" t="s">
        <v>364</v>
      </c>
      <c r="E110" s="11" t="str">
        <f>+HYPERLINK("http://trademark.i-assist.jp/data/china/image_1902th/74547148.pdf", "74547148")</f>
        <v>74547148</v>
      </c>
      <c r="F110" s="10" t="s">
        <v>723</v>
      </c>
      <c r="G110" s="10" t="s">
        <v>724</v>
      </c>
      <c r="H110" s="10" t="s">
        <v>725</v>
      </c>
      <c r="I110" s="10" t="s">
        <v>726</v>
      </c>
    </row>
    <row r="111" spans="1:9" x14ac:dyDescent="0.15">
      <c r="A111" s="9">
        <v>110</v>
      </c>
      <c r="B111" s="10" t="s">
        <v>9</v>
      </c>
      <c r="C111" s="10" t="s">
        <v>363</v>
      </c>
      <c r="D111" s="10" t="s">
        <v>364</v>
      </c>
      <c r="E111" s="11" t="str">
        <f>+HYPERLINK("http://trademark.i-assist.jp/data/china/image_1902th/74559096.pdf", "74559096")</f>
        <v>74559096</v>
      </c>
      <c r="F111" s="10" t="s">
        <v>727</v>
      </c>
      <c r="G111" s="10" t="s">
        <v>728</v>
      </c>
      <c r="H111" s="10" t="s">
        <v>729</v>
      </c>
      <c r="I111" s="10" t="s">
        <v>726</v>
      </c>
    </row>
    <row r="112" spans="1:9" x14ac:dyDescent="0.15">
      <c r="A112" s="9">
        <v>111</v>
      </c>
      <c r="B112" s="10" t="s">
        <v>9</v>
      </c>
      <c r="C112" s="10" t="s">
        <v>363</v>
      </c>
      <c r="D112" s="10" t="s">
        <v>364</v>
      </c>
      <c r="E112" s="11" t="str">
        <f>+HYPERLINK("http://trademark.i-assist.jp/data/china/image_1902th/74594791.pdf", "74594791")</f>
        <v>74594791</v>
      </c>
      <c r="F112" s="10" t="s">
        <v>730</v>
      </c>
      <c r="G112" s="10" t="s">
        <v>731</v>
      </c>
      <c r="H112" s="10" t="s">
        <v>732</v>
      </c>
      <c r="I112" s="10" t="s">
        <v>733</v>
      </c>
    </row>
    <row r="113" spans="1:9" x14ac:dyDescent="0.15">
      <c r="A113" s="9">
        <v>112</v>
      </c>
      <c r="B113" s="10" t="s">
        <v>9</v>
      </c>
      <c r="C113" s="10" t="s">
        <v>363</v>
      </c>
      <c r="D113" s="10" t="s">
        <v>364</v>
      </c>
      <c r="E113" s="11" t="str">
        <f>+HYPERLINK("http://trademark.i-assist.jp/data/china/image_1902th/74603960.pdf", "74603960")</f>
        <v>74603960</v>
      </c>
      <c r="F113" s="10" t="s">
        <v>734</v>
      </c>
      <c r="G113" s="10" t="s">
        <v>731</v>
      </c>
      <c r="H113" s="10" t="s">
        <v>735</v>
      </c>
      <c r="I113" s="10" t="s">
        <v>736</v>
      </c>
    </row>
    <row r="114" spans="1:9" x14ac:dyDescent="0.15">
      <c r="A114" s="9">
        <v>113</v>
      </c>
      <c r="B114" s="10" t="s">
        <v>9</v>
      </c>
      <c r="C114" s="10" t="s">
        <v>363</v>
      </c>
      <c r="D114" s="10" t="s">
        <v>364</v>
      </c>
      <c r="E114" s="11" t="str">
        <f>+HYPERLINK("http://trademark.i-assist.jp/data/china/image_1902th/74614131.pdf", "74614131")</f>
        <v>74614131</v>
      </c>
      <c r="F114" s="10" t="s">
        <v>737</v>
      </c>
      <c r="G114" s="10" t="s">
        <v>738</v>
      </c>
      <c r="H114" s="10" t="s">
        <v>739</v>
      </c>
      <c r="I114" s="10" t="s">
        <v>736</v>
      </c>
    </row>
    <row r="115" spans="1:9" x14ac:dyDescent="0.15">
      <c r="A115" s="9">
        <v>114</v>
      </c>
      <c r="B115" s="10" t="s">
        <v>9</v>
      </c>
      <c r="C115" s="10" t="s">
        <v>363</v>
      </c>
      <c r="D115" s="10" t="s">
        <v>364</v>
      </c>
      <c r="E115" s="11" t="str">
        <f>+HYPERLINK("http://trademark.i-assist.jp/data/china/image_1902th/74614593.pdf", "74614593")</f>
        <v>74614593</v>
      </c>
      <c r="F115" s="10" t="s">
        <v>740</v>
      </c>
      <c r="G115" s="10" t="s">
        <v>731</v>
      </c>
      <c r="H115" s="10" t="s">
        <v>741</v>
      </c>
      <c r="I115" s="10" t="s">
        <v>736</v>
      </c>
    </row>
    <row r="116" spans="1:9" x14ac:dyDescent="0.15">
      <c r="A116" s="9">
        <v>115</v>
      </c>
      <c r="B116" s="10" t="s">
        <v>9</v>
      </c>
      <c r="C116" s="10" t="s">
        <v>363</v>
      </c>
      <c r="D116" s="10" t="s">
        <v>364</v>
      </c>
      <c r="E116" s="11" t="str">
        <f>+HYPERLINK("http://trademark.i-assist.jp/data/china/image_1902th/74657033.pdf", "74657033")</f>
        <v>74657033</v>
      </c>
      <c r="F116" s="10" t="s">
        <v>742</v>
      </c>
      <c r="G116" s="10" t="s">
        <v>743</v>
      </c>
      <c r="H116" s="10" t="s">
        <v>744</v>
      </c>
      <c r="I116" s="10" t="s">
        <v>101</v>
      </c>
    </row>
    <row r="117" spans="1:9" x14ac:dyDescent="0.15">
      <c r="A117" s="9">
        <v>116</v>
      </c>
      <c r="B117" s="10" t="s">
        <v>9</v>
      </c>
      <c r="C117" s="10" t="s">
        <v>363</v>
      </c>
      <c r="D117" s="10" t="s">
        <v>364</v>
      </c>
      <c r="E117" s="11" t="str">
        <f>+HYPERLINK("http://trademark.i-assist.jp/data/china/image_1902th/74664451.pdf", "74664451")</f>
        <v>74664451</v>
      </c>
      <c r="F117" s="10" t="s">
        <v>745</v>
      </c>
      <c r="G117" s="10" t="s">
        <v>743</v>
      </c>
      <c r="H117" s="10" t="s">
        <v>746</v>
      </c>
      <c r="I117" s="10" t="s">
        <v>101</v>
      </c>
    </row>
    <row r="118" spans="1:9" x14ac:dyDescent="0.15">
      <c r="A118" s="9">
        <v>117</v>
      </c>
      <c r="B118" s="10" t="s">
        <v>9</v>
      </c>
      <c r="C118" s="10" t="s">
        <v>363</v>
      </c>
      <c r="D118" s="10" t="s">
        <v>364</v>
      </c>
      <c r="E118" s="11" t="str">
        <f>+HYPERLINK("http://trademark.i-assist.jp/data/china/image_1902th/74684346.pdf", "74684346")</f>
        <v>74684346</v>
      </c>
      <c r="F118" s="10" t="s">
        <v>747</v>
      </c>
      <c r="G118" s="10" t="s">
        <v>748</v>
      </c>
      <c r="H118" s="10" t="s">
        <v>749</v>
      </c>
      <c r="I118" s="10" t="s">
        <v>750</v>
      </c>
    </row>
    <row r="119" spans="1:9" x14ac:dyDescent="0.15">
      <c r="A119" s="9">
        <v>118</v>
      </c>
      <c r="B119" s="10" t="s">
        <v>9</v>
      </c>
      <c r="C119" s="10" t="s">
        <v>363</v>
      </c>
      <c r="D119" s="10" t="s">
        <v>364</v>
      </c>
      <c r="E119" s="11" t="str">
        <f>+HYPERLINK("http://trademark.i-assist.jp/data/china/image_1902th/74688726.pdf", "74688726")</f>
        <v>74688726</v>
      </c>
      <c r="F119" s="10" t="s">
        <v>751</v>
      </c>
      <c r="G119" s="10" t="s">
        <v>748</v>
      </c>
      <c r="H119" s="10" t="s">
        <v>752</v>
      </c>
      <c r="I119" s="10" t="s">
        <v>750</v>
      </c>
    </row>
    <row r="120" spans="1:9" x14ac:dyDescent="0.15">
      <c r="A120" s="9">
        <v>119</v>
      </c>
      <c r="B120" s="10" t="s">
        <v>9</v>
      </c>
      <c r="C120" s="10" t="s">
        <v>363</v>
      </c>
      <c r="D120" s="10" t="s">
        <v>364</v>
      </c>
      <c r="E120" s="11" t="str">
        <f>+HYPERLINK("http://trademark.i-assist.jp/data/china/image_1902th/74692336.pdf", "74692336")</f>
        <v>74692336</v>
      </c>
      <c r="F120" s="10" t="s">
        <v>753</v>
      </c>
      <c r="G120" s="10" t="s">
        <v>754</v>
      </c>
      <c r="H120" s="10" t="s">
        <v>755</v>
      </c>
      <c r="I120" s="10" t="s">
        <v>750</v>
      </c>
    </row>
    <row r="121" spans="1:9" x14ac:dyDescent="0.15">
      <c r="A121" s="9">
        <v>120</v>
      </c>
      <c r="B121" s="10" t="s">
        <v>9</v>
      </c>
      <c r="C121" s="10" t="s">
        <v>363</v>
      </c>
      <c r="D121" s="10" t="s">
        <v>364</v>
      </c>
      <c r="E121" s="11" t="str">
        <f>+HYPERLINK("http://trademark.i-assist.jp/data/china/image_1902th/74715544.pdf", "74715544")</f>
        <v>74715544</v>
      </c>
      <c r="F121" s="10" t="s">
        <v>756</v>
      </c>
      <c r="G121" s="10" t="s">
        <v>757</v>
      </c>
      <c r="H121" s="10" t="s">
        <v>758</v>
      </c>
      <c r="I121" s="10" t="s">
        <v>759</v>
      </c>
    </row>
    <row r="122" spans="1:9" x14ac:dyDescent="0.15">
      <c r="A122" s="9">
        <v>121</v>
      </c>
      <c r="B122" s="10" t="s">
        <v>9</v>
      </c>
      <c r="C122" s="10" t="s">
        <v>363</v>
      </c>
      <c r="D122" s="10" t="s">
        <v>364</v>
      </c>
      <c r="E122" s="11" t="str">
        <f>+HYPERLINK("http://trademark.i-assist.jp/data/china/image_1902th/74717795.pdf", "74717795")</f>
        <v>74717795</v>
      </c>
      <c r="F122" s="10" t="s">
        <v>760</v>
      </c>
      <c r="G122" s="10" t="s">
        <v>761</v>
      </c>
      <c r="H122" s="10" t="s">
        <v>762</v>
      </c>
      <c r="I122" s="10" t="s">
        <v>759</v>
      </c>
    </row>
    <row r="123" spans="1:9" x14ac:dyDescent="0.15">
      <c r="A123" s="9">
        <v>122</v>
      </c>
      <c r="B123" s="10" t="s">
        <v>9</v>
      </c>
      <c r="C123" s="10" t="s">
        <v>363</v>
      </c>
      <c r="D123" s="10" t="s">
        <v>364</v>
      </c>
      <c r="E123" s="11" t="str">
        <f>+HYPERLINK("http://trademark.i-assist.jp/data/china/image_1902th/74737753.pdf", "74737753")</f>
        <v>74737753</v>
      </c>
      <c r="F123" s="10" t="s">
        <v>763</v>
      </c>
      <c r="G123" s="10" t="s">
        <v>764</v>
      </c>
      <c r="H123" s="10" t="s">
        <v>765</v>
      </c>
      <c r="I123" s="10" t="s">
        <v>766</v>
      </c>
    </row>
    <row r="124" spans="1:9" x14ac:dyDescent="0.15">
      <c r="A124" s="9">
        <v>123</v>
      </c>
      <c r="B124" s="10" t="s">
        <v>9</v>
      </c>
      <c r="C124" s="10" t="s">
        <v>363</v>
      </c>
      <c r="D124" s="10" t="s">
        <v>364</v>
      </c>
      <c r="E124" s="11" t="str">
        <f>+HYPERLINK("http://trademark.i-assist.jp/data/china/image_1902th/74738248.pdf", "74738248")</f>
        <v>74738248</v>
      </c>
      <c r="F124" s="10" t="s">
        <v>767</v>
      </c>
      <c r="G124" s="10" t="s">
        <v>768</v>
      </c>
      <c r="H124" s="10" t="s">
        <v>769</v>
      </c>
      <c r="I124" s="10" t="s">
        <v>766</v>
      </c>
    </row>
    <row r="125" spans="1:9" x14ac:dyDescent="0.15">
      <c r="A125" s="9">
        <v>124</v>
      </c>
      <c r="B125" s="10" t="s">
        <v>9</v>
      </c>
      <c r="C125" s="10" t="s">
        <v>363</v>
      </c>
      <c r="D125" s="10" t="s">
        <v>364</v>
      </c>
      <c r="E125" s="11" t="str">
        <f>+HYPERLINK("http://trademark.i-assist.jp/data/china/image_1902th/74788523.pdf", "74788523")</f>
        <v>74788523</v>
      </c>
      <c r="F125" s="10" t="s">
        <v>770</v>
      </c>
      <c r="G125" s="10" t="s">
        <v>771</v>
      </c>
      <c r="H125" s="10" t="s">
        <v>772</v>
      </c>
      <c r="I125" s="10" t="s">
        <v>773</v>
      </c>
    </row>
    <row r="126" spans="1:9" x14ac:dyDescent="0.15">
      <c r="A126" s="9">
        <v>125</v>
      </c>
      <c r="B126" s="10" t="s">
        <v>9</v>
      </c>
      <c r="C126" s="10" t="s">
        <v>363</v>
      </c>
      <c r="D126" s="10" t="s">
        <v>364</v>
      </c>
      <c r="E126" s="11" t="str">
        <f>+HYPERLINK("http://trademark.i-assist.jp/data/china/image_1902th/74832016.pdf", "74832016")</f>
        <v>74832016</v>
      </c>
      <c r="F126" s="10" t="s">
        <v>774</v>
      </c>
      <c r="G126" s="10" t="s">
        <v>775</v>
      </c>
      <c r="H126" s="10" t="s">
        <v>776</v>
      </c>
      <c r="I126" s="10" t="s">
        <v>777</v>
      </c>
    </row>
    <row r="127" spans="1:9" x14ac:dyDescent="0.15">
      <c r="A127" s="9">
        <v>126</v>
      </c>
      <c r="B127" s="10" t="s">
        <v>9</v>
      </c>
      <c r="C127" s="10" t="s">
        <v>363</v>
      </c>
      <c r="D127" s="10" t="s">
        <v>364</v>
      </c>
      <c r="E127" s="11" t="str">
        <f>+HYPERLINK("http://trademark.i-assist.jp/data/china/image_1902th/74849214.pdf", "74849214")</f>
        <v>74849214</v>
      </c>
      <c r="F127" s="10" t="s">
        <v>778</v>
      </c>
      <c r="G127" s="10" t="s">
        <v>779</v>
      </c>
      <c r="H127" s="10" t="s">
        <v>780</v>
      </c>
      <c r="I127" s="10" t="s">
        <v>781</v>
      </c>
    </row>
    <row r="128" spans="1:9" x14ac:dyDescent="0.15">
      <c r="A128" s="9">
        <v>127</v>
      </c>
      <c r="B128" s="10" t="s">
        <v>9</v>
      </c>
      <c r="C128" s="10" t="s">
        <v>363</v>
      </c>
      <c r="D128" s="10" t="s">
        <v>364</v>
      </c>
      <c r="E128" s="11" t="str">
        <f>+HYPERLINK("http://trademark.i-assist.jp/data/china/image_1902th/74864968.pdf", "74864968")</f>
        <v>74864968</v>
      </c>
      <c r="F128" s="10" t="s">
        <v>782</v>
      </c>
      <c r="G128" s="10" t="s">
        <v>783</v>
      </c>
      <c r="H128" s="10" t="s">
        <v>784</v>
      </c>
      <c r="I128" s="10" t="s">
        <v>781</v>
      </c>
    </row>
    <row r="129" spans="1:9" x14ac:dyDescent="0.15">
      <c r="A129" s="9">
        <v>128</v>
      </c>
      <c r="B129" s="10" t="s">
        <v>9</v>
      </c>
      <c r="C129" s="10" t="s">
        <v>363</v>
      </c>
      <c r="D129" s="10" t="s">
        <v>364</v>
      </c>
      <c r="E129" s="11" t="str">
        <f>+HYPERLINK("http://trademark.i-assist.jp/data/china/image_1902th/74992180.pdf", "74992180")</f>
        <v>74992180</v>
      </c>
      <c r="F129" s="10" t="s">
        <v>785</v>
      </c>
      <c r="G129" s="10" t="s">
        <v>786</v>
      </c>
      <c r="H129" s="10" t="s">
        <v>787</v>
      </c>
      <c r="I129" s="10" t="s">
        <v>788</v>
      </c>
    </row>
    <row r="130" spans="1:9" x14ac:dyDescent="0.15">
      <c r="A130" s="9">
        <v>129</v>
      </c>
      <c r="B130" s="10" t="s">
        <v>9</v>
      </c>
      <c r="C130" s="10" t="s">
        <v>363</v>
      </c>
      <c r="D130" s="10" t="s">
        <v>364</v>
      </c>
      <c r="E130" s="11" t="str">
        <f>+HYPERLINK("http://trademark.i-assist.jp/data/china/image_1902th/75139313.pdf", "75139313")</f>
        <v>75139313</v>
      </c>
      <c r="F130" s="10" t="s">
        <v>789</v>
      </c>
      <c r="G130" s="10" t="s">
        <v>790</v>
      </c>
      <c r="H130" s="10" t="s">
        <v>791</v>
      </c>
      <c r="I130" s="10" t="s">
        <v>792</v>
      </c>
    </row>
    <row r="131" spans="1:9" x14ac:dyDescent="0.15">
      <c r="A131" s="9">
        <v>130</v>
      </c>
      <c r="B131" s="10" t="s">
        <v>9</v>
      </c>
      <c r="C131" s="10" t="s">
        <v>363</v>
      </c>
      <c r="D131" s="10" t="s">
        <v>364</v>
      </c>
      <c r="E131" s="11" t="str">
        <f>+HYPERLINK("http://trademark.i-assist.jp/data/china/image_1902th/75253066.pdf", "75253066")</f>
        <v>75253066</v>
      </c>
      <c r="F131" s="10" t="s">
        <v>12</v>
      </c>
      <c r="G131" s="10" t="s">
        <v>793</v>
      </c>
      <c r="H131" s="10" t="s">
        <v>794</v>
      </c>
      <c r="I131" s="10" t="s">
        <v>795</v>
      </c>
    </row>
    <row r="132" spans="1:9" x14ac:dyDescent="0.15">
      <c r="A132" s="9">
        <v>131</v>
      </c>
      <c r="B132" s="10" t="s">
        <v>9</v>
      </c>
      <c r="C132" s="10" t="s">
        <v>363</v>
      </c>
      <c r="D132" s="10" t="s">
        <v>364</v>
      </c>
      <c r="E132" s="11" t="str">
        <f>+HYPERLINK("http://trademark.i-assist.jp/data/china/image_1902th/75291533.pdf", "75291533")</f>
        <v>75291533</v>
      </c>
      <c r="F132" s="10" t="s">
        <v>796</v>
      </c>
      <c r="G132" s="10" t="s">
        <v>797</v>
      </c>
      <c r="H132" s="10" t="s">
        <v>798</v>
      </c>
      <c r="I132" s="10" t="s">
        <v>799</v>
      </c>
    </row>
    <row r="133" spans="1:9" x14ac:dyDescent="0.15">
      <c r="A133" s="9">
        <v>132</v>
      </c>
      <c r="B133" s="10" t="s">
        <v>9</v>
      </c>
      <c r="C133" s="10" t="s">
        <v>363</v>
      </c>
      <c r="D133" s="10" t="s">
        <v>364</v>
      </c>
      <c r="E133" s="11" t="str">
        <f>+HYPERLINK("http://trademark.i-assist.jp/data/china/image_1902th/75423249.pdf", "75423249")</f>
        <v>75423249</v>
      </c>
      <c r="F133" s="10" t="s">
        <v>800</v>
      </c>
      <c r="G133" s="10" t="s">
        <v>801</v>
      </c>
      <c r="H133" s="10" t="s">
        <v>802</v>
      </c>
      <c r="I133" s="10" t="s">
        <v>803</v>
      </c>
    </row>
    <row r="134" spans="1:9" x14ac:dyDescent="0.15">
      <c r="A134" s="9">
        <v>133</v>
      </c>
      <c r="B134" s="10" t="s">
        <v>9</v>
      </c>
      <c r="C134" s="10" t="s">
        <v>363</v>
      </c>
      <c r="D134" s="10" t="s">
        <v>364</v>
      </c>
      <c r="E134" s="11" t="str">
        <f>+HYPERLINK("http://trademark.i-assist.jp/data/china/image_1902th/75434341.pdf", "75434341")</f>
        <v>75434341</v>
      </c>
      <c r="F134" s="10" t="s">
        <v>804</v>
      </c>
      <c r="G134" s="10" t="s">
        <v>805</v>
      </c>
      <c r="H134" s="10" t="s">
        <v>806</v>
      </c>
      <c r="I134" s="10" t="s">
        <v>803</v>
      </c>
    </row>
    <row r="135" spans="1:9" x14ac:dyDescent="0.15">
      <c r="A135" s="9">
        <v>134</v>
      </c>
      <c r="B135" s="10" t="s">
        <v>9</v>
      </c>
      <c r="C135" s="10" t="s">
        <v>363</v>
      </c>
      <c r="D135" s="10" t="s">
        <v>364</v>
      </c>
      <c r="E135" s="11" t="str">
        <f>+HYPERLINK("http://trademark.i-assist.jp/data/china/image_1902th/75486236.pdf", "75486236")</f>
        <v>75486236</v>
      </c>
      <c r="F135" s="10" t="s">
        <v>807</v>
      </c>
      <c r="G135" s="10" t="s">
        <v>808</v>
      </c>
      <c r="H135" s="10" t="s">
        <v>809</v>
      </c>
      <c r="I135" s="10" t="s">
        <v>810</v>
      </c>
    </row>
    <row r="136" spans="1:9" x14ac:dyDescent="0.15">
      <c r="A136" s="9">
        <v>135</v>
      </c>
      <c r="B136" s="10" t="s">
        <v>9</v>
      </c>
      <c r="C136" s="10" t="s">
        <v>363</v>
      </c>
      <c r="D136" s="10" t="s">
        <v>364</v>
      </c>
      <c r="E136" s="11" t="str">
        <f>+HYPERLINK("http://trademark.i-assist.jp/data/china/image_1902th/75624029.pdf", "75624029")</f>
        <v>75624029</v>
      </c>
      <c r="F136" s="10" t="s">
        <v>811</v>
      </c>
      <c r="G136" s="10" t="s">
        <v>812</v>
      </c>
      <c r="H136" s="10" t="s">
        <v>813</v>
      </c>
      <c r="I136" s="10" t="s">
        <v>814</v>
      </c>
    </row>
    <row r="137" spans="1:9" x14ac:dyDescent="0.15">
      <c r="A137" s="9">
        <v>136</v>
      </c>
      <c r="B137" s="10" t="s">
        <v>9</v>
      </c>
      <c r="C137" s="10" t="s">
        <v>363</v>
      </c>
      <c r="D137" s="10" t="s">
        <v>364</v>
      </c>
      <c r="E137" s="11" t="str">
        <f>+HYPERLINK("http://trademark.i-assist.jp/data/china/image_1902th/76312942.pdf", "76312942")</f>
        <v>76312942</v>
      </c>
      <c r="F137" s="10" t="s">
        <v>815</v>
      </c>
      <c r="G137" s="10" t="s">
        <v>816</v>
      </c>
      <c r="H137" s="10" t="s">
        <v>817</v>
      </c>
      <c r="I137" s="10" t="s">
        <v>818</v>
      </c>
    </row>
    <row r="138" spans="1:9" x14ac:dyDescent="0.15">
      <c r="A138" s="9">
        <v>137</v>
      </c>
      <c r="B138" s="10" t="s">
        <v>9</v>
      </c>
      <c r="C138" s="10" t="s">
        <v>363</v>
      </c>
      <c r="D138" s="10" t="s">
        <v>364</v>
      </c>
      <c r="E138" s="11" t="str">
        <f>+HYPERLINK("http://trademark.i-assist.jp/data/china/image_1902th/76694137.pdf", "76694137")</f>
        <v>76694137</v>
      </c>
      <c r="F138" s="10" t="s">
        <v>819</v>
      </c>
      <c r="G138" s="10" t="s">
        <v>820</v>
      </c>
      <c r="H138" s="10" t="s">
        <v>821</v>
      </c>
      <c r="I138" s="10" t="s">
        <v>822</v>
      </c>
    </row>
    <row r="139" spans="1:9" x14ac:dyDescent="0.15">
      <c r="A139" s="9">
        <v>138</v>
      </c>
      <c r="B139" s="10" t="s">
        <v>9</v>
      </c>
      <c r="C139" s="10" t="s">
        <v>363</v>
      </c>
      <c r="D139" s="10" t="s">
        <v>364</v>
      </c>
      <c r="E139" s="11" t="str">
        <f>+HYPERLINK("http://trademark.i-assist.jp/data/china/image_1902th/76755026.pdf", "76755026")</f>
        <v>76755026</v>
      </c>
      <c r="F139" s="10" t="s">
        <v>823</v>
      </c>
      <c r="G139" s="10" t="s">
        <v>193</v>
      </c>
      <c r="H139" s="10" t="s">
        <v>824</v>
      </c>
      <c r="I139" s="10" t="s">
        <v>825</v>
      </c>
    </row>
    <row r="140" spans="1:9" x14ac:dyDescent="0.15">
      <c r="A140" s="9">
        <v>139</v>
      </c>
      <c r="B140" s="10" t="s">
        <v>9</v>
      </c>
      <c r="C140" s="10" t="s">
        <v>363</v>
      </c>
      <c r="D140" s="10" t="s">
        <v>364</v>
      </c>
      <c r="E140" s="11" t="str">
        <f>+HYPERLINK("http://trademark.i-assist.jp/data/china/image_1902th/76932836.pdf", "76932836")</f>
        <v>76932836</v>
      </c>
      <c r="F140" s="10" t="s">
        <v>826</v>
      </c>
      <c r="G140" s="10" t="s">
        <v>827</v>
      </c>
      <c r="H140" s="10" t="s">
        <v>828</v>
      </c>
      <c r="I140" s="10" t="s">
        <v>102</v>
      </c>
    </row>
    <row r="141" spans="1:9" x14ac:dyDescent="0.15">
      <c r="A141" s="9">
        <v>140</v>
      </c>
      <c r="B141" s="10" t="s">
        <v>9</v>
      </c>
      <c r="C141" s="10" t="s">
        <v>363</v>
      </c>
      <c r="D141" s="10" t="s">
        <v>364</v>
      </c>
      <c r="E141" s="11" t="str">
        <f>+HYPERLINK("http://trademark.i-assist.jp/data/china/image_1902th/76939455.pdf", "76939455")</f>
        <v>76939455</v>
      </c>
      <c r="F141" s="10" t="s">
        <v>826</v>
      </c>
      <c r="G141" s="10" t="s">
        <v>827</v>
      </c>
      <c r="H141" s="10" t="s">
        <v>829</v>
      </c>
      <c r="I141" s="10" t="s">
        <v>102</v>
      </c>
    </row>
    <row r="142" spans="1:9" x14ac:dyDescent="0.15">
      <c r="A142" s="9">
        <v>141</v>
      </c>
      <c r="B142" s="10" t="s">
        <v>9</v>
      </c>
      <c r="C142" s="10" t="s">
        <v>363</v>
      </c>
      <c r="D142" s="10" t="s">
        <v>364</v>
      </c>
      <c r="E142" s="11" t="str">
        <f>+HYPERLINK("http://trademark.i-assist.jp/data/china/image_1902th/76943256.pdf", "76943256")</f>
        <v>76943256</v>
      </c>
      <c r="F142" s="10" t="s">
        <v>830</v>
      </c>
      <c r="G142" s="10" t="s">
        <v>831</v>
      </c>
      <c r="H142" s="10" t="s">
        <v>832</v>
      </c>
      <c r="I142" s="10" t="s">
        <v>20</v>
      </c>
    </row>
    <row r="143" spans="1:9" x14ac:dyDescent="0.15">
      <c r="A143" s="9">
        <v>142</v>
      </c>
      <c r="B143" s="10" t="s">
        <v>9</v>
      </c>
      <c r="C143" s="10" t="s">
        <v>363</v>
      </c>
      <c r="D143" s="10" t="s">
        <v>364</v>
      </c>
      <c r="E143" s="11" t="str">
        <f>+HYPERLINK("http://trademark.i-assist.jp/data/china/image_1902th/77057083.pdf", "77057083")</f>
        <v>77057083</v>
      </c>
      <c r="F143" s="10" t="s">
        <v>833</v>
      </c>
      <c r="G143" s="10" t="s">
        <v>103</v>
      </c>
      <c r="H143" s="10" t="s">
        <v>834</v>
      </c>
      <c r="I143" s="10" t="s">
        <v>21</v>
      </c>
    </row>
    <row r="144" spans="1:9" x14ac:dyDescent="0.15">
      <c r="A144" s="9">
        <v>143</v>
      </c>
      <c r="B144" s="10" t="s">
        <v>9</v>
      </c>
      <c r="C144" s="10" t="s">
        <v>363</v>
      </c>
      <c r="D144" s="10" t="s">
        <v>364</v>
      </c>
      <c r="E144" s="11" t="str">
        <f>+HYPERLINK("http://trademark.i-assist.jp/data/china/image_1902th/77072836.pdf", "77072836")</f>
        <v>77072836</v>
      </c>
      <c r="F144" s="10" t="s">
        <v>835</v>
      </c>
      <c r="G144" s="10" t="s">
        <v>836</v>
      </c>
      <c r="H144" s="10" t="s">
        <v>837</v>
      </c>
      <c r="I144" s="10" t="s">
        <v>22</v>
      </c>
    </row>
    <row r="145" spans="1:9" x14ac:dyDescent="0.15">
      <c r="A145" s="9">
        <v>144</v>
      </c>
      <c r="B145" s="10" t="s">
        <v>9</v>
      </c>
      <c r="C145" s="10" t="s">
        <v>363</v>
      </c>
      <c r="D145" s="10" t="s">
        <v>364</v>
      </c>
      <c r="E145" s="11" t="str">
        <f>+HYPERLINK("http://trademark.i-assist.jp/data/china/image_1902th/77074600.pdf", "77074600")</f>
        <v>77074600</v>
      </c>
      <c r="F145" s="10" t="s">
        <v>838</v>
      </c>
      <c r="G145" s="10" t="s">
        <v>30</v>
      </c>
      <c r="H145" s="10" t="s">
        <v>839</v>
      </c>
      <c r="I145" s="10" t="s">
        <v>22</v>
      </c>
    </row>
    <row r="146" spans="1:9" x14ac:dyDescent="0.15">
      <c r="A146" s="9">
        <v>145</v>
      </c>
      <c r="B146" s="10" t="s">
        <v>9</v>
      </c>
      <c r="C146" s="10" t="s">
        <v>363</v>
      </c>
      <c r="D146" s="10" t="s">
        <v>364</v>
      </c>
      <c r="E146" s="11" t="str">
        <f>+HYPERLINK("http://trademark.i-assist.jp/data/china/image_1902th/77132904.pdf", "77132904")</f>
        <v>77132904</v>
      </c>
      <c r="F146" s="10" t="s">
        <v>840</v>
      </c>
      <c r="G146" s="10" t="s">
        <v>841</v>
      </c>
      <c r="H146" s="10" t="s">
        <v>52</v>
      </c>
      <c r="I146" s="10" t="s">
        <v>842</v>
      </c>
    </row>
    <row r="147" spans="1:9" x14ac:dyDescent="0.15">
      <c r="A147" s="9">
        <v>146</v>
      </c>
      <c r="B147" s="10" t="s">
        <v>9</v>
      </c>
      <c r="C147" s="10" t="s">
        <v>363</v>
      </c>
      <c r="D147" s="10" t="s">
        <v>364</v>
      </c>
      <c r="E147" s="11" t="str">
        <f>+HYPERLINK("http://trademark.i-assist.jp/data/china/image_1902th/77190763.pdf", "77190763")</f>
        <v>77190763</v>
      </c>
      <c r="F147" s="10" t="s">
        <v>843</v>
      </c>
      <c r="G147" s="10" t="s">
        <v>844</v>
      </c>
      <c r="H147" s="10" t="s">
        <v>845</v>
      </c>
      <c r="I147" s="10" t="s">
        <v>846</v>
      </c>
    </row>
    <row r="148" spans="1:9" x14ac:dyDescent="0.15">
      <c r="A148" s="9">
        <v>147</v>
      </c>
      <c r="B148" s="10" t="s">
        <v>9</v>
      </c>
      <c r="C148" s="10" t="s">
        <v>363</v>
      </c>
      <c r="D148" s="10" t="s">
        <v>364</v>
      </c>
      <c r="E148" s="11" t="str">
        <f>+HYPERLINK("http://trademark.i-assist.jp/data/china/image_1902th/77223176.pdf", "77223176")</f>
        <v>77223176</v>
      </c>
      <c r="F148" s="10" t="s">
        <v>847</v>
      </c>
      <c r="G148" s="10" t="s">
        <v>848</v>
      </c>
      <c r="H148" s="10" t="s">
        <v>849</v>
      </c>
      <c r="I148" s="10" t="s">
        <v>23</v>
      </c>
    </row>
    <row r="149" spans="1:9" x14ac:dyDescent="0.15">
      <c r="A149" s="9">
        <v>148</v>
      </c>
      <c r="B149" s="10" t="s">
        <v>9</v>
      </c>
      <c r="C149" s="10" t="s">
        <v>363</v>
      </c>
      <c r="D149" s="10" t="s">
        <v>364</v>
      </c>
      <c r="E149" s="11" t="str">
        <f>+HYPERLINK("http://trademark.i-assist.jp/data/china/image_1902th/77307217.pdf", "77307217")</f>
        <v>77307217</v>
      </c>
      <c r="F149" s="10" t="s">
        <v>850</v>
      </c>
      <c r="G149" s="10" t="s">
        <v>851</v>
      </c>
      <c r="H149" s="10" t="s">
        <v>852</v>
      </c>
      <c r="I149" s="10" t="s">
        <v>24</v>
      </c>
    </row>
    <row r="150" spans="1:9" x14ac:dyDescent="0.15">
      <c r="A150" s="9">
        <v>149</v>
      </c>
      <c r="B150" s="10" t="s">
        <v>9</v>
      </c>
      <c r="C150" s="10" t="s">
        <v>363</v>
      </c>
      <c r="D150" s="10" t="s">
        <v>364</v>
      </c>
      <c r="E150" s="11" t="str">
        <f>+HYPERLINK("http://trademark.i-assist.jp/data/china/image_1902th/77321462.pdf", "77321462")</f>
        <v>77321462</v>
      </c>
      <c r="F150" s="10" t="s">
        <v>853</v>
      </c>
      <c r="G150" s="10" t="s">
        <v>854</v>
      </c>
      <c r="H150" s="10" t="s">
        <v>855</v>
      </c>
      <c r="I150" s="10" t="s">
        <v>856</v>
      </c>
    </row>
    <row r="151" spans="1:9" x14ac:dyDescent="0.15">
      <c r="A151" s="9">
        <v>150</v>
      </c>
      <c r="B151" s="10" t="s">
        <v>9</v>
      </c>
      <c r="C151" s="10" t="s">
        <v>363</v>
      </c>
      <c r="D151" s="10" t="s">
        <v>364</v>
      </c>
      <c r="E151" s="11" t="str">
        <f>+HYPERLINK("http://trademark.i-assist.jp/data/china/image_1902th/77420407.pdf", "77420407")</f>
        <v>77420407</v>
      </c>
      <c r="F151" s="10" t="s">
        <v>857</v>
      </c>
      <c r="G151" s="10" t="s">
        <v>858</v>
      </c>
      <c r="H151" s="10" t="s">
        <v>859</v>
      </c>
      <c r="I151" s="10" t="s">
        <v>860</v>
      </c>
    </row>
    <row r="152" spans="1:9" x14ac:dyDescent="0.15">
      <c r="A152" s="9">
        <v>151</v>
      </c>
      <c r="B152" s="10" t="s">
        <v>9</v>
      </c>
      <c r="C152" s="10" t="s">
        <v>363</v>
      </c>
      <c r="D152" s="10" t="s">
        <v>364</v>
      </c>
      <c r="E152" s="11" t="str">
        <f>+HYPERLINK("http://trademark.i-assist.jp/data/china/image_1902th/77420877.pdf", "77420877")</f>
        <v>77420877</v>
      </c>
      <c r="F152" s="10" t="s">
        <v>861</v>
      </c>
      <c r="G152" s="10" t="s">
        <v>862</v>
      </c>
      <c r="H152" s="10" t="s">
        <v>863</v>
      </c>
      <c r="I152" s="10" t="s">
        <v>860</v>
      </c>
    </row>
    <row r="153" spans="1:9" x14ac:dyDescent="0.15">
      <c r="A153" s="9">
        <v>152</v>
      </c>
      <c r="B153" s="10" t="s">
        <v>9</v>
      </c>
      <c r="C153" s="10" t="s">
        <v>363</v>
      </c>
      <c r="D153" s="10" t="s">
        <v>364</v>
      </c>
      <c r="E153" s="11" t="str">
        <f>+HYPERLINK("http://trademark.i-assist.jp/data/china/image_1902th/77447007.pdf", "77447007")</f>
        <v>77447007</v>
      </c>
      <c r="F153" s="10" t="s">
        <v>864</v>
      </c>
      <c r="G153" s="10" t="s">
        <v>865</v>
      </c>
      <c r="H153" s="10" t="s">
        <v>866</v>
      </c>
      <c r="I153" s="10" t="s">
        <v>25</v>
      </c>
    </row>
    <row r="154" spans="1:9" x14ac:dyDescent="0.15">
      <c r="A154" s="9">
        <v>153</v>
      </c>
      <c r="B154" s="10" t="s">
        <v>9</v>
      </c>
      <c r="C154" s="10" t="s">
        <v>363</v>
      </c>
      <c r="D154" s="10" t="s">
        <v>364</v>
      </c>
      <c r="E154" s="11" t="str">
        <f>+HYPERLINK("http://trademark.i-assist.jp/data/china/image_1902th/77451735.pdf", "77451735")</f>
        <v>77451735</v>
      </c>
      <c r="F154" s="10" t="s">
        <v>867</v>
      </c>
      <c r="G154" s="10" t="s">
        <v>55</v>
      </c>
      <c r="H154" s="10" t="s">
        <v>868</v>
      </c>
      <c r="I154" s="10" t="s">
        <v>25</v>
      </c>
    </row>
    <row r="155" spans="1:9" x14ac:dyDescent="0.15">
      <c r="A155" s="9">
        <v>154</v>
      </c>
      <c r="B155" s="10" t="s">
        <v>9</v>
      </c>
      <c r="C155" s="10" t="s">
        <v>363</v>
      </c>
      <c r="D155" s="10" t="s">
        <v>364</v>
      </c>
      <c r="E155" s="11" t="str">
        <f>+HYPERLINK("http://trademark.i-assist.jp/data/china/image_1902th/77479792.pdf", "77479792")</f>
        <v>77479792</v>
      </c>
      <c r="F155" s="10" t="s">
        <v>869</v>
      </c>
      <c r="G155" s="10" t="s">
        <v>870</v>
      </c>
      <c r="H155" s="10" t="s">
        <v>871</v>
      </c>
      <c r="I155" s="10" t="s">
        <v>26</v>
      </c>
    </row>
    <row r="156" spans="1:9" x14ac:dyDescent="0.15">
      <c r="A156" s="9">
        <v>155</v>
      </c>
      <c r="B156" s="10" t="s">
        <v>9</v>
      </c>
      <c r="C156" s="10" t="s">
        <v>363</v>
      </c>
      <c r="D156" s="10" t="s">
        <v>364</v>
      </c>
      <c r="E156" s="11" t="str">
        <f>+HYPERLINK("http://trademark.i-assist.jp/data/china/image_1902th/77501281.pdf", "77501281")</f>
        <v>77501281</v>
      </c>
      <c r="F156" s="10" t="s">
        <v>872</v>
      </c>
      <c r="G156" s="10" t="s">
        <v>873</v>
      </c>
      <c r="H156" s="10" t="s">
        <v>874</v>
      </c>
      <c r="I156" s="10" t="s">
        <v>875</v>
      </c>
    </row>
    <row r="157" spans="1:9" x14ac:dyDescent="0.15">
      <c r="A157" s="9">
        <v>156</v>
      </c>
      <c r="B157" s="10" t="s">
        <v>9</v>
      </c>
      <c r="C157" s="10" t="s">
        <v>363</v>
      </c>
      <c r="D157" s="10" t="s">
        <v>364</v>
      </c>
      <c r="E157" s="11" t="str">
        <f>+HYPERLINK("http://trademark.i-assist.jp/data/china/image_1902th/77520829.pdf", "77520829")</f>
        <v>77520829</v>
      </c>
      <c r="F157" s="10" t="s">
        <v>876</v>
      </c>
      <c r="G157" s="10" t="s">
        <v>877</v>
      </c>
      <c r="H157" s="10" t="s">
        <v>878</v>
      </c>
      <c r="I157" s="10" t="s">
        <v>875</v>
      </c>
    </row>
    <row r="158" spans="1:9" x14ac:dyDescent="0.15">
      <c r="A158" s="9">
        <v>157</v>
      </c>
      <c r="B158" s="10" t="s">
        <v>9</v>
      </c>
      <c r="C158" s="10" t="s">
        <v>363</v>
      </c>
      <c r="D158" s="10" t="s">
        <v>364</v>
      </c>
      <c r="E158" s="11" t="str">
        <f>+HYPERLINK("http://trademark.i-assist.jp/data/china/image_1902th/77530261.pdf", "77530261")</f>
        <v>77530261</v>
      </c>
      <c r="F158" s="10" t="s">
        <v>12</v>
      </c>
      <c r="G158" s="10" t="s">
        <v>879</v>
      </c>
      <c r="H158" s="10" t="s">
        <v>880</v>
      </c>
      <c r="I158" s="10" t="s">
        <v>875</v>
      </c>
    </row>
    <row r="159" spans="1:9" x14ac:dyDescent="0.15">
      <c r="A159" s="9">
        <v>158</v>
      </c>
      <c r="B159" s="10" t="s">
        <v>9</v>
      </c>
      <c r="C159" s="10" t="s">
        <v>363</v>
      </c>
      <c r="D159" s="10" t="s">
        <v>364</v>
      </c>
      <c r="E159" s="11" t="str">
        <f>+HYPERLINK("http://trademark.i-assist.jp/data/china/image_1902th/77595112.pdf", "77595112")</f>
        <v>77595112</v>
      </c>
      <c r="F159" s="10" t="s">
        <v>881</v>
      </c>
      <c r="G159" s="10" t="s">
        <v>882</v>
      </c>
      <c r="H159" s="10" t="s">
        <v>883</v>
      </c>
      <c r="I159" s="10" t="s">
        <v>884</v>
      </c>
    </row>
    <row r="160" spans="1:9" x14ac:dyDescent="0.15">
      <c r="A160" s="9">
        <v>159</v>
      </c>
      <c r="B160" s="10" t="s">
        <v>9</v>
      </c>
      <c r="C160" s="10" t="s">
        <v>363</v>
      </c>
      <c r="D160" s="10" t="s">
        <v>364</v>
      </c>
      <c r="E160" s="11" t="str">
        <f>+HYPERLINK("http://trademark.i-assist.jp/data/china/image_1902th/77623242.pdf", "77623242")</f>
        <v>77623242</v>
      </c>
      <c r="F160" s="10" t="s">
        <v>885</v>
      </c>
      <c r="G160" s="10" t="s">
        <v>55</v>
      </c>
      <c r="H160" s="10" t="s">
        <v>886</v>
      </c>
      <c r="I160" s="10" t="s">
        <v>27</v>
      </c>
    </row>
    <row r="161" spans="1:9" x14ac:dyDescent="0.15">
      <c r="A161" s="9">
        <v>160</v>
      </c>
      <c r="B161" s="10" t="s">
        <v>9</v>
      </c>
      <c r="C161" s="10" t="s">
        <v>363</v>
      </c>
      <c r="D161" s="10" t="s">
        <v>364</v>
      </c>
      <c r="E161" s="11" t="str">
        <f>+HYPERLINK("http://trademark.i-assist.jp/data/china/image_1902th/77625739.pdf", "77625739")</f>
        <v>77625739</v>
      </c>
      <c r="F161" s="10" t="s">
        <v>887</v>
      </c>
      <c r="G161" s="10" t="s">
        <v>55</v>
      </c>
      <c r="H161" s="10" t="s">
        <v>888</v>
      </c>
      <c r="I161" s="10" t="s">
        <v>27</v>
      </c>
    </row>
    <row r="162" spans="1:9" x14ac:dyDescent="0.15">
      <c r="A162" s="9">
        <v>161</v>
      </c>
      <c r="B162" s="10" t="s">
        <v>9</v>
      </c>
      <c r="C162" s="10" t="s">
        <v>363</v>
      </c>
      <c r="D162" s="10" t="s">
        <v>364</v>
      </c>
      <c r="E162" s="11" t="str">
        <f>+HYPERLINK("http://trademark.i-assist.jp/data/china/image_1902th/77682613.pdf", "77682613")</f>
        <v>77682613</v>
      </c>
      <c r="F162" s="10" t="s">
        <v>889</v>
      </c>
      <c r="G162" s="10" t="s">
        <v>890</v>
      </c>
      <c r="H162" s="10" t="s">
        <v>891</v>
      </c>
      <c r="I162" s="10" t="s">
        <v>28</v>
      </c>
    </row>
    <row r="163" spans="1:9" x14ac:dyDescent="0.15">
      <c r="A163" s="9">
        <v>162</v>
      </c>
      <c r="B163" s="10" t="s">
        <v>9</v>
      </c>
      <c r="C163" s="10" t="s">
        <v>363</v>
      </c>
      <c r="D163" s="10" t="s">
        <v>364</v>
      </c>
      <c r="E163" s="11" t="str">
        <f>+HYPERLINK("http://trademark.i-assist.jp/data/china/image_1902th/77690094.pdf", "77690094")</f>
        <v>77690094</v>
      </c>
      <c r="F163" s="10" t="s">
        <v>892</v>
      </c>
      <c r="G163" s="10" t="s">
        <v>893</v>
      </c>
      <c r="H163" s="10" t="s">
        <v>894</v>
      </c>
      <c r="I163" s="10" t="s">
        <v>28</v>
      </c>
    </row>
    <row r="164" spans="1:9" x14ac:dyDescent="0.15">
      <c r="A164" s="9">
        <v>163</v>
      </c>
      <c r="B164" s="10" t="s">
        <v>9</v>
      </c>
      <c r="C164" s="10" t="s">
        <v>363</v>
      </c>
      <c r="D164" s="10" t="s">
        <v>364</v>
      </c>
      <c r="E164" s="11" t="str">
        <f>+HYPERLINK("http://trademark.i-assist.jp/data/china/image_1902th/77705739.pdf", "77705739")</f>
        <v>77705739</v>
      </c>
      <c r="F164" s="10" t="s">
        <v>895</v>
      </c>
      <c r="G164" s="10" t="s">
        <v>896</v>
      </c>
      <c r="H164" s="10" t="s">
        <v>897</v>
      </c>
      <c r="I164" s="10" t="s">
        <v>898</v>
      </c>
    </row>
    <row r="165" spans="1:9" x14ac:dyDescent="0.15">
      <c r="A165" s="9">
        <v>164</v>
      </c>
      <c r="B165" s="10" t="s">
        <v>9</v>
      </c>
      <c r="C165" s="10" t="s">
        <v>363</v>
      </c>
      <c r="D165" s="10" t="s">
        <v>364</v>
      </c>
      <c r="E165" s="11" t="str">
        <f>+HYPERLINK("http://trademark.i-assist.jp/data/china/image_1902th/77721906.pdf", "77721906")</f>
        <v>77721906</v>
      </c>
      <c r="F165" s="10" t="s">
        <v>899</v>
      </c>
      <c r="G165" s="10" t="s">
        <v>900</v>
      </c>
      <c r="H165" s="10" t="s">
        <v>901</v>
      </c>
      <c r="I165" s="10" t="s">
        <v>898</v>
      </c>
    </row>
    <row r="166" spans="1:9" x14ac:dyDescent="0.15">
      <c r="A166" s="9">
        <v>165</v>
      </c>
      <c r="B166" s="10" t="s">
        <v>9</v>
      </c>
      <c r="C166" s="10" t="s">
        <v>363</v>
      </c>
      <c r="D166" s="10" t="s">
        <v>364</v>
      </c>
      <c r="E166" s="11" t="str">
        <f>+HYPERLINK("http://trademark.i-assist.jp/data/china/image_1902th/77723569.pdf", "77723569")</f>
        <v>77723569</v>
      </c>
      <c r="F166" s="10" t="s">
        <v>902</v>
      </c>
      <c r="G166" s="10" t="s">
        <v>900</v>
      </c>
      <c r="H166" s="10" t="s">
        <v>903</v>
      </c>
      <c r="I166" s="10" t="s">
        <v>898</v>
      </c>
    </row>
    <row r="167" spans="1:9" x14ac:dyDescent="0.15">
      <c r="A167" s="9">
        <v>166</v>
      </c>
      <c r="B167" s="10" t="s">
        <v>9</v>
      </c>
      <c r="C167" s="10" t="s">
        <v>363</v>
      </c>
      <c r="D167" s="10" t="s">
        <v>364</v>
      </c>
      <c r="E167" s="11" t="str">
        <f>+HYPERLINK("http://trademark.i-assist.jp/data/china/image_1902th/77728956.pdf", "77728956")</f>
        <v>77728956</v>
      </c>
      <c r="F167" s="10" t="s">
        <v>904</v>
      </c>
      <c r="G167" s="10" t="s">
        <v>905</v>
      </c>
      <c r="H167" s="10" t="s">
        <v>906</v>
      </c>
      <c r="I167" s="10" t="s">
        <v>898</v>
      </c>
    </row>
    <row r="168" spans="1:9" x14ac:dyDescent="0.15">
      <c r="A168" s="9">
        <v>167</v>
      </c>
      <c r="B168" s="10" t="s">
        <v>9</v>
      </c>
      <c r="C168" s="10" t="s">
        <v>363</v>
      </c>
      <c r="D168" s="10" t="s">
        <v>364</v>
      </c>
      <c r="E168" s="11" t="str">
        <f>+HYPERLINK("http://trademark.i-assist.jp/data/china/image_1902th/77783464.pdf", "77783464")</f>
        <v>77783464</v>
      </c>
      <c r="F168" s="10" t="s">
        <v>907</v>
      </c>
      <c r="G168" s="10" t="s">
        <v>908</v>
      </c>
      <c r="H168" s="10" t="s">
        <v>909</v>
      </c>
      <c r="I168" s="10" t="s">
        <v>32</v>
      </c>
    </row>
    <row r="169" spans="1:9" x14ac:dyDescent="0.15">
      <c r="A169" s="9">
        <v>168</v>
      </c>
      <c r="B169" s="10" t="s">
        <v>9</v>
      </c>
      <c r="C169" s="10" t="s">
        <v>363</v>
      </c>
      <c r="D169" s="10" t="s">
        <v>364</v>
      </c>
      <c r="E169" s="11" t="str">
        <f>+HYPERLINK("http://trademark.i-assist.jp/data/china/image_1902th/77793946.pdf", "77793946")</f>
        <v>77793946</v>
      </c>
      <c r="F169" s="10" t="s">
        <v>910</v>
      </c>
      <c r="G169" s="10" t="s">
        <v>911</v>
      </c>
      <c r="H169" s="10" t="s">
        <v>912</v>
      </c>
      <c r="I169" s="10" t="s">
        <v>32</v>
      </c>
    </row>
    <row r="170" spans="1:9" x14ac:dyDescent="0.15">
      <c r="A170" s="9">
        <v>169</v>
      </c>
      <c r="B170" s="10" t="s">
        <v>9</v>
      </c>
      <c r="C170" s="10" t="s">
        <v>363</v>
      </c>
      <c r="D170" s="10" t="s">
        <v>364</v>
      </c>
      <c r="E170" s="11" t="str">
        <f>+HYPERLINK("http://trademark.i-assist.jp/data/china/image_1902th/77810950.pdf", "77810950")</f>
        <v>77810950</v>
      </c>
      <c r="F170" s="10" t="s">
        <v>913</v>
      </c>
      <c r="G170" s="10" t="s">
        <v>914</v>
      </c>
      <c r="H170" s="10" t="s">
        <v>915</v>
      </c>
      <c r="I170" s="10" t="s">
        <v>34</v>
      </c>
    </row>
    <row r="171" spans="1:9" x14ac:dyDescent="0.15">
      <c r="A171" s="9">
        <v>170</v>
      </c>
      <c r="B171" s="10" t="s">
        <v>9</v>
      </c>
      <c r="C171" s="10" t="s">
        <v>363</v>
      </c>
      <c r="D171" s="10" t="s">
        <v>364</v>
      </c>
      <c r="E171" s="11" t="str">
        <f>+HYPERLINK("http://trademark.i-assist.jp/data/china/image_1902th/77811196.pdf", "77811196")</f>
        <v>77811196</v>
      </c>
      <c r="F171" s="10" t="s">
        <v>916</v>
      </c>
      <c r="G171" s="10" t="s">
        <v>917</v>
      </c>
      <c r="H171" s="10" t="s">
        <v>918</v>
      </c>
      <c r="I171" s="10" t="s">
        <v>34</v>
      </c>
    </row>
    <row r="172" spans="1:9" x14ac:dyDescent="0.15">
      <c r="A172" s="9">
        <v>171</v>
      </c>
      <c r="B172" s="10" t="s">
        <v>9</v>
      </c>
      <c r="C172" s="10" t="s">
        <v>363</v>
      </c>
      <c r="D172" s="10" t="s">
        <v>364</v>
      </c>
      <c r="E172" s="11" t="str">
        <f>+HYPERLINK("http://trademark.i-assist.jp/data/china/image_1902th/77894088.pdf", "77894088")</f>
        <v>77894088</v>
      </c>
      <c r="F172" s="10" t="s">
        <v>919</v>
      </c>
      <c r="G172" s="10" t="s">
        <v>920</v>
      </c>
      <c r="H172" s="10" t="s">
        <v>921</v>
      </c>
      <c r="I172" s="10" t="s">
        <v>36</v>
      </c>
    </row>
    <row r="173" spans="1:9" x14ac:dyDescent="0.15">
      <c r="A173" s="9">
        <v>172</v>
      </c>
      <c r="B173" s="10" t="s">
        <v>9</v>
      </c>
      <c r="C173" s="10" t="s">
        <v>363</v>
      </c>
      <c r="D173" s="10" t="s">
        <v>364</v>
      </c>
      <c r="E173" s="11" t="str">
        <f>+HYPERLINK("http://trademark.i-assist.jp/data/china/image_1902th/77923890.pdf", "77923890")</f>
        <v>77923890</v>
      </c>
      <c r="F173" s="10" t="s">
        <v>922</v>
      </c>
      <c r="G173" s="10" t="s">
        <v>923</v>
      </c>
      <c r="H173" s="10" t="s">
        <v>924</v>
      </c>
      <c r="I173" s="10" t="s">
        <v>38</v>
      </c>
    </row>
    <row r="174" spans="1:9" x14ac:dyDescent="0.15">
      <c r="A174" s="9">
        <v>173</v>
      </c>
      <c r="B174" s="10" t="s">
        <v>9</v>
      </c>
      <c r="C174" s="10" t="s">
        <v>363</v>
      </c>
      <c r="D174" s="10" t="s">
        <v>364</v>
      </c>
      <c r="E174" s="11" t="str">
        <f>+HYPERLINK("http://trademark.i-assist.jp/data/china/image_1902th/77931606.pdf", "77931606")</f>
        <v>77931606</v>
      </c>
      <c r="F174" s="10" t="s">
        <v>925</v>
      </c>
      <c r="G174" s="10" t="s">
        <v>926</v>
      </c>
      <c r="H174" s="10" t="s">
        <v>927</v>
      </c>
      <c r="I174" s="10" t="s">
        <v>38</v>
      </c>
    </row>
    <row r="175" spans="1:9" x14ac:dyDescent="0.15">
      <c r="A175" s="9">
        <v>174</v>
      </c>
      <c r="B175" s="10" t="s">
        <v>9</v>
      </c>
      <c r="C175" s="10" t="s">
        <v>363</v>
      </c>
      <c r="D175" s="10" t="s">
        <v>364</v>
      </c>
      <c r="E175" s="11" t="str">
        <f>+HYPERLINK("http://trademark.i-assist.jp/data/china/image_1902th/77935526.pdf", "77935526")</f>
        <v>77935526</v>
      </c>
      <c r="F175" s="10" t="s">
        <v>928</v>
      </c>
      <c r="G175" s="10" t="s">
        <v>40</v>
      </c>
      <c r="H175" s="10" t="s">
        <v>929</v>
      </c>
      <c r="I175" s="10" t="s">
        <v>38</v>
      </c>
    </row>
    <row r="176" spans="1:9" x14ac:dyDescent="0.15">
      <c r="A176" s="9">
        <v>175</v>
      </c>
      <c r="B176" s="10" t="s">
        <v>9</v>
      </c>
      <c r="C176" s="10" t="s">
        <v>363</v>
      </c>
      <c r="D176" s="10" t="s">
        <v>364</v>
      </c>
      <c r="E176" s="11" t="str">
        <f>+HYPERLINK("http://trademark.i-assist.jp/data/china/image_1902th/77945460.pdf", "77945460")</f>
        <v>77945460</v>
      </c>
      <c r="F176" s="10" t="s">
        <v>930</v>
      </c>
      <c r="G176" s="10" t="s">
        <v>931</v>
      </c>
      <c r="H176" s="10" t="s">
        <v>932</v>
      </c>
      <c r="I176" s="10" t="s">
        <v>38</v>
      </c>
    </row>
    <row r="177" spans="1:9" x14ac:dyDescent="0.15">
      <c r="A177" s="9">
        <v>176</v>
      </c>
      <c r="B177" s="10" t="s">
        <v>9</v>
      </c>
      <c r="C177" s="10" t="s">
        <v>363</v>
      </c>
      <c r="D177" s="10" t="s">
        <v>364</v>
      </c>
      <c r="E177" s="11" t="str">
        <f>+HYPERLINK("http://trademark.i-assist.jp/data/china/image_1902th/77956806.pdf", "77956806")</f>
        <v>77956806</v>
      </c>
      <c r="F177" s="10" t="s">
        <v>933</v>
      </c>
      <c r="G177" s="10" t="s">
        <v>934</v>
      </c>
      <c r="H177" s="10" t="s">
        <v>935</v>
      </c>
      <c r="I177" s="10" t="s">
        <v>936</v>
      </c>
    </row>
    <row r="178" spans="1:9" x14ac:dyDescent="0.15">
      <c r="A178" s="9">
        <v>177</v>
      </c>
      <c r="B178" s="10" t="s">
        <v>9</v>
      </c>
      <c r="C178" s="10" t="s">
        <v>363</v>
      </c>
      <c r="D178" s="10" t="s">
        <v>364</v>
      </c>
      <c r="E178" s="11" t="str">
        <f>+HYPERLINK("http://trademark.i-assist.jp/data/china/image_1902th/77963651.pdf", "77963651")</f>
        <v>77963651</v>
      </c>
      <c r="F178" s="10" t="s">
        <v>937</v>
      </c>
      <c r="G178" s="10" t="s">
        <v>938</v>
      </c>
      <c r="H178" s="10" t="s">
        <v>939</v>
      </c>
      <c r="I178" s="10" t="s">
        <v>39</v>
      </c>
    </row>
    <row r="179" spans="1:9" x14ac:dyDescent="0.15">
      <c r="A179" s="9">
        <v>178</v>
      </c>
      <c r="B179" s="10" t="s">
        <v>9</v>
      </c>
      <c r="C179" s="10" t="s">
        <v>363</v>
      </c>
      <c r="D179" s="10" t="s">
        <v>364</v>
      </c>
      <c r="E179" s="11" t="str">
        <f>+HYPERLINK("http://trademark.i-assist.jp/data/china/image_1902th/77979134.pdf", "77979134")</f>
        <v>77979134</v>
      </c>
      <c r="F179" s="10" t="s">
        <v>940</v>
      </c>
      <c r="G179" s="10" t="s">
        <v>941</v>
      </c>
      <c r="H179" s="10" t="s">
        <v>19</v>
      </c>
      <c r="I179" s="10" t="s">
        <v>39</v>
      </c>
    </row>
    <row r="180" spans="1:9" x14ac:dyDescent="0.15">
      <c r="A180" s="9">
        <v>179</v>
      </c>
      <c r="B180" s="10" t="s">
        <v>9</v>
      </c>
      <c r="C180" s="10" t="s">
        <v>363</v>
      </c>
      <c r="D180" s="10" t="s">
        <v>364</v>
      </c>
      <c r="E180" s="11" t="str">
        <f>+HYPERLINK("http://trademark.i-assist.jp/data/china/image_1902th/78008631.pdf", "78008631")</f>
        <v>78008631</v>
      </c>
      <c r="F180" s="10" t="s">
        <v>942</v>
      </c>
      <c r="G180" s="10" t="s">
        <v>943</v>
      </c>
      <c r="H180" s="10" t="s">
        <v>944</v>
      </c>
      <c r="I180" s="10" t="s">
        <v>41</v>
      </c>
    </row>
    <row r="181" spans="1:9" x14ac:dyDescent="0.15">
      <c r="A181" s="9">
        <v>180</v>
      </c>
      <c r="B181" s="10" t="s">
        <v>9</v>
      </c>
      <c r="C181" s="10" t="s">
        <v>363</v>
      </c>
      <c r="D181" s="10" t="s">
        <v>364</v>
      </c>
      <c r="E181" s="11" t="str">
        <f>+HYPERLINK("http://trademark.i-assist.jp/data/china/image_1902th/78014281.pdf", "78014281")</f>
        <v>78014281</v>
      </c>
      <c r="F181" s="10" t="s">
        <v>945</v>
      </c>
      <c r="G181" s="10" t="s">
        <v>946</v>
      </c>
      <c r="H181" s="10" t="s">
        <v>947</v>
      </c>
      <c r="I181" s="10" t="s">
        <v>41</v>
      </c>
    </row>
    <row r="182" spans="1:9" x14ac:dyDescent="0.15">
      <c r="A182" s="9">
        <v>181</v>
      </c>
      <c r="B182" s="10" t="s">
        <v>9</v>
      </c>
      <c r="C182" s="10" t="s">
        <v>363</v>
      </c>
      <c r="D182" s="10" t="s">
        <v>364</v>
      </c>
      <c r="E182" s="11" t="str">
        <f>+HYPERLINK("http://trademark.i-assist.jp/data/china/image_1902th/78016785.pdf", "78016785")</f>
        <v>78016785</v>
      </c>
      <c r="F182" s="10" t="s">
        <v>12</v>
      </c>
      <c r="G182" s="10" t="s">
        <v>948</v>
      </c>
      <c r="H182" s="10" t="s">
        <v>949</v>
      </c>
      <c r="I182" s="10" t="s">
        <v>41</v>
      </c>
    </row>
    <row r="183" spans="1:9" x14ac:dyDescent="0.15">
      <c r="A183" s="9">
        <v>182</v>
      </c>
      <c r="B183" s="10" t="s">
        <v>9</v>
      </c>
      <c r="C183" s="10" t="s">
        <v>363</v>
      </c>
      <c r="D183" s="10" t="s">
        <v>364</v>
      </c>
      <c r="E183" s="11" t="str">
        <f>+HYPERLINK("http://trademark.i-assist.jp/data/china/image_1902th/78021767.pdf", "78021767")</f>
        <v>78021767</v>
      </c>
      <c r="F183" s="10" t="s">
        <v>950</v>
      </c>
      <c r="G183" s="10" t="s">
        <v>951</v>
      </c>
      <c r="H183" s="10" t="s">
        <v>952</v>
      </c>
      <c r="I183" s="10" t="s">
        <v>42</v>
      </c>
    </row>
    <row r="184" spans="1:9" x14ac:dyDescent="0.15">
      <c r="A184" s="9">
        <v>183</v>
      </c>
      <c r="B184" s="10" t="s">
        <v>9</v>
      </c>
      <c r="C184" s="10" t="s">
        <v>363</v>
      </c>
      <c r="D184" s="10" t="s">
        <v>364</v>
      </c>
      <c r="E184" s="11" t="str">
        <f>+HYPERLINK("http://trademark.i-assist.jp/data/china/image_1902th/78048867.pdf", "78048867")</f>
        <v>78048867</v>
      </c>
      <c r="F184" s="10" t="s">
        <v>953</v>
      </c>
      <c r="G184" s="10" t="s">
        <v>954</v>
      </c>
      <c r="H184" s="10" t="s">
        <v>955</v>
      </c>
      <c r="I184" s="10" t="s">
        <v>43</v>
      </c>
    </row>
    <row r="185" spans="1:9" x14ac:dyDescent="0.15">
      <c r="A185" s="9">
        <v>184</v>
      </c>
      <c r="B185" s="10" t="s">
        <v>9</v>
      </c>
      <c r="C185" s="10" t="s">
        <v>363</v>
      </c>
      <c r="D185" s="10" t="s">
        <v>364</v>
      </c>
      <c r="E185" s="11" t="str">
        <f>+HYPERLINK("http://trademark.i-assist.jp/data/china/image_1902th/78061330.pdf", "78061330")</f>
        <v>78061330</v>
      </c>
      <c r="F185" s="10" t="s">
        <v>956</v>
      </c>
      <c r="G185" s="10" t="s">
        <v>957</v>
      </c>
      <c r="H185" s="10" t="s">
        <v>958</v>
      </c>
      <c r="I185" s="10" t="s">
        <v>43</v>
      </c>
    </row>
    <row r="186" spans="1:9" x14ac:dyDescent="0.15">
      <c r="A186" s="9">
        <v>185</v>
      </c>
      <c r="B186" s="10" t="s">
        <v>9</v>
      </c>
      <c r="C186" s="10" t="s">
        <v>363</v>
      </c>
      <c r="D186" s="10" t="s">
        <v>364</v>
      </c>
      <c r="E186" s="11" t="str">
        <f>+HYPERLINK("http://trademark.i-assist.jp/data/china/image_1902th/78070636.pdf", "78070636")</f>
        <v>78070636</v>
      </c>
      <c r="F186" s="10" t="s">
        <v>959</v>
      </c>
      <c r="G186" s="10" t="s">
        <v>954</v>
      </c>
      <c r="H186" s="10" t="s">
        <v>960</v>
      </c>
      <c r="I186" s="10" t="s">
        <v>43</v>
      </c>
    </row>
    <row r="187" spans="1:9" x14ac:dyDescent="0.15">
      <c r="A187" s="9">
        <v>186</v>
      </c>
      <c r="B187" s="10" t="s">
        <v>9</v>
      </c>
      <c r="C187" s="10" t="s">
        <v>363</v>
      </c>
      <c r="D187" s="10" t="s">
        <v>364</v>
      </c>
      <c r="E187" s="11" t="str">
        <f>+HYPERLINK("http://trademark.i-assist.jp/data/china/image_1902th/78082897.pdf", "78082897")</f>
        <v>78082897</v>
      </c>
      <c r="F187" s="10" t="s">
        <v>961</v>
      </c>
      <c r="G187" s="10" t="s">
        <v>962</v>
      </c>
      <c r="H187" s="10" t="s">
        <v>963</v>
      </c>
      <c r="I187" s="10" t="s">
        <v>964</v>
      </c>
    </row>
    <row r="188" spans="1:9" x14ac:dyDescent="0.15">
      <c r="A188" s="9">
        <v>187</v>
      </c>
      <c r="B188" s="10" t="s">
        <v>9</v>
      </c>
      <c r="C188" s="10" t="s">
        <v>363</v>
      </c>
      <c r="D188" s="10" t="s">
        <v>364</v>
      </c>
      <c r="E188" s="11" t="str">
        <f>+HYPERLINK("http://trademark.i-assist.jp/data/china/image_1902th/78082899.pdf", "78082899")</f>
        <v>78082899</v>
      </c>
      <c r="F188" s="10" t="s">
        <v>965</v>
      </c>
      <c r="G188" s="10" t="s">
        <v>962</v>
      </c>
      <c r="H188" s="10" t="s">
        <v>966</v>
      </c>
      <c r="I188" s="10" t="s">
        <v>964</v>
      </c>
    </row>
    <row r="189" spans="1:9" x14ac:dyDescent="0.15">
      <c r="A189" s="9">
        <v>188</v>
      </c>
      <c r="B189" s="10" t="s">
        <v>9</v>
      </c>
      <c r="C189" s="10" t="s">
        <v>363</v>
      </c>
      <c r="D189" s="10" t="s">
        <v>364</v>
      </c>
      <c r="E189" s="11" t="str">
        <f>+HYPERLINK("http://trademark.i-assist.jp/data/china/image_1902th/78088613.pdf", "78088613")</f>
        <v>78088613</v>
      </c>
      <c r="F189" s="10" t="s">
        <v>961</v>
      </c>
      <c r="G189" s="10" t="s">
        <v>962</v>
      </c>
      <c r="H189" s="10" t="s">
        <v>967</v>
      </c>
      <c r="I189" s="10" t="s">
        <v>964</v>
      </c>
    </row>
    <row r="190" spans="1:9" x14ac:dyDescent="0.15">
      <c r="A190" s="9">
        <v>189</v>
      </c>
      <c r="B190" s="10" t="s">
        <v>9</v>
      </c>
      <c r="C190" s="10" t="s">
        <v>363</v>
      </c>
      <c r="D190" s="10" t="s">
        <v>364</v>
      </c>
      <c r="E190" s="11" t="str">
        <f>+HYPERLINK("http://trademark.i-assist.jp/data/china/image_1902th/78099271.pdf", "78099271")</f>
        <v>78099271</v>
      </c>
      <c r="F190" s="10" t="s">
        <v>968</v>
      </c>
      <c r="G190" s="10" t="s">
        <v>969</v>
      </c>
      <c r="H190" s="10" t="s">
        <v>970</v>
      </c>
      <c r="I190" s="10" t="s">
        <v>964</v>
      </c>
    </row>
    <row r="191" spans="1:9" x14ac:dyDescent="0.15">
      <c r="A191" s="9">
        <v>190</v>
      </c>
      <c r="B191" s="10" t="s">
        <v>9</v>
      </c>
      <c r="C191" s="10" t="s">
        <v>363</v>
      </c>
      <c r="D191" s="10" t="s">
        <v>364</v>
      </c>
      <c r="E191" s="11" t="str">
        <f>+HYPERLINK("http://trademark.i-assist.jp/data/china/image_1902th/78100224.pdf", "78100224")</f>
        <v>78100224</v>
      </c>
      <c r="F191" s="10" t="s">
        <v>961</v>
      </c>
      <c r="G191" s="10" t="s">
        <v>962</v>
      </c>
      <c r="H191" s="10" t="s">
        <v>971</v>
      </c>
      <c r="I191" s="10" t="s">
        <v>964</v>
      </c>
    </row>
    <row r="192" spans="1:9" x14ac:dyDescent="0.15">
      <c r="A192" s="9">
        <v>191</v>
      </c>
      <c r="B192" s="10" t="s">
        <v>9</v>
      </c>
      <c r="C192" s="10" t="s">
        <v>363</v>
      </c>
      <c r="D192" s="10" t="s">
        <v>364</v>
      </c>
      <c r="E192" s="11" t="str">
        <f>+HYPERLINK("http://trademark.i-assist.jp/data/china/image_1902th/78101116.pdf", "78101116")</f>
        <v>78101116</v>
      </c>
      <c r="F192" s="10" t="s">
        <v>972</v>
      </c>
      <c r="G192" s="10" t="s">
        <v>973</v>
      </c>
      <c r="H192" s="10" t="s">
        <v>974</v>
      </c>
      <c r="I192" s="10" t="s">
        <v>964</v>
      </c>
    </row>
    <row r="193" spans="1:9" x14ac:dyDescent="0.15">
      <c r="A193" s="9">
        <v>192</v>
      </c>
      <c r="B193" s="10" t="s">
        <v>9</v>
      </c>
      <c r="C193" s="10" t="s">
        <v>363</v>
      </c>
      <c r="D193" s="10" t="s">
        <v>364</v>
      </c>
      <c r="E193" s="11" t="str">
        <f>+HYPERLINK("http://trademark.i-assist.jp/data/china/image_1902th/78135213.pdf", "78135213")</f>
        <v>78135213</v>
      </c>
      <c r="F193" s="10" t="s">
        <v>975</v>
      </c>
      <c r="G193" s="10" t="s">
        <v>976</v>
      </c>
      <c r="H193" s="10" t="s">
        <v>977</v>
      </c>
      <c r="I193" s="10" t="s">
        <v>978</v>
      </c>
    </row>
    <row r="194" spans="1:9" x14ac:dyDescent="0.15">
      <c r="A194" s="9">
        <v>193</v>
      </c>
      <c r="B194" s="10" t="s">
        <v>9</v>
      </c>
      <c r="C194" s="10" t="s">
        <v>363</v>
      </c>
      <c r="D194" s="10" t="s">
        <v>364</v>
      </c>
      <c r="E194" s="11" t="str">
        <f>+HYPERLINK("http://trademark.i-assist.jp/data/china/image_1902th/78144586.pdf", "78144586")</f>
        <v>78144586</v>
      </c>
      <c r="F194" s="10" t="s">
        <v>979</v>
      </c>
      <c r="G194" s="10" t="s">
        <v>980</v>
      </c>
      <c r="H194" s="10" t="s">
        <v>981</v>
      </c>
      <c r="I194" s="10" t="s">
        <v>978</v>
      </c>
    </row>
    <row r="195" spans="1:9" x14ac:dyDescent="0.15">
      <c r="A195" s="9">
        <v>194</v>
      </c>
      <c r="B195" s="10" t="s">
        <v>9</v>
      </c>
      <c r="C195" s="10" t="s">
        <v>363</v>
      </c>
      <c r="D195" s="10" t="s">
        <v>364</v>
      </c>
      <c r="E195" s="11" t="str">
        <f>+HYPERLINK("http://trademark.i-assist.jp/data/china/image_1902th/78147413.pdf", "78147413")</f>
        <v>78147413</v>
      </c>
      <c r="F195" s="10" t="s">
        <v>982</v>
      </c>
      <c r="G195" s="10" t="s">
        <v>983</v>
      </c>
      <c r="H195" s="10" t="s">
        <v>984</v>
      </c>
      <c r="I195" s="10" t="s">
        <v>978</v>
      </c>
    </row>
    <row r="196" spans="1:9" x14ac:dyDescent="0.15">
      <c r="A196" s="9">
        <v>195</v>
      </c>
      <c r="B196" s="10" t="s">
        <v>9</v>
      </c>
      <c r="C196" s="10" t="s">
        <v>363</v>
      </c>
      <c r="D196" s="10" t="s">
        <v>364</v>
      </c>
      <c r="E196" s="11" t="str">
        <f>+HYPERLINK("http://trademark.i-assist.jp/data/china/image_1902th/78150811.pdf", "78150811")</f>
        <v>78150811</v>
      </c>
      <c r="F196" s="10" t="s">
        <v>985</v>
      </c>
      <c r="G196" s="10" t="s">
        <v>986</v>
      </c>
      <c r="H196" s="10" t="s">
        <v>987</v>
      </c>
      <c r="I196" s="10" t="s">
        <v>978</v>
      </c>
    </row>
    <row r="197" spans="1:9" x14ac:dyDescent="0.15">
      <c r="A197" s="9">
        <v>196</v>
      </c>
      <c r="B197" s="10" t="s">
        <v>9</v>
      </c>
      <c r="C197" s="10" t="s">
        <v>363</v>
      </c>
      <c r="D197" s="10" t="s">
        <v>364</v>
      </c>
      <c r="E197" s="11" t="str">
        <f>+HYPERLINK("http://trademark.i-assist.jp/data/china/image_1902th/78158973.pdf", "78158973")</f>
        <v>78158973</v>
      </c>
      <c r="F197" s="10" t="s">
        <v>988</v>
      </c>
      <c r="G197" s="10" t="s">
        <v>989</v>
      </c>
      <c r="H197" s="10" t="s">
        <v>990</v>
      </c>
      <c r="I197" s="10" t="s">
        <v>44</v>
      </c>
    </row>
    <row r="198" spans="1:9" x14ac:dyDescent="0.15">
      <c r="A198" s="9">
        <v>197</v>
      </c>
      <c r="B198" s="10" t="s">
        <v>9</v>
      </c>
      <c r="C198" s="10" t="s">
        <v>363</v>
      </c>
      <c r="D198" s="10" t="s">
        <v>364</v>
      </c>
      <c r="E198" s="11" t="str">
        <f>+HYPERLINK("http://trademark.i-assist.jp/data/china/image_1902th/78160141.pdf", "78160141")</f>
        <v>78160141</v>
      </c>
      <c r="F198" s="10" t="s">
        <v>991</v>
      </c>
      <c r="G198" s="10" t="s">
        <v>992</v>
      </c>
      <c r="H198" s="10" t="s">
        <v>993</v>
      </c>
      <c r="I198" s="10" t="s">
        <v>44</v>
      </c>
    </row>
    <row r="199" spans="1:9" x14ac:dyDescent="0.15">
      <c r="A199" s="9">
        <v>198</v>
      </c>
      <c r="B199" s="10" t="s">
        <v>9</v>
      </c>
      <c r="C199" s="10" t="s">
        <v>363</v>
      </c>
      <c r="D199" s="10" t="s">
        <v>364</v>
      </c>
      <c r="E199" s="11" t="str">
        <f>+HYPERLINK("http://trademark.i-assist.jp/data/china/image_1902th/78164148A.pdf", "78164148A")</f>
        <v>78164148A</v>
      </c>
      <c r="F199" s="10" t="s">
        <v>994</v>
      </c>
      <c r="G199" s="10" t="s">
        <v>995</v>
      </c>
      <c r="H199" s="10" t="s">
        <v>996</v>
      </c>
      <c r="I199" s="10" t="s">
        <v>44</v>
      </c>
    </row>
    <row r="200" spans="1:9" x14ac:dyDescent="0.15">
      <c r="A200" s="9">
        <v>199</v>
      </c>
      <c r="B200" s="10" t="s">
        <v>9</v>
      </c>
      <c r="C200" s="10" t="s">
        <v>363</v>
      </c>
      <c r="D200" s="10" t="s">
        <v>364</v>
      </c>
      <c r="E200" s="11" t="str">
        <f>+HYPERLINK("http://trademark.i-assist.jp/data/china/image_1902th/78166485.pdf", "78166485")</f>
        <v>78166485</v>
      </c>
      <c r="F200" s="10" t="s">
        <v>997</v>
      </c>
      <c r="G200" s="10" t="s">
        <v>998</v>
      </c>
      <c r="H200" s="10" t="s">
        <v>999</v>
      </c>
      <c r="I200" s="10" t="s">
        <v>44</v>
      </c>
    </row>
    <row r="201" spans="1:9" x14ac:dyDescent="0.15">
      <c r="A201" s="9">
        <v>200</v>
      </c>
      <c r="B201" s="10" t="s">
        <v>9</v>
      </c>
      <c r="C201" s="10" t="s">
        <v>363</v>
      </c>
      <c r="D201" s="10" t="s">
        <v>364</v>
      </c>
      <c r="E201" s="11" t="str">
        <f>+HYPERLINK("http://trademark.i-assist.jp/data/china/image_1902th/78192437.pdf", "78192437")</f>
        <v>78192437</v>
      </c>
      <c r="F201" s="10" t="s">
        <v>1000</v>
      </c>
      <c r="G201" s="10" t="s">
        <v>1001</v>
      </c>
      <c r="H201" s="10" t="s">
        <v>1002</v>
      </c>
      <c r="I201" s="10" t="s">
        <v>1003</v>
      </c>
    </row>
    <row r="202" spans="1:9" x14ac:dyDescent="0.15">
      <c r="A202" s="9">
        <v>201</v>
      </c>
      <c r="B202" s="10" t="s">
        <v>9</v>
      </c>
      <c r="C202" s="10" t="s">
        <v>363</v>
      </c>
      <c r="D202" s="10" t="s">
        <v>364</v>
      </c>
      <c r="E202" s="11" t="str">
        <f>+HYPERLINK("http://trademark.i-assist.jp/data/china/image_1902th/78199968.pdf", "78199968")</f>
        <v>78199968</v>
      </c>
      <c r="F202" s="10" t="s">
        <v>1004</v>
      </c>
      <c r="G202" s="10" t="s">
        <v>1005</v>
      </c>
      <c r="H202" s="10" t="s">
        <v>1006</v>
      </c>
      <c r="I202" s="10" t="s">
        <v>1003</v>
      </c>
    </row>
    <row r="203" spans="1:9" x14ac:dyDescent="0.15">
      <c r="A203" s="9">
        <v>202</v>
      </c>
      <c r="B203" s="10" t="s">
        <v>9</v>
      </c>
      <c r="C203" s="10" t="s">
        <v>363</v>
      </c>
      <c r="D203" s="10" t="s">
        <v>364</v>
      </c>
      <c r="E203" s="11" t="str">
        <f>+HYPERLINK("http://trademark.i-assist.jp/data/china/image_1902th/78219371.pdf", "78219371")</f>
        <v>78219371</v>
      </c>
      <c r="F203" s="10" t="s">
        <v>1007</v>
      </c>
      <c r="G203" s="10" t="s">
        <v>1008</v>
      </c>
      <c r="H203" s="10" t="s">
        <v>1009</v>
      </c>
      <c r="I203" s="10" t="s">
        <v>45</v>
      </c>
    </row>
    <row r="204" spans="1:9" x14ac:dyDescent="0.15">
      <c r="A204" s="9">
        <v>203</v>
      </c>
      <c r="B204" s="10" t="s">
        <v>9</v>
      </c>
      <c r="C204" s="10" t="s">
        <v>363</v>
      </c>
      <c r="D204" s="10" t="s">
        <v>364</v>
      </c>
      <c r="E204" s="11" t="str">
        <f>+HYPERLINK("http://trademark.i-assist.jp/data/china/image_1902th/78240440.pdf", "78240440")</f>
        <v>78240440</v>
      </c>
      <c r="F204" s="10" t="s">
        <v>1010</v>
      </c>
      <c r="G204" s="10" t="s">
        <v>1011</v>
      </c>
      <c r="H204" s="10" t="s">
        <v>1012</v>
      </c>
      <c r="I204" s="10" t="s">
        <v>45</v>
      </c>
    </row>
    <row r="205" spans="1:9" x14ac:dyDescent="0.15">
      <c r="A205" s="9">
        <v>204</v>
      </c>
      <c r="B205" s="10" t="s">
        <v>9</v>
      </c>
      <c r="C205" s="10" t="s">
        <v>363</v>
      </c>
      <c r="D205" s="10" t="s">
        <v>364</v>
      </c>
      <c r="E205" s="11" t="str">
        <f>+HYPERLINK("http://trademark.i-assist.jp/data/china/image_1902th/78258439.pdf", "78258439")</f>
        <v>78258439</v>
      </c>
      <c r="F205" s="10" t="s">
        <v>1013</v>
      </c>
      <c r="G205" s="10" t="s">
        <v>1014</v>
      </c>
      <c r="H205" s="10" t="s">
        <v>1015</v>
      </c>
      <c r="I205" s="10" t="s">
        <v>46</v>
      </c>
    </row>
    <row r="206" spans="1:9" x14ac:dyDescent="0.15">
      <c r="A206" s="9">
        <v>205</v>
      </c>
      <c r="B206" s="10" t="s">
        <v>9</v>
      </c>
      <c r="C206" s="10" t="s">
        <v>363</v>
      </c>
      <c r="D206" s="10" t="s">
        <v>364</v>
      </c>
      <c r="E206" s="11" t="str">
        <f>+HYPERLINK("http://trademark.i-assist.jp/data/china/image_1902th/78273688.pdf", "78273688")</f>
        <v>78273688</v>
      </c>
      <c r="F206" s="10" t="s">
        <v>1016</v>
      </c>
      <c r="G206" s="10" t="s">
        <v>1017</v>
      </c>
      <c r="H206" s="10" t="s">
        <v>1018</v>
      </c>
      <c r="I206" s="10" t="s">
        <v>1019</v>
      </c>
    </row>
    <row r="207" spans="1:9" x14ac:dyDescent="0.15">
      <c r="A207" s="9">
        <v>206</v>
      </c>
      <c r="B207" s="10" t="s">
        <v>9</v>
      </c>
      <c r="C207" s="10" t="s">
        <v>363</v>
      </c>
      <c r="D207" s="10" t="s">
        <v>364</v>
      </c>
      <c r="E207" s="11" t="str">
        <f>+HYPERLINK("http://trademark.i-assist.jp/data/china/image_1902th/78284325.pdf", "78284325")</f>
        <v>78284325</v>
      </c>
      <c r="F207" s="10" t="s">
        <v>1020</v>
      </c>
      <c r="G207" s="10" t="s">
        <v>1021</v>
      </c>
      <c r="H207" s="10" t="s">
        <v>52</v>
      </c>
      <c r="I207" s="10" t="s">
        <v>49</v>
      </c>
    </row>
    <row r="208" spans="1:9" x14ac:dyDescent="0.15">
      <c r="A208" s="9">
        <v>207</v>
      </c>
      <c r="B208" s="10" t="s">
        <v>9</v>
      </c>
      <c r="C208" s="10" t="s">
        <v>363</v>
      </c>
      <c r="D208" s="10" t="s">
        <v>364</v>
      </c>
      <c r="E208" s="11" t="str">
        <f>+HYPERLINK("http://trademark.i-assist.jp/data/china/image_1902th/78287657.pdf", "78287657")</f>
        <v>78287657</v>
      </c>
      <c r="F208" s="10" t="s">
        <v>1022</v>
      </c>
      <c r="G208" s="10" t="s">
        <v>1023</v>
      </c>
      <c r="H208" s="10" t="s">
        <v>1024</v>
      </c>
      <c r="I208" s="10" t="s">
        <v>49</v>
      </c>
    </row>
    <row r="209" spans="1:9" x14ac:dyDescent="0.15">
      <c r="A209" s="9">
        <v>208</v>
      </c>
      <c r="B209" s="10" t="s">
        <v>9</v>
      </c>
      <c r="C209" s="10" t="s">
        <v>363</v>
      </c>
      <c r="D209" s="10" t="s">
        <v>364</v>
      </c>
      <c r="E209" s="11" t="str">
        <f>+HYPERLINK("http://trademark.i-assist.jp/data/china/image_1902th/78287959.pdf", "78287959")</f>
        <v>78287959</v>
      </c>
      <c r="F209" s="10" t="s">
        <v>1025</v>
      </c>
      <c r="G209" s="10" t="s">
        <v>267</v>
      </c>
      <c r="H209" s="10" t="s">
        <v>1026</v>
      </c>
      <c r="I209" s="10" t="s">
        <v>49</v>
      </c>
    </row>
    <row r="210" spans="1:9" x14ac:dyDescent="0.15">
      <c r="A210" s="9">
        <v>209</v>
      </c>
      <c r="B210" s="10" t="s">
        <v>9</v>
      </c>
      <c r="C210" s="10" t="s">
        <v>363</v>
      </c>
      <c r="D210" s="10" t="s">
        <v>364</v>
      </c>
      <c r="E210" s="11" t="str">
        <f>+HYPERLINK("http://trademark.i-assist.jp/data/china/image_1902th/78297696.pdf", "78297696")</f>
        <v>78297696</v>
      </c>
      <c r="F210" s="10" t="s">
        <v>1027</v>
      </c>
      <c r="G210" s="10" t="s">
        <v>1028</v>
      </c>
      <c r="H210" s="10" t="s">
        <v>1029</v>
      </c>
      <c r="I210" s="10" t="s">
        <v>49</v>
      </c>
    </row>
    <row r="211" spans="1:9" x14ac:dyDescent="0.15">
      <c r="A211" s="9">
        <v>210</v>
      </c>
      <c r="B211" s="10" t="s">
        <v>9</v>
      </c>
      <c r="C211" s="10" t="s">
        <v>363</v>
      </c>
      <c r="D211" s="10" t="s">
        <v>364</v>
      </c>
      <c r="E211" s="11" t="str">
        <f>+HYPERLINK("http://trademark.i-assist.jp/data/china/image_1902th/78307995.pdf", "78307995")</f>
        <v>78307995</v>
      </c>
      <c r="F211" s="10" t="s">
        <v>1030</v>
      </c>
      <c r="G211" s="10" t="s">
        <v>1031</v>
      </c>
      <c r="H211" s="10" t="s">
        <v>1032</v>
      </c>
      <c r="I211" s="10" t="s">
        <v>49</v>
      </c>
    </row>
    <row r="212" spans="1:9" x14ac:dyDescent="0.15">
      <c r="A212" s="9">
        <v>211</v>
      </c>
      <c r="B212" s="10" t="s">
        <v>9</v>
      </c>
      <c r="C212" s="10" t="s">
        <v>363</v>
      </c>
      <c r="D212" s="10" t="s">
        <v>364</v>
      </c>
      <c r="E212" s="11" t="str">
        <f>+HYPERLINK("http://trademark.i-assist.jp/data/china/image_1902th/78320014.pdf", "78320014")</f>
        <v>78320014</v>
      </c>
      <c r="F212" s="10" t="s">
        <v>1033</v>
      </c>
      <c r="G212" s="10" t="s">
        <v>1034</v>
      </c>
      <c r="H212" s="10" t="s">
        <v>1035</v>
      </c>
      <c r="I212" s="10" t="s">
        <v>51</v>
      </c>
    </row>
    <row r="213" spans="1:9" x14ac:dyDescent="0.15">
      <c r="A213" s="9">
        <v>212</v>
      </c>
      <c r="B213" s="10" t="s">
        <v>9</v>
      </c>
      <c r="C213" s="10" t="s">
        <v>363</v>
      </c>
      <c r="D213" s="10" t="s">
        <v>364</v>
      </c>
      <c r="E213" s="11" t="str">
        <f>+HYPERLINK("http://trademark.i-assist.jp/data/china/image_1902th/78320884.pdf", "78320884")</f>
        <v>78320884</v>
      </c>
      <c r="F213" s="10" t="s">
        <v>1036</v>
      </c>
      <c r="G213" s="10" t="s">
        <v>1037</v>
      </c>
      <c r="H213" s="10" t="s">
        <v>1038</v>
      </c>
      <c r="I213" s="10" t="s">
        <v>51</v>
      </c>
    </row>
    <row r="214" spans="1:9" x14ac:dyDescent="0.15">
      <c r="A214" s="9">
        <v>213</v>
      </c>
      <c r="B214" s="10" t="s">
        <v>9</v>
      </c>
      <c r="C214" s="10" t="s">
        <v>363</v>
      </c>
      <c r="D214" s="10" t="s">
        <v>364</v>
      </c>
      <c r="E214" s="11" t="str">
        <f>+HYPERLINK("http://trademark.i-assist.jp/data/china/image_1902th/78323730.pdf", "78323730")</f>
        <v>78323730</v>
      </c>
      <c r="F214" s="10" t="s">
        <v>1039</v>
      </c>
      <c r="G214" s="10" t="s">
        <v>1040</v>
      </c>
      <c r="H214" s="10" t="s">
        <v>1041</v>
      </c>
      <c r="I214" s="10" t="s">
        <v>51</v>
      </c>
    </row>
    <row r="215" spans="1:9" x14ac:dyDescent="0.15">
      <c r="A215" s="9">
        <v>214</v>
      </c>
      <c r="B215" s="10" t="s">
        <v>9</v>
      </c>
      <c r="C215" s="10" t="s">
        <v>363</v>
      </c>
      <c r="D215" s="10" t="s">
        <v>364</v>
      </c>
      <c r="E215" s="11" t="str">
        <f>+HYPERLINK("http://trademark.i-assist.jp/data/china/image_1902th/78324784.pdf", "78324784")</f>
        <v>78324784</v>
      </c>
      <c r="F215" s="10" t="s">
        <v>1042</v>
      </c>
      <c r="G215" s="10" t="s">
        <v>1034</v>
      </c>
      <c r="H215" s="10" t="s">
        <v>1043</v>
      </c>
      <c r="I215" s="10" t="s">
        <v>51</v>
      </c>
    </row>
    <row r="216" spans="1:9" x14ac:dyDescent="0.15">
      <c r="A216" s="9">
        <v>215</v>
      </c>
      <c r="B216" s="10" t="s">
        <v>9</v>
      </c>
      <c r="C216" s="10" t="s">
        <v>363</v>
      </c>
      <c r="D216" s="10" t="s">
        <v>364</v>
      </c>
      <c r="E216" s="11" t="str">
        <f>+HYPERLINK("http://trademark.i-assist.jp/data/china/image_1902th/78324812.pdf", "78324812")</f>
        <v>78324812</v>
      </c>
      <c r="F216" s="10" t="s">
        <v>1044</v>
      </c>
      <c r="G216" s="10" t="s">
        <v>1034</v>
      </c>
      <c r="H216" s="10" t="s">
        <v>1045</v>
      </c>
      <c r="I216" s="10" t="s">
        <v>51</v>
      </c>
    </row>
    <row r="217" spans="1:9" x14ac:dyDescent="0.15">
      <c r="A217" s="9">
        <v>216</v>
      </c>
      <c r="B217" s="10" t="s">
        <v>9</v>
      </c>
      <c r="C217" s="10" t="s">
        <v>363</v>
      </c>
      <c r="D217" s="10" t="s">
        <v>364</v>
      </c>
      <c r="E217" s="11" t="str">
        <f>+HYPERLINK("http://trademark.i-assist.jp/data/china/image_1902th/78327186.pdf", "78327186")</f>
        <v>78327186</v>
      </c>
      <c r="F217" s="10" t="s">
        <v>1046</v>
      </c>
      <c r="G217" s="10" t="s">
        <v>1047</v>
      </c>
      <c r="H217" s="10" t="s">
        <v>1048</v>
      </c>
      <c r="I217" s="10" t="s">
        <v>51</v>
      </c>
    </row>
    <row r="218" spans="1:9" x14ac:dyDescent="0.15">
      <c r="A218" s="9">
        <v>217</v>
      </c>
      <c r="B218" s="10" t="s">
        <v>9</v>
      </c>
      <c r="C218" s="10" t="s">
        <v>363</v>
      </c>
      <c r="D218" s="10" t="s">
        <v>364</v>
      </c>
      <c r="E218" s="11" t="str">
        <f>+HYPERLINK("http://trademark.i-assist.jp/data/china/image_1902th/78327647.pdf", "78327647")</f>
        <v>78327647</v>
      </c>
      <c r="F218" s="10" t="s">
        <v>1049</v>
      </c>
      <c r="G218" s="10" t="s">
        <v>1050</v>
      </c>
      <c r="H218" s="10" t="s">
        <v>1051</v>
      </c>
      <c r="I218" s="10" t="s">
        <v>51</v>
      </c>
    </row>
    <row r="219" spans="1:9" x14ac:dyDescent="0.15">
      <c r="A219" s="9">
        <v>218</v>
      </c>
      <c r="B219" s="10" t="s">
        <v>9</v>
      </c>
      <c r="C219" s="10" t="s">
        <v>363</v>
      </c>
      <c r="D219" s="10" t="s">
        <v>364</v>
      </c>
      <c r="E219" s="11" t="str">
        <f>+HYPERLINK("http://trademark.i-assist.jp/data/china/image_1902th/78356418.pdf", "78356418")</f>
        <v>78356418</v>
      </c>
      <c r="F219" s="10" t="s">
        <v>1052</v>
      </c>
      <c r="G219" s="10" t="s">
        <v>1053</v>
      </c>
      <c r="H219" s="10" t="s">
        <v>1054</v>
      </c>
      <c r="I219" s="10" t="s">
        <v>53</v>
      </c>
    </row>
    <row r="220" spans="1:9" x14ac:dyDescent="0.15">
      <c r="A220" s="9">
        <v>219</v>
      </c>
      <c r="B220" s="10" t="s">
        <v>9</v>
      </c>
      <c r="C220" s="10" t="s">
        <v>363</v>
      </c>
      <c r="D220" s="10" t="s">
        <v>364</v>
      </c>
      <c r="E220" s="11" t="str">
        <f>+HYPERLINK("http://trademark.i-assist.jp/data/china/image_1902th/78356636.pdf", "78356636")</f>
        <v>78356636</v>
      </c>
      <c r="F220" s="10" t="s">
        <v>1055</v>
      </c>
      <c r="G220" s="10" t="s">
        <v>1056</v>
      </c>
      <c r="H220" s="10" t="s">
        <v>1057</v>
      </c>
      <c r="I220" s="10" t="s">
        <v>53</v>
      </c>
    </row>
    <row r="221" spans="1:9" x14ac:dyDescent="0.15">
      <c r="A221" s="9">
        <v>220</v>
      </c>
      <c r="B221" s="10" t="s">
        <v>9</v>
      </c>
      <c r="C221" s="10" t="s">
        <v>363</v>
      </c>
      <c r="D221" s="10" t="s">
        <v>364</v>
      </c>
      <c r="E221" s="11" t="str">
        <f>+HYPERLINK("http://trademark.i-assist.jp/data/china/image_1902th/78358102.pdf", "78358102")</f>
        <v>78358102</v>
      </c>
      <c r="F221" s="10" t="s">
        <v>1058</v>
      </c>
      <c r="G221" s="10" t="s">
        <v>1059</v>
      </c>
      <c r="H221" s="10" t="s">
        <v>1060</v>
      </c>
      <c r="I221" s="10" t="s">
        <v>53</v>
      </c>
    </row>
    <row r="222" spans="1:9" x14ac:dyDescent="0.15">
      <c r="A222" s="9">
        <v>221</v>
      </c>
      <c r="B222" s="10" t="s">
        <v>9</v>
      </c>
      <c r="C222" s="10" t="s">
        <v>363</v>
      </c>
      <c r="D222" s="10" t="s">
        <v>364</v>
      </c>
      <c r="E222" s="11" t="str">
        <f>+HYPERLINK("http://trademark.i-assist.jp/data/china/image_1902th/78359384.pdf", "78359384")</f>
        <v>78359384</v>
      </c>
      <c r="F222" s="10" t="s">
        <v>1061</v>
      </c>
      <c r="G222" s="10" t="s">
        <v>1062</v>
      </c>
      <c r="H222" s="10" t="s">
        <v>1063</v>
      </c>
      <c r="I222" s="10" t="s">
        <v>53</v>
      </c>
    </row>
    <row r="223" spans="1:9" x14ac:dyDescent="0.15">
      <c r="A223" s="9">
        <v>222</v>
      </c>
      <c r="B223" s="10" t="s">
        <v>9</v>
      </c>
      <c r="C223" s="10" t="s">
        <v>363</v>
      </c>
      <c r="D223" s="10" t="s">
        <v>364</v>
      </c>
      <c r="E223" s="11" t="str">
        <f>+HYPERLINK("http://trademark.i-assist.jp/data/china/image_1902th/78365473.pdf", "78365473")</f>
        <v>78365473</v>
      </c>
      <c r="F223" s="10" t="s">
        <v>1064</v>
      </c>
      <c r="G223" s="10" t="s">
        <v>1065</v>
      </c>
      <c r="H223" s="10" t="s">
        <v>1066</v>
      </c>
      <c r="I223" s="10" t="s">
        <v>56</v>
      </c>
    </row>
    <row r="224" spans="1:9" x14ac:dyDescent="0.15">
      <c r="A224" s="9">
        <v>223</v>
      </c>
      <c r="B224" s="10" t="s">
        <v>9</v>
      </c>
      <c r="C224" s="10" t="s">
        <v>363</v>
      </c>
      <c r="D224" s="10" t="s">
        <v>364</v>
      </c>
      <c r="E224" s="11" t="str">
        <f>+HYPERLINK("http://trademark.i-assist.jp/data/china/image_1902th/78365493.pdf", "78365493")</f>
        <v>78365493</v>
      </c>
      <c r="F224" s="10" t="s">
        <v>1067</v>
      </c>
      <c r="G224" s="10" t="s">
        <v>1065</v>
      </c>
      <c r="H224" s="10" t="s">
        <v>1068</v>
      </c>
      <c r="I224" s="10" t="s">
        <v>56</v>
      </c>
    </row>
    <row r="225" spans="1:9" x14ac:dyDescent="0.15">
      <c r="A225" s="9">
        <v>224</v>
      </c>
      <c r="B225" s="10" t="s">
        <v>9</v>
      </c>
      <c r="C225" s="10" t="s">
        <v>363</v>
      </c>
      <c r="D225" s="10" t="s">
        <v>364</v>
      </c>
      <c r="E225" s="11" t="str">
        <f>+HYPERLINK("http://trademark.i-assist.jp/data/china/image_1902th/78371539.pdf", "78371539")</f>
        <v>78371539</v>
      </c>
      <c r="F225" s="10" t="s">
        <v>1069</v>
      </c>
      <c r="G225" s="10" t="s">
        <v>1070</v>
      </c>
      <c r="H225" s="10" t="s">
        <v>1071</v>
      </c>
      <c r="I225" s="10" t="s">
        <v>53</v>
      </c>
    </row>
    <row r="226" spans="1:9" x14ac:dyDescent="0.15">
      <c r="A226" s="9">
        <v>225</v>
      </c>
      <c r="B226" s="10" t="s">
        <v>9</v>
      </c>
      <c r="C226" s="10" t="s">
        <v>363</v>
      </c>
      <c r="D226" s="10" t="s">
        <v>364</v>
      </c>
      <c r="E226" s="11" t="str">
        <f>+HYPERLINK("http://trademark.i-assist.jp/data/china/image_1902th/78379131.pdf", "78379131")</f>
        <v>78379131</v>
      </c>
      <c r="F226" s="10" t="s">
        <v>1072</v>
      </c>
      <c r="G226" s="10" t="s">
        <v>1073</v>
      </c>
      <c r="H226" s="10" t="s">
        <v>1074</v>
      </c>
      <c r="I226" s="10" t="s">
        <v>53</v>
      </c>
    </row>
    <row r="227" spans="1:9" x14ac:dyDescent="0.15">
      <c r="A227" s="9">
        <v>226</v>
      </c>
      <c r="B227" s="10" t="s">
        <v>9</v>
      </c>
      <c r="C227" s="10" t="s">
        <v>363</v>
      </c>
      <c r="D227" s="10" t="s">
        <v>364</v>
      </c>
      <c r="E227" s="11" t="str">
        <f>+HYPERLINK("http://trademark.i-assist.jp/data/china/image_1902th/78380801.pdf", "78380801")</f>
        <v>78380801</v>
      </c>
      <c r="F227" s="10" t="s">
        <v>1075</v>
      </c>
      <c r="G227" s="10" t="s">
        <v>1076</v>
      </c>
      <c r="H227" s="10" t="s">
        <v>1077</v>
      </c>
      <c r="I227" s="10" t="s">
        <v>53</v>
      </c>
    </row>
    <row r="228" spans="1:9" x14ac:dyDescent="0.15">
      <c r="A228" s="9">
        <v>227</v>
      </c>
      <c r="B228" s="10" t="s">
        <v>9</v>
      </c>
      <c r="C228" s="10" t="s">
        <v>363</v>
      </c>
      <c r="D228" s="10" t="s">
        <v>364</v>
      </c>
      <c r="E228" s="11" t="str">
        <f>+HYPERLINK("http://trademark.i-assist.jp/data/china/image_1902th/78384536.pdf", "78384536")</f>
        <v>78384536</v>
      </c>
      <c r="F228" s="10" t="s">
        <v>1078</v>
      </c>
      <c r="G228" s="10" t="s">
        <v>1079</v>
      </c>
      <c r="H228" s="10" t="s">
        <v>1080</v>
      </c>
      <c r="I228" s="10" t="s">
        <v>53</v>
      </c>
    </row>
    <row r="229" spans="1:9" x14ac:dyDescent="0.15">
      <c r="A229" s="9">
        <v>228</v>
      </c>
      <c r="B229" s="10" t="s">
        <v>9</v>
      </c>
      <c r="C229" s="10" t="s">
        <v>363</v>
      </c>
      <c r="D229" s="10" t="s">
        <v>364</v>
      </c>
      <c r="E229" s="11" t="str">
        <f>+HYPERLINK("http://trademark.i-assist.jp/data/china/image_1902th/78387877.pdf", "78387877")</f>
        <v>78387877</v>
      </c>
      <c r="F229" s="10" t="s">
        <v>1081</v>
      </c>
      <c r="G229" s="10" t="s">
        <v>1082</v>
      </c>
      <c r="H229" s="10" t="s">
        <v>1083</v>
      </c>
      <c r="I229" s="10" t="s">
        <v>53</v>
      </c>
    </row>
    <row r="230" spans="1:9" x14ac:dyDescent="0.15">
      <c r="A230" s="9">
        <v>229</v>
      </c>
      <c r="B230" s="10" t="s">
        <v>9</v>
      </c>
      <c r="C230" s="10" t="s">
        <v>363</v>
      </c>
      <c r="D230" s="10" t="s">
        <v>364</v>
      </c>
      <c r="E230" s="11" t="str">
        <f>+HYPERLINK("http://trademark.i-assist.jp/data/china/image_1902th/78392214.pdf", "78392214")</f>
        <v>78392214</v>
      </c>
      <c r="F230" s="10" t="s">
        <v>1084</v>
      </c>
      <c r="G230" s="10" t="s">
        <v>1085</v>
      </c>
      <c r="H230" s="10" t="s">
        <v>1086</v>
      </c>
      <c r="I230" s="10" t="s">
        <v>56</v>
      </c>
    </row>
    <row r="231" spans="1:9" x14ac:dyDescent="0.15">
      <c r="A231" s="9">
        <v>230</v>
      </c>
      <c r="B231" s="10" t="s">
        <v>9</v>
      </c>
      <c r="C231" s="10" t="s">
        <v>363</v>
      </c>
      <c r="D231" s="10" t="s">
        <v>364</v>
      </c>
      <c r="E231" s="11" t="str">
        <f>+HYPERLINK("http://trademark.i-assist.jp/data/china/image_1902th/78402871.pdf", "78402871")</f>
        <v>78402871</v>
      </c>
      <c r="F231" s="10" t="s">
        <v>1087</v>
      </c>
      <c r="G231" s="10" t="s">
        <v>1088</v>
      </c>
      <c r="H231" s="10" t="s">
        <v>1089</v>
      </c>
      <c r="I231" s="10" t="s">
        <v>56</v>
      </c>
    </row>
    <row r="232" spans="1:9" x14ac:dyDescent="0.15">
      <c r="A232" s="9">
        <v>231</v>
      </c>
      <c r="B232" s="10" t="s">
        <v>9</v>
      </c>
      <c r="C232" s="10" t="s">
        <v>363</v>
      </c>
      <c r="D232" s="10" t="s">
        <v>364</v>
      </c>
      <c r="E232" s="11" t="str">
        <f>+HYPERLINK("http://trademark.i-assist.jp/data/china/image_1902th/78403131.pdf", "78403131")</f>
        <v>78403131</v>
      </c>
      <c r="F232" s="10" t="s">
        <v>1090</v>
      </c>
      <c r="G232" s="10" t="s">
        <v>1091</v>
      </c>
      <c r="H232" s="10" t="s">
        <v>1092</v>
      </c>
      <c r="I232" s="10" t="s">
        <v>56</v>
      </c>
    </row>
    <row r="233" spans="1:9" x14ac:dyDescent="0.15">
      <c r="A233" s="9">
        <v>232</v>
      </c>
      <c r="B233" s="10" t="s">
        <v>9</v>
      </c>
      <c r="C233" s="10" t="s">
        <v>363</v>
      </c>
      <c r="D233" s="10" t="s">
        <v>364</v>
      </c>
      <c r="E233" s="11" t="str">
        <f>+HYPERLINK("http://trademark.i-assist.jp/data/china/image_1902th/78407012.pdf", "78407012")</f>
        <v>78407012</v>
      </c>
      <c r="F233" s="10" t="s">
        <v>1093</v>
      </c>
      <c r="G233" s="10" t="s">
        <v>1094</v>
      </c>
      <c r="H233" s="10" t="s">
        <v>1095</v>
      </c>
      <c r="I233" s="10" t="s">
        <v>56</v>
      </c>
    </row>
    <row r="234" spans="1:9" x14ac:dyDescent="0.15">
      <c r="A234" s="9">
        <v>233</v>
      </c>
      <c r="B234" s="10" t="s">
        <v>9</v>
      </c>
      <c r="C234" s="10" t="s">
        <v>363</v>
      </c>
      <c r="D234" s="10" t="s">
        <v>364</v>
      </c>
      <c r="E234" s="11" t="str">
        <f>+HYPERLINK("http://trademark.i-assist.jp/data/china/image_1902th/78407384.pdf", "78407384")</f>
        <v>78407384</v>
      </c>
      <c r="F234" s="10" t="s">
        <v>1096</v>
      </c>
      <c r="G234" s="10" t="s">
        <v>1097</v>
      </c>
      <c r="H234" s="10" t="s">
        <v>1098</v>
      </c>
      <c r="I234" s="10" t="s">
        <v>56</v>
      </c>
    </row>
    <row r="235" spans="1:9" x14ac:dyDescent="0.15">
      <c r="A235" s="9">
        <v>234</v>
      </c>
      <c r="B235" s="10" t="s">
        <v>9</v>
      </c>
      <c r="C235" s="10" t="s">
        <v>363</v>
      </c>
      <c r="D235" s="10" t="s">
        <v>364</v>
      </c>
      <c r="E235" s="11" t="str">
        <f>+HYPERLINK("http://trademark.i-assist.jp/data/china/image_1902th/78413176.pdf", "78413176")</f>
        <v>78413176</v>
      </c>
      <c r="F235" s="10" t="s">
        <v>1099</v>
      </c>
      <c r="G235" s="10" t="s">
        <v>1100</v>
      </c>
      <c r="H235" s="10" t="s">
        <v>1101</v>
      </c>
      <c r="I235" s="10" t="s">
        <v>56</v>
      </c>
    </row>
    <row r="236" spans="1:9" x14ac:dyDescent="0.15">
      <c r="A236" s="9">
        <v>235</v>
      </c>
      <c r="B236" s="10" t="s">
        <v>9</v>
      </c>
      <c r="C236" s="10" t="s">
        <v>363</v>
      </c>
      <c r="D236" s="10" t="s">
        <v>364</v>
      </c>
      <c r="E236" s="11" t="str">
        <f>+HYPERLINK("http://trademark.i-assist.jp/data/china/image_1902th/78413945.pdf", "78413945")</f>
        <v>78413945</v>
      </c>
      <c r="F236" s="10" t="s">
        <v>1102</v>
      </c>
      <c r="G236" s="10" t="s">
        <v>1103</v>
      </c>
      <c r="H236" s="10" t="s">
        <v>1104</v>
      </c>
      <c r="I236" s="10" t="s">
        <v>56</v>
      </c>
    </row>
    <row r="237" spans="1:9" x14ac:dyDescent="0.15">
      <c r="A237" s="9">
        <v>236</v>
      </c>
      <c r="B237" s="10" t="s">
        <v>9</v>
      </c>
      <c r="C237" s="10" t="s">
        <v>363</v>
      </c>
      <c r="D237" s="10" t="s">
        <v>364</v>
      </c>
      <c r="E237" s="11" t="str">
        <f>+HYPERLINK("http://trademark.i-assist.jp/data/china/image_1902th/78416804.pdf", "78416804")</f>
        <v>78416804</v>
      </c>
      <c r="F237" s="10" t="s">
        <v>1105</v>
      </c>
      <c r="G237" s="10" t="s">
        <v>1106</v>
      </c>
      <c r="H237" s="10" t="s">
        <v>1107</v>
      </c>
      <c r="I237" s="10" t="s">
        <v>56</v>
      </c>
    </row>
    <row r="238" spans="1:9" x14ac:dyDescent="0.15">
      <c r="A238" s="9">
        <v>237</v>
      </c>
      <c r="B238" s="10" t="s">
        <v>9</v>
      </c>
      <c r="C238" s="10" t="s">
        <v>363</v>
      </c>
      <c r="D238" s="10" t="s">
        <v>364</v>
      </c>
      <c r="E238" s="11" t="str">
        <f>+HYPERLINK("http://trademark.i-assist.jp/data/china/image_1902th/78432421.pdf", "78432421")</f>
        <v>78432421</v>
      </c>
      <c r="F238" s="10" t="s">
        <v>1108</v>
      </c>
      <c r="G238" s="10" t="s">
        <v>1109</v>
      </c>
      <c r="H238" s="10" t="s">
        <v>1110</v>
      </c>
      <c r="I238" s="10" t="s">
        <v>58</v>
      </c>
    </row>
    <row r="239" spans="1:9" x14ac:dyDescent="0.15">
      <c r="A239" s="9">
        <v>238</v>
      </c>
      <c r="B239" s="10" t="s">
        <v>9</v>
      </c>
      <c r="C239" s="10" t="s">
        <v>363</v>
      </c>
      <c r="D239" s="10" t="s">
        <v>364</v>
      </c>
      <c r="E239" s="11" t="str">
        <f>+HYPERLINK("http://trademark.i-assist.jp/data/china/image_1902th/78433595.pdf", "78433595")</f>
        <v>78433595</v>
      </c>
      <c r="F239" s="10" t="s">
        <v>1111</v>
      </c>
      <c r="G239" s="10" t="s">
        <v>1112</v>
      </c>
      <c r="H239" s="10" t="s">
        <v>1113</v>
      </c>
      <c r="I239" s="10" t="s">
        <v>58</v>
      </c>
    </row>
    <row r="240" spans="1:9" x14ac:dyDescent="0.15">
      <c r="A240" s="9">
        <v>239</v>
      </c>
      <c r="B240" s="10" t="s">
        <v>9</v>
      </c>
      <c r="C240" s="10" t="s">
        <v>363</v>
      </c>
      <c r="D240" s="10" t="s">
        <v>364</v>
      </c>
      <c r="E240" s="11" t="str">
        <f>+HYPERLINK("http://trademark.i-assist.jp/data/china/image_1902th/78438574.pdf", "78438574")</f>
        <v>78438574</v>
      </c>
      <c r="F240" s="10" t="s">
        <v>1114</v>
      </c>
      <c r="G240" s="10" t="s">
        <v>1109</v>
      </c>
      <c r="H240" s="10" t="s">
        <v>1115</v>
      </c>
      <c r="I240" s="10" t="s">
        <v>58</v>
      </c>
    </row>
    <row r="241" spans="1:9" x14ac:dyDescent="0.15">
      <c r="A241" s="9">
        <v>240</v>
      </c>
      <c r="B241" s="10" t="s">
        <v>9</v>
      </c>
      <c r="C241" s="10" t="s">
        <v>363</v>
      </c>
      <c r="D241" s="10" t="s">
        <v>364</v>
      </c>
      <c r="E241" s="11" t="str">
        <f>+HYPERLINK("http://trademark.i-assist.jp/data/china/image_1902th/78443103.pdf", "78443103")</f>
        <v>78443103</v>
      </c>
      <c r="F241" s="10" t="s">
        <v>1116</v>
      </c>
      <c r="G241" s="10" t="s">
        <v>1117</v>
      </c>
      <c r="H241" s="10" t="s">
        <v>1118</v>
      </c>
      <c r="I241" s="10" t="s">
        <v>58</v>
      </c>
    </row>
    <row r="242" spans="1:9" x14ac:dyDescent="0.15">
      <c r="A242" s="9">
        <v>241</v>
      </c>
      <c r="B242" s="10" t="s">
        <v>9</v>
      </c>
      <c r="C242" s="10" t="s">
        <v>363</v>
      </c>
      <c r="D242" s="10" t="s">
        <v>364</v>
      </c>
      <c r="E242" s="11" t="str">
        <f>+HYPERLINK("http://trademark.i-assist.jp/data/china/image_1902th/78445214.pdf", "78445214")</f>
        <v>78445214</v>
      </c>
      <c r="F242" s="10" t="s">
        <v>1119</v>
      </c>
      <c r="G242" s="10" t="s">
        <v>1120</v>
      </c>
      <c r="H242" s="10" t="s">
        <v>1121</v>
      </c>
      <c r="I242" s="10" t="s">
        <v>58</v>
      </c>
    </row>
    <row r="243" spans="1:9" x14ac:dyDescent="0.15">
      <c r="A243" s="9">
        <v>242</v>
      </c>
      <c r="B243" s="10" t="s">
        <v>9</v>
      </c>
      <c r="C243" s="10" t="s">
        <v>363</v>
      </c>
      <c r="D243" s="10" t="s">
        <v>364</v>
      </c>
      <c r="E243" s="11" t="str">
        <f>+HYPERLINK("http://trademark.i-assist.jp/data/china/image_1902th/78456217.pdf", "78456217")</f>
        <v>78456217</v>
      </c>
      <c r="F243" s="10" t="s">
        <v>1122</v>
      </c>
      <c r="G243" s="10" t="s">
        <v>111</v>
      </c>
      <c r="H243" s="10" t="s">
        <v>1123</v>
      </c>
      <c r="I243" s="10" t="s">
        <v>61</v>
      </c>
    </row>
    <row r="244" spans="1:9" x14ac:dyDescent="0.15">
      <c r="A244" s="9">
        <v>243</v>
      </c>
      <c r="B244" s="10" t="s">
        <v>9</v>
      </c>
      <c r="C244" s="10" t="s">
        <v>363</v>
      </c>
      <c r="D244" s="10" t="s">
        <v>364</v>
      </c>
      <c r="E244" s="11" t="str">
        <f>+HYPERLINK("http://trademark.i-assist.jp/data/china/image_1902th/78457587.pdf", "78457587")</f>
        <v>78457587</v>
      </c>
      <c r="F244" s="10" t="s">
        <v>1124</v>
      </c>
      <c r="G244" s="10" t="s">
        <v>1125</v>
      </c>
      <c r="H244" s="10" t="s">
        <v>1126</v>
      </c>
      <c r="I244" s="10" t="s">
        <v>61</v>
      </c>
    </row>
    <row r="245" spans="1:9" x14ac:dyDescent="0.15">
      <c r="A245" s="9">
        <v>244</v>
      </c>
      <c r="B245" s="10" t="s">
        <v>9</v>
      </c>
      <c r="C245" s="10" t="s">
        <v>363</v>
      </c>
      <c r="D245" s="10" t="s">
        <v>364</v>
      </c>
      <c r="E245" s="11" t="str">
        <f>+HYPERLINK("http://trademark.i-assist.jp/data/china/image_1902th/78457853.pdf", "78457853")</f>
        <v>78457853</v>
      </c>
      <c r="F245" s="10" t="s">
        <v>1127</v>
      </c>
      <c r="G245" s="10" t="s">
        <v>1128</v>
      </c>
      <c r="H245" s="10" t="s">
        <v>1129</v>
      </c>
      <c r="I245" s="10" t="s">
        <v>61</v>
      </c>
    </row>
    <row r="246" spans="1:9" x14ac:dyDescent="0.15">
      <c r="A246" s="9">
        <v>245</v>
      </c>
      <c r="B246" s="10" t="s">
        <v>9</v>
      </c>
      <c r="C246" s="10" t="s">
        <v>363</v>
      </c>
      <c r="D246" s="10" t="s">
        <v>364</v>
      </c>
      <c r="E246" s="11" t="str">
        <f>+HYPERLINK("http://trademark.i-assist.jp/data/china/image_1902th/78459499.pdf", "78459499")</f>
        <v>78459499</v>
      </c>
      <c r="F246" s="10" t="s">
        <v>1130</v>
      </c>
      <c r="G246" s="10" t="s">
        <v>1131</v>
      </c>
      <c r="H246" s="10" t="s">
        <v>1132</v>
      </c>
      <c r="I246" s="10" t="s">
        <v>61</v>
      </c>
    </row>
    <row r="247" spans="1:9" x14ac:dyDescent="0.15">
      <c r="A247" s="9">
        <v>246</v>
      </c>
      <c r="B247" s="10" t="s">
        <v>9</v>
      </c>
      <c r="C247" s="10" t="s">
        <v>363</v>
      </c>
      <c r="D247" s="10" t="s">
        <v>364</v>
      </c>
      <c r="E247" s="11" t="str">
        <f>+HYPERLINK("http://trademark.i-assist.jp/data/china/image_1902th/78469209.pdf", "78469209")</f>
        <v>78469209</v>
      </c>
      <c r="F247" s="10" t="s">
        <v>1133</v>
      </c>
      <c r="G247" s="10" t="s">
        <v>1134</v>
      </c>
      <c r="H247" s="10" t="s">
        <v>1135</v>
      </c>
      <c r="I247" s="10" t="s">
        <v>61</v>
      </c>
    </row>
    <row r="248" spans="1:9" x14ac:dyDescent="0.15">
      <c r="A248" s="9">
        <v>247</v>
      </c>
      <c r="B248" s="10" t="s">
        <v>9</v>
      </c>
      <c r="C248" s="10" t="s">
        <v>363</v>
      </c>
      <c r="D248" s="10" t="s">
        <v>364</v>
      </c>
      <c r="E248" s="11" t="str">
        <f>+HYPERLINK("http://trademark.i-assist.jp/data/china/image_1902th/78469554.pdf", "78469554")</f>
        <v>78469554</v>
      </c>
      <c r="F248" s="10" t="s">
        <v>115</v>
      </c>
      <c r="G248" s="10" t="s">
        <v>116</v>
      </c>
      <c r="H248" s="10" t="s">
        <v>1136</v>
      </c>
      <c r="I248" s="10" t="s">
        <v>61</v>
      </c>
    </row>
    <row r="249" spans="1:9" x14ac:dyDescent="0.15">
      <c r="A249" s="9">
        <v>248</v>
      </c>
      <c r="B249" s="10" t="s">
        <v>9</v>
      </c>
      <c r="C249" s="10" t="s">
        <v>363</v>
      </c>
      <c r="D249" s="10" t="s">
        <v>364</v>
      </c>
      <c r="E249" s="11" t="str">
        <f>+HYPERLINK("http://trademark.i-assist.jp/data/china/image_1902th/78470326.pdf", "78470326")</f>
        <v>78470326</v>
      </c>
      <c r="F249" s="10" t="s">
        <v>1137</v>
      </c>
      <c r="G249" s="10" t="s">
        <v>1138</v>
      </c>
      <c r="H249" s="10" t="s">
        <v>1139</v>
      </c>
      <c r="I249" s="10" t="s">
        <v>61</v>
      </c>
    </row>
    <row r="250" spans="1:9" x14ac:dyDescent="0.15">
      <c r="A250" s="9">
        <v>249</v>
      </c>
      <c r="B250" s="10" t="s">
        <v>9</v>
      </c>
      <c r="C250" s="10" t="s">
        <v>363</v>
      </c>
      <c r="D250" s="10" t="s">
        <v>364</v>
      </c>
      <c r="E250" s="11" t="str">
        <f>+HYPERLINK("http://trademark.i-assist.jp/data/china/image_1902th/78476065.pdf", "78476065")</f>
        <v>78476065</v>
      </c>
      <c r="F250" s="10" t="s">
        <v>1140</v>
      </c>
      <c r="G250" s="10" t="s">
        <v>63</v>
      </c>
      <c r="H250" s="10" t="s">
        <v>1141</v>
      </c>
      <c r="I250" s="10" t="s">
        <v>61</v>
      </c>
    </row>
    <row r="251" spans="1:9" x14ac:dyDescent="0.15">
      <c r="A251" s="9">
        <v>250</v>
      </c>
      <c r="B251" s="10" t="s">
        <v>9</v>
      </c>
      <c r="C251" s="10" t="s">
        <v>363</v>
      </c>
      <c r="D251" s="10" t="s">
        <v>364</v>
      </c>
      <c r="E251" s="11" t="str">
        <f>+HYPERLINK("http://trademark.i-assist.jp/data/china/image_1902th/78477243.pdf", "78477243")</f>
        <v>78477243</v>
      </c>
      <c r="F251" s="10" t="s">
        <v>115</v>
      </c>
      <c r="G251" s="10" t="s">
        <v>116</v>
      </c>
      <c r="H251" s="10" t="s">
        <v>1142</v>
      </c>
      <c r="I251" s="10" t="s">
        <v>61</v>
      </c>
    </row>
    <row r="252" spans="1:9" x14ac:dyDescent="0.15">
      <c r="A252" s="9">
        <v>251</v>
      </c>
      <c r="B252" s="10" t="s">
        <v>9</v>
      </c>
      <c r="C252" s="10" t="s">
        <v>363</v>
      </c>
      <c r="D252" s="10" t="s">
        <v>364</v>
      </c>
      <c r="E252" s="11" t="str">
        <f>+HYPERLINK("http://trademark.i-assist.jp/data/china/image_1902th/78488203.pdf", "78488203")</f>
        <v>78488203</v>
      </c>
      <c r="F252" s="10" t="s">
        <v>12</v>
      </c>
      <c r="G252" s="10" t="s">
        <v>1143</v>
      </c>
      <c r="H252" s="10" t="s">
        <v>1144</v>
      </c>
      <c r="I252" s="10" t="s">
        <v>68</v>
      </c>
    </row>
    <row r="253" spans="1:9" x14ac:dyDescent="0.15">
      <c r="A253" s="9">
        <v>252</v>
      </c>
      <c r="B253" s="10" t="s">
        <v>9</v>
      </c>
      <c r="C253" s="10" t="s">
        <v>363</v>
      </c>
      <c r="D253" s="10" t="s">
        <v>364</v>
      </c>
      <c r="E253" s="11" t="str">
        <f>+HYPERLINK("http://trademark.i-assist.jp/data/china/image_1902th/78493695.pdf", "78493695")</f>
        <v>78493695</v>
      </c>
      <c r="F253" s="10" t="s">
        <v>1145</v>
      </c>
      <c r="G253" s="10" t="s">
        <v>1146</v>
      </c>
      <c r="H253" s="10" t="s">
        <v>1147</v>
      </c>
      <c r="I253" s="10" t="s">
        <v>68</v>
      </c>
    </row>
    <row r="254" spans="1:9" x14ac:dyDescent="0.15">
      <c r="A254" s="9">
        <v>253</v>
      </c>
      <c r="B254" s="10" t="s">
        <v>9</v>
      </c>
      <c r="C254" s="10" t="s">
        <v>363</v>
      </c>
      <c r="D254" s="10" t="s">
        <v>364</v>
      </c>
      <c r="E254" s="11" t="str">
        <f>+HYPERLINK("http://trademark.i-assist.jp/data/china/image_1902th/78503282.pdf", "78503282")</f>
        <v>78503282</v>
      </c>
      <c r="F254" s="10" t="s">
        <v>1148</v>
      </c>
      <c r="G254" s="10" t="s">
        <v>31</v>
      </c>
      <c r="H254" s="10" t="s">
        <v>1149</v>
      </c>
      <c r="I254" s="10" t="s">
        <v>68</v>
      </c>
    </row>
    <row r="255" spans="1:9" x14ac:dyDescent="0.15">
      <c r="A255" s="9">
        <v>254</v>
      </c>
      <c r="B255" s="10" t="s">
        <v>9</v>
      </c>
      <c r="C255" s="10" t="s">
        <v>363</v>
      </c>
      <c r="D255" s="10" t="s">
        <v>364</v>
      </c>
      <c r="E255" s="11" t="str">
        <f>+HYPERLINK("http://trademark.i-assist.jp/data/china/image_1902th/78504502.pdf", "78504502")</f>
        <v>78504502</v>
      </c>
      <c r="F255" s="10" t="s">
        <v>1150</v>
      </c>
      <c r="G255" s="10" t="s">
        <v>1151</v>
      </c>
      <c r="H255" s="10" t="s">
        <v>1152</v>
      </c>
      <c r="I255" s="10" t="s">
        <v>68</v>
      </c>
    </row>
    <row r="256" spans="1:9" x14ac:dyDescent="0.15">
      <c r="A256" s="9">
        <v>255</v>
      </c>
      <c r="B256" s="10" t="s">
        <v>9</v>
      </c>
      <c r="C256" s="10" t="s">
        <v>363</v>
      </c>
      <c r="D256" s="10" t="s">
        <v>364</v>
      </c>
      <c r="E256" s="11" t="str">
        <f>+HYPERLINK("http://trademark.i-assist.jp/data/china/image_1902th/78504784.pdf", "78504784")</f>
        <v>78504784</v>
      </c>
      <c r="F256" s="10" t="s">
        <v>1153</v>
      </c>
      <c r="G256" s="10" t="s">
        <v>1154</v>
      </c>
      <c r="H256" s="10" t="s">
        <v>1155</v>
      </c>
      <c r="I256" s="10" t="s">
        <v>68</v>
      </c>
    </row>
    <row r="257" spans="1:9" x14ac:dyDescent="0.15">
      <c r="A257" s="9">
        <v>256</v>
      </c>
      <c r="B257" s="10" t="s">
        <v>9</v>
      </c>
      <c r="C257" s="10" t="s">
        <v>363</v>
      </c>
      <c r="D257" s="10" t="s">
        <v>364</v>
      </c>
      <c r="E257" s="11" t="str">
        <f>+HYPERLINK("http://trademark.i-assist.jp/data/china/image_1902th/78512063.pdf", "78512063")</f>
        <v>78512063</v>
      </c>
      <c r="F257" s="10" t="s">
        <v>1156</v>
      </c>
      <c r="G257" s="10" t="s">
        <v>1157</v>
      </c>
      <c r="H257" s="10" t="s">
        <v>1158</v>
      </c>
      <c r="I257" s="10" t="s">
        <v>68</v>
      </c>
    </row>
    <row r="258" spans="1:9" x14ac:dyDescent="0.15">
      <c r="A258" s="9">
        <v>257</v>
      </c>
      <c r="B258" s="10" t="s">
        <v>9</v>
      </c>
      <c r="C258" s="10" t="s">
        <v>363</v>
      </c>
      <c r="D258" s="10" t="s">
        <v>364</v>
      </c>
      <c r="E258" s="11" t="str">
        <f>+HYPERLINK("http://trademark.i-assist.jp/data/china/image_1902th/78515548.pdf", "78515548")</f>
        <v>78515548</v>
      </c>
      <c r="F258" s="10" t="s">
        <v>1159</v>
      </c>
      <c r="G258" s="10" t="s">
        <v>165</v>
      </c>
      <c r="H258" s="10" t="s">
        <v>1160</v>
      </c>
      <c r="I258" s="10" t="s">
        <v>70</v>
      </c>
    </row>
    <row r="259" spans="1:9" x14ac:dyDescent="0.15">
      <c r="A259" s="9">
        <v>258</v>
      </c>
      <c r="B259" s="10" t="s">
        <v>9</v>
      </c>
      <c r="C259" s="10" t="s">
        <v>363</v>
      </c>
      <c r="D259" s="10" t="s">
        <v>364</v>
      </c>
      <c r="E259" s="11" t="str">
        <f>+HYPERLINK("http://trademark.i-assist.jp/data/china/image_1902th/78516662.pdf", "78516662")</f>
        <v>78516662</v>
      </c>
      <c r="F259" s="10" t="s">
        <v>1161</v>
      </c>
      <c r="G259" s="10" t="s">
        <v>1162</v>
      </c>
      <c r="H259" s="10" t="s">
        <v>1163</v>
      </c>
      <c r="I259" s="10" t="s">
        <v>70</v>
      </c>
    </row>
    <row r="260" spans="1:9" x14ac:dyDescent="0.15">
      <c r="A260" s="9">
        <v>259</v>
      </c>
      <c r="B260" s="10" t="s">
        <v>9</v>
      </c>
      <c r="C260" s="10" t="s">
        <v>363</v>
      </c>
      <c r="D260" s="10" t="s">
        <v>364</v>
      </c>
      <c r="E260" s="11" t="str">
        <f>+HYPERLINK("http://trademark.i-assist.jp/data/china/image_1902th/78517056.pdf", "78517056")</f>
        <v>78517056</v>
      </c>
      <c r="F260" s="10" t="s">
        <v>1164</v>
      </c>
      <c r="G260" s="10" t="s">
        <v>55</v>
      </c>
      <c r="H260" s="10" t="s">
        <v>1165</v>
      </c>
      <c r="I260" s="10" t="s">
        <v>70</v>
      </c>
    </row>
    <row r="261" spans="1:9" x14ac:dyDescent="0.15">
      <c r="A261" s="9">
        <v>260</v>
      </c>
      <c r="B261" s="10" t="s">
        <v>9</v>
      </c>
      <c r="C261" s="10" t="s">
        <v>363</v>
      </c>
      <c r="D261" s="10" t="s">
        <v>364</v>
      </c>
      <c r="E261" s="11" t="str">
        <f>+HYPERLINK("http://trademark.i-assist.jp/data/china/image_1902th/78517294.pdf", "78517294")</f>
        <v>78517294</v>
      </c>
      <c r="F261" s="10" t="s">
        <v>1166</v>
      </c>
      <c r="G261" s="10" t="s">
        <v>1167</v>
      </c>
      <c r="H261" s="10" t="s">
        <v>1168</v>
      </c>
      <c r="I261" s="10" t="s">
        <v>70</v>
      </c>
    </row>
    <row r="262" spans="1:9" x14ac:dyDescent="0.15">
      <c r="A262" s="9">
        <v>261</v>
      </c>
      <c r="B262" s="10" t="s">
        <v>9</v>
      </c>
      <c r="C262" s="10" t="s">
        <v>363</v>
      </c>
      <c r="D262" s="10" t="s">
        <v>364</v>
      </c>
      <c r="E262" s="11" t="str">
        <f>+HYPERLINK("http://trademark.i-assist.jp/data/china/image_1902th/78521076.pdf", "78521076")</f>
        <v>78521076</v>
      </c>
      <c r="F262" s="10" t="s">
        <v>1169</v>
      </c>
      <c r="G262" s="10" t="s">
        <v>1170</v>
      </c>
      <c r="H262" s="10" t="s">
        <v>1171</v>
      </c>
      <c r="I262" s="10" t="s">
        <v>70</v>
      </c>
    </row>
    <row r="263" spans="1:9" x14ac:dyDescent="0.15">
      <c r="A263" s="9">
        <v>262</v>
      </c>
      <c r="B263" s="10" t="s">
        <v>9</v>
      </c>
      <c r="C263" s="10" t="s">
        <v>363</v>
      </c>
      <c r="D263" s="10" t="s">
        <v>364</v>
      </c>
      <c r="E263" s="11" t="str">
        <f>+HYPERLINK("http://trademark.i-assist.jp/data/china/image_1902th/78523190.pdf", "78523190")</f>
        <v>78523190</v>
      </c>
      <c r="F263" s="10" t="s">
        <v>1172</v>
      </c>
      <c r="G263" s="10" t="s">
        <v>1173</v>
      </c>
      <c r="H263" s="10" t="s">
        <v>1174</v>
      </c>
      <c r="I263" s="10" t="s">
        <v>70</v>
      </c>
    </row>
    <row r="264" spans="1:9" x14ac:dyDescent="0.15">
      <c r="A264" s="9">
        <v>263</v>
      </c>
      <c r="B264" s="10" t="s">
        <v>9</v>
      </c>
      <c r="C264" s="10" t="s">
        <v>363</v>
      </c>
      <c r="D264" s="10" t="s">
        <v>364</v>
      </c>
      <c r="E264" s="11" t="str">
        <f>+HYPERLINK("http://trademark.i-assist.jp/data/china/image_1902th/78523621.pdf", "78523621")</f>
        <v>78523621</v>
      </c>
      <c r="F264" s="10" t="s">
        <v>1175</v>
      </c>
      <c r="G264" s="10" t="s">
        <v>1176</v>
      </c>
      <c r="H264" s="10" t="s">
        <v>1177</v>
      </c>
      <c r="I264" s="10" t="s">
        <v>70</v>
      </c>
    </row>
    <row r="265" spans="1:9" x14ac:dyDescent="0.15">
      <c r="A265" s="9">
        <v>264</v>
      </c>
      <c r="B265" s="10" t="s">
        <v>9</v>
      </c>
      <c r="C265" s="10" t="s">
        <v>363</v>
      </c>
      <c r="D265" s="10" t="s">
        <v>364</v>
      </c>
      <c r="E265" s="11" t="str">
        <f>+HYPERLINK("http://trademark.i-assist.jp/data/china/image_1902th/78523636.pdf", "78523636")</f>
        <v>78523636</v>
      </c>
      <c r="F265" s="10" t="s">
        <v>1178</v>
      </c>
      <c r="G265" s="10" t="s">
        <v>1176</v>
      </c>
      <c r="H265" s="10" t="s">
        <v>1179</v>
      </c>
      <c r="I265" s="10" t="s">
        <v>70</v>
      </c>
    </row>
    <row r="266" spans="1:9" x14ac:dyDescent="0.15">
      <c r="A266" s="9">
        <v>265</v>
      </c>
      <c r="B266" s="10" t="s">
        <v>9</v>
      </c>
      <c r="C266" s="10" t="s">
        <v>363</v>
      </c>
      <c r="D266" s="10" t="s">
        <v>364</v>
      </c>
      <c r="E266" s="11" t="str">
        <f>+HYPERLINK("http://trademark.i-assist.jp/data/china/image_1902th/78523694.pdf", "78523694")</f>
        <v>78523694</v>
      </c>
      <c r="F266" s="10" t="s">
        <v>1180</v>
      </c>
      <c r="G266" s="10" t="s">
        <v>1176</v>
      </c>
      <c r="H266" s="10" t="s">
        <v>1181</v>
      </c>
      <c r="I266" s="10" t="s">
        <v>70</v>
      </c>
    </row>
    <row r="267" spans="1:9" x14ac:dyDescent="0.15">
      <c r="A267" s="9">
        <v>266</v>
      </c>
      <c r="B267" s="10" t="s">
        <v>9</v>
      </c>
      <c r="C267" s="10" t="s">
        <v>363</v>
      </c>
      <c r="D267" s="10" t="s">
        <v>364</v>
      </c>
      <c r="E267" s="11" t="str">
        <f>+HYPERLINK("http://trademark.i-assist.jp/data/china/image_1902th/78524601.pdf", "78524601")</f>
        <v>78524601</v>
      </c>
      <c r="F267" s="10" t="s">
        <v>1182</v>
      </c>
      <c r="G267" s="10" t="s">
        <v>1183</v>
      </c>
      <c r="H267" s="10" t="s">
        <v>1184</v>
      </c>
      <c r="I267" s="10" t="s">
        <v>70</v>
      </c>
    </row>
    <row r="268" spans="1:9" x14ac:dyDescent="0.15">
      <c r="A268" s="9">
        <v>267</v>
      </c>
      <c r="B268" s="10" t="s">
        <v>9</v>
      </c>
      <c r="C268" s="10" t="s">
        <v>363</v>
      </c>
      <c r="D268" s="10" t="s">
        <v>364</v>
      </c>
      <c r="E268" s="11" t="str">
        <f>+HYPERLINK("http://trademark.i-assist.jp/data/china/image_1902th/78528670.pdf", "78528670")</f>
        <v>78528670</v>
      </c>
      <c r="F268" s="10" t="s">
        <v>1185</v>
      </c>
      <c r="G268" s="10" t="s">
        <v>1186</v>
      </c>
      <c r="H268" s="10" t="s">
        <v>1187</v>
      </c>
      <c r="I268" s="10" t="s">
        <v>70</v>
      </c>
    </row>
    <row r="269" spans="1:9" x14ac:dyDescent="0.15">
      <c r="A269" s="9">
        <v>268</v>
      </c>
      <c r="B269" s="10" t="s">
        <v>9</v>
      </c>
      <c r="C269" s="10" t="s">
        <v>363</v>
      </c>
      <c r="D269" s="10" t="s">
        <v>364</v>
      </c>
      <c r="E269" s="11" t="str">
        <f>+HYPERLINK("http://trademark.i-assist.jp/data/china/image_1902th/78528858.pdf", "78528858")</f>
        <v>78528858</v>
      </c>
      <c r="F269" s="10" t="s">
        <v>1188</v>
      </c>
      <c r="G269" s="10" t="s">
        <v>239</v>
      </c>
      <c r="H269" s="10" t="s">
        <v>1189</v>
      </c>
      <c r="I269" s="10" t="s">
        <v>70</v>
      </c>
    </row>
    <row r="270" spans="1:9" x14ac:dyDescent="0.15">
      <c r="A270" s="9">
        <v>269</v>
      </c>
      <c r="B270" s="10" t="s">
        <v>9</v>
      </c>
      <c r="C270" s="10" t="s">
        <v>363</v>
      </c>
      <c r="D270" s="10" t="s">
        <v>364</v>
      </c>
      <c r="E270" s="11" t="str">
        <f>+HYPERLINK("http://trademark.i-assist.jp/data/china/image_1902th/78533997.pdf", "78533997")</f>
        <v>78533997</v>
      </c>
      <c r="F270" s="10" t="s">
        <v>1190</v>
      </c>
      <c r="G270" s="10" t="s">
        <v>33</v>
      </c>
      <c r="H270" s="10" t="s">
        <v>1191</v>
      </c>
      <c r="I270" s="10" t="s">
        <v>70</v>
      </c>
    </row>
    <row r="271" spans="1:9" x14ac:dyDescent="0.15">
      <c r="A271" s="9">
        <v>270</v>
      </c>
      <c r="B271" s="10" t="s">
        <v>9</v>
      </c>
      <c r="C271" s="10" t="s">
        <v>363</v>
      </c>
      <c r="D271" s="10" t="s">
        <v>364</v>
      </c>
      <c r="E271" s="11" t="str">
        <f>+HYPERLINK("http://trademark.i-assist.jp/data/china/image_1902th/78535531.pdf", "78535531")</f>
        <v>78535531</v>
      </c>
      <c r="F271" s="10" t="s">
        <v>1192</v>
      </c>
      <c r="G271" s="10" t="s">
        <v>1176</v>
      </c>
      <c r="H271" s="10" t="s">
        <v>1193</v>
      </c>
      <c r="I271" s="10" t="s">
        <v>70</v>
      </c>
    </row>
    <row r="272" spans="1:9" x14ac:dyDescent="0.15">
      <c r="A272" s="9">
        <v>271</v>
      </c>
      <c r="B272" s="10" t="s">
        <v>9</v>
      </c>
      <c r="C272" s="10" t="s">
        <v>363</v>
      </c>
      <c r="D272" s="10" t="s">
        <v>364</v>
      </c>
      <c r="E272" s="11" t="str">
        <f>+HYPERLINK("http://trademark.i-assist.jp/data/china/image_1902th/78536610.pdf", "78536610")</f>
        <v>78536610</v>
      </c>
      <c r="F272" s="10" t="s">
        <v>1194</v>
      </c>
      <c r="G272" s="10" t="s">
        <v>1195</v>
      </c>
      <c r="H272" s="10" t="s">
        <v>1196</v>
      </c>
      <c r="I272" s="10" t="s">
        <v>70</v>
      </c>
    </row>
    <row r="273" spans="1:9" x14ac:dyDescent="0.15">
      <c r="A273" s="9">
        <v>272</v>
      </c>
      <c r="B273" s="10" t="s">
        <v>9</v>
      </c>
      <c r="C273" s="10" t="s">
        <v>363</v>
      </c>
      <c r="D273" s="10" t="s">
        <v>364</v>
      </c>
      <c r="E273" s="11" t="str">
        <f>+HYPERLINK("http://trademark.i-assist.jp/data/china/image_1902th/78543346.pdf", "78543346")</f>
        <v>78543346</v>
      </c>
      <c r="F273" s="10" t="s">
        <v>1197</v>
      </c>
      <c r="G273" s="10" t="s">
        <v>1198</v>
      </c>
      <c r="H273" s="10" t="s">
        <v>1199</v>
      </c>
      <c r="I273" s="10" t="s">
        <v>73</v>
      </c>
    </row>
    <row r="274" spans="1:9" x14ac:dyDescent="0.15">
      <c r="A274" s="9">
        <v>273</v>
      </c>
      <c r="B274" s="10" t="s">
        <v>9</v>
      </c>
      <c r="C274" s="10" t="s">
        <v>363</v>
      </c>
      <c r="D274" s="10" t="s">
        <v>364</v>
      </c>
      <c r="E274" s="11" t="str">
        <f>+HYPERLINK("http://trademark.i-assist.jp/data/china/image_1902th/78547096.pdf", "78547096")</f>
        <v>78547096</v>
      </c>
      <c r="F274" s="10" t="s">
        <v>1200</v>
      </c>
      <c r="G274" s="10" t="s">
        <v>1201</v>
      </c>
      <c r="H274" s="10" t="s">
        <v>1202</v>
      </c>
      <c r="I274" s="10" t="s">
        <v>73</v>
      </c>
    </row>
    <row r="275" spans="1:9" x14ac:dyDescent="0.15">
      <c r="A275" s="9">
        <v>274</v>
      </c>
      <c r="B275" s="10" t="s">
        <v>9</v>
      </c>
      <c r="C275" s="10" t="s">
        <v>363</v>
      </c>
      <c r="D275" s="10" t="s">
        <v>364</v>
      </c>
      <c r="E275" s="11" t="str">
        <f>+HYPERLINK("http://trademark.i-assist.jp/data/china/image_1902th/78548109.pdf", "78548109")</f>
        <v>78548109</v>
      </c>
      <c r="F275" s="10" t="s">
        <v>1203</v>
      </c>
      <c r="G275" s="10" t="s">
        <v>1204</v>
      </c>
      <c r="H275" s="10" t="s">
        <v>1205</v>
      </c>
      <c r="I275" s="10" t="s">
        <v>73</v>
      </c>
    </row>
    <row r="276" spans="1:9" x14ac:dyDescent="0.15">
      <c r="A276" s="9">
        <v>275</v>
      </c>
      <c r="B276" s="10" t="s">
        <v>9</v>
      </c>
      <c r="C276" s="10" t="s">
        <v>363</v>
      </c>
      <c r="D276" s="10" t="s">
        <v>364</v>
      </c>
      <c r="E276" s="11" t="str">
        <f>+HYPERLINK("http://trademark.i-assist.jp/data/china/image_1902th/78548999.pdf", "78548999")</f>
        <v>78548999</v>
      </c>
      <c r="F276" s="10" t="s">
        <v>1206</v>
      </c>
      <c r="G276" s="10" t="s">
        <v>1207</v>
      </c>
      <c r="H276" s="10" t="s">
        <v>1208</v>
      </c>
      <c r="I276" s="10" t="s">
        <v>73</v>
      </c>
    </row>
    <row r="277" spans="1:9" x14ac:dyDescent="0.15">
      <c r="A277" s="9">
        <v>276</v>
      </c>
      <c r="B277" s="10" t="s">
        <v>9</v>
      </c>
      <c r="C277" s="10" t="s">
        <v>363</v>
      </c>
      <c r="D277" s="10" t="s">
        <v>364</v>
      </c>
      <c r="E277" s="11" t="str">
        <f>+HYPERLINK("http://trademark.i-assist.jp/data/china/image_1902th/78552336.pdf", "78552336")</f>
        <v>78552336</v>
      </c>
      <c r="F277" s="10" t="s">
        <v>12</v>
      </c>
      <c r="G277" s="10" t="s">
        <v>1209</v>
      </c>
      <c r="H277" s="10" t="s">
        <v>1210</v>
      </c>
      <c r="I277" s="10" t="s">
        <v>73</v>
      </c>
    </row>
    <row r="278" spans="1:9" x14ac:dyDescent="0.15">
      <c r="A278" s="9">
        <v>277</v>
      </c>
      <c r="B278" s="10" t="s">
        <v>9</v>
      </c>
      <c r="C278" s="10" t="s">
        <v>363</v>
      </c>
      <c r="D278" s="10" t="s">
        <v>364</v>
      </c>
      <c r="E278" s="11" t="str">
        <f>+HYPERLINK("http://trademark.i-assist.jp/data/china/image_1902th/78556980.pdf", "78556980")</f>
        <v>78556980</v>
      </c>
      <c r="F278" s="10" t="s">
        <v>1211</v>
      </c>
      <c r="G278" s="10" t="s">
        <v>1212</v>
      </c>
      <c r="H278" s="10" t="s">
        <v>1213</v>
      </c>
      <c r="I278" s="10" t="s">
        <v>73</v>
      </c>
    </row>
    <row r="279" spans="1:9" x14ac:dyDescent="0.15">
      <c r="A279" s="9">
        <v>278</v>
      </c>
      <c r="B279" s="10" t="s">
        <v>9</v>
      </c>
      <c r="C279" s="10" t="s">
        <v>363</v>
      </c>
      <c r="D279" s="10" t="s">
        <v>364</v>
      </c>
      <c r="E279" s="11" t="str">
        <f>+HYPERLINK("http://trademark.i-assist.jp/data/china/image_1902th/78557316.pdf", "78557316")</f>
        <v>78557316</v>
      </c>
      <c r="F279" s="10" t="s">
        <v>1214</v>
      </c>
      <c r="G279" s="10" t="s">
        <v>1198</v>
      </c>
      <c r="H279" s="10" t="s">
        <v>1215</v>
      </c>
      <c r="I279" s="10" t="s">
        <v>73</v>
      </c>
    </row>
    <row r="280" spans="1:9" x14ac:dyDescent="0.15">
      <c r="A280" s="9">
        <v>279</v>
      </c>
      <c r="B280" s="10" t="s">
        <v>9</v>
      </c>
      <c r="C280" s="10" t="s">
        <v>363</v>
      </c>
      <c r="D280" s="10" t="s">
        <v>364</v>
      </c>
      <c r="E280" s="11" t="str">
        <f>+HYPERLINK("http://trademark.i-assist.jp/data/china/image_1902th/78558397.pdf", "78558397")</f>
        <v>78558397</v>
      </c>
      <c r="F280" s="10" t="s">
        <v>1216</v>
      </c>
      <c r="G280" s="10" t="s">
        <v>1217</v>
      </c>
      <c r="H280" s="10" t="s">
        <v>1218</v>
      </c>
      <c r="I280" s="10" t="s">
        <v>73</v>
      </c>
    </row>
    <row r="281" spans="1:9" x14ac:dyDescent="0.15">
      <c r="A281" s="9">
        <v>280</v>
      </c>
      <c r="B281" s="10" t="s">
        <v>9</v>
      </c>
      <c r="C281" s="10" t="s">
        <v>363</v>
      </c>
      <c r="D281" s="10" t="s">
        <v>364</v>
      </c>
      <c r="E281" s="11" t="str">
        <f>+HYPERLINK("http://trademark.i-assist.jp/data/china/image_1902th/78560855.pdf", "78560855")</f>
        <v>78560855</v>
      </c>
      <c r="F281" s="10" t="s">
        <v>1219</v>
      </c>
      <c r="G281" s="10" t="s">
        <v>1220</v>
      </c>
      <c r="H281" s="10" t="s">
        <v>1221</v>
      </c>
      <c r="I281" s="10" t="s">
        <v>73</v>
      </c>
    </row>
    <row r="282" spans="1:9" x14ac:dyDescent="0.15">
      <c r="A282" s="9">
        <v>281</v>
      </c>
      <c r="B282" s="10" t="s">
        <v>9</v>
      </c>
      <c r="C282" s="10" t="s">
        <v>363</v>
      </c>
      <c r="D282" s="10" t="s">
        <v>364</v>
      </c>
      <c r="E282" s="11" t="str">
        <f>+HYPERLINK("http://trademark.i-assist.jp/data/china/image_1902th/78566879.pdf", "78566879")</f>
        <v>78566879</v>
      </c>
      <c r="F282" s="10" t="s">
        <v>1222</v>
      </c>
      <c r="G282" s="10" t="s">
        <v>1223</v>
      </c>
      <c r="H282" s="10" t="s">
        <v>1224</v>
      </c>
      <c r="I282" s="10" t="s">
        <v>73</v>
      </c>
    </row>
    <row r="283" spans="1:9" x14ac:dyDescent="0.15">
      <c r="A283" s="9">
        <v>282</v>
      </c>
      <c r="B283" s="10" t="s">
        <v>9</v>
      </c>
      <c r="C283" s="10" t="s">
        <v>363</v>
      </c>
      <c r="D283" s="10" t="s">
        <v>364</v>
      </c>
      <c r="E283" s="11" t="str">
        <f>+HYPERLINK("http://trademark.i-assist.jp/data/china/image_1902th/78568665.pdf", "78568665")</f>
        <v>78568665</v>
      </c>
      <c r="F283" s="10" t="s">
        <v>1225</v>
      </c>
      <c r="G283" s="10" t="s">
        <v>1226</v>
      </c>
      <c r="H283" s="10" t="s">
        <v>1227</v>
      </c>
      <c r="I283" s="10" t="s">
        <v>76</v>
      </c>
    </row>
    <row r="284" spans="1:9" x14ac:dyDescent="0.15">
      <c r="A284" s="9">
        <v>283</v>
      </c>
      <c r="B284" s="10" t="s">
        <v>9</v>
      </c>
      <c r="C284" s="10" t="s">
        <v>363</v>
      </c>
      <c r="D284" s="10" t="s">
        <v>364</v>
      </c>
      <c r="E284" s="11" t="str">
        <f>+HYPERLINK("http://trademark.i-assist.jp/data/china/image_1902th/78571099.pdf", "78571099")</f>
        <v>78571099</v>
      </c>
      <c r="F284" s="10" t="s">
        <v>1228</v>
      </c>
      <c r="G284" s="10" t="s">
        <v>1229</v>
      </c>
      <c r="H284" s="10" t="s">
        <v>1230</v>
      </c>
      <c r="I284" s="10" t="s">
        <v>76</v>
      </c>
    </row>
    <row r="285" spans="1:9" x14ac:dyDescent="0.15">
      <c r="A285" s="9">
        <v>284</v>
      </c>
      <c r="B285" s="10" t="s">
        <v>9</v>
      </c>
      <c r="C285" s="10" t="s">
        <v>363</v>
      </c>
      <c r="D285" s="10" t="s">
        <v>364</v>
      </c>
      <c r="E285" s="11" t="str">
        <f>+HYPERLINK("http://trademark.i-assist.jp/data/china/image_1902th/78573476.pdf", "78573476")</f>
        <v>78573476</v>
      </c>
      <c r="F285" s="10" t="s">
        <v>1231</v>
      </c>
      <c r="G285" s="10" t="s">
        <v>1056</v>
      </c>
      <c r="H285" s="10" t="s">
        <v>1232</v>
      </c>
      <c r="I285" s="10" t="s">
        <v>76</v>
      </c>
    </row>
    <row r="286" spans="1:9" x14ac:dyDescent="0.15">
      <c r="A286" s="9">
        <v>285</v>
      </c>
      <c r="B286" s="10" t="s">
        <v>9</v>
      </c>
      <c r="C286" s="10" t="s">
        <v>363</v>
      </c>
      <c r="D286" s="10" t="s">
        <v>364</v>
      </c>
      <c r="E286" s="11" t="str">
        <f>+HYPERLINK("http://trademark.i-assist.jp/data/china/image_1902th/78575320.pdf", "78575320")</f>
        <v>78575320</v>
      </c>
      <c r="F286" s="10" t="s">
        <v>1233</v>
      </c>
      <c r="G286" s="10" t="s">
        <v>1234</v>
      </c>
      <c r="H286" s="10" t="s">
        <v>1235</v>
      </c>
      <c r="I286" s="10" t="s">
        <v>76</v>
      </c>
    </row>
    <row r="287" spans="1:9" x14ac:dyDescent="0.15">
      <c r="A287" s="9">
        <v>286</v>
      </c>
      <c r="B287" s="10" t="s">
        <v>9</v>
      </c>
      <c r="C287" s="10" t="s">
        <v>363</v>
      </c>
      <c r="D287" s="10" t="s">
        <v>364</v>
      </c>
      <c r="E287" s="11" t="str">
        <f>+HYPERLINK("http://trademark.i-assist.jp/data/china/image_1902th/78575475.pdf", "78575475")</f>
        <v>78575475</v>
      </c>
      <c r="F287" s="10" t="s">
        <v>1236</v>
      </c>
      <c r="G287" s="10" t="s">
        <v>1237</v>
      </c>
      <c r="H287" s="10" t="s">
        <v>1238</v>
      </c>
      <c r="I287" s="10" t="s">
        <v>76</v>
      </c>
    </row>
    <row r="288" spans="1:9" x14ac:dyDescent="0.15">
      <c r="A288" s="9">
        <v>287</v>
      </c>
      <c r="B288" s="10" t="s">
        <v>9</v>
      </c>
      <c r="C288" s="10" t="s">
        <v>363</v>
      </c>
      <c r="D288" s="10" t="s">
        <v>364</v>
      </c>
      <c r="E288" s="11" t="str">
        <f>+HYPERLINK("http://trademark.i-assist.jp/data/china/image_1902th/78575761.pdf", "78575761")</f>
        <v>78575761</v>
      </c>
      <c r="F288" s="10" t="s">
        <v>1239</v>
      </c>
      <c r="G288" s="10" t="s">
        <v>1240</v>
      </c>
      <c r="H288" s="10" t="s">
        <v>1241</v>
      </c>
      <c r="I288" s="10" t="s">
        <v>76</v>
      </c>
    </row>
    <row r="289" spans="1:9" x14ac:dyDescent="0.15">
      <c r="A289" s="9">
        <v>288</v>
      </c>
      <c r="B289" s="10" t="s">
        <v>9</v>
      </c>
      <c r="C289" s="10" t="s">
        <v>363</v>
      </c>
      <c r="D289" s="10" t="s">
        <v>364</v>
      </c>
      <c r="E289" s="11" t="str">
        <f>+HYPERLINK("http://trademark.i-assist.jp/data/china/image_1902th/78582965.pdf", "78582965")</f>
        <v>78582965</v>
      </c>
      <c r="F289" s="10" t="s">
        <v>1242</v>
      </c>
      <c r="G289" s="10" t="s">
        <v>119</v>
      </c>
      <c r="H289" s="10" t="s">
        <v>1243</v>
      </c>
      <c r="I289" s="10" t="s">
        <v>76</v>
      </c>
    </row>
    <row r="290" spans="1:9" x14ac:dyDescent="0.15">
      <c r="A290" s="9">
        <v>289</v>
      </c>
      <c r="B290" s="10" t="s">
        <v>9</v>
      </c>
      <c r="C290" s="10" t="s">
        <v>363</v>
      </c>
      <c r="D290" s="10" t="s">
        <v>364</v>
      </c>
      <c r="E290" s="11" t="str">
        <f>+HYPERLINK("http://trademark.i-assist.jp/data/china/image_1902th/78583045.pdf", "78583045")</f>
        <v>78583045</v>
      </c>
      <c r="F290" s="10" t="s">
        <v>1244</v>
      </c>
      <c r="G290" s="10" t="s">
        <v>1245</v>
      </c>
      <c r="H290" s="10" t="s">
        <v>1246</v>
      </c>
      <c r="I290" s="10" t="s">
        <v>76</v>
      </c>
    </row>
    <row r="291" spans="1:9" x14ac:dyDescent="0.15">
      <c r="A291" s="9">
        <v>290</v>
      </c>
      <c r="B291" s="10" t="s">
        <v>9</v>
      </c>
      <c r="C291" s="10" t="s">
        <v>363</v>
      </c>
      <c r="D291" s="10" t="s">
        <v>364</v>
      </c>
      <c r="E291" s="11" t="str">
        <f>+HYPERLINK("http://trademark.i-assist.jp/data/china/image_1902th/78586352.pdf", "78586352")</f>
        <v>78586352</v>
      </c>
      <c r="F291" s="10" t="s">
        <v>1247</v>
      </c>
      <c r="G291" s="10" t="s">
        <v>1248</v>
      </c>
      <c r="H291" s="10" t="s">
        <v>1249</v>
      </c>
      <c r="I291" s="10" t="s">
        <v>76</v>
      </c>
    </row>
    <row r="292" spans="1:9" x14ac:dyDescent="0.15">
      <c r="A292" s="9">
        <v>291</v>
      </c>
      <c r="B292" s="10" t="s">
        <v>9</v>
      </c>
      <c r="C292" s="10" t="s">
        <v>363</v>
      </c>
      <c r="D292" s="10" t="s">
        <v>364</v>
      </c>
      <c r="E292" s="11" t="str">
        <f>+HYPERLINK("http://trademark.i-assist.jp/data/china/image_1902th/78591282.pdf", "78591282")</f>
        <v>78591282</v>
      </c>
      <c r="F292" s="10" t="s">
        <v>1250</v>
      </c>
      <c r="G292" s="10" t="s">
        <v>1251</v>
      </c>
      <c r="H292" s="10" t="s">
        <v>15</v>
      </c>
      <c r="I292" s="10" t="s">
        <v>76</v>
      </c>
    </row>
    <row r="293" spans="1:9" x14ac:dyDescent="0.15">
      <c r="A293" s="9">
        <v>292</v>
      </c>
      <c r="B293" s="10" t="s">
        <v>9</v>
      </c>
      <c r="C293" s="10" t="s">
        <v>363</v>
      </c>
      <c r="D293" s="10" t="s">
        <v>364</v>
      </c>
      <c r="E293" s="11" t="str">
        <f>+HYPERLINK("http://trademark.i-assist.jp/data/china/image_1902th/78594033.pdf", "78594033")</f>
        <v>78594033</v>
      </c>
      <c r="F293" s="10" t="s">
        <v>1252</v>
      </c>
      <c r="G293" s="10" t="s">
        <v>1253</v>
      </c>
      <c r="H293" s="10" t="s">
        <v>1254</v>
      </c>
      <c r="I293" s="10" t="s">
        <v>76</v>
      </c>
    </row>
    <row r="294" spans="1:9" x14ac:dyDescent="0.15">
      <c r="A294" s="9">
        <v>293</v>
      </c>
      <c r="B294" s="10" t="s">
        <v>9</v>
      </c>
      <c r="C294" s="10" t="s">
        <v>363</v>
      </c>
      <c r="D294" s="10" t="s">
        <v>364</v>
      </c>
      <c r="E294" s="11" t="str">
        <f>+HYPERLINK("http://trademark.i-assist.jp/data/china/image_1902th/78595574.pdf", "78595574")</f>
        <v>78595574</v>
      </c>
      <c r="F294" s="10" t="s">
        <v>1255</v>
      </c>
      <c r="G294" s="10" t="s">
        <v>1256</v>
      </c>
      <c r="H294" s="10" t="s">
        <v>1257</v>
      </c>
      <c r="I294" s="10" t="s">
        <v>76</v>
      </c>
    </row>
    <row r="295" spans="1:9" x14ac:dyDescent="0.15">
      <c r="A295" s="9">
        <v>294</v>
      </c>
      <c r="B295" s="10" t="s">
        <v>9</v>
      </c>
      <c r="C295" s="10" t="s">
        <v>363</v>
      </c>
      <c r="D295" s="10" t="s">
        <v>364</v>
      </c>
      <c r="E295" s="11" t="str">
        <f>+HYPERLINK("http://trademark.i-assist.jp/data/china/image_1902th/78600350.pdf", "78600350")</f>
        <v>78600350</v>
      </c>
      <c r="F295" s="10" t="s">
        <v>1258</v>
      </c>
      <c r="G295" s="10" t="s">
        <v>1259</v>
      </c>
      <c r="H295" s="10" t="s">
        <v>1260</v>
      </c>
      <c r="I295" s="10" t="s">
        <v>79</v>
      </c>
    </row>
    <row r="296" spans="1:9" x14ac:dyDescent="0.15">
      <c r="A296" s="9">
        <v>295</v>
      </c>
      <c r="B296" s="10" t="s">
        <v>9</v>
      </c>
      <c r="C296" s="10" t="s">
        <v>363</v>
      </c>
      <c r="D296" s="10" t="s">
        <v>364</v>
      </c>
      <c r="E296" s="11" t="str">
        <f>+HYPERLINK("http://trademark.i-assist.jp/data/china/image_1902th/78602275.pdf", "78602275")</f>
        <v>78602275</v>
      </c>
      <c r="F296" s="10" t="s">
        <v>1261</v>
      </c>
      <c r="G296" s="10" t="s">
        <v>1262</v>
      </c>
      <c r="H296" s="10" t="s">
        <v>1263</v>
      </c>
      <c r="I296" s="10" t="s">
        <v>79</v>
      </c>
    </row>
    <row r="297" spans="1:9" x14ac:dyDescent="0.15">
      <c r="A297" s="9">
        <v>296</v>
      </c>
      <c r="B297" s="10" t="s">
        <v>9</v>
      </c>
      <c r="C297" s="10" t="s">
        <v>363</v>
      </c>
      <c r="D297" s="10" t="s">
        <v>364</v>
      </c>
      <c r="E297" s="11" t="str">
        <f>+HYPERLINK("http://trademark.i-assist.jp/data/china/image_1902th/78603166.pdf", "78603166")</f>
        <v>78603166</v>
      </c>
      <c r="F297" s="10" t="s">
        <v>1264</v>
      </c>
      <c r="G297" s="10" t="s">
        <v>1265</v>
      </c>
      <c r="H297" s="10" t="s">
        <v>1266</v>
      </c>
      <c r="I297" s="10" t="s">
        <v>79</v>
      </c>
    </row>
    <row r="298" spans="1:9" x14ac:dyDescent="0.15">
      <c r="A298" s="9">
        <v>297</v>
      </c>
      <c r="B298" s="10" t="s">
        <v>9</v>
      </c>
      <c r="C298" s="10" t="s">
        <v>363</v>
      </c>
      <c r="D298" s="10" t="s">
        <v>364</v>
      </c>
      <c r="E298" s="11" t="str">
        <f>+HYPERLINK("http://trademark.i-assist.jp/data/china/image_1902th/78606942.pdf", "78606942")</f>
        <v>78606942</v>
      </c>
      <c r="F298" s="10" t="s">
        <v>1267</v>
      </c>
      <c r="G298" s="10" t="s">
        <v>1268</v>
      </c>
      <c r="H298" s="10" t="s">
        <v>1269</v>
      </c>
      <c r="I298" s="10" t="s">
        <v>79</v>
      </c>
    </row>
    <row r="299" spans="1:9" x14ac:dyDescent="0.15">
      <c r="A299" s="9">
        <v>298</v>
      </c>
      <c r="B299" s="10" t="s">
        <v>9</v>
      </c>
      <c r="C299" s="10" t="s">
        <v>363</v>
      </c>
      <c r="D299" s="10" t="s">
        <v>364</v>
      </c>
      <c r="E299" s="11" t="str">
        <f>+HYPERLINK("http://trademark.i-assist.jp/data/china/image_1902th/78608422.pdf", "78608422")</f>
        <v>78608422</v>
      </c>
      <c r="F299" s="10" t="s">
        <v>1270</v>
      </c>
      <c r="G299" s="10" t="s">
        <v>1271</v>
      </c>
      <c r="H299" s="10" t="s">
        <v>1272</v>
      </c>
      <c r="I299" s="10" t="s">
        <v>79</v>
      </c>
    </row>
    <row r="300" spans="1:9" x14ac:dyDescent="0.15">
      <c r="A300" s="9">
        <v>299</v>
      </c>
      <c r="B300" s="10" t="s">
        <v>9</v>
      </c>
      <c r="C300" s="10" t="s">
        <v>363</v>
      </c>
      <c r="D300" s="10" t="s">
        <v>364</v>
      </c>
      <c r="E300" s="11" t="str">
        <f>+HYPERLINK("http://trademark.i-assist.jp/data/china/image_1902th/78613365.pdf", "78613365")</f>
        <v>78613365</v>
      </c>
      <c r="F300" s="10" t="s">
        <v>1273</v>
      </c>
      <c r="G300" s="10" t="s">
        <v>1274</v>
      </c>
      <c r="H300" s="10" t="s">
        <v>1275</v>
      </c>
      <c r="I300" s="10" t="s">
        <v>79</v>
      </c>
    </row>
    <row r="301" spans="1:9" x14ac:dyDescent="0.15">
      <c r="A301" s="9">
        <v>300</v>
      </c>
      <c r="B301" s="10" t="s">
        <v>9</v>
      </c>
      <c r="C301" s="10" t="s">
        <v>363</v>
      </c>
      <c r="D301" s="10" t="s">
        <v>364</v>
      </c>
      <c r="E301" s="11" t="str">
        <f>+HYPERLINK("http://trademark.i-assist.jp/data/china/image_1902th/78613715.pdf", "78613715")</f>
        <v>78613715</v>
      </c>
      <c r="F301" s="10" t="s">
        <v>1276</v>
      </c>
      <c r="G301" s="10" t="s">
        <v>1277</v>
      </c>
      <c r="H301" s="10" t="s">
        <v>1278</v>
      </c>
      <c r="I301" s="10" t="s">
        <v>79</v>
      </c>
    </row>
    <row r="302" spans="1:9" x14ac:dyDescent="0.15">
      <c r="A302" s="9">
        <v>301</v>
      </c>
      <c r="B302" s="10" t="s">
        <v>9</v>
      </c>
      <c r="C302" s="10" t="s">
        <v>363</v>
      </c>
      <c r="D302" s="10" t="s">
        <v>364</v>
      </c>
      <c r="E302" s="11" t="str">
        <f>+HYPERLINK("http://trademark.i-assist.jp/data/china/image_1902th/78613991.pdf", "78613991")</f>
        <v>78613991</v>
      </c>
      <c r="F302" s="10" t="s">
        <v>1279</v>
      </c>
      <c r="G302" s="10" t="s">
        <v>1280</v>
      </c>
      <c r="H302" s="10" t="s">
        <v>1281</v>
      </c>
      <c r="I302" s="10" t="s">
        <v>79</v>
      </c>
    </row>
    <row r="303" spans="1:9" x14ac:dyDescent="0.15">
      <c r="A303" s="9">
        <v>302</v>
      </c>
      <c r="B303" s="10" t="s">
        <v>9</v>
      </c>
      <c r="C303" s="10" t="s">
        <v>363</v>
      </c>
      <c r="D303" s="10" t="s">
        <v>364</v>
      </c>
      <c r="E303" s="11" t="str">
        <f>+HYPERLINK("http://trademark.i-assist.jp/data/china/image_1902th/78614620.pdf", "78614620")</f>
        <v>78614620</v>
      </c>
      <c r="F303" s="10" t="s">
        <v>12</v>
      </c>
      <c r="G303" s="10" t="s">
        <v>1282</v>
      </c>
      <c r="H303" s="10" t="s">
        <v>1283</v>
      </c>
      <c r="I303" s="10" t="s">
        <v>79</v>
      </c>
    </row>
    <row r="304" spans="1:9" x14ac:dyDescent="0.15">
      <c r="A304" s="9">
        <v>303</v>
      </c>
      <c r="B304" s="10" t="s">
        <v>9</v>
      </c>
      <c r="C304" s="10" t="s">
        <v>363</v>
      </c>
      <c r="D304" s="10" t="s">
        <v>364</v>
      </c>
      <c r="E304" s="11" t="str">
        <f>+HYPERLINK("http://trademark.i-assist.jp/data/china/image_1902th/78616080.pdf", "78616080")</f>
        <v>78616080</v>
      </c>
      <c r="F304" s="10" t="s">
        <v>12</v>
      </c>
      <c r="G304" s="10" t="s">
        <v>1284</v>
      </c>
      <c r="H304" s="10" t="s">
        <v>1285</v>
      </c>
      <c r="I304" s="10" t="s">
        <v>79</v>
      </c>
    </row>
    <row r="305" spans="1:9" x14ac:dyDescent="0.15">
      <c r="A305" s="9">
        <v>304</v>
      </c>
      <c r="B305" s="10" t="s">
        <v>9</v>
      </c>
      <c r="C305" s="10" t="s">
        <v>363</v>
      </c>
      <c r="D305" s="10" t="s">
        <v>364</v>
      </c>
      <c r="E305" s="11" t="str">
        <f>+HYPERLINK("http://trademark.i-assist.jp/data/china/image_1902th/78617357.pdf", "78617357")</f>
        <v>78617357</v>
      </c>
      <c r="F305" s="10" t="s">
        <v>1286</v>
      </c>
      <c r="G305" s="10" t="s">
        <v>1287</v>
      </c>
      <c r="H305" s="10" t="s">
        <v>1288</v>
      </c>
      <c r="I305" s="10" t="s">
        <v>79</v>
      </c>
    </row>
    <row r="306" spans="1:9" x14ac:dyDescent="0.15">
      <c r="A306" s="9">
        <v>305</v>
      </c>
      <c r="B306" s="10" t="s">
        <v>9</v>
      </c>
      <c r="C306" s="10" t="s">
        <v>363</v>
      </c>
      <c r="D306" s="10" t="s">
        <v>364</v>
      </c>
      <c r="E306" s="11" t="str">
        <f>+HYPERLINK("http://trademark.i-assist.jp/data/china/image_1902th/78628856.pdf", "78628856")</f>
        <v>78628856</v>
      </c>
      <c r="F306" s="10" t="s">
        <v>1289</v>
      </c>
      <c r="G306" s="10" t="s">
        <v>1290</v>
      </c>
      <c r="H306" s="10" t="s">
        <v>1291</v>
      </c>
      <c r="I306" s="10" t="s">
        <v>123</v>
      </c>
    </row>
    <row r="307" spans="1:9" x14ac:dyDescent="0.15">
      <c r="A307" s="9">
        <v>306</v>
      </c>
      <c r="B307" s="10" t="s">
        <v>9</v>
      </c>
      <c r="C307" s="10" t="s">
        <v>363</v>
      </c>
      <c r="D307" s="10" t="s">
        <v>364</v>
      </c>
      <c r="E307" s="11" t="str">
        <f>+HYPERLINK("http://trademark.i-assist.jp/data/china/image_1902th/78630957.pdf", "78630957")</f>
        <v>78630957</v>
      </c>
      <c r="F307" s="10" t="s">
        <v>1292</v>
      </c>
      <c r="G307" s="10" t="s">
        <v>112</v>
      </c>
      <c r="H307" s="10" t="s">
        <v>1293</v>
      </c>
      <c r="I307" s="10" t="s">
        <v>123</v>
      </c>
    </row>
    <row r="308" spans="1:9" x14ac:dyDescent="0.15">
      <c r="A308" s="9">
        <v>307</v>
      </c>
      <c r="B308" s="10" t="s">
        <v>9</v>
      </c>
      <c r="C308" s="10" t="s">
        <v>363</v>
      </c>
      <c r="D308" s="10" t="s">
        <v>364</v>
      </c>
      <c r="E308" s="11" t="str">
        <f>+HYPERLINK("http://trademark.i-assist.jp/data/china/image_1902th/78631459.pdf", "78631459")</f>
        <v>78631459</v>
      </c>
      <c r="F308" s="10" t="s">
        <v>1294</v>
      </c>
      <c r="G308" s="10" t="s">
        <v>1295</v>
      </c>
      <c r="H308" s="10" t="s">
        <v>1296</v>
      </c>
      <c r="I308" s="10" t="s">
        <v>123</v>
      </c>
    </row>
    <row r="309" spans="1:9" x14ac:dyDescent="0.15">
      <c r="A309" s="9">
        <v>308</v>
      </c>
      <c r="B309" s="10" t="s">
        <v>9</v>
      </c>
      <c r="C309" s="10" t="s">
        <v>363</v>
      </c>
      <c r="D309" s="10" t="s">
        <v>364</v>
      </c>
      <c r="E309" s="11" t="str">
        <f>+HYPERLINK("http://trademark.i-assist.jp/data/china/image_1902th/78636238.pdf", "78636238")</f>
        <v>78636238</v>
      </c>
      <c r="F309" s="10" t="s">
        <v>1297</v>
      </c>
      <c r="G309" s="10" t="s">
        <v>130</v>
      </c>
      <c r="H309" s="10" t="s">
        <v>19</v>
      </c>
      <c r="I309" s="10" t="s">
        <v>123</v>
      </c>
    </row>
    <row r="310" spans="1:9" x14ac:dyDescent="0.15">
      <c r="A310" s="9">
        <v>309</v>
      </c>
      <c r="B310" s="10" t="s">
        <v>9</v>
      </c>
      <c r="C310" s="10" t="s">
        <v>363</v>
      </c>
      <c r="D310" s="10" t="s">
        <v>364</v>
      </c>
      <c r="E310" s="11" t="str">
        <f>+HYPERLINK("http://trademark.i-assist.jp/data/china/image_1902th/78636634.pdf", "78636634")</f>
        <v>78636634</v>
      </c>
      <c r="F310" s="10" t="s">
        <v>12</v>
      </c>
      <c r="G310" s="10" t="s">
        <v>1298</v>
      </c>
      <c r="H310" s="10" t="s">
        <v>1299</v>
      </c>
      <c r="I310" s="10" t="s">
        <v>123</v>
      </c>
    </row>
    <row r="311" spans="1:9" x14ac:dyDescent="0.15">
      <c r="A311" s="9">
        <v>310</v>
      </c>
      <c r="B311" s="10" t="s">
        <v>9</v>
      </c>
      <c r="C311" s="10" t="s">
        <v>363</v>
      </c>
      <c r="D311" s="10" t="s">
        <v>364</v>
      </c>
      <c r="E311" s="11" t="str">
        <f>+HYPERLINK("http://trademark.i-assist.jp/data/china/image_1902th/78637869.pdf", "78637869")</f>
        <v>78637869</v>
      </c>
      <c r="F311" s="10" t="s">
        <v>1300</v>
      </c>
      <c r="G311" s="10" t="s">
        <v>1301</v>
      </c>
      <c r="H311" s="10" t="s">
        <v>1302</v>
      </c>
      <c r="I311" s="10" t="s">
        <v>123</v>
      </c>
    </row>
    <row r="312" spans="1:9" x14ac:dyDescent="0.15">
      <c r="A312" s="9">
        <v>311</v>
      </c>
      <c r="B312" s="10" t="s">
        <v>9</v>
      </c>
      <c r="C312" s="10" t="s">
        <v>363</v>
      </c>
      <c r="D312" s="10" t="s">
        <v>364</v>
      </c>
      <c r="E312" s="11" t="str">
        <f>+HYPERLINK("http://trademark.i-assist.jp/data/china/image_1902th/78638438.pdf", "78638438")</f>
        <v>78638438</v>
      </c>
      <c r="F312" s="10" t="s">
        <v>1303</v>
      </c>
      <c r="G312" s="10" t="s">
        <v>1304</v>
      </c>
      <c r="H312" s="10" t="s">
        <v>1305</v>
      </c>
      <c r="I312" s="10" t="s">
        <v>123</v>
      </c>
    </row>
    <row r="313" spans="1:9" x14ac:dyDescent="0.15">
      <c r="A313" s="9">
        <v>312</v>
      </c>
      <c r="B313" s="10" t="s">
        <v>9</v>
      </c>
      <c r="C313" s="10" t="s">
        <v>363</v>
      </c>
      <c r="D313" s="10" t="s">
        <v>364</v>
      </c>
      <c r="E313" s="11" t="str">
        <f>+HYPERLINK("http://trademark.i-assist.jp/data/china/image_1902th/78639031.pdf", "78639031")</f>
        <v>78639031</v>
      </c>
      <c r="F313" s="10" t="s">
        <v>1306</v>
      </c>
      <c r="G313" s="10" t="s">
        <v>1307</v>
      </c>
      <c r="H313" s="10" t="s">
        <v>1308</v>
      </c>
      <c r="I313" s="10" t="s">
        <v>123</v>
      </c>
    </row>
    <row r="314" spans="1:9" x14ac:dyDescent="0.15">
      <c r="A314" s="9">
        <v>313</v>
      </c>
      <c r="B314" s="10" t="s">
        <v>9</v>
      </c>
      <c r="C314" s="10" t="s">
        <v>363</v>
      </c>
      <c r="D314" s="10" t="s">
        <v>364</v>
      </c>
      <c r="E314" s="11" t="str">
        <f>+HYPERLINK("http://trademark.i-assist.jp/data/china/image_1902th/78640392.pdf", "78640392")</f>
        <v>78640392</v>
      </c>
      <c r="F314" s="10" t="s">
        <v>1309</v>
      </c>
      <c r="G314" s="10" t="s">
        <v>1310</v>
      </c>
      <c r="H314" s="10" t="s">
        <v>1311</v>
      </c>
      <c r="I314" s="10" t="s">
        <v>123</v>
      </c>
    </row>
    <row r="315" spans="1:9" x14ac:dyDescent="0.15">
      <c r="A315" s="9">
        <v>314</v>
      </c>
      <c r="B315" s="10" t="s">
        <v>9</v>
      </c>
      <c r="C315" s="10" t="s">
        <v>363</v>
      </c>
      <c r="D315" s="10" t="s">
        <v>364</v>
      </c>
      <c r="E315" s="11" t="str">
        <f>+HYPERLINK("http://trademark.i-assist.jp/data/china/image_1902th/78642477.pdf", "78642477")</f>
        <v>78642477</v>
      </c>
      <c r="F315" s="10" t="s">
        <v>1312</v>
      </c>
      <c r="G315" s="10" t="s">
        <v>1313</v>
      </c>
      <c r="H315" s="10" t="s">
        <v>1314</v>
      </c>
      <c r="I315" s="10" t="s">
        <v>123</v>
      </c>
    </row>
    <row r="316" spans="1:9" x14ac:dyDescent="0.15">
      <c r="A316" s="9">
        <v>315</v>
      </c>
      <c r="B316" s="10" t="s">
        <v>9</v>
      </c>
      <c r="C316" s="10" t="s">
        <v>363</v>
      </c>
      <c r="D316" s="10" t="s">
        <v>364</v>
      </c>
      <c r="E316" s="11" t="str">
        <f>+HYPERLINK("http://trademark.i-assist.jp/data/china/image_1902th/78644918.pdf", "78644918")</f>
        <v>78644918</v>
      </c>
      <c r="F316" s="10" t="s">
        <v>1315</v>
      </c>
      <c r="G316" s="10" t="s">
        <v>1295</v>
      </c>
      <c r="H316" s="10" t="s">
        <v>1316</v>
      </c>
      <c r="I316" s="10" t="s">
        <v>123</v>
      </c>
    </row>
    <row r="317" spans="1:9" x14ac:dyDescent="0.15">
      <c r="A317" s="9">
        <v>316</v>
      </c>
      <c r="B317" s="10" t="s">
        <v>9</v>
      </c>
      <c r="C317" s="10" t="s">
        <v>363</v>
      </c>
      <c r="D317" s="10" t="s">
        <v>364</v>
      </c>
      <c r="E317" s="11" t="str">
        <f>+HYPERLINK("http://trademark.i-assist.jp/data/china/image_1902th/78646406.pdf", "78646406")</f>
        <v>78646406</v>
      </c>
      <c r="F317" s="10" t="s">
        <v>1317</v>
      </c>
      <c r="G317" s="10" t="s">
        <v>1318</v>
      </c>
      <c r="H317" s="10" t="s">
        <v>1319</v>
      </c>
      <c r="I317" s="10" t="s">
        <v>123</v>
      </c>
    </row>
    <row r="318" spans="1:9" x14ac:dyDescent="0.15">
      <c r="A318" s="9">
        <v>317</v>
      </c>
      <c r="B318" s="10" t="s">
        <v>9</v>
      </c>
      <c r="C318" s="10" t="s">
        <v>363</v>
      </c>
      <c r="D318" s="10" t="s">
        <v>364</v>
      </c>
      <c r="E318" s="11" t="str">
        <f>+HYPERLINK("http://trademark.i-assist.jp/data/china/image_1902th/78648197.pdf", "78648197")</f>
        <v>78648197</v>
      </c>
      <c r="F318" s="10" t="s">
        <v>1320</v>
      </c>
      <c r="G318" s="10" t="s">
        <v>1321</v>
      </c>
      <c r="H318" s="10" t="s">
        <v>1322</v>
      </c>
      <c r="I318" s="10" t="s">
        <v>123</v>
      </c>
    </row>
    <row r="319" spans="1:9" x14ac:dyDescent="0.15">
      <c r="A319" s="9">
        <v>318</v>
      </c>
      <c r="B319" s="10" t="s">
        <v>9</v>
      </c>
      <c r="C319" s="10" t="s">
        <v>363</v>
      </c>
      <c r="D319" s="10" t="s">
        <v>364</v>
      </c>
      <c r="E319" s="11" t="str">
        <f>+HYPERLINK("http://trademark.i-assist.jp/data/china/image_1902th/78648670.pdf", "78648670")</f>
        <v>78648670</v>
      </c>
      <c r="F319" s="10" t="s">
        <v>1323</v>
      </c>
      <c r="G319" s="10" t="s">
        <v>1324</v>
      </c>
      <c r="H319" s="10" t="s">
        <v>1325</v>
      </c>
      <c r="I319" s="10" t="s">
        <v>123</v>
      </c>
    </row>
    <row r="320" spans="1:9" x14ac:dyDescent="0.15">
      <c r="A320" s="9">
        <v>319</v>
      </c>
      <c r="B320" s="10" t="s">
        <v>9</v>
      </c>
      <c r="C320" s="10" t="s">
        <v>363</v>
      </c>
      <c r="D320" s="10" t="s">
        <v>364</v>
      </c>
      <c r="E320" s="11" t="str">
        <f>+HYPERLINK("http://trademark.i-assist.jp/data/china/image_1902th/78649187.pdf", "78649187")</f>
        <v>78649187</v>
      </c>
      <c r="F320" s="10" t="s">
        <v>1326</v>
      </c>
      <c r="G320" s="10" t="s">
        <v>1327</v>
      </c>
      <c r="H320" s="10" t="s">
        <v>1328</v>
      </c>
      <c r="I320" s="10" t="s">
        <v>123</v>
      </c>
    </row>
    <row r="321" spans="1:9" x14ac:dyDescent="0.15">
      <c r="A321" s="9">
        <v>320</v>
      </c>
      <c r="B321" s="10" t="s">
        <v>9</v>
      </c>
      <c r="C321" s="10" t="s">
        <v>363</v>
      </c>
      <c r="D321" s="10" t="s">
        <v>364</v>
      </c>
      <c r="E321" s="11" t="str">
        <f>+HYPERLINK("http://trademark.i-assist.jp/data/china/image_1902th/78649947A.pdf", "78649947A")</f>
        <v>78649947A</v>
      </c>
      <c r="F321" s="10" t="s">
        <v>1329</v>
      </c>
      <c r="G321" s="10" t="s">
        <v>1330</v>
      </c>
      <c r="H321" s="10" t="s">
        <v>1331</v>
      </c>
      <c r="I321" s="10" t="s">
        <v>123</v>
      </c>
    </row>
    <row r="322" spans="1:9" x14ac:dyDescent="0.15">
      <c r="A322" s="9">
        <v>321</v>
      </c>
      <c r="B322" s="10" t="s">
        <v>9</v>
      </c>
      <c r="C322" s="10" t="s">
        <v>363</v>
      </c>
      <c r="D322" s="10" t="s">
        <v>364</v>
      </c>
      <c r="E322" s="11" t="str">
        <f>+HYPERLINK("http://trademark.i-assist.jp/data/china/image_1902th/78651621.pdf", "78651621")</f>
        <v>78651621</v>
      </c>
      <c r="F322" s="10" t="s">
        <v>1332</v>
      </c>
      <c r="G322" s="10" t="s">
        <v>131</v>
      </c>
      <c r="H322" s="10" t="s">
        <v>1333</v>
      </c>
      <c r="I322" s="10" t="s">
        <v>128</v>
      </c>
    </row>
    <row r="323" spans="1:9" x14ac:dyDescent="0.15">
      <c r="A323" s="9">
        <v>322</v>
      </c>
      <c r="B323" s="10" t="s">
        <v>9</v>
      </c>
      <c r="C323" s="10" t="s">
        <v>363</v>
      </c>
      <c r="D323" s="10" t="s">
        <v>364</v>
      </c>
      <c r="E323" s="11" t="str">
        <f>+HYPERLINK("http://trademark.i-assist.jp/data/china/image_1902th/78651881A.pdf", "78651881A")</f>
        <v>78651881A</v>
      </c>
      <c r="F323" s="10" t="s">
        <v>1334</v>
      </c>
      <c r="G323" s="10" t="s">
        <v>1335</v>
      </c>
      <c r="H323" s="10" t="s">
        <v>1336</v>
      </c>
      <c r="I323" s="10" t="s">
        <v>128</v>
      </c>
    </row>
    <row r="324" spans="1:9" x14ac:dyDescent="0.15">
      <c r="A324" s="9">
        <v>323</v>
      </c>
      <c r="B324" s="10" t="s">
        <v>9</v>
      </c>
      <c r="C324" s="10" t="s">
        <v>363</v>
      </c>
      <c r="D324" s="10" t="s">
        <v>364</v>
      </c>
      <c r="E324" s="11" t="str">
        <f>+HYPERLINK("http://trademark.i-assist.jp/data/china/image_1902th/78654469.pdf", "78654469")</f>
        <v>78654469</v>
      </c>
      <c r="F324" s="10" t="s">
        <v>1337</v>
      </c>
      <c r="G324" s="10" t="s">
        <v>1338</v>
      </c>
      <c r="H324" s="10" t="s">
        <v>1339</v>
      </c>
      <c r="I324" s="10" t="s">
        <v>128</v>
      </c>
    </row>
    <row r="325" spans="1:9" x14ac:dyDescent="0.15">
      <c r="A325" s="9">
        <v>324</v>
      </c>
      <c r="B325" s="10" t="s">
        <v>9</v>
      </c>
      <c r="C325" s="10" t="s">
        <v>363</v>
      </c>
      <c r="D325" s="10" t="s">
        <v>364</v>
      </c>
      <c r="E325" s="11" t="str">
        <f>+HYPERLINK("http://trademark.i-assist.jp/data/china/image_1902th/78654522.pdf", "78654522")</f>
        <v>78654522</v>
      </c>
      <c r="F325" s="10" t="s">
        <v>1340</v>
      </c>
      <c r="G325" s="10" t="s">
        <v>1341</v>
      </c>
      <c r="H325" s="10" t="s">
        <v>1342</v>
      </c>
      <c r="I325" s="10" t="s">
        <v>128</v>
      </c>
    </row>
    <row r="326" spans="1:9" x14ac:dyDescent="0.15">
      <c r="A326" s="9">
        <v>325</v>
      </c>
      <c r="B326" s="10" t="s">
        <v>9</v>
      </c>
      <c r="C326" s="10" t="s">
        <v>363</v>
      </c>
      <c r="D326" s="10" t="s">
        <v>364</v>
      </c>
      <c r="E326" s="11" t="str">
        <f>+HYPERLINK("http://trademark.i-assist.jp/data/china/image_1902th/78654672A.pdf", "78654672A")</f>
        <v>78654672A</v>
      </c>
      <c r="F326" s="10" t="s">
        <v>12</v>
      </c>
      <c r="G326" s="10" t="s">
        <v>1343</v>
      </c>
      <c r="H326" s="10" t="s">
        <v>1344</v>
      </c>
      <c r="I326" s="10" t="s">
        <v>128</v>
      </c>
    </row>
    <row r="327" spans="1:9" x14ac:dyDescent="0.15">
      <c r="A327" s="9">
        <v>326</v>
      </c>
      <c r="B327" s="10" t="s">
        <v>9</v>
      </c>
      <c r="C327" s="10" t="s">
        <v>363</v>
      </c>
      <c r="D327" s="10" t="s">
        <v>364</v>
      </c>
      <c r="E327" s="11" t="str">
        <f>+HYPERLINK("http://trademark.i-assist.jp/data/china/image_1902th/78657526.pdf", "78657526")</f>
        <v>78657526</v>
      </c>
      <c r="F327" s="10" t="s">
        <v>1345</v>
      </c>
      <c r="G327" s="10" t="s">
        <v>1346</v>
      </c>
      <c r="H327" s="10" t="s">
        <v>1347</v>
      </c>
      <c r="I327" s="10" t="s">
        <v>128</v>
      </c>
    </row>
    <row r="328" spans="1:9" x14ac:dyDescent="0.15">
      <c r="A328" s="9">
        <v>327</v>
      </c>
      <c r="B328" s="10" t="s">
        <v>9</v>
      </c>
      <c r="C328" s="10" t="s">
        <v>363</v>
      </c>
      <c r="D328" s="10" t="s">
        <v>364</v>
      </c>
      <c r="E328" s="11" t="str">
        <f>+HYPERLINK("http://trademark.i-assist.jp/data/china/image_1902th/78664226.pdf", "78664226")</f>
        <v>78664226</v>
      </c>
      <c r="F328" s="10" t="s">
        <v>1348</v>
      </c>
      <c r="G328" s="10" t="s">
        <v>1349</v>
      </c>
      <c r="H328" s="10" t="s">
        <v>1350</v>
      </c>
      <c r="I328" s="10" t="s">
        <v>128</v>
      </c>
    </row>
    <row r="329" spans="1:9" x14ac:dyDescent="0.15">
      <c r="A329" s="9">
        <v>328</v>
      </c>
      <c r="B329" s="10" t="s">
        <v>9</v>
      </c>
      <c r="C329" s="10" t="s">
        <v>363</v>
      </c>
      <c r="D329" s="10" t="s">
        <v>364</v>
      </c>
      <c r="E329" s="11" t="str">
        <f>+HYPERLINK("http://trademark.i-assist.jp/data/china/image_1902th/78665381.pdf", "78665381")</f>
        <v>78665381</v>
      </c>
      <c r="F329" s="10" t="s">
        <v>1351</v>
      </c>
      <c r="G329" s="10" t="s">
        <v>1352</v>
      </c>
      <c r="H329" s="10" t="s">
        <v>1353</v>
      </c>
      <c r="I329" s="10" t="s">
        <v>128</v>
      </c>
    </row>
    <row r="330" spans="1:9" x14ac:dyDescent="0.15">
      <c r="A330" s="9">
        <v>329</v>
      </c>
      <c r="B330" s="10" t="s">
        <v>9</v>
      </c>
      <c r="C330" s="10" t="s">
        <v>363</v>
      </c>
      <c r="D330" s="10" t="s">
        <v>364</v>
      </c>
      <c r="E330" s="11" t="str">
        <f>+HYPERLINK("http://trademark.i-assist.jp/data/china/image_1902th/78666447.pdf", "78666447")</f>
        <v>78666447</v>
      </c>
      <c r="F330" s="10" t="s">
        <v>1354</v>
      </c>
      <c r="G330" s="10" t="s">
        <v>1355</v>
      </c>
      <c r="H330" s="10" t="s">
        <v>1356</v>
      </c>
      <c r="I330" s="10" t="s">
        <v>128</v>
      </c>
    </row>
    <row r="331" spans="1:9" x14ac:dyDescent="0.15">
      <c r="A331" s="9">
        <v>330</v>
      </c>
      <c r="B331" s="10" t="s">
        <v>9</v>
      </c>
      <c r="C331" s="10" t="s">
        <v>363</v>
      </c>
      <c r="D331" s="10" t="s">
        <v>364</v>
      </c>
      <c r="E331" s="11" t="str">
        <f>+HYPERLINK("http://trademark.i-assist.jp/data/china/image_1902th/78666570.pdf", "78666570")</f>
        <v>78666570</v>
      </c>
      <c r="F331" s="10" t="s">
        <v>1357</v>
      </c>
      <c r="G331" s="10" t="s">
        <v>1358</v>
      </c>
      <c r="H331" s="10" t="s">
        <v>1359</v>
      </c>
      <c r="I331" s="10" t="s">
        <v>128</v>
      </c>
    </row>
    <row r="332" spans="1:9" x14ac:dyDescent="0.15">
      <c r="A332" s="9">
        <v>331</v>
      </c>
      <c r="B332" s="10" t="s">
        <v>9</v>
      </c>
      <c r="C332" s="10" t="s">
        <v>363</v>
      </c>
      <c r="D332" s="10" t="s">
        <v>364</v>
      </c>
      <c r="E332" s="11" t="str">
        <f>+HYPERLINK("http://trademark.i-assist.jp/data/china/image_1902th/78668040.pdf", "78668040")</f>
        <v>78668040</v>
      </c>
      <c r="F332" s="10" t="s">
        <v>1360</v>
      </c>
      <c r="G332" s="10" t="s">
        <v>1360</v>
      </c>
      <c r="H332" s="10" t="s">
        <v>1361</v>
      </c>
      <c r="I332" s="10" t="s">
        <v>128</v>
      </c>
    </row>
    <row r="333" spans="1:9" x14ac:dyDescent="0.15">
      <c r="A333" s="9">
        <v>332</v>
      </c>
      <c r="B333" s="10" t="s">
        <v>9</v>
      </c>
      <c r="C333" s="10" t="s">
        <v>363</v>
      </c>
      <c r="D333" s="10" t="s">
        <v>364</v>
      </c>
      <c r="E333" s="11" t="str">
        <f>+HYPERLINK("http://trademark.i-assist.jp/data/china/image_1902th/78668314.pdf", "78668314")</f>
        <v>78668314</v>
      </c>
      <c r="F333" s="10" t="s">
        <v>12</v>
      </c>
      <c r="G333" s="10" t="s">
        <v>1362</v>
      </c>
      <c r="H333" s="10" t="s">
        <v>1363</v>
      </c>
      <c r="I333" s="10" t="s">
        <v>128</v>
      </c>
    </row>
    <row r="334" spans="1:9" x14ac:dyDescent="0.15">
      <c r="A334" s="9">
        <v>333</v>
      </c>
      <c r="B334" s="10" t="s">
        <v>9</v>
      </c>
      <c r="C334" s="10" t="s">
        <v>363</v>
      </c>
      <c r="D334" s="10" t="s">
        <v>364</v>
      </c>
      <c r="E334" s="11" t="str">
        <f>+HYPERLINK("http://trademark.i-assist.jp/data/china/image_1902th/78668712.pdf", "78668712")</f>
        <v>78668712</v>
      </c>
      <c r="F334" s="10" t="s">
        <v>1364</v>
      </c>
      <c r="G334" s="10" t="s">
        <v>1365</v>
      </c>
      <c r="H334" s="10" t="s">
        <v>1366</v>
      </c>
      <c r="I334" s="10" t="s">
        <v>128</v>
      </c>
    </row>
    <row r="335" spans="1:9" x14ac:dyDescent="0.15">
      <c r="A335" s="9">
        <v>334</v>
      </c>
      <c r="B335" s="10" t="s">
        <v>9</v>
      </c>
      <c r="C335" s="10" t="s">
        <v>363</v>
      </c>
      <c r="D335" s="10" t="s">
        <v>364</v>
      </c>
      <c r="E335" s="11" t="str">
        <f>+HYPERLINK("http://trademark.i-assist.jp/data/china/image_1902th/78669075.pdf", "78669075")</f>
        <v>78669075</v>
      </c>
      <c r="F335" s="10" t="s">
        <v>1367</v>
      </c>
      <c r="G335" s="10" t="s">
        <v>1368</v>
      </c>
      <c r="H335" s="10" t="s">
        <v>1369</v>
      </c>
      <c r="I335" s="10" t="s">
        <v>128</v>
      </c>
    </row>
    <row r="336" spans="1:9" x14ac:dyDescent="0.15">
      <c r="A336" s="9">
        <v>335</v>
      </c>
      <c r="B336" s="10" t="s">
        <v>9</v>
      </c>
      <c r="C336" s="10" t="s">
        <v>363</v>
      </c>
      <c r="D336" s="10" t="s">
        <v>364</v>
      </c>
      <c r="E336" s="11" t="str">
        <f>+HYPERLINK("http://trademark.i-assist.jp/data/china/image_1902th/78670264.pdf", "78670264")</f>
        <v>78670264</v>
      </c>
      <c r="F336" s="10" t="s">
        <v>1370</v>
      </c>
      <c r="G336" s="10" t="s">
        <v>131</v>
      </c>
      <c r="H336" s="10" t="s">
        <v>1371</v>
      </c>
      <c r="I336" s="10" t="s">
        <v>128</v>
      </c>
    </row>
    <row r="337" spans="1:9" x14ac:dyDescent="0.15">
      <c r="A337" s="9">
        <v>336</v>
      </c>
      <c r="B337" s="10" t="s">
        <v>9</v>
      </c>
      <c r="C337" s="10" t="s">
        <v>363</v>
      </c>
      <c r="D337" s="10" t="s">
        <v>364</v>
      </c>
      <c r="E337" s="11" t="str">
        <f>+HYPERLINK("http://trademark.i-assist.jp/data/china/image_1902th/78675533.pdf", "78675533")</f>
        <v>78675533</v>
      </c>
      <c r="F337" s="10" t="s">
        <v>1372</v>
      </c>
      <c r="G337" s="10" t="s">
        <v>259</v>
      </c>
      <c r="H337" s="10" t="s">
        <v>1373</v>
      </c>
      <c r="I337" s="10" t="s">
        <v>128</v>
      </c>
    </row>
    <row r="338" spans="1:9" x14ac:dyDescent="0.15">
      <c r="A338" s="9">
        <v>337</v>
      </c>
      <c r="B338" s="10" t="s">
        <v>9</v>
      </c>
      <c r="C338" s="10" t="s">
        <v>363</v>
      </c>
      <c r="D338" s="10" t="s">
        <v>364</v>
      </c>
      <c r="E338" s="11" t="str">
        <f>+HYPERLINK("http://trademark.i-assist.jp/data/china/image_1902th/78675743.pdf", "78675743")</f>
        <v>78675743</v>
      </c>
      <c r="F338" s="10" t="s">
        <v>1374</v>
      </c>
      <c r="G338" s="10" t="s">
        <v>259</v>
      </c>
      <c r="H338" s="10" t="s">
        <v>1375</v>
      </c>
      <c r="I338" s="10" t="s">
        <v>128</v>
      </c>
    </row>
    <row r="339" spans="1:9" x14ac:dyDescent="0.15">
      <c r="A339" s="9">
        <v>338</v>
      </c>
      <c r="B339" s="10" t="s">
        <v>9</v>
      </c>
      <c r="C339" s="10" t="s">
        <v>363</v>
      </c>
      <c r="D339" s="10" t="s">
        <v>364</v>
      </c>
      <c r="E339" s="11" t="str">
        <f>+HYPERLINK("http://trademark.i-assist.jp/data/china/image_1902th/78675833.pdf", "78675833")</f>
        <v>78675833</v>
      </c>
      <c r="F339" s="10" t="s">
        <v>1376</v>
      </c>
      <c r="G339" s="10" t="s">
        <v>323</v>
      </c>
      <c r="H339" s="10" t="s">
        <v>1377</v>
      </c>
      <c r="I339" s="10" t="s">
        <v>128</v>
      </c>
    </row>
    <row r="340" spans="1:9" x14ac:dyDescent="0.15">
      <c r="A340" s="9">
        <v>339</v>
      </c>
      <c r="B340" s="10" t="s">
        <v>9</v>
      </c>
      <c r="C340" s="10" t="s">
        <v>363</v>
      </c>
      <c r="D340" s="10" t="s">
        <v>364</v>
      </c>
      <c r="E340" s="11" t="str">
        <f>+HYPERLINK("http://trademark.i-assist.jp/data/china/image_1902th/78676262.pdf", "78676262")</f>
        <v>78676262</v>
      </c>
      <c r="F340" s="10" t="s">
        <v>1378</v>
      </c>
      <c r="G340" s="10" t="s">
        <v>1379</v>
      </c>
      <c r="H340" s="10" t="s">
        <v>1380</v>
      </c>
      <c r="I340" s="10" t="s">
        <v>128</v>
      </c>
    </row>
    <row r="341" spans="1:9" x14ac:dyDescent="0.15">
      <c r="A341" s="9">
        <v>340</v>
      </c>
      <c r="B341" s="10" t="s">
        <v>9</v>
      </c>
      <c r="C341" s="10" t="s">
        <v>363</v>
      </c>
      <c r="D341" s="10" t="s">
        <v>364</v>
      </c>
      <c r="E341" s="11" t="str">
        <f>+HYPERLINK("http://trademark.i-assist.jp/data/china/image_1902th/78679195.pdf", "78679195")</f>
        <v>78679195</v>
      </c>
      <c r="F341" s="10" t="s">
        <v>1381</v>
      </c>
      <c r="G341" s="10" t="s">
        <v>136</v>
      </c>
      <c r="H341" s="10" t="s">
        <v>1382</v>
      </c>
      <c r="I341" s="10" t="s">
        <v>128</v>
      </c>
    </row>
    <row r="342" spans="1:9" x14ac:dyDescent="0.15">
      <c r="A342" s="9">
        <v>341</v>
      </c>
      <c r="B342" s="10" t="s">
        <v>9</v>
      </c>
      <c r="C342" s="10" t="s">
        <v>363</v>
      </c>
      <c r="D342" s="10" t="s">
        <v>364</v>
      </c>
      <c r="E342" s="11" t="str">
        <f>+HYPERLINK("http://trademark.i-assist.jp/data/china/image_1902th/78680975.pdf", "78680975")</f>
        <v>78680975</v>
      </c>
      <c r="F342" s="10" t="s">
        <v>1383</v>
      </c>
      <c r="G342" s="10" t="s">
        <v>1384</v>
      </c>
      <c r="H342" s="10" t="s">
        <v>1385</v>
      </c>
      <c r="I342" s="10" t="s">
        <v>133</v>
      </c>
    </row>
    <row r="343" spans="1:9" x14ac:dyDescent="0.15">
      <c r="A343" s="9">
        <v>342</v>
      </c>
      <c r="B343" s="10" t="s">
        <v>9</v>
      </c>
      <c r="C343" s="10" t="s">
        <v>363</v>
      </c>
      <c r="D343" s="10" t="s">
        <v>364</v>
      </c>
      <c r="E343" s="11" t="str">
        <f>+HYPERLINK("http://trademark.i-assist.jp/data/china/image_1902th/78682920.pdf", "78682920")</f>
        <v>78682920</v>
      </c>
      <c r="F343" s="10" t="s">
        <v>1386</v>
      </c>
      <c r="G343" s="10" t="s">
        <v>1387</v>
      </c>
      <c r="H343" s="10" t="s">
        <v>1388</v>
      </c>
      <c r="I343" s="10" t="s">
        <v>133</v>
      </c>
    </row>
    <row r="344" spans="1:9" x14ac:dyDescent="0.15">
      <c r="A344" s="9">
        <v>343</v>
      </c>
      <c r="B344" s="10" t="s">
        <v>9</v>
      </c>
      <c r="C344" s="10" t="s">
        <v>363</v>
      </c>
      <c r="D344" s="10" t="s">
        <v>364</v>
      </c>
      <c r="E344" s="11" t="str">
        <f>+HYPERLINK("http://trademark.i-assist.jp/data/china/image_1902th/78684112.pdf", "78684112")</f>
        <v>78684112</v>
      </c>
      <c r="F344" s="10" t="s">
        <v>1389</v>
      </c>
      <c r="G344" s="10" t="s">
        <v>1390</v>
      </c>
      <c r="H344" s="10" t="s">
        <v>1391</v>
      </c>
      <c r="I344" s="10" t="s">
        <v>133</v>
      </c>
    </row>
    <row r="345" spans="1:9" x14ac:dyDescent="0.15">
      <c r="A345" s="9">
        <v>344</v>
      </c>
      <c r="B345" s="10" t="s">
        <v>9</v>
      </c>
      <c r="C345" s="10" t="s">
        <v>363</v>
      </c>
      <c r="D345" s="10" t="s">
        <v>364</v>
      </c>
      <c r="E345" s="11" t="str">
        <f>+HYPERLINK("http://trademark.i-assist.jp/data/china/image_1902th/78687007.pdf", "78687007")</f>
        <v>78687007</v>
      </c>
      <c r="F345" s="10" t="s">
        <v>1392</v>
      </c>
      <c r="G345" s="10" t="s">
        <v>1393</v>
      </c>
      <c r="H345" s="10" t="s">
        <v>1394</v>
      </c>
      <c r="I345" s="10" t="s">
        <v>1395</v>
      </c>
    </row>
    <row r="346" spans="1:9" x14ac:dyDescent="0.15">
      <c r="A346" s="9">
        <v>345</v>
      </c>
      <c r="B346" s="10" t="s">
        <v>9</v>
      </c>
      <c r="C346" s="10" t="s">
        <v>363</v>
      </c>
      <c r="D346" s="10" t="s">
        <v>364</v>
      </c>
      <c r="E346" s="11" t="str">
        <f>+HYPERLINK("http://trademark.i-assist.jp/data/china/image_1902th/78690003.pdf", "78690003")</f>
        <v>78690003</v>
      </c>
      <c r="F346" s="10" t="s">
        <v>1396</v>
      </c>
      <c r="G346" s="10" t="s">
        <v>1397</v>
      </c>
      <c r="H346" s="10" t="s">
        <v>1398</v>
      </c>
      <c r="I346" s="10" t="s">
        <v>135</v>
      </c>
    </row>
    <row r="347" spans="1:9" x14ac:dyDescent="0.15">
      <c r="A347" s="9">
        <v>346</v>
      </c>
      <c r="B347" s="10" t="s">
        <v>9</v>
      </c>
      <c r="C347" s="10" t="s">
        <v>363</v>
      </c>
      <c r="D347" s="10" t="s">
        <v>364</v>
      </c>
      <c r="E347" s="11" t="str">
        <f>+HYPERLINK("http://trademark.i-assist.jp/data/china/image_1902th/78692211.pdf", "78692211")</f>
        <v>78692211</v>
      </c>
      <c r="F347" s="10" t="s">
        <v>1399</v>
      </c>
      <c r="G347" s="10" t="s">
        <v>1400</v>
      </c>
      <c r="H347" s="10" t="s">
        <v>1401</v>
      </c>
      <c r="I347" s="10" t="s">
        <v>135</v>
      </c>
    </row>
    <row r="348" spans="1:9" x14ac:dyDescent="0.15">
      <c r="A348" s="9">
        <v>347</v>
      </c>
      <c r="B348" s="10" t="s">
        <v>9</v>
      </c>
      <c r="C348" s="10" t="s">
        <v>363</v>
      </c>
      <c r="D348" s="10" t="s">
        <v>364</v>
      </c>
      <c r="E348" s="11" t="str">
        <f>+HYPERLINK("http://trademark.i-assist.jp/data/china/image_1902th/78695340.pdf", "78695340")</f>
        <v>78695340</v>
      </c>
      <c r="F348" s="10" t="s">
        <v>1402</v>
      </c>
      <c r="G348" s="10" t="s">
        <v>140</v>
      </c>
      <c r="H348" s="10" t="s">
        <v>1403</v>
      </c>
      <c r="I348" s="10" t="s">
        <v>135</v>
      </c>
    </row>
    <row r="349" spans="1:9" x14ac:dyDescent="0.15">
      <c r="A349" s="9">
        <v>348</v>
      </c>
      <c r="B349" s="10" t="s">
        <v>9</v>
      </c>
      <c r="C349" s="10" t="s">
        <v>363</v>
      </c>
      <c r="D349" s="10" t="s">
        <v>364</v>
      </c>
      <c r="E349" s="11" t="str">
        <f>+HYPERLINK("http://trademark.i-assist.jp/data/china/image_1902th/78698085.pdf", "78698085")</f>
        <v>78698085</v>
      </c>
      <c r="F349" s="10" t="s">
        <v>1404</v>
      </c>
      <c r="G349" s="10" t="s">
        <v>1405</v>
      </c>
      <c r="H349" s="10" t="s">
        <v>1406</v>
      </c>
      <c r="I349" s="10" t="s">
        <v>135</v>
      </c>
    </row>
    <row r="350" spans="1:9" x14ac:dyDescent="0.15">
      <c r="A350" s="9">
        <v>349</v>
      </c>
      <c r="B350" s="10" t="s">
        <v>9</v>
      </c>
      <c r="C350" s="10" t="s">
        <v>363</v>
      </c>
      <c r="D350" s="10" t="s">
        <v>364</v>
      </c>
      <c r="E350" s="11" t="str">
        <f>+HYPERLINK("http://trademark.i-assist.jp/data/china/image_1902th/78698476.pdf", "78698476")</f>
        <v>78698476</v>
      </c>
      <c r="F350" s="10" t="s">
        <v>1407</v>
      </c>
      <c r="G350" s="10" t="s">
        <v>1408</v>
      </c>
      <c r="H350" s="10" t="s">
        <v>1409</v>
      </c>
      <c r="I350" s="10" t="s">
        <v>135</v>
      </c>
    </row>
    <row r="351" spans="1:9" x14ac:dyDescent="0.15">
      <c r="A351" s="9">
        <v>350</v>
      </c>
      <c r="B351" s="10" t="s">
        <v>9</v>
      </c>
      <c r="C351" s="10" t="s">
        <v>363</v>
      </c>
      <c r="D351" s="10" t="s">
        <v>364</v>
      </c>
      <c r="E351" s="11" t="str">
        <f>+HYPERLINK("http://trademark.i-assist.jp/data/china/image_1902th/78699465.pdf", "78699465")</f>
        <v>78699465</v>
      </c>
      <c r="F351" s="10" t="s">
        <v>1410</v>
      </c>
      <c r="G351" s="10" t="s">
        <v>1411</v>
      </c>
      <c r="H351" s="10" t="s">
        <v>1412</v>
      </c>
      <c r="I351" s="10" t="s">
        <v>135</v>
      </c>
    </row>
    <row r="352" spans="1:9" x14ac:dyDescent="0.15">
      <c r="A352" s="9">
        <v>351</v>
      </c>
      <c r="B352" s="10" t="s">
        <v>9</v>
      </c>
      <c r="C352" s="10" t="s">
        <v>363</v>
      </c>
      <c r="D352" s="10" t="s">
        <v>364</v>
      </c>
      <c r="E352" s="11" t="str">
        <f>+HYPERLINK("http://trademark.i-assist.jp/data/china/image_1902th/78701547.pdf", "78701547")</f>
        <v>78701547</v>
      </c>
      <c r="F352" s="10" t="s">
        <v>12</v>
      </c>
      <c r="G352" s="10" t="s">
        <v>1413</v>
      </c>
      <c r="H352" s="10" t="s">
        <v>1414</v>
      </c>
      <c r="I352" s="10" t="s">
        <v>135</v>
      </c>
    </row>
    <row r="353" spans="1:9" x14ac:dyDescent="0.15">
      <c r="A353" s="9">
        <v>352</v>
      </c>
      <c r="B353" s="10" t="s">
        <v>9</v>
      </c>
      <c r="C353" s="10" t="s">
        <v>363</v>
      </c>
      <c r="D353" s="10" t="s">
        <v>364</v>
      </c>
      <c r="E353" s="11" t="str">
        <f>+HYPERLINK("http://trademark.i-assist.jp/data/china/image_1902th/78703219.pdf", "78703219")</f>
        <v>78703219</v>
      </c>
      <c r="F353" s="10" t="s">
        <v>1415</v>
      </c>
      <c r="G353" s="10" t="s">
        <v>1416</v>
      </c>
      <c r="H353" s="10" t="s">
        <v>1417</v>
      </c>
      <c r="I353" s="10" t="s">
        <v>135</v>
      </c>
    </row>
    <row r="354" spans="1:9" x14ac:dyDescent="0.15">
      <c r="A354" s="9">
        <v>353</v>
      </c>
      <c r="B354" s="10" t="s">
        <v>9</v>
      </c>
      <c r="C354" s="10" t="s">
        <v>363</v>
      </c>
      <c r="D354" s="10" t="s">
        <v>364</v>
      </c>
      <c r="E354" s="11" t="str">
        <f>+HYPERLINK("http://trademark.i-assist.jp/data/china/image_1902th/78709450.pdf", "78709450")</f>
        <v>78709450</v>
      </c>
      <c r="F354" s="10" t="s">
        <v>1418</v>
      </c>
      <c r="G354" s="10" t="s">
        <v>105</v>
      </c>
      <c r="H354" s="10" t="s">
        <v>1419</v>
      </c>
      <c r="I354" s="10" t="s">
        <v>135</v>
      </c>
    </row>
    <row r="355" spans="1:9" x14ac:dyDescent="0.15">
      <c r="A355" s="9">
        <v>354</v>
      </c>
      <c r="B355" s="10" t="s">
        <v>9</v>
      </c>
      <c r="C355" s="10" t="s">
        <v>363</v>
      </c>
      <c r="D355" s="10" t="s">
        <v>364</v>
      </c>
      <c r="E355" s="11" t="str">
        <f>+HYPERLINK("http://trademark.i-assist.jp/data/china/image_1902th/78709545.pdf", "78709545")</f>
        <v>78709545</v>
      </c>
      <c r="F355" s="10" t="s">
        <v>1420</v>
      </c>
      <c r="G355" s="10" t="s">
        <v>1421</v>
      </c>
      <c r="H355" s="10" t="s">
        <v>1422</v>
      </c>
      <c r="I355" s="10" t="s">
        <v>135</v>
      </c>
    </row>
    <row r="356" spans="1:9" x14ac:dyDescent="0.15">
      <c r="A356" s="9">
        <v>355</v>
      </c>
      <c r="B356" s="10" t="s">
        <v>9</v>
      </c>
      <c r="C356" s="10" t="s">
        <v>363</v>
      </c>
      <c r="D356" s="10" t="s">
        <v>364</v>
      </c>
      <c r="E356" s="11" t="str">
        <f>+HYPERLINK("http://trademark.i-assist.jp/data/china/image_1902th/78710731.pdf", "78710731")</f>
        <v>78710731</v>
      </c>
      <c r="F356" s="10" t="s">
        <v>12</v>
      </c>
      <c r="G356" s="10" t="s">
        <v>1423</v>
      </c>
      <c r="H356" s="10" t="s">
        <v>1424</v>
      </c>
      <c r="I356" s="10" t="s">
        <v>135</v>
      </c>
    </row>
    <row r="357" spans="1:9" x14ac:dyDescent="0.15">
      <c r="A357" s="9">
        <v>356</v>
      </c>
      <c r="B357" s="10" t="s">
        <v>9</v>
      </c>
      <c r="C357" s="10" t="s">
        <v>363</v>
      </c>
      <c r="D357" s="10" t="s">
        <v>364</v>
      </c>
      <c r="E357" s="11" t="str">
        <f>+HYPERLINK("http://trademark.i-assist.jp/data/china/image_1902th/78713805.pdf", "78713805")</f>
        <v>78713805</v>
      </c>
      <c r="F357" s="10" t="s">
        <v>1425</v>
      </c>
      <c r="G357" s="10" t="s">
        <v>137</v>
      </c>
      <c r="H357" s="10" t="s">
        <v>1426</v>
      </c>
      <c r="I357" s="10" t="s">
        <v>135</v>
      </c>
    </row>
    <row r="358" spans="1:9" x14ac:dyDescent="0.15">
      <c r="A358" s="9">
        <v>357</v>
      </c>
      <c r="B358" s="10" t="s">
        <v>9</v>
      </c>
      <c r="C358" s="10" t="s">
        <v>363</v>
      </c>
      <c r="D358" s="10" t="s">
        <v>364</v>
      </c>
      <c r="E358" s="11" t="str">
        <f>+HYPERLINK("http://trademark.i-assist.jp/data/china/image_1902th/78715209.pdf", "78715209")</f>
        <v>78715209</v>
      </c>
      <c r="F358" s="10" t="s">
        <v>1427</v>
      </c>
      <c r="G358" s="10" t="s">
        <v>139</v>
      </c>
      <c r="H358" s="10" t="s">
        <v>1428</v>
      </c>
      <c r="I358" s="10" t="s">
        <v>135</v>
      </c>
    </row>
    <row r="359" spans="1:9" x14ac:dyDescent="0.15">
      <c r="A359" s="9">
        <v>358</v>
      </c>
      <c r="B359" s="10" t="s">
        <v>9</v>
      </c>
      <c r="C359" s="10" t="s">
        <v>363</v>
      </c>
      <c r="D359" s="10" t="s">
        <v>364</v>
      </c>
      <c r="E359" s="11" t="str">
        <f>+HYPERLINK("http://trademark.i-assist.jp/data/china/image_1902th/78716316.pdf", "78716316")</f>
        <v>78716316</v>
      </c>
      <c r="F359" s="10" t="s">
        <v>1429</v>
      </c>
      <c r="G359" s="10" t="s">
        <v>1430</v>
      </c>
      <c r="H359" s="10" t="s">
        <v>1431</v>
      </c>
      <c r="I359" s="10" t="s">
        <v>135</v>
      </c>
    </row>
    <row r="360" spans="1:9" x14ac:dyDescent="0.15">
      <c r="A360" s="9">
        <v>359</v>
      </c>
      <c r="B360" s="10" t="s">
        <v>9</v>
      </c>
      <c r="C360" s="10" t="s">
        <v>363</v>
      </c>
      <c r="D360" s="10" t="s">
        <v>364</v>
      </c>
      <c r="E360" s="11" t="str">
        <f>+HYPERLINK("http://trademark.i-assist.jp/data/china/image_1902th/78720280.pdf", "78720280")</f>
        <v>78720280</v>
      </c>
      <c r="F360" s="10" t="s">
        <v>1432</v>
      </c>
      <c r="G360" s="10" t="s">
        <v>1433</v>
      </c>
      <c r="H360" s="10" t="s">
        <v>1434</v>
      </c>
      <c r="I360" s="10" t="s">
        <v>141</v>
      </c>
    </row>
    <row r="361" spans="1:9" x14ac:dyDescent="0.15">
      <c r="A361" s="9">
        <v>360</v>
      </c>
      <c r="B361" s="10" t="s">
        <v>9</v>
      </c>
      <c r="C361" s="10" t="s">
        <v>363</v>
      </c>
      <c r="D361" s="10" t="s">
        <v>364</v>
      </c>
      <c r="E361" s="11" t="str">
        <f>+HYPERLINK("http://trademark.i-assist.jp/data/china/image_1902th/78720659.pdf", "78720659")</f>
        <v>78720659</v>
      </c>
      <c r="F361" s="10" t="s">
        <v>1435</v>
      </c>
      <c r="G361" s="10" t="s">
        <v>1436</v>
      </c>
      <c r="H361" s="10" t="s">
        <v>1437</v>
      </c>
      <c r="I361" s="10" t="s">
        <v>141</v>
      </c>
    </row>
    <row r="362" spans="1:9" x14ac:dyDescent="0.15">
      <c r="A362" s="9">
        <v>361</v>
      </c>
      <c r="B362" s="10" t="s">
        <v>9</v>
      </c>
      <c r="C362" s="10" t="s">
        <v>363</v>
      </c>
      <c r="D362" s="10" t="s">
        <v>364</v>
      </c>
      <c r="E362" s="11" t="str">
        <f>+HYPERLINK("http://trademark.i-assist.jp/data/china/image_1902th/78721192.pdf", "78721192")</f>
        <v>78721192</v>
      </c>
      <c r="F362" s="10" t="s">
        <v>1438</v>
      </c>
      <c r="G362" s="10" t="s">
        <v>1439</v>
      </c>
      <c r="H362" s="10" t="s">
        <v>1440</v>
      </c>
      <c r="I362" s="10" t="s">
        <v>141</v>
      </c>
    </row>
    <row r="363" spans="1:9" x14ac:dyDescent="0.15">
      <c r="A363" s="9">
        <v>362</v>
      </c>
      <c r="B363" s="10" t="s">
        <v>9</v>
      </c>
      <c r="C363" s="10" t="s">
        <v>363</v>
      </c>
      <c r="D363" s="10" t="s">
        <v>364</v>
      </c>
      <c r="E363" s="11" t="str">
        <f>+HYPERLINK("http://trademark.i-assist.jp/data/china/image_1902th/78721681.pdf", "78721681")</f>
        <v>78721681</v>
      </c>
      <c r="F363" s="10" t="s">
        <v>1441</v>
      </c>
      <c r="G363" s="10" t="s">
        <v>1338</v>
      </c>
      <c r="H363" s="10" t="s">
        <v>1442</v>
      </c>
      <c r="I363" s="10" t="s">
        <v>141</v>
      </c>
    </row>
    <row r="364" spans="1:9" x14ac:dyDescent="0.15">
      <c r="A364" s="9">
        <v>363</v>
      </c>
      <c r="B364" s="10" t="s">
        <v>9</v>
      </c>
      <c r="C364" s="10" t="s">
        <v>363</v>
      </c>
      <c r="D364" s="10" t="s">
        <v>364</v>
      </c>
      <c r="E364" s="11" t="str">
        <f>+HYPERLINK("http://trademark.i-assist.jp/data/china/image_1902th/78724454.pdf", "78724454")</f>
        <v>78724454</v>
      </c>
      <c r="F364" s="10" t="s">
        <v>1443</v>
      </c>
      <c r="G364" s="10" t="s">
        <v>87</v>
      </c>
      <c r="H364" s="10" t="s">
        <v>1444</v>
      </c>
      <c r="I364" s="10" t="s">
        <v>141</v>
      </c>
    </row>
    <row r="365" spans="1:9" x14ac:dyDescent="0.15">
      <c r="A365" s="9">
        <v>364</v>
      </c>
      <c r="B365" s="10" t="s">
        <v>9</v>
      </c>
      <c r="C365" s="10" t="s">
        <v>363</v>
      </c>
      <c r="D365" s="10" t="s">
        <v>364</v>
      </c>
      <c r="E365" s="11" t="str">
        <f>+HYPERLINK("http://trademark.i-assist.jp/data/china/image_1902th/78725205.pdf", "78725205")</f>
        <v>78725205</v>
      </c>
      <c r="F365" s="10" t="s">
        <v>1445</v>
      </c>
      <c r="G365" s="10" t="s">
        <v>1446</v>
      </c>
      <c r="H365" s="10" t="s">
        <v>1447</v>
      </c>
      <c r="I365" s="10" t="s">
        <v>141</v>
      </c>
    </row>
    <row r="366" spans="1:9" x14ac:dyDescent="0.15">
      <c r="A366" s="9">
        <v>365</v>
      </c>
      <c r="B366" s="10" t="s">
        <v>9</v>
      </c>
      <c r="C366" s="10" t="s">
        <v>363</v>
      </c>
      <c r="D366" s="10" t="s">
        <v>364</v>
      </c>
      <c r="E366" s="11" t="str">
        <f>+HYPERLINK("http://trademark.i-assist.jp/data/china/image_1902th/78726347.pdf", "78726347")</f>
        <v>78726347</v>
      </c>
      <c r="F366" s="10" t="s">
        <v>1448</v>
      </c>
      <c r="G366" s="10" t="s">
        <v>65</v>
      </c>
      <c r="H366" s="10" t="s">
        <v>1449</v>
      </c>
      <c r="I366" s="10" t="s">
        <v>141</v>
      </c>
    </row>
    <row r="367" spans="1:9" x14ac:dyDescent="0.15">
      <c r="A367" s="9">
        <v>366</v>
      </c>
      <c r="B367" s="10" t="s">
        <v>9</v>
      </c>
      <c r="C367" s="10" t="s">
        <v>363</v>
      </c>
      <c r="D367" s="10" t="s">
        <v>364</v>
      </c>
      <c r="E367" s="11" t="str">
        <f>+HYPERLINK("http://trademark.i-assist.jp/data/china/image_1902th/78727463.pdf", "78727463")</f>
        <v>78727463</v>
      </c>
      <c r="F367" s="10" t="s">
        <v>1450</v>
      </c>
      <c r="G367" s="10" t="s">
        <v>1451</v>
      </c>
      <c r="H367" s="10" t="s">
        <v>1452</v>
      </c>
      <c r="I367" s="10" t="s">
        <v>141</v>
      </c>
    </row>
    <row r="368" spans="1:9" x14ac:dyDescent="0.15">
      <c r="A368" s="9">
        <v>367</v>
      </c>
      <c r="B368" s="10" t="s">
        <v>9</v>
      </c>
      <c r="C368" s="10" t="s">
        <v>363</v>
      </c>
      <c r="D368" s="10" t="s">
        <v>364</v>
      </c>
      <c r="E368" s="11" t="str">
        <f>+HYPERLINK("http://trademark.i-assist.jp/data/china/image_1902th/78727977.pdf", "78727977")</f>
        <v>78727977</v>
      </c>
      <c r="F368" s="10" t="s">
        <v>1453</v>
      </c>
      <c r="G368" s="10" t="s">
        <v>1454</v>
      </c>
      <c r="H368" s="10" t="s">
        <v>1455</v>
      </c>
      <c r="I368" s="10" t="s">
        <v>141</v>
      </c>
    </row>
    <row r="369" spans="1:9" x14ac:dyDescent="0.15">
      <c r="A369" s="9">
        <v>368</v>
      </c>
      <c r="B369" s="10" t="s">
        <v>9</v>
      </c>
      <c r="C369" s="10" t="s">
        <v>363</v>
      </c>
      <c r="D369" s="10" t="s">
        <v>364</v>
      </c>
      <c r="E369" s="11" t="str">
        <f>+HYPERLINK("http://trademark.i-assist.jp/data/china/image_1902th/78729086.pdf", "78729086")</f>
        <v>78729086</v>
      </c>
      <c r="F369" s="10" t="s">
        <v>1456</v>
      </c>
      <c r="G369" s="10" t="s">
        <v>1457</v>
      </c>
      <c r="H369" s="10" t="s">
        <v>1458</v>
      </c>
      <c r="I369" s="10" t="s">
        <v>141</v>
      </c>
    </row>
    <row r="370" spans="1:9" x14ac:dyDescent="0.15">
      <c r="A370" s="9">
        <v>369</v>
      </c>
      <c r="B370" s="10" t="s">
        <v>9</v>
      </c>
      <c r="C370" s="10" t="s">
        <v>363</v>
      </c>
      <c r="D370" s="10" t="s">
        <v>364</v>
      </c>
      <c r="E370" s="11" t="str">
        <f>+HYPERLINK("http://trademark.i-assist.jp/data/china/image_1902th/78729487.pdf", "78729487")</f>
        <v>78729487</v>
      </c>
      <c r="F370" s="10" t="s">
        <v>1459</v>
      </c>
      <c r="G370" s="10" t="s">
        <v>1460</v>
      </c>
      <c r="H370" s="10" t="s">
        <v>1461</v>
      </c>
      <c r="I370" s="10" t="s">
        <v>141</v>
      </c>
    </row>
    <row r="371" spans="1:9" x14ac:dyDescent="0.15">
      <c r="A371" s="9">
        <v>370</v>
      </c>
      <c r="B371" s="10" t="s">
        <v>9</v>
      </c>
      <c r="C371" s="10" t="s">
        <v>363</v>
      </c>
      <c r="D371" s="10" t="s">
        <v>364</v>
      </c>
      <c r="E371" s="11" t="str">
        <f>+HYPERLINK("http://trademark.i-assist.jp/data/china/image_1902th/78730303.pdf", "78730303")</f>
        <v>78730303</v>
      </c>
      <c r="F371" s="10" t="s">
        <v>1462</v>
      </c>
      <c r="G371" s="10" t="s">
        <v>120</v>
      </c>
      <c r="H371" s="10" t="s">
        <v>1463</v>
      </c>
      <c r="I371" s="10" t="s">
        <v>141</v>
      </c>
    </row>
    <row r="372" spans="1:9" x14ac:dyDescent="0.15">
      <c r="A372" s="9">
        <v>371</v>
      </c>
      <c r="B372" s="10" t="s">
        <v>9</v>
      </c>
      <c r="C372" s="10" t="s">
        <v>363</v>
      </c>
      <c r="D372" s="10" t="s">
        <v>364</v>
      </c>
      <c r="E372" s="11" t="str">
        <f>+HYPERLINK("http://trademark.i-assist.jp/data/china/image_1902th/78731023.pdf", "78731023")</f>
        <v>78731023</v>
      </c>
      <c r="F372" s="10" t="s">
        <v>1464</v>
      </c>
      <c r="G372" s="10" t="s">
        <v>1465</v>
      </c>
      <c r="H372" s="10" t="s">
        <v>1466</v>
      </c>
      <c r="I372" s="10" t="s">
        <v>141</v>
      </c>
    </row>
    <row r="373" spans="1:9" x14ac:dyDescent="0.15">
      <c r="A373" s="9">
        <v>372</v>
      </c>
      <c r="B373" s="10" t="s">
        <v>9</v>
      </c>
      <c r="C373" s="10" t="s">
        <v>363</v>
      </c>
      <c r="D373" s="10" t="s">
        <v>364</v>
      </c>
      <c r="E373" s="11" t="str">
        <f>+HYPERLINK("http://trademark.i-assist.jp/data/china/image_1902th/78732083.pdf", "78732083")</f>
        <v>78732083</v>
      </c>
      <c r="F373" s="10" t="s">
        <v>1467</v>
      </c>
      <c r="G373" s="10" t="s">
        <v>65</v>
      </c>
      <c r="H373" s="10" t="s">
        <v>1468</v>
      </c>
      <c r="I373" s="10" t="s">
        <v>141</v>
      </c>
    </row>
    <row r="374" spans="1:9" x14ac:dyDescent="0.15">
      <c r="A374" s="9">
        <v>373</v>
      </c>
      <c r="B374" s="10" t="s">
        <v>9</v>
      </c>
      <c r="C374" s="10" t="s">
        <v>363</v>
      </c>
      <c r="D374" s="10" t="s">
        <v>364</v>
      </c>
      <c r="E374" s="11" t="str">
        <f>+HYPERLINK("http://trademark.i-assist.jp/data/china/image_1902th/78732897.pdf", "78732897")</f>
        <v>78732897</v>
      </c>
      <c r="F374" s="10" t="s">
        <v>1469</v>
      </c>
      <c r="G374" s="10" t="s">
        <v>1470</v>
      </c>
      <c r="H374" s="10" t="s">
        <v>1471</v>
      </c>
      <c r="I374" s="10" t="s">
        <v>141</v>
      </c>
    </row>
    <row r="375" spans="1:9" x14ac:dyDescent="0.15">
      <c r="A375" s="9">
        <v>374</v>
      </c>
      <c r="B375" s="10" t="s">
        <v>9</v>
      </c>
      <c r="C375" s="10" t="s">
        <v>363</v>
      </c>
      <c r="D375" s="10" t="s">
        <v>364</v>
      </c>
      <c r="E375" s="11" t="str">
        <f>+HYPERLINK("http://trademark.i-assist.jp/data/china/image_1902th/78736079.pdf", "78736079")</f>
        <v>78736079</v>
      </c>
      <c r="F375" s="10" t="s">
        <v>1472</v>
      </c>
      <c r="G375" s="10" t="s">
        <v>1473</v>
      </c>
      <c r="H375" s="10" t="s">
        <v>1474</v>
      </c>
      <c r="I375" s="10" t="s">
        <v>141</v>
      </c>
    </row>
    <row r="376" spans="1:9" x14ac:dyDescent="0.15">
      <c r="A376" s="9">
        <v>375</v>
      </c>
      <c r="B376" s="10" t="s">
        <v>9</v>
      </c>
      <c r="C376" s="10" t="s">
        <v>363</v>
      </c>
      <c r="D376" s="10" t="s">
        <v>364</v>
      </c>
      <c r="E376" s="11" t="str">
        <f>+HYPERLINK("http://trademark.i-assist.jp/data/china/image_1902th/78736712.pdf", "78736712")</f>
        <v>78736712</v>
      </c>
      <c r="F376" s="10" t="s">
        <v>1475</v>
      </c>
      <c r="G376" s="10" t="s">
        <v>1476</v>
      </c>
      <c r="H376" s="10" t="s">
        <v>1477</v>
      </c>
      <c r="I376" s="10" t="s">
        <v>141</v>
      </c>
    </row>
    <row r="377" spans="1:9" x14ac:dyDescent="0.15">
      <c r="A377" s="9">
        <v>376</v>
      </c>
      <c r="B377" s="10" t="s">
        <v>9</v>
      </c>
      <c r="C377" s="10" t="s">
        <v>363</v>
      </c>
      <c r="D377" s="10" t="s">
        <v>364</v>
      </c>
      <c r="E377" s="11" t="str">
        <f>+HYPERLINK("http://trademark.i-assist.jp/data/china/image_1902th/78737180.pdf", "78737180")</f>
        <v>78737180</v>
      </c>
      <c r="F377" s="10" t="s">
        <v>1478</v>
      </c>
      <c r="G377" s="10" t="s">
        <v>1479</v>
      </c>
      <c r="H377" s="10" t="s">
        <v>1480</v>
      </c>
      <c r="I377" s="10" t="s">
        <v>141</v>
      </c>
    </row>
    <row r="378" spans="1:9" x14ac:dyDescent="0.15">
      <c r="A378" s="9">
        <v>377</v>
      </c>
      <c r="B378" s="10" t="s">
        <v>9</v>
      </c>
      <c r="C378" s="10" t="s">
        <v>363</v>
      </c>
      <c r="D378" s="10" t="s">
        <v>364</v>
      </c>
      <c r="E378" s="11" t="str">
        <f>+HYPERLINK("http://trademark.i-assist.jp/data/china/image_1902th/78737402.pdf", "78737402")</f>
        <v>78737402</v>
      </c>
      <c r="F378" s="10" t="s">
        <v>1481</v>
      </c>
      <c r="G378" s="10" t="s">
        <v>1482</v>
      </c>
      <c r="H378" s="10" t="s">
        <v>1483</v>
      </c>
      <c r="I378" s="10" t="s">
        <v>141</v>
      </c>
    </row>
    <row r="379" spans="1:9" x14ac:dyDescent="0.15">
      <c r="A379" s="9">
        <v>378</v>
      </c>
      <c r="B379" s="10" t="s">
        <v>9</v>
      </c>
      <c r="C379" s="10" t="s">
        <v>363</v>
      </c>
      <c r="D379" s="10" t="s">
        <v>364</v>
      </c>
      <c r="E379" s="11" t="str">
        <f>+HYPERLINK("http://trademark.i-assist.jp/data/china/image_1902th/78737593.pdf", "78737593")</f>
        <v>78737593</v>
      </c>
      <c r="F379" s="10" t="s">
        <v>1484</v>
      </c>
      <c r="G379" s="10" t="s">
        <v>1485</v>
      </c>
      <c r="H379" s="10" t="s">
        <v>1486</v>
      </c>
      <c r="I379" s="10" t="s">
        <v>141</v>
      </c>
    </row>
    <row r="380" spans="1:9" x14ac:dyDescent="0.15">
      <c r="A380" s="9">
        <v>379</v>
      </c>
      <c r="B380" s="10" t="s">
        <v>9</v>
      </c>
      <c r="C380" s="10" t="s">
        <v>363</v>
      </c>
      <c r="D380" s="10" t="s">
        <v>364</v>
      </c>
      <c r="E380" s="11" t="str">
        <f>+HYPERLINK("http://trademark.i-assist.jp/data/china/image_1902th/78738911.pdf", "78738911")</f>
        <v>78738911</v>
      </c>
      <c r="F380" s="10" t="s">
        <v>1487</v>
      </c>
      <c r="G380" s="10" t="s">
        <v>1488</v>
      </c>
      <c r="H380" s="10" t="s">
        <v>1489</v>
      </c>
      <c r="I380" s="10" t="s">
        <v>141</v>
      </c>
    </row>
    <row r="381" spans="1:9" x14ac:dyDescent="0.15">
      <c r="A381" s="9">
        <v>380</v>
      </c>
      <c r="B381" s="10" t="s">
        <v>9</v>
      </c>
      <c r="C381" s="10" t="s">
        <v>363</v>
      </c>
      <c r="D381" s="10" t="s">
        <v>364</v>
      </c>
      <c r="E381" s="11" t="str">
        <f>+HYPERLINK("http://trademark.i-assist.jp/data/china/image_1902th/78740172.pdf", "78740172")</f>
        <v>78740172</v>
      </c>
      <c r="F381" s="10" t="s">
        <v>1490</v>
      </c>
      <c r="G381" s="10" t="s">
        <v>1491</v>
      </c>
      <c r="H381" s="10" t="s">
        <v>1492</v>
      </c>
      <c r="I381" s="10" t="s">
        <v>141</v>
      </c>
    </row>
    <row r="382" spans="1:9" x14ac:dyDescent="0.15">
      <c r="A382" s="9">
        <v>381</v>
      </c>
      <c r="B382" s="10" t="s">
        <v>9</v>
      </c>
      <c r="C382" s="10" t="s">
        <v>363</v>
      </c>
      <c r="D382" s="10" t="s">
        <v>364</v>
      </c>
      <c r="E382" s="11" t="str">
        <f>+HYPERLINK("http://trademark.i-assist.jp/data/china/image_1902th/78740534.pdf", "78740534")</f>
        <v>78740534</v>
      </c>
      <c r="F382" s="10" t="s">
        <v>1493</v>
      </c>
      <c r="G382" s="10" t="s">
        <v>142</v>
      </c>
      <c r="H382" s="10" t="s">
        <v>1494</v>
      </c>
      <c r="I382" s="10" t="s">
        <v>141</v>
      </c>
    </row>
    <row r="383" spans="1:9" x14ac:dyDescent="0.15">
      <c r="A383" s="9">
        <v>382</v>
      </c>
      <c r="B383" s="10" t="s">
        <v>9</v>
      </c>
      <c r="C383" s="10" t="s">
        <v>363</v>
      </c>
      <c r="D383" s="10" t="s">
        <v>364</v>
      </c>
      <c r="E383" s="11" t="str">
        <f>+HYPERLINK("http://trademark.i-assist.jp/data/china/image_1902th/78740974.pdf", "78740974")</f>
        <v>78740974</v>
      </c>
      <c r="F383" s="10" t="s">
        <v>1495</v>
      </c>
      <c r="G383" s="10" t="s">
        <v>1496</v>
      </c>
      <c r="H383" s="10" t="s">
        <v>1497</v>
      </c>
      <c r="I383" s="10" t="s">
        <v>141</v>
      </c>
    </row>
    <row r="384" spans="1:9" x14ac:dyDescent="0.15">
      <c r="A384" s="9">
        <v>383</v>
      </c>
      <c r="B384" s="10" t="s">
        <v>9</v>
      </c>
      <c r="C384" s="10" t="s">
        <v>363</v>
      </c>
      <c r="D384" s="10" t="s">
        <v>364</v>
      </c>
      <c r="E384" s="11" t="str">
        <f>+HYPERLINK("http://trademark.i-assist.jp/data/china/image_1902th/78741554.pdf", "78741554")</f>
        <v>78741554</v>
      </c>
      <c r="F384" s="10" t="s">
        <v>1498</v>
      </c>
      <c r="G384" s="10" t="s">
        <v>65</v>
      </c>
      <c r="H384" s="10" t="s">
        <v>1499</v>
      </c>
      <c r="I384" s="10" t="s">
        <v>141</v>
      </c>
    </row>
    <row r="385" spans="1:9" x14ac:dyDescent="0.15">
      <c r="A385" s="9">
        <v>384</v>
      </c>
      <c r="B385" s="10" t="s">
        <v>9</v>
      </c>
      <c r="C385" s="10" t="s">
        <v>363</v>
      </c>
      <c r="D385" s="10" t="s">
        <v>364</v>
      </c>
      <c r="E385" s="11" t="str">
        <f>+HYPERLINK("http://trademark.i-assist.jp/data/china/image_1902th/78741629.pdf", "78741629")</f>
        <v>78741629</v>
      </c>
      <c r="F385" s="10" t="s">
        <v>1500</v>
      </c>
      <c r="G385" s="10" t="s">
        <v>1501</v>
      </c>
      <c r="H385" s="10" t="s">
        <v>1502</v>
      </c>
      <c r="I385" s="10" t="s">
        <v>141</v>
      </c>
    </row>
    <row r="386" spans="1:9" x14ac:dyDescent="0.15">
      <c r="A386" s="9">
        <v>385</v>
      </c>
      <c r="B386" s="10" t="s">
        <v>9</v>
      </c>
      <c r="C386" s="10" t="s">
        <v>363</v>
      </c>
      <c r="D386" s="10" t="s">
        <v>364</v>
      </c>
      <c r="E386" s="11" t="str">
        <f>+HYPERLINK("http://trademark.i-assist.jp/data/china/image_1902th/78742145.pdf", "78742145")</f>
        <v>78742145</v>
      </c>
      <c r="F386" s="10" t="s">
        <v>1503</v>
      </c>
      <c r="G386" s="10" t="s">
        <v>1504</v>
      </c>
      <c r="H386" s="10" t="s">
        <v>1505</v>
      </c>
      <c r="I386" s="10" t="s">
        <v>141</v>
      </c>
    </row>
    <row r="387" spans="1:9" x14ac:dyDescent="0.15">
      <c r="A387" s="9">
        <v>386</v>
      </c>
      <c r="B387" s="10" t="s">
        <v>9</v>
      </c>
      <c r="C387" s="10" t="s">
        <v>363</v>
      </c>
      <c r="D387" s="10" t="s">
        <v>364</v>
      </c>
      <c r="E387" s="11" t="str">
        <f>+HYPERLINK("http://trademark.i-assist.jp/data/china/image_1902th/78742441.pdf", "78742441")</f>
        <v>78742441</v>
      </c>
      <c r="F387" s="10" t="s">
        <v>1506</v>
      </c>
      <c r="G387" s="10" t="s">
        <v>1507</v>
      </c>
      <c r="H387" s="10" t="s">
        <v>1508</v>
      </c>
      <c r="I387" s="10" t="s">
        <v>141</v>
      </c>
    </row>
    <row r="388" spans="1:9" x14ac:dyDescent="0.15">
      <c r="A388" s="9">
        <v>387</v>
      </c>
      <c r="B388" s="10" t="s">
        <v>9</v>
      </c>
      <c r="C388" s="10" t="s">
        <v>363</v>
      </c>
      <c r="D388" s="10" t="s">
        <v>364</v>
      </c>
      <c r="E388" s="11" t="str">
        <f>+HYPERLINK("http://trademark.i-assist.jp/data/china/image_1902th/78742800.pdf", "78742800")</f>
        <v>78742800</v>
      </c>
      <c r="F388" s="10" t="s">
        <v>1509</v>
      </c>
      <c r="G388" s="10" t="s">
        <v>1510</v>
      </c>
      <c r="H388" s="10" t="s">
        <v>1511</v>
      </c>
      <c r="I388" s="10" t="s">
        <v>141</v>
      </c>
    </row>
    <row r="389" spans="1:9" x14ac:dyDescent="0.15">
      <c r="A389" s="9">
        <v>388</v>
      </c>
      <c r="B389" s="10" t="s">
        <v>9</v>
      </c>
      <c r="C389" s="10" t="s">
        <v>363</v>
      </c>
      <c r="D389" s="10" t="s">
        <v>364</v>
      </c>
      <c r="E389" s="11" t="str">
        <f>+HYPERLINK("http://trademark.i-assist.jp/data/china/image_1902th/78743203.pdf", "78743203")</f>
        <v>78743203</v>
      </c>
      <c r="F389" s="10" t="s">
        <v>1512</v>
      </c>
      <c r="G389" s="10" t="s">
        <v>1513</v>
      </c>
      <c r="H389" s="10" t="s">
        <v>1514</v>
      </c>
      <c r="I389" s="10" t="s">
        <v>141</v>
      </c>
    </row>
    <row r="390" spans="1:9" x14ac:dyDescent="0.15">
      <c r="A390" s="9">
        <v>389</v>
      </c>
      <c r="B390" s="10" t="s">
        <v>9</v>
      </c>
      <c r="C390" s="10" t="s">
        <v>363</v>
      </c>
      <c r="D390" s="10" t="s">
        <v>364</v>
      </c>
      <c r="E390" s="11" t="str">
        <f>+HYPERLINK("http://trademark.i-assist.jp/data/china/image_1902th/78743632.pdf", "78743632")</f>
        <v>78743632</v>
      </c>
      <c r="F390" s="10" t="s">
        <v>1515</v>
      </c>
      <c r="G390" s="10" t="s">
        <v>1516</v>
      </c>
      <c r="H390" s="10" t="s">
        <v>1517</v>
      </c>
      <c r="I390" s="10" t="s">
        <v>141</v>
      </c>
    </row>
    <row r="391" spans="1:9" x14ac:dyDescent="0.15">
      <c r="A391" s="9">
        <v>390</v>
      </c>
      <c r="B391" s="10" t="s">
        <v>9</v>
      </c>
      <c r="C391" s="10" t="s">
        <v>363</v>
      </c>
      <c r="D391" s="10" t="s">
        <v>364</v>
      </c>
      <c r="E391" s="11" t="str">
        <f>+HYPERLINK("http://trademark.i-assist.jp/data/china/image_1902th/78744016.pdf", "78744016")</f>
        <v>78744016</v>
      </c>
      <c r="F391" s="10" t="s">
        <v>1518</v>
      </c>
      <c r="G391" s="10" t="s">
        <v>1519</v>
      </c>
      <c r="H391" s="10" t="s">
        <v>1520</v>
      </c>
      <c r="I391" s="10" t="s">
        <v>141</v>
      </c>
    </row>
    <row r="392" spans="1:9" x14ac:dyDescent="0.15">
      <c r="A392" s="9">
        <v>391</v>
      </c>
      <c r="B392" s="10" t="s">
        <v>9</v>
      </c>
      <c r="C392" s="10" t="s">
        <v>363</v>
      </c>
      <c r="D392" s="10" t="s">
        <v>364</v>
      </c>
      <c r="E392" s="11" t="str">
        <f>+HYPERLINK("http://trademark.i-assist.jp/data/china/image_1902th/78744122.pdf", "78744122")</f>
        <v>78744122</v>
      </c>
      <c r="F392" s="10" t="s">
        <v>1521</v>
      </c>
      <c r="G392" s="10" t="s">
        <v>1522</v>
      </c>
      <c r="H392" s="10" t="s">
        <v>1523</v>
      </c>
      <c r="I392" s="10" t="s">
        <v>141</v>
      </c>
    </row>
    <row r="393" spans="1:9" x14ac:dyDescent="0.15">
      <c r="A393" s="9">
        <v>392</v>
      </c>
      <c r="B393" s="10" t="s">
        <v>9</v>
      </c>
      <c r="C393" s="10" t="s">
        <v>363</v>
      </c>
      <c r="D393" s="10" t="s">
        <v>364</v>
      </c>
      <c r="E393" s="11" t="str">
        <f>+HYPERLINK("http://trademark.i-assist.jp/data/china/image_1902th/78746588.pdf", "78746588")</f>
        <v>78746588</v>
      </c>
      <c r="F393" s="10" t="s">
        <v>1524</v>
      </c>
      <c r="G393" s="10" t="s">
        <v>1525</v>
      </c>
      <c r="H393" s="10" t="s">
        <v>15</v>
      </c>
      <c r="I393" s="10" t="s">
        <v>143</v>
      </c>
    </row>
    <row r="394" spans="1:9" x14ac:dyDescent="0.15">
      <c r="A394" s="9">
        <v>393</v>
      </c>
      <c r="B394" s="10" t="s">
        <v>9</v>
      </c>
      <c r="C394" s="10" t="s">
        <v>363</v>
      </c>
      <c r="D394" s="10" t="s">
        <v>364</v>
      </c>
      <c r="E394" s="11" t="str">
        <f>+HYPERLINK("http://trademark.i-assist.jp/data/china/image_1902th/78746651.pdf", "78746651")</f>
        <v>78746651</v>
      </c>
      <c r="F394" s="10" t="s">
        <v>1526</v>
      </c>
      <c r="G394" s="10" t="s">
        <v>187</v>
      </c>
      <c r="H394" s="10" t="s">
        <v>1527</v>
      </c>
      <c r="I394" s="10" t="s">
        <v>143</v>
      </c>
    </row>
    <row r="395" spans="1:9" x14ac:dyDescent="0.15">
      <c r="A395" s="9">
        <v>394</v>
      </c>
      <c r="B395" s="10" t="s">
        <v>9</v>
      </c>
      <c r="C395" s="10" t="s">
        <v>363</v>
      </c>
      <c r="D395" s="10" t="s">
        <v>364</v>
      </c>
      <c r="E395" s="11" t="str">
        <f>+HYPERLINK("http://trademark.i-assist.jp/data/china/image_1902th/78747237.pdf", "78747237")</f>
        <v>78747237</v>
      </c>
      <c r="F395" s="10" t="s">
        <v>1528</v>
      </c>
      <c r="G395" s="10" t="s">
        <v>134</v>
      </c>
      <c r="H395" s="10" t="s">
        <v>1529</v>
      </c>
      <c r="I395" s="10" t="s">
        <v>143</v>
      </c>
    </row>
    <row r="396" spans="1:9" x14ac:dyDescent="0.15">
      <c r="A396" s="9">
        <v>395</v>
      </c>
      <c r="B396" s="10" t="s">
        <v>9</v>
      </c>
      <c r="C396" s="10" t="s">
        <v>363</v>
      </c>
      <c r="D396" s="10" t="s">
        <v>364</v>
      </c>
      <c r="E396" s="11" t="str">
        <f>+HYPERLINK("http://trademark.i-assist.jp/data/china/image_1902th/78750714.pdf", "78750714")</f>
        <v>78750714</v>
      </c>
      <c r="F396" s="10" t="s">
        <v>1530</v>
      </c>
      <c r="G396" s="10" t="s">
        <v>1531</v>
      </c>
      <c r="H396" s="10" t="s">
        <v>1532</v>
      </c>
      <c r="I396" s="10" t="s">
        <v>143</v>
      </c>
    </row>
    <row r="397" spans="1:9" x14ac:dyDescent="0.15">
      <c r="A397" s="9">
        <v>396</v>
      </c>
      <c r="B397" s="10" t="s">
        <v>9</v>
      </c>
      <c r="C397" s="10" t="s">
        <v>363</v>
      </c>
      <c r="D397" s="10" t="s">
        <v>364</v>
      </c>
      <c r="E397" s="11" t="str">
        <f>+HYPERLINK("http://trademark.i-assist.jp/data/china/image_1902th/78751509.pdf", "78751509")</f>
        <v>78751509</v>
      </c>
      <c r="F397" s="10" t="s">
        <v>1533</v>
      </c>
      <c r="G397" s="10" t="s">
        <v>1534</v>
      </c>
      <c r="H397" s="10" t="s">
        <v>1535</v>
      </c>
      <c r="I397" s="10" t="s">
        <v>143</v>
      </c>
    </row>
    <row r="398" spans="1:9" x14ac:dyDescent="0.15">
      <c r="A398" s="9">
        <v>397</v>
      </c>
      <c r="B398" s="10" t="s">
        <v>9</v>
      </c>
      <c r="C398" s="10" t="s">
        <v>363</v>
      </c>
      <c r="D398" s="10" t="s">
        <v>364</v>
      </c>
      <c r="E398" s="11" t="str">
        <f>+HYPERLINK("http://trademark.i-assist.jp/data/china/image_1902th/78752455.pdf", "78752455")</f>
        <v>78752455</v>
      </c>
      <c r="F398" s="10" t="s">
        <v>1536</v>
      </c>
      <c r="G398" s="10" t="s">
        <v>1537</v>
      </c>
      <c r="H398" s="10" t="s">
        <v>1538</v>
      </c>
      <c r="I398" s="10" t="s">
        <v>143</v>
      </c>
    </row>
    <row r="399" spans="1:9" x14ac:dyDescent="0.15">
      <c r="A399" s="9">
        <v>398</v>
      </c>
      <c r="B399" s="10" t="s">
        <v>9</v>
      </c>
      <c r="C399" s="10" t="s">
        <v>363</v>
      </c>
      <c r="D399" s="10" t="s">
        <v>364</v>
      </c>
      <c r="E399" s="11" t="str">
        <f>+HYPERLINK("http://trademark.i-assist.jp/data/china/image_1902th/78752773.pdf", "78752773")</f>
        <v>78752773</v>
      </c>
      <c r="F399" s="10" t="s">
        <v>1539</v>
      </c>
      <c r="G399" s="10" t="s">
        <v>1540</v>
      </c>
      <c r="H399" s="10" t="s">
        <v>1541</v>
      </c>
      <c r="I399" s="10" t="s">
        <v>143</v>
      </c>
    </row>
    <row r="400" spans="1:9" x14ac:dyDescent="0.15">
      <c r="A400" s="9">
        <v>399</v>
      </c>
      <c r="B400" s="10" t="s">
        <v>9</v>
      </c>
      <c r="C400" s="10" t="s">
        <v>363</v>
      </c>
      <c r="D400" s="10" t="s">
        <v>364</v>
      </c>
      <c r="E400" s="11" t="str">
        <f>+HYPERLINK("http://trademark.i-assist.jp/data/china/image_1902th/78753178.pdf", "78753178")</f>
        <v>78753178</v>
      </c>
      <c r="F400" s="10" t="s">
        <v>1542</v>
      </c>
      <c r="G400" s="10" t="s">
        <v>1543</v>
      </c>
      <c r="H400" s="10" t="s">
        <v>1544</v>
      </c>
      <c r="I400" s="10" t="s">
        <v>143</v>
      </c>
    </row>
    <row r="401" spans="1:9" x14ac:dyDescent="0.15">
      <c r="A401" s="9">
        <v>400</v>
      </c>
      <c r="B401" s="10" t="s">
        <v>9</v>
      </c>
      <c r="C401" s="10" t="s">
        <v>363</v>
      </c>
      <c r="D401" s="10" t="s">
        <v>364</v>
      </c>
      <c r="E401" s="11" t="str">
        <f>+HYPERLINK("http://trademark.i-assist.jp/data/china/image_1902th/78753960.pdf", "78753960")</f>
        <v>78753960</v>
      </c>
      <c r="F401" s="10" t="s">
        <v>1545</v>
      </c>
      <c r="G401" s="10" t="s">
        <v>187</v>
      </c>
      <c r="H401" s="10" t="s">
        <v>1546</v>
      </c>
      <c r="I401" s="10" t="s">
        <v>143</v>
      </c>
    </row>
    <row r="402" spans="1:9" x14ac:dyDescent="0.15">
      <c r="A402" s="9">
        <v>401</v>
      </c>
      <c r="B402" s="10" t="s">
        <v>9</v>
      </c>
      <c r="C402" s="10" t="s">
        <v>363</v>
      </c>
      <c r="D402" s="10" t="s">
        <v>364</v>
      </c>
      <c r="E402" s="11" t="str">
        <f>+HYPERLINK("http://trademark.i-assist.jp/data/china/image_1902th/78753966.pdf", "78753966")</f>
        <v>78753966</v>
      </c>
      <c r="F402" s="10" t="s">
        <v>1547</v>
      </c>
      <c r="G402" s="10" t="s">
        <v>1548</v>
      </c>
      <c r="H402" s="10" t="s">
        <v>1549</v>
      </c>
      <c r="I402" s="10" t="s">
        <v>143</v>
      </c>
    </row>
    <row r="403" spans="1:9" x14ac:dyDescent="0.15">
      <c r="A403" s="9">
        <v>402</v>
      </c>
      <c r="B403" s="10" t="s">
        <v>9</v>
      </c>
      <c r="C403" s="10" t="s">
        <v>363</v>
      </c>
      <c r="D403" s="10" t="s">
        <v>364</v>
      </c>
      <c r="E403" s="11" t="str">
        <f>+HYPERLINK("http://trademark.i-assist.jp/data/china/image_1902th/78755173.pdf", "78755173")</f>
        <v>78755173</v>
      </c>
      <c r="F403" s="10" t="s">
        <v>1550</v>
      </c>
      <c r="G403" s="10" t="s">
        <v>1551</v>
      </c>
      <c r="H403" s="10" t="s">
        <v>1552</v>
      </c>
      <c r="I403" s="10" t="s">
        <v>143</v>
      </c>
    </row>
    <row r="404" spans="1:9" x14ac:dyDescent="0.15">
      <c r="A404" s="9">
        <v>403</v>
      </c>
      <c r="B404" s="10" t="s">
        <v>9</v>
      </c>
      <c r="C404" s="10" t="s">
        <v>363</v>
      </c>
      <c r="D404" s="10" t="s">
        <v>364</v>
      </c>
      <c r="E404" s="11" t="str">
        <f>+HYPERLINK("http://trademark.i-assist.jp/data/china/image_1902th/78755391.pdf", "78755391")</f>
        <v>78755391</v>
      </c>
      <c r="F404" s="10" t="s">
        <v>1553</v>
      </c>
      <c r="G404" s="10" t="s">
        <v>1554</v>
      </c>
      <c r="H404" s="10" t="s">
        <v>1555</v>
      </c>
      <c r="I404" s="10" t="s">
        <v>143</v>
      </c>
    </row>
    <row r="405" spans="1:9" x14ac:dyDescent="0.15">
      <c r="A405" s="9">
        <v>404</v>
      </c>
      <c r="B405" s="10" t="s">
        <v>9</v>
      </c>
      <c r="C405" s="10" t="s">
        <v>363</v>
      </c>
      <c r="D405" s="10" t="s">
        <v>364</v>
      </c>
      <c r="E405" s="11" t="str">
        <f>+HYPERLINK("http://trademark.i-assist.jp/data/china/image_1902th/78756387.pdf", "78756387")</f>
        <v>78756387</v>
      </c>
      <c r="F405" s="10" t="s">
        <v>1556</v>
      </c>
      <c r="G405" s="10" t="s">
        <v>1557</v>
      </c>
      <c r="H405" s="10" t="s">
        <v>1558</v>
      </c>
      <c r="I405" s="10" t="s">
        <v>143</v>
      </c>
    </row>
    <row r="406" spans="1:9" x14ac:dyDescent="0.15">
      <c r="A406" s="9">
        <v>405</v>
      </c>
      <c r="B406" s="10" t="s">
        <v>9</v>
      </c>
      <c r="C406" s="10" t="s">
        <v>363</v>
      </c>
      <c r="D406" s="10" t="s">
        <v>364</v>
      </c>
      <c r="E406" s="11" t="str">
        <f>+HYPERLINK("http://trademark.i-assist.jp/data/china/image_1902th/78756812.pdf", "78756812")</f>
        <v>78756812</v>
      </c>
      <c r="F406" s="10" t="s">
        <v>1559</v>
      </c>
      <c r="G406" s="10" t="s">
        <v>1560</v>
      </c>
      <c r="H406" s="10" t="s">
        <v>1561</v>
      </c>
      <c r="I406" s="10" t="s">
        <v>143</v>
      </c>
    </row>
    <row r="407" spans="1:9" x14ac:dyDescent="0.15">
      <c r="A407" s="9">
        <v>406</v>
      </c>
      <c r="B407" s="10" t="s">
        <v>9</v>
      </c>
      <c r="C407" s="10" t="s">
        <v>363</v>
      </c>
      <c r="D407" s="10" t="s">
        <v>364</v>
      </c>
      <c r="E407" s="11" t="str">
        <f>+HYPERLINK("http://trademark.i-assist.jp/data/china/image_1902th/78758099.pdf", "78758099")</f>
        <v>78758099</v>
      </c>
      <c r="F407" s="10" t="s">
        <v>1562</v>
      </c>
      <c r="G407" s="10" t="s">
        <v>1563</v>
      </c>
      <c r="H407" s="10" t="s">
        <v>1564</v>
      </c>
      <c r="I407" s="10" t="s">
        <v>143</v>
      </c>
    </row>
    <row r="408" spans="1:9" x14ac:dyDescent="0.15">
      <c r="A408" s="9">
        <v>407</v>
      </c>
      <c r="B408" s="10" t="s">
        <v>9</v>
      </c>
      <c r="C408" s="10" t="s">
        <v>363</v>
      </c>
      <c r="D408" s="10" t="s">
        <v>364</v>
      </c>
      <c r="E408" s="11" t="str">
        <f>+HYPERLINK("http://trademark.i-assist.jp/data/china/image_1902th/78759399.pdf", "78759399")</f>
        <v>78759399</v>
      </c>
      <c r="F408" s="10" t="s">
        <v>1565</v>
      </c>
      <c r="G408" s="10" t="s">
        <v>1566</v>
      </c>
      <c r="H408" s="10" t="s">
        <v>1567</v>
      </c>
      <c r="I408" s="10" t="s">
        <v>143</v>
      </c>
    </row>
    <row r="409" spans="1:9" x14ac:dyDescent="0.15">
      <c r="A409" s="9">
        <v>408</v>
      </c>
      <c r="B409" s="10" t="s">
        <v>9</v>
      </c>
      <c r="C409" s="10" t="s">
        <v>363</v>
      </c>
      <c r="D409" s="10" t="s">
        <v>364</v>
      </c>
      <c r="E409" s="11" t="str">
        <f>+HYPERLINK("http://trademark.i-assist.jp/data/china/image_1902th/78760226.pdf", "78760226")</f>
        <v>78760226</v>
      </c>
      <c r="F409" s="10" t="s">
        <v>1568</v>
      </c>
      <c r="G409" s="10" t="s">
        <v>1525</v>
      </c>
      <c r="H409" s="10" t="s">
        <v>1569</v>
      </c>
      <c r="I409" s="10" t="s">
        <v>143</v>
      </c>
    </row>
    <row r="410" spans="1:9" x14ac:dyDescent="0.15">
      <c r="A410" s="9">
        <v>409</v>
      </c>
      <c r="B410" s="10" t="s">
        <v>9</v>
      </c>
      <c r="C410" s="10" t="s">
        <v>363</v>
      </c>
      <c r="D410" s="10" t="s">
        <v>364</v>
      </c>
      <c r="E410" s="11" t="str">
        <f>+HYPERLINK("http://trademark.i-assist.jp/data/china/image_1902th/78760359.pdf", "78760359")</f>
        <v>78760359</v>
      </c>
      <c r="F410" s="10" t="s">
        <v>1570</v>
      </c>
      <c r="G410" s="10" t="s">
        <v>1534</v>
      </c>
      <c r="H410" s="10" t="s">
        <v>1571</v>
      </c>
      <c r="I410" s="10" t="s">
        <v>143</v>
      </c>
    </row>
    <row r="411" spans="1:9" x14ac:dyDescent="0.15">
      <c r="A411" s="9">
        <v>410</v>
      </c>
      <c r="B411" s="10" t="s">
        <v>9</v>
      </c>
      <c r="C411" s="10" t="s">
        <v>363</v>
      </c>
      <c r="D411" s="10" t="s">
        <v>364</v>
      </c>
      <c r="E411" s="11" t="str">
        <f>+HYPERLINK("http://trademark.i-assist.jp/data/china/image_1902th/78760605.pdf", "78760605")</f>
        <v>78760605</v>
      </c>
      <c r="F411" s="10" t="s">
        <v>1572</v>
      </c>
      <c r="G411" s="10" t="s">
        <v>1573</v>
      </c>
      <c r="H411" s="10" t="s">
        <v>1574</v>
      </c>
      <c r="I411" s="10" t="s">
        <v>143</v>
      </c>
    </row>
    <row r="412" spans="1:9" x14ac:dyDescent="0.15">
      <c r="A412" s="9">
        <v>411</v>
      </c>
      <c r="B412" s="10" t="s">
        <v>9</v>
      </c>
      <c r="C412" s="10" t="s">
        <v>363</v>
      </c>
      <c r="D412" s="10" t="s">
        <v>364</v>
      </c>
      <c r="E412" s="11" t="str">
        <f>+HYPERLINK("http://trademark.i-assist.jp/data/china/image_1902th/78760790.pdf", "78760790")</f>
        <v>78760790</v>
      </c>
      <c r="F412" s="10" t="s">
        <v>1575</v>
      </c>
      <c r="G412" s="10" t="s">
        <v>1576</v>
      </c>
      <c r="H412" s="10" t="s">
        <v>1577</v>
      </c>
      <c r="I412" s="10" t="s">
        <v>143</v>
      </c>
    </row>
    <row r="413" spans="1:9" x14ac:dyDescent="0.15">
      <c r="A413" s="9">
        <v>412</v>
      </c>
      <c r="B413" s="10" t="s">
        <v>9</v>
      </c>
      <c r="C413" s="10" t="s">
        <v>363</v>
      </c>
      <c r="D413" s="10" t="s">
        <v>364</v>
      </c>
      <c r="E413" s="11" t="str">
        <f>+HYPERLINK("http://trademark.i-assist.jp/data/china/image_1902th/78761024.pdf", "78761024")</f>
        <v>78761024</v>
      </c>
      <c r="F413" s="10" t="s">
        <v>1578</v>
      </c>
      <c r="G413" s="10" t="s">
        <v>1579</v>
      </c>
      <c r="H413" s="10" t="s">
        <v>1580</v>
      </c>
      <c r="I413" s="10" t="s">
        <v>143</v>
      </c>
    </row>
    <row r="414" spans="1:9" x14ac:dyDescent="0.15">
      <c r="A414" s="9">
        <v>413</v>
      </c>
      <c r="B414" s="10" t="s">
        <v>9</v>
      </c>
      <c r="C414" s="10" t="s">
        <v>363</v>
      </c>
      <c r="D414" s="10" t="s">
        <v>364</v>
      </c>
      <c r="E414" s="11" t="str">
        <f>+HYPERLINK("http://trademark.i-assist.jp/data/china/image_1902th/78762171.pdf", "78762171")</f>
        <v>78762171</v>
      </c>
      <c r="F414" s="10" t="s">
        <v>12</v>
      </c>
      <c r="G414" s="10" t="s">
        <v>1581</v>
      </c>
      <c r="H414" s="10" t="s">
        <v>1582</v>
      </c>
      <c r="I414" s="10" t="s">
        <v>143</v>
      </c>
    </row>
    <row r="415" spans="1:9" x14ac:dyDescent="0.15">
      <c r="A415" s="9">
        <v>414</v>
      </c>
      <c r="B415" s="10" t="s">
        <v>9</v>
      </c>
      <c r="C415" s="10" t="s">
        <v>363</v>
      </c>
      <c r="D415" s="10" t="s">
        <v>364</v>
      </c>
      <c r="E415" s="11" t="str">
        <f>+HYPERLINK("http://trademark.i-assist.jp/data/china/image_1902th/78764009.pdf", "78764009")</f>
        <v>78764009</v>
      </c>
      <c r="F415" s="10" t="s">
        <v>1583</v>
      </c>
      <c r="G415" s="10" t="s">
        <v>187</v>
      </c>
      <c r="H415" s="10" t="s">
        <v>1584</v>
      </c>
      <c r="I415" s="10" t="s">
        <v>143</v>
      </c>
    </row>
    <row r="416" spans="1:9" x14ac:dyDescent="0.15">
      <c r="A416" s="9">
        <v>415</v>
      </c>
      <c r="B416" s="10" t="s">
        <v>9</v>
      </c>
      <c r="C416" s="10" t="s">
        <v>363</v>
      </c>
      <c r="D416" s="10" t="s">
        <v>364</v>
      </c>
      <c r="E416" s="11" t="str">
        <f>+HYPERLINK("http://trademark.i-assist.jp/data/china/image_1902th/78764157.pdf", "78764157")</f>
        <v>78764157</v>
      </c>
      <c r="F416" s="10" t="s">
        <v>1585</v>
      </c>
      <c r="G416" s="10" t="s">
        <v>1586</v>
      </c>
      <c r="H416" s="10" t="s">
        <v>1587</v>
      </c>
      <c r="I416" s="10" t="s">
        <v>143</v>
      </c>
    </row>
    <row r="417" spans="1:9" x14ac:dyDescent="0.15">
      <c r="A417" s="9">
        <v>416</v>
      </c>
      <c r="B417" s="10" t="s">
        <v>9</v>
      </c>
      <c r="C417" s="10" t="s">
        <v>363</v>
      </c>
      <c r="D417" s="10" t="s">
        <v>364</v>
      </c>
      <c r="E417" s="11" t="str">
        <f>+HYPERLINK("http://trademark.i-assist.jp/data/china/image_1902th/78764775.pdf", "78764775")</f>
        <v>78764775</v>
      </c>
      <c r="F417" s="10" t="s">
        <v>1588</v>
      </c>
      <c r="G417" s="10" t="s">
        <v>1589</v>
      </c>
      <c r="H417" s="10" t="s">
        <v>1590</v>
      </c>
      <c r="I417" s="10" t="s">
        <v>143</v>
      </c>
    </row>
    <row r="418" spans="1:9" x14ac:dyDescent="0.15">
      <c r="A418" s="9">
        <v>417</v>
      </c>
      <c r="B418" s="10" t="s">
        <v>9</v>
      </c>
      <c r="C418" s="10" t="s">
        <v>363</v>
      </c>
      <c r="D418" s="10" t="s">
        <v>364</v>
      </c>
      <c r="E418" s="11" t="str">
        <f>+HYPERLINK("http://trademark.i-assist.jp/data/china/image_1902th/78765232.pdf", "78765232")</f>
        <v>78765232</v>
      </c>
      <c r="F418" s="10" t="s">
        <v>1591</v>
      </c>
      <c r="G418" s="10" t="s">
        <v>327</v>
      </c>
      <c r="H418" s="10" t="s">
        <v>1592</v>
      </c>
      <c r="I418" s="10" t="s">
        <v>143</v>
      </c>
    </row>
    <row r="419" spans="1:9" x14ac:dyDescent="0.15">
      <c r="A419" s="9">
        <v>418</v>
      </c>
      <c r="B419" s="10" t="s">
        <v>9</v>
      </c>
      <c r="C419" s="10" t="s">
        <v>363</v>
      </c>
      <c r="D419" s="10" t="s">
        <v>364</v>
      </c>
      <c r="E419" s="11" t="str">
        <f>+HYPERLINK("http://trademark.i-assist.jp/data/china/image_1902th/78765251.pdf", "78765251")</f>
        <v>78765251</v>
      </c>
      <c r="F419" s="10" t="s">
        <v>1593</v>
      </c>
      <c r="G419" s="10" t="s">
        <v>1594</v>
      </c>
      <c r="H419" s="10" t="s">
        <v>1595</v>
      </c>
      <c r="I419" s="10" t="s">
        <v>143</v>
      </c>
    </row>
    <row r="420" spans="1:9" x14ac:dyDescent="0.15">
      <c r="A420" s="9">
        <v>419</v>
      </c>
      <c r="B420" s="10" t="s">
        <v>9</v>
      </c>
      <c r="C420" s="10" t="s">
        <v>363</v>
      </c>
      <c r="D420" s="10" t="s">
        <v>364</v>
      </c>
      <c r="E420" s="11" t="str">
        <f>+HYPERLINK("http://trademark.i-assist.jp/data/china/image_1902th/78765847.pdf", "78765847")</f>
        <v>78765847</v>
      </c>
      <c r="F420" s="10" t="s">
        <v>1596</v>
      </c>
      <c r="G420" s="10" t="s">
        <v>187</v>
      </c>
      <c r="H420" s="10" t="s">
        <v>1597</v>
      </c>
      <c r="I420" s="10" t="s">
        <v>143</v>
      </c>
    </row>
    <row r="421" spans="1:9" x14ac:dyDescent="0.15">
      <c r="A421" s="9">
        <v>420</v>
      </c>
      <c r="B421" s="10" t="s">
        <v>9</v>
      </c>
      <c r="C421" s="10" t="s">
        <v>363</v>
      </c>
      <c r="D421" s="10" t="s">
        <v>364</v>
      </c>
      <c r="E421" s="11" t="str">
        <f>+HYPERLINK("http://trademark.i-assist.jp/data/china/image_1902th/78766395.pdf", "78766395")</f>
        <v>78766395</v>
      </c>
      <c r="F421" s="10" t="s">
        <v>12</v>
      </c>
      <c r="G421" s="10" t="s">
        <v>1598</v>
      </c>
      <c r="H421" s="10" t="s">
        <v>1599</v>
      </c>
      <c r="I421" s="10" t="s">
        <v>143</v>
      </c>
    </row>
    <row r="422" spans="1:9" x14ac:dyDescent="0.15">
      <c r="A422" s="9">
        <v>421</v>
      </c>
      <c r="B422" s="10" t="s">
        <v>9</v>
      </c>
      <c r="C422" s="10" t="s">
        <v>363</v>
      </c>
      <c r="D422" s="10" t="s">
        <v>364</v>
      </c>
      <c r="E422" s="11" t="str">
        <f>+HYPERLINK("http://trademark.i-assist.jp/data/china/image_1902th/78767147.pdf", "78767147")</f>
        <v>78767147</v>
      </c>
      <c r="F422" s="10" t="s">
        <v>1600</v>
      </c>
      <c r="G422" s="10" t="s">
        <v>1534</v>
      </c>
      <c r="H422" s="10" t="s">
        <v>1601</v>
      </c>
      <c r="I422" s="10" t="s">
        <v>143</v>
      </c>
    </row>
    <row r="423" spans="1:9" x14ac:dyDescent="0.15">
      <c r="A423" s="9">
        <v>422</v>
      </c>
      <c r="B423" s="10" t="s">
        <v>9</v>
      </c>
      <c r="C423" s="10" t="s">
        <v>363</v>
      </c>
      <c r="D423" s="10" t="s">
        <v>364</v>
      </c>
      <c r="E423" s="11" t="str">
        <f>+HYPERLINK("http://trademark.i-assist.jp/data/china/image_1902th/78767426.pdf", "78767426")</f>
        <v>78767426</v>
      </c>
      <c r="F423" s="10" t="s">
        <v>1602</v>
      </c>
      <c r="G423" s="10" t="s">
        <v>187</v>
      </c>
      <c r="H423" s="10" t="s">
        <v>1603</v>
      </c>
      <c r="I423" s="10" t="s">
        <v>143</v>
      </c>
    </row>
    <row r="424" spans="1:9" x14ac:dyDescent="0.15">
      <c r="A424" s="9">
        <v>423</v>
      </c>
      <c r="B424" s="10" t="s">
        <v>9</v>
      </c>
      <c r="C424" s="10" t="s">
        <v>363</v>
      </c>
      <c r="D424" s="10" t="s">
        <v>364</v>
      </c>
      <c r="E424" s="11" t="str">
        <f>+HYPERLINK("http://trademark.i-assist.jp/data/china/image_1902th/78768829.pdf", "78768829")</f>
        <v>78768829</v>
      </c>
      <c r="F424" s="10" t="s">
        <v>1604</v>
      </c>
      <c r="G424" s="10" t="s">
        <v>1605</v>
      </c>
      <c r="H424" s="10" t="s">
        <v>1606</v>
      </c>
      <c r="I424" s="10" t="s">
        <v>143</v>
      </c>
    </row>
    <row r="425" spans="1:9" x14ac:dyDescent="0.15">
      <c r="A425" s="9">
        <v>424</v>
      </c>
      <c r="B425" s="10" t="s">
        <v>9</v>
      </c>
      <c r="C425" s="10" t="s">
        <v>363</v>
      </c>
      <c r="D425" s="10" t="s">
        <v>364</v>
      </c>
      <c r="E425" s="11" t="str">
        <f>+HYPERLINK("http://trademark.i-assist.jp/data/china/image_1902th/78768961.pdf", "78768961")</f>
        <v>78768961</v>
      </c>
      <c r="F425" s="10" t="s">
        <v>1607</v>
      </c>
      <c r="G425" s="10" t="s">
        <v>1608</v>
      </c>
      <c r="H425" s="10" t="s">
        <v>1609</v>
      </c>
      <c r="I425" s="10" t="s">
        <v>143</v>
      </c>
    </row>
    <row r="426" spans="1:9" x14ac:dyDescent="0.15">
      <c r="A426" s="9">
        <v>425</v>
      </c>
      <c r="B426" s="10" t="s">
        <v>9</v>
      </c>
      <c r="C426" s="10" t="s">
        <v>363</v>
      </c>
      <c r="D426" s="10" t="s">
        <v>364</v>
      </c>
      <c r="E426" s="11" t="str">
        <f>+HYPERLINK("http://trademark.i-assist.jp/data/china/image_1902th/78770511.pdf", "78770511")</f>
        <v>78770511</v>
      </c>
      <c r="F426" s="10" t="s">
        <v>1610</v>
      </c>
      <c r="G426" s="10" t="s">
        <v>1611</v>
      </c>
      <c r="H426" s="10" t="s">
        <v>1612</v>
      </c>
      <c r="I426" s="10" t="s">
        <v>143</v>
      </c>
    </row>
    <row r="427" spans="1:9" x14ac:dyDescent="0.15">
      <c r="A427" s="9">
        <v>426</v>
      </c>
      <c r="B427" s="10" t="s">
        <v>9</v>
      </c>
      <c r="C427" s="10" t="s">
        <v>363</v>
      </c>
      <c r="D427" s="10" t="s">
        <v>364</v>
      </c>
      <c r="E427" s="11" t="str">
        <f>+HYPERLINK("http://trademark.i-assist.jp/data/china/image_1902th/78770943.pdf", "78770943")</f>
        <v>78770943</v>
      </c>
      <c r="F427" s="10" t="s">
        <v>1613</v>
      </c>
      <c r="G427" s="10" t="s">
        <v>1531</v>
      </c>
      <c r="H427" s="10" t="s">
        <v>1614</v>
      </c>
      <c r="I427" s="10" t="s">
        <v>143</v>
      </c>
    </row>
    <row r="428" spans="1:9" x14ac:dyDescent="0.15">
      <c r="A428" s="9">
        <v>427</v>
      </c>
      <c r="B428" s="10" t="s">
        <v>9</v>
      </c>
      <c r="C428" s="10" t="s">
        <v>363</v>
      </c>
      <c r="D428" s="10" t="s">
        <v>364</v>
      </c>
      <c r="E428" s="11" t="str">
        <f>+HYPERLINK("http://trademark.i-assist.jp/data/china/image_1902th/78771135.pdf", "78771135")</f>
        <v>78771135</v>
      </c>
      <c r="F428" s="10" t="s">
        <v>1615</v>
      </c>
      <c r="G428" s="10" t="s">
        <v>1616</v>
      </c>
      <c r="H428" s="10" t="s">
        <v>1617</v>
      </c>
      <c r="I428" s="10" t="s">
        <v>143</v>
      </c>
    </row>
    <row r="429" spans="1:9" x14ac:dyDescent="0.15">
      <c r="A429" s="9">
        <v>428</v>
      </c>
      <c r="B429" s="10" t="s">
        <v>9</v>
      </c>
      <c r="C429" s="10" t="s">
        <v>363</v>
      </c>
      <c r="D429" s="10" t="s">
        <v>364</v>
      </c>
      <c r="E429" s="11" t="str">
        <f>+HYPERLINK("http://trademark.i-assist.jp/data/china/image_1902th/78774346.pdf", "78774346")</f>
        <v>78774346</v>
      </c>
      <c r="F429" s="10" t="s">
        <v>1618</v>
      </c>
      <c r="G429" s="10" t="s">
        <v>1619</v>
      </c>
      <c r="H429" s="10" t="s">
        <v>1620</v>
      </c>
      <c r="I429" s="10" t="s">
        <v>147</v>
      </c>
    </row>
    <row r="430" spans="1:9" x14ac:dyDescent="0.15">
      <c r="A430" s="9">
        <v>429</v>
      </c>
      <c r="B430" s="10" t="s">
        <v>9</v>
      </c>
      <c r="C430" s="10" t="s">
        <v>363</v>
      </c>
      <c r="D430" s="10" t="s">
        <v>364</v>
      </c>
      <c r="E430" s="11" t="str">
        <f>+HYPERLINK("http://trademark.i-assist.jp/data/china/image_1902th/78775159.pdf", "78775159")</f>
        <v>78775159</v>
      </c>
      <c r="F430" s="10" t="s">
        <v>1621</v>
      </c>
      <c r="G430" s="10" t="s">
        <v>1622</v>
      </c>
      <c r="H430" s="10" t="s">
        <v>1623</v>
      </c>
      <c r="I430" s="10" t="s">
        <v>147</v>
      </c>
    </row>
    <row r="431" spans="1:9" x14ac:dyDescent="0.15">
      <c r="A431" s="9">
        <v>430</v>
      </c>
      <c r="B431" s="10" t="s">
        <v>9</v>
      </c>
      <c r="C431" s="10" t="s">
        <v>363</v>
      </c>
      <c r="D431" s="10" t="s">
        <v>364</v>
      </c>
      <c r="E431" s="11" t="str">
        <f>+HYPERLINK("http://trademark.i-assist.jp/data/china/image_1902th/78776224.pdf", "78776224")</f>
        <v>78776224</v>
      </c>
      <c r="F431" s="10" t="s">
        <v>1624</v>
      </c>
      <c r="G431" s="10" t="s">
        <v>1625</v>
      </c>
      <c r="H431" s="10" t="s">
        <v>1626</v>
      </c>
      <c r="I431" s="10" t="s">
        <v>147</v>
      </c>
    </row>
    <row r="432" spans="1:9" x14ac:dyDescent="0.15">
      <c r="A432" s="9">
        <v>431</v>
      </c>
      <c r="B432" s="10" t="s">
        <v>9</v>
      </c>
      <c r="C432" s="10" t="s">
        <v>363</v>
      </c>
      <c r="D432" s="10" t="s">
        <v>364</v>
      </c>
      <c r="E432" s="11" t="str">
        <f>+HYPERLINK("http://trademark.i-assist.jp/data/china/image_1902th/78776238.pdf", "78776238")</f>
        <v>78776238</v>
      </c>
      <c r="F432" s="10" t="s">
        <v>1627</v>
      </c>
      <c r="G432" s="10" t="s">
        <v>1628</v>
      </c>
      <c r="H432" s="10" t="s">
        <v>1629</v>
      </c>
      <c r="I432" s="10" t="s">
        <v>147</v>
      </c>
    </row>
    <row r="433" spans="1:9" x14ac:dyDescent="0.15">
      <c r="A433" s="9">
        <v>432</v>
      </c>
      <c r="B433" s="10" t="s">
        <v>9</v>
      </c>
      <c r="C433" s="10" t="s">
        <v>363</v>
      </c>
      <c r="D433" s="10" t="s">
        <v>364</v>
      </c>
      <c r="E433" s="11" t="str">
        <f>+HYPERLINK("http://trademark.i-assist.jp/data/china/image_1902th/78776805.pdf", "78776805")</f>
        <v>78776805</v>
      </c>
      <c r="F433" s="10" t="s">
        <v>1630</v>
      </c>
      <c r="G433" s="10" t="s">
        <v>1631</v>
      </c>
      <c r="H433" s="10" t="s">
        <v>1632</v>
      </c>
      <c r="I433" s="10" t="s">
        <v>147</v>
      </c>
    </row>
    <row r="434" spans="1:9" x14ac:dyDescent="0.15">
      <c r="A434" s="9">
        <v>433</v>
      </c>
      <c r="B434" s="10" t="s">
        <v>9</v>
      </c>
      <c r="C434" s="10" t="s">
        <v>363</v>
      </c>
      <c r="D434" s="10" t="s">
        <v>364</v>
      </c>
      <c r="E434" s="11" t="str">
        <f>+HYPERLINK("http://trademark.i-assist.jp/data/china/image_1902th/78777677.pdf", "78777677")</f>
        <v>78777677</v>
      </c>
      <c r="F434" s="10" t="s">
        <v>1633</v>
      </c>
      <c r="G434" s="10" t="s">
        <v>1628</v>
      </c>
      <c r="H434" s="10" t="s">
        <v>1634</v>
      </c>
      <c r="I434" s="10" t="s">
        <v>147</v>
      </c>
    </row>
    <row r="435" spans="1:9" x14ac:dyDescent="0.15">
      <c r="A435" s="9">
        <v>434</v>
      </c>
      <c r="B435" s="10" t="s">
        <v>9</v>
      </c>
      <c r="C435" s="10" t="s">
        <v>363</v>
      </c>
      <c r="D435" s="10" t="s">
        <v>364</v>
      </c>
      <c r="E435" s="11" t="str">
        <f>+HYPERLINK("http://trademark.i-assist.jp/data/china/image_1902th/78777910.pdf", "78777910")</f>
        <v>78777910</v>
      </c>
      <c r="F435" s="10" t="s">
        <v>1635</v>
      </c>
      <c r="G435" s="10" t="s">
        <v>1636</v>
      </c>
      <c r="H435" s="10" t="s">
        <v>1637</v>
      </c>
      <c r="I435" s="10" t="s">
        <v>147</v>
      </c>
    </row>
    <row r="436" spans="1:9" x14ac:dyDescent="0.15">
      <c r="A436" s="9">
        <v>435</v>
      </c>
      <c r="B436" s="10" t="s">
        <v>9</v>
      </c>
      <c r="C436" s="10" t="s">
        <v>363</v>
      </c>
      <c r="D436" s="10" t="s">
        <v>364</v>
      </c>
      <c r="E436" s="11" t="str">
        <f>+HYPERLINK("http://trademark.i-assist.jp/data/china/image_1902th/78778757.pdf", "78778757")</f>
        <v>78778757</v>
      </c>
      <c r="F436" s="10" t="s">
        <v>1638</v>
      </c>
      <c r="G436" s="10" t="s">
        <v>1639</v>
      </c>
      <c r="H436" s="10" t="s">
        <v>1640</v>
      </c>
      <c r="I436" s="10" t="s">
        <v>147</v>
      </c>
    </row>
    <row r="437" spans="1:9" x14ac:dyDescent="0.15">
      <c r="A437" s="9">
        <v>436</v>
      </c>
      <c r="B437" s="10" t="s">
        <v>9</v>
      </c>
      <c r="C437" s="10" t="s">
        <v>363</v>
      </c>
      <c r="D437" s="10" t="s">
        <v>364</v>
      </c>
      <c r="E437" s="11" t="str">
        <f>+HYPERLINK("http://trademark.i-assist.jp/data/china/image_1902th/78778831.pdf", "78778831")</f>
        <v>78778831</v>
      </c>
      <c r="F437" s="10" t="s">
        <v>1641</v>
      </c>
      <c r="G437" s="10" t="s">
        <v>35</v>
      </c>
      <c r="H437" s="10" t="s">
        <v>1642</v>
      </c>
      <c r="I437" s="10" t="s">
        <v>147</v>
      </c>
    </row>
    <row r="438" spans="1:9" x14ac:dyDescent="0.15">
      <c r="A438" s="9">
        <v>437</v>
      </c>
      <c r="B438" s="10" t="s">
        <v>9</v>
      </c>
      <c r="C438" s="10" t="s">
        <v>363</v>
      </c>
      <c r="D438" s="10" t="s">
        <v>364</v>
      </c>
      <c r="E438" s="11" t="str">
        <f>+HYPERLINK("http://trademark.i-assist.jp/data/china/image_1902th/78778914.pdf", "78778914")</f>
        <v>78778914</v>
      </c>
      <c r="F438" s="10" t="s">
        <v>1643</v>
      </c>
      <c r="G438" s="10" t="s">
        <v>1644</v>
      </c>
      <c r="H438" s="10" t="s">
        <v>1645</v>
      </c>
      <c r="I438" s="10" t="s">
        <v>147</v>
      </c>
    </row>
    <row r="439" spans="1:9" x14ac:dyDescent="0.15">
      <c r="A439" s="9">
        <v>438</v>
      </c>
      <c r="B439" s="10" t="s">
        <v>9</v>
      </c>
      <c r="C439" s="10" t="s">
        <v>363</v>
      </c>
      <c r="D439" s="10" t="s">
        <v>364</v>
      </c>
      <c r="E439" s="11" t="str">
        <f>+HYPERLINK("http://trademark.i-assist.jp/data/china/image_1902th/78779178.pdf", "78779178")</f>
        <v>78779178</v>
      </c>
      <c r="F439" s="10" t="s">
        <v>1646</v>
      </c>
      <c r="G439" s="10" t="s">
        <v>152</v>
      </c>
      <c r="H439" s="10" t="s">
        <v>1647</v>
      </c>
      <c r="I439" s="10" t="s">
        <v>147</v>
      </c>
    </row>
    <row r="440" spans="1:9" x14ac:dyDescent="0.15">
      <c r="A440" s="9">
        <v>439</v>
      </c>
      <c r="B440" s="10" t="s">
        <v>9</v>
      </c>
      <c r="C440" s="10" t="s">
        <v>363</v>
      </c>
      <c r="D440" s="10" t="s">
        <v>364</v>
      </c>
      <c r="E440" s="11" t="str">
        <f>+HYPERLINK("http://trademark.i-assist.jp/data/china/image_1902th/78779384.pdf", "78779384")</f>
        <v>78779384</v>
      </c>
      <c r="F440" s="10" t="s">
        <v>1648</v>
      </c>
      <c r="G440" s="10" t="s">
        <v>1649</v>
      </c>
      <c r="H440" s="10" t="s">
        <v>1650</v>
      </c>
      <c r="I440" s="10" t="s">
        <v>147</v>
      </c>
    </row>
    <row r="441" spans="1:9" x14ac:dyDescent="0.15">
      <c r="A441" s="9">
        <v>440</v>
      </c>
      <c r="B441" s="10" t="s">
        <v>9</v>
      </c>
      <c r="C441" s="10" t="s">
        <v>363</v>
      </c>
      <c r="D441" s="10" t="s">
        <v>364</v>
      </c>
      <c r="E441" s="11" t="str">
        <f>+HYPERLINK("http://trademark.i-assist.jp/data/china/image_1902th/78779917.pdf", "78779917")</f>
        <v>78779917</v>
      </c>
      <c r="F441" s="10" t="s">
        <v>1651</v>
      </c>
      <c r="G441" s="10" t="s">
        <v>1652</v>
      </c>
      <c r="H441" s="10" t="s">
        <v>1653</v>
      </c>
      <c r="I441" s="10" t="s">
        <v>147</v>
      </c>
    </row>
    <row r="442" spans="1:9" x14ac:dyDescent="0.15">
      <c r="A442" s="9">
        <v>441</v>
      </c>
      <c r="B442" s="10" t="s">
        <v>9</v>
      </c>
      <c r="C442" s="10" t="s">
        <v>363</v>
      </c>
      <c r="D442" s="10" t="s">
        <v>364</v>
      </c>
      <c r="E442" s="11" t="str">
        <f>+HYPERLINK("http://trademark.i-assist.jp/data/china/image_1902th/78780208.pdf", "78780208")</f>
        <v>78780208</v>
      </c>
      <c r="F442" s="10" t="s">
        <v>1654</v>
      </c>
      <c r="G442" s="10" t="s">
        <v>1655</v>
      </c>
      <c r="H442" s="10" t="s">
        <v>1656</v>
      </c>
      <c r="I442" s="10" t="s">
        <v>147</v>
      </c>
    </row>
    <row r="443" spans="1:9" x14ac:dyDescent="0.15">
      <c r="A443" s="9">
        <v>442</v>
      </c>
      <c r="B443" s="10" t="s">
        <v>9</v>
      </c>
      <c r="C443" s="10" t="s">
        <v>363</v>
      </c>
      <c r="D443" s="10" t="s">
        <v>364</v>
      </c>
      <c r="E443" s="11" t="str">
        <f>+HYPERLINK("http://trademark.i-assist.jp/data/china/image_1902th/78780929.pdf", "78780929")</f>
        <v>78780929</v>
      </c>
      <c r="F443" s="10" t="s">
        <v>1657</v>
      </c>
      <c r="G443" s="10" t="s">
        <v>1658</v>
      </c>
      <c r="H443" s="10" t="s">
        <v>1659</v>
      </c>
      <c r="I443" s="10" t="s">
        <v>147</v>
      </c>
    </row>
    <row r="444" spans="1:9" x14ac:dyDescent="0.15">
      <c r="A444" s="9">
        <v>443</v>
      </c>
      <c r="B444" s="10" t="s">
        <v>9</v>
      </c>
      <c r="C444" s="10" t="s">
        <v>363</v>
      </c>
      <c r="D444" s="10" t="s">
        <v>364</v>
      </c>
      <c r="E444" s="11" t="str">
        <f>+HYPERLINK("http://trademark.i-assist.jp/data/china/image_1902th/78781259.pdf", "78781259")</f>
        <v>78781259</v>
      </c>
      <c r="F444" s="10" t="s">
        <v>153</v>
      </c>
      <c r="G444" s="10" t="s">
        <v>154</v>
      </c>
      <c r="H444" s="10" t="s">
        <v>1660</v>
      </c>
      <c r="I444" s="10" t="s">
        <v>147</v>
      </c>
    </row>
    <row r="445" spans="1:9" x14ac:dyDescent="0.15">
      <c r="A445" s="9">
        <v>444</v>
      </c>
      <c r="B445" s="10" t="s">
        <v>9</v>
      </c>
      <c r="C445" s="10" t="s">
        <v>363</v>
      </c>
      <c r="D445" s="10" t="s">
        <v>364</v>
      </c>
      <c r="E445" s="11" t="str">
        <f>+HYPERLINK("http://trademark.i-assist.jp/data/china/image_1902th/78782028.pdf", "78782028")</f>
        <v>78782028</v>
      </c>
      <c r="F445" s="10" t="s">
        <v>1661</v>
      </c>
      <c r="G445" s="10" t="s">
        <v>1662</v>
      </c>
      <c r="H445" s="10" t="s">
        <v>1663</v>
      </c>
      <c r="I445" s="10" t="s">
        <v>147</v>
      </c>
    </row>
    <row r="446" spans="1:9" x14ac:dyDescent="0.15">
      <c r="A446" s="9">
        <v>445</v>
      </c>
      <c r="B446" s="10" t="s">
        <v>9</v>
      </c>
      <c r="C446" s="10" t="s">
        <v>363</v>
      </c>
      <c r="D446" s="10" t="s">
        <v>364</v>
      </c>
      <c r="E446" s="11" t="str">
        <f>+HYPERLINK("http://trademark.i-assist.jp/data/china/image_1902th/78782750.pdf", "78782750")</f>
        <v>78782750</v>
      </c>
      <c r="F446" s="10" t="s">
        <v>1664</v>
      </c>
      <c r="G446" s="10" t="s">
        <v>1665</v>
      </c>
      <c r="H446" s="10" t="s">
        <v>1666</v>
      </c>
      <c r="I446" s="10" t="s">
        <v>147</v>
      </c>
    </row>
    <row r="447" spans="1:9" x14ac:dyDescent="0.15">
      <c r="A447" s="9">
        <v>446</v>
      </c>
      <c r="B447" s="10" t="s">
        <v>9</v>
      </c>
      <c r="C447" s="10" t="s">
        <v>363</v>
      </c>
      <c r="D447" s="10" t="s">
        <v>364</v>
      </c>
      <c r="E447" s="11" t="str">
        <f>+HYPERLINK("http://trademark.i-assist.jp/data/china/image_1902th/78782789.pdf", "78782789")</f>
        <v>78782789</v>
      </c>
      <c r="F447" s="10" t="s">
        <v>1667</v>
      </c>
      <c r="G447" s="10" t="s">
        <v>1668</v>
      </c>
      <c r="H447" s="10" t="s">
        <v>1669</v>
      </c>
      <c r="I447" s="10" t="s">
        <v>147</v>
      </c>
    </row>
    <row r="448" spans="1:9" x14ac:dyDescent="0.15">
      <c r="A448" s="9">
        <v>447</v>
      </c>
      <c r="B448" s="10" t="s">
        <v>9</v>
      </c>
      <c r="C448" s="10" t="s">
        <v>363</v>
      </c>
      <c r="D448" s="10" t="s">
        <v>364</v>
      </c>
      <c r="E448" s="11" t="str">
        <f>+HYPERLINK("http://trademark.i-assist.jp/data/china/image_1902th/78782834.pdf", "78782834")</f>
        <v>78782834</v>
      </c>
      <c r="F448" s="10" t="s">
        <v>1670</v>
      </c>
      <c r="G448" s="10" t="s">
        <v>1671</v>
      </c>
      <c r="H448" s="10" t="s">
        <v>1672</v>
      </c>
      <c r="I448" s="10" t="s">
        <v>147</v>
      </c>
    </row>
    <row r="449" spans="1:9" x14ac:dyDescent="0.15">
      <c r="A449" s="9">
        <v>448</v>
      </c>
      <c r="B449" s="10" t="s">
        <v>9</v>
      </c>
      <c r="C449" s="10" t="s">
        <v>363</v>
      </c>
      <c r="D449" s="10" t="s">
        <v>364</v>
      </c>
      <c r="E449" s="11" t="str">
        <f>+HYPERLINK("http://trademark.i-assist.jp/data/china/image_1902th/78783425.pdf", "78783425")</f>
        <v>78783425</v>
      </c>
      <c r="F449" s="10" t="s">
        <v>1673</v>
      </c>
      <c r="G449" s="10" t="s">
        <v>1674</v>
      </c>
      <c r="H449" s="10" t="s">
        <v>1675</v>
      </c>
      <c r="I449" s="10" t="s">
        <v>147</v>
      </c>
    </row>
    <row r="450" spans="1:9" x14ac:dyDescent="0.15">
      <c r="A450" s="9">
        <v>449</v>
      </c>
      <c r="B450" s="10" t="s">
        <v>9</v>
      </c>
      <c r="C450" s="10" t="s">
        <v>363</v>
      </c>
      <c r="D450" s="10" t="s">
        <v>364</v>
      </c>
      <c r="E450" s="11" t="str">
        <f>+HYPERLINK("http://trademark.i-assist.jp/data/china/image_1902th/78783836.pdf", "78783836")</f>
        <v>78783836</v>
      </c>
      <c r="F450" s="10" t="s">
        <v>12</v>
      </c>
      <c r="G450" s="10" t="s">
        <v>1676</v>
      </c>
      <c r="H450" s="10" t="s">
        <v>1677</v>
      </c>
      <c r="I450" s="10" t="s">
        <v>147</v>
      </c>
    </row>
    <row r="451" spans="1:9" x14ac:dyDescent="0.15">
      <c r="A451" s="9">
        <v>450</v>
      </c>
      <c r="B451" s="10" t="s">
        <v>9</v>
      </c>
      <c r="C451" s="10" t="s">
        <v>363</v>
      </c>
      <c r="D451" s="10" t="s">
        <v>364</v>
      </c>
      <c r="E451" s="11" t="str">
        <f>+HYPERLINK("http://trademark.i-assist.jp/data/china/image_1902th/78783998.pdf", "78783998")</f>
        <v>78783998</v>
      </c>
      <c r="F451" s="10" t="s">
        <v>1678</v>
      </c>
      <c r="G451" s="10" t="s">
        <v>1679</v>
      </c>
      <c r="H451" s="10" t="s">
        <v>1680</v>
      </c>
      <c r="I451" s="10" t="s">
        <v>147</v>
      </c>
    </row>
    <row r="452" spans="1:9" x14ac:dyDescent="0.15">
      <c r="A452" s="9">
        <v>451</v>
      </c>
      <c r="B452" s="10" t="s">
        <v>9</v>
      </c>
      <c r="C452" s="10" t="s">
        <v>363</v>
      </c>
      <c r="D452" s="10" t="s">
        <v>364</v>
      </c>
      <c r="E452" s="11" t="str">
        <f>+HYPERLINK("http://trademark.i-assist.jp/data/china/image_1902th/78784095.pdf", "78784095")</f>
        <v>78784095</v>
      </c>
      <c r="F452" s="10" t="s">
        <v>1681</v>
      </c>
      <c r="G452" s="10" t="s">
        <v>1682</v>
      </c>
      <c r="H452" s="10" t="s">
        <v>1683</v>
      </c>
      <c r="I452" s="10" t="s">
        <v>147</v>
      </c>
    </row>
    <row r="453" spans="1:9" x14ac:dyDescent="0.15">
      <c r="A453" s="9">
        <v>452</v>
      </c>
      <c r="B453" s="10" t="s">
        <v>9</v>
      </c>
      <c r="C453" s="10" t="s">
        <v>363</v>
      </c>
      <c r="D453" s="10" t="s">
        <v>364</v>
      </c>
      <c r="E453" s="11" t="str">
        <f>+HYPERLINK("http://trademark.i-assist.jp/data/china/image_1902th/78785300.pdf", "78785300")</f>
        <v>78785300</v>
      </c>
      <c r="F453" s="10" t="s">
        <v>1684</v>
      </c>
      <c r="G453" s="10" t="s">
        <v>1685</v>
      </c>
      <c r="H453" s="10" t="s">
        <v>1686</v>
      </c>
      <c r="I453" s="10" t="s">
        <v>147</v>
      </c>
    </row>
    <row r="454" spans="1:9" x14ac:dyDescent="0.15">
      <c r="A454" s="9">
        <v>453</v>
      </c>
      <c r="B454" s="10" t="s">
        <v>9</v>
      </c>
      <c r="C454" s="10" t="s">
        <v>363</v>
      </c>
      <c r="D454" s="10" t="s">
        <v>364</v>
      </c>
      <c r="E454" s="11" t="str">
        <f>+HYPERLINK("http://trademark.i-assist.jp/data/china/image_1902th/78786931.pdf", "78786931")</f>
        <v>78786931</v>
      </c>
      <c r="F454" s="10" t="s">
        <v>1687</v>
      </c>
      <c r="G454" s="10" t="s">
        <v>1688</v>
      </c>
      <c r="H454" s="10" t="s">
        <v>1689</v>
      </c>
      <c r="I454" s="10" t="s">
        <v>147</v>
      </c>
    </row>
    <row r="455" spans="1:9" x14ac:dyDescent="0.15">
      <c r="A455" s="9">
        <v>454</v>
      </c>
      <c r="B455" s="10" t="s">
        <v>9</v>
      </c>
      <c r="C455" s="10" t="s">
        <v>363</v>
      </c>
      <c r="D455" s="10" t="s">
        <v>364</v>
      </c>
      <c r="E455" s="11" t="str">
        <f>+HYPERLINK("http://trademark.i-assist.jp/data/china/image_1902th/78787333.pdf", "78787333")</f>
        <v>78787333</v>
      </c>
      <c r="F455" s="10" t="s">
        <v>1690</v>
      </c>
      <c r="G455" s="10" t="s">
        <v>1691</v>
      </c>
      <c r="H455" s="10" t="s">
        <v>1692</v>
      </c>
      <c r="I455" s="10" t="s">
        <v>147</v>
      </c>
    </row>
    <row r="456" spans="1:9" x14ac:dyDescent="0.15">
      <c r="A456" s="9">
        <v>455</v>
      </c>
      <c r="B456" s="10" t="s">
        <v>9</v>
      </c>
      <c r="C456" s="10" t="s">
        <v>363</v>
      </c>
      <c r="D456" s="10" t="s">
        <v>364</v>
      </c>
      <c r="E456" s="11" t="str">
        <f>+HYPERLINK("http://trademark.i-assist.jp/data/china/image_1902th/78787990.pdf", "78787990")</f>
        <v>78787990</v>
      </c>
      <c r="F456" s="10" t="s">
        <v>1693</v>
      </c>
      <c r="G456" s="10" t="s">
        <v>1694</v>
      </c>
      <c r="H456" s="10" t="s">
        <v>1695</v>
      </c>
      <c r="I456" s="10" t="s">
        <v>147</v>
      </c>
    </row>
    <row r="457" spans="1:9" x14ac:dyDescent="0.15">
      <c r="A457" s="9">
        <v>456</v>
      </c>
      <c r="B457" s="10" t="s">
        <v>9</v>
      </c>
      <c r="C457" s="10" t="s">
        <v>363</v>
      </c>
      <c r="D457" s="10" t="s">
        <v>364</v>
      </c>
      <c r="E457" s="11" t="str">
        <f>+HYPERLINK("http://trademark.i-assist.jp/data/china/image_1902th/78788591.pdf", "78788591")</f>
        <v>78788591</v>
      </c>
      <c r="F457" s="10" t="s">
        <v>1696</v>
      </c>
      <c r="G457" s="10" t="s">
        <v>1697</v>
      </c>
      <c r="H457" s="10" t="s">
        <v>1698</v>
      </c>
      <c r="I457" s="10" t="s">
        <v>147</v>
      </c>
    </row>
    <row r="458" spans="1:9" x14ac:dyDescent="0.15">
      <c r="A458" s="9">
        <v>457</v>
      </c>
      <c r="B458" s="10" t="s">
        <v>9</v>
      </c>
      <c r="C458" s="10" t="s">
        <v>363</v>
      </c>
      <c r="D458" s="10" t="s">
        <v>364</v>
      </c>
      <c r="E458" s="11" t="str">
        <f>+HYPERLINK("http://trademark.i-assist.jp/data/china/image_1902th/78788606.pdf", "78788606")</f>
        <v>78788606</v>
      </c>
      <c r="F458" s="10" t="s">
        <v>1699</v>
      </c>
      <c r="G458" s="10" t="s">
        <v>1697</v>
      </c>
      <c r="H458" s="10" t="s">
        <v>1700</v>
      </c>
      <c r="I458" s="10" t="s">
        <v>147</v>
      </c>
    </row>
    <row r="459" spans="1:9" x14ac:dyDescent="0.15">
      <c r="A459" s="9">
        <v>458</v>
      </c>
      <c r="B459" s="10" t="s">
        <v>9</v>
      </c>
      <c r="C459" s="10" t="s">
        <v>363</v>
      </c>
      <c r="D459" s="10" t="s">
        <v>364</v>
      </c>
      <c r="E459" s="11" t="str">
        <f>+HYPERLINK("http://trademark.i-assist.jp/data/china/image_1902th/78789065.pdf", "78789065")</f>
        <v>78789065</v>
      </c>
      <c r="F459" s="10" t="s">
        <v>1701</v>
      </c>
      <c r="G459" s="10" t="s">
        <v>1702</v>
      </c>
      <c r="H459" s="10" t="s">
        <v>1703</v>
      </c>
      <c r="I459" s="10" t="s">
        <v>147</v>
      </c>
    </row>
    <row r="460" spans="1:9" x14ac:dyDescent="0.15">
      <c r="A460" s="9">
        <v>459</v>
      </c>
      <c r="B460" s="10" t="s">
        <v>9</v>
      </c>
      <c r="C460" s="10" t="s">
        <v>363</v>
      </c>
      <c r="D460" s="10" t="s">
        <v>364</v>
      </c>
      <c r="E460" s="11" t="str">
        <f>+HYPERLINK("http://trademark.i-assist.jp/data/china/image_1902th/78789797.pdf", "78789797")</f>
        <v>78789797</v>
      </c>
      <c r="F460" s="10" t="s">
        <v>1704</v>
      </c>
      <c r="G460" s="10" t="s">
        <v>1705</v>
      </c>
      <c r="H460" s="10" t="s">
        <v>1706</v>
      </c>
      <c r="I460" s="10" t="s">
        <v>147</v>
      </c>
    </row>
    <row r="461" spans="1:9" x14ac:dyDescent="0.15">
      <c r="A461" s="9">
        <v>460</v>
      </c>
      <c r="B461" s="10" t="s">
        <v>9</v>
      </c>
      <c r="C461" s="10" t="s">
        <v>363</v>
      </c>
      <c r="D461" s="10" t="s">
        <v>364</v>
      </c>
      <c r="E461" s="11" t="str">
        <f>+HYPERLINK("http://trademark.i-assist.jp/data/china/image_1902th/78789803.pdf", "78789803")</f>
        <v>78789803</v>
      </c>
      <c r="F461" s="10" t="s">
        <v>1707</v>
      </c>
      <c r="G461" s="10" t="s">
        <v>1628</v>
      </c>
      <c r="H461" s="10" t="s">
        <v>1708</v>
      </c>
      <c r="I461" s="10" t="s">
        <v>147</v>
      </c>
    </row>
    <row r="462" spans="1:9" x14ac:dyDescent="0.15">
      <c r="A462" s="9">
        <v>461</v>
      </c>
      <c r="B462" s="10" t="s">
        <v>9</v>
      </c>
      <c r="C462" s="10" t="s">
        <v>363</v>
      </c>
      <c r="D462" s="10" t="s">
        <v>364</v>
      </c>
      <c r="E462" s="11" t="str">
        <f>+HYPERLINK("http://trademark.i-assist.jp/data/china/image_1902th/78790209.pdf", "78790209")</f>
        <v>78790209</v>
      </c>
      <c r="F462" s="10" t="s">
        <v>1709</v>
      </c>
      <c r="G462" s="10" t="s">
        <v>1710</v>
      </c>
      <c r="H462" s="10" t="s">
        <v>1711</v>
      </c>
      <c r="I462" s="10" t="s">
        <v>147</v>
      </c>
    </row>
    <row r="463" spans="1:9" x14ac:dyDescent="0.15">
      <c r="A463" s="9">
        <v>462</v>
      </c>
      <c r="B463" s="10" t="s">
        <v>9</v>
      </c>
      <c r="C463" s="10" t="s">
        <v>363</v>
      </c>
      <c r="D463" s="10" t="s">
        <v>364</v>
      </c>
      <c r="E463" s="11" t="str">
        <f>+HYPERLINK("http://trademark.i-assist.jp/data/china/image_1902th/78790857.pdf", "78790857")</f>
        <v>78790857</v>
      </c>
      <c r="F463" s="10" t="s">
        <v>1712</v>
      </c>
      <c r="G463" s="10" t="s">
        <v>1713</v>
      </c>
      <c r="H463" s="10" t="s">
        <v>1714</v>
      </c>
      <c r="I463" s="10" t="s">
        <v>147</v>
      </c>
    </row>
    <row r="464" spans="1:9" x14ac:dyDescent="0.15">
      <c r="A464" s="9">
        <v>463</v>
      </c>
      <c r="B464" s="10" t="s">
        <v>9</v>
      </c>
      <c r="C464" s="10" t="s">
        <v>363</v>
      </c>
      <c r="D464" s="10" t="s">
        <v>364</v>
      </c>
      <c r="E464" s="11" t="str">
        <f>+HYPERLINK("http://trademark.i-assist.jp/data/china/image_1902th/78791304.pdf", "78791304")</f>
        <v>78791304</v>
      </c>
      <c r="F464" s="10" t="s">
        <v>1715</v>
      </c>
      <c r="G464" s="10" t="s">
        <v>1716</v>
      </c>
      <c r="H464" s="10" t="s">
        <v>1717</v>
      </c>
      <c r="I464" s="10" t="s">
        <v>147</v>
      </c>
    </row>
    <row r="465" spans="1:9" x14ac:dyDescent="0.15">
      <c r="A465" s="9">
        <v>464</v>
      </c>
      <c r="B465" s="10" t="s">
        <v>9</v>
      </c>
      <c r="C465" s="10" t="s">
        <v>363</v>
      </c>
      <c r="D465" s="10" t="s">
        <v>364</v>
      </c>
      <c r="E465" s="11" t="str">
        <f>+HYPERLINK("http://trademark.i-assist.jp/data/china/image_1902th/78791636.pdf", "78791636")</f>
        <v>78791636</v>
      </c>
      <c r="F465" s="10" t="s">
        <v>1718</v>
      </c>
      <c r="G465" s="10" t="s">
        <v>1719</v>
      </c>
      <c r="H465" s="10" t="s">
        <v>1720</v>
      </c>
      <c r="I465" s="10" t="s">
        <v>147</v>
      </c>
    </row>
    <row r="466" spans="1:9" x14ac:dyDescent="0.15">
      <c r="A466" s="9">
        <v>465</v>
      </c>
      <c r="B466" s="10" t="s">
        <v>9</v>
      </c>
      <c r="C466" s="10" t="s">
        <v>363</v>
      </c>
      <c r="D466" s="10" t="s">
        <v>364</v>
      </c>
      <c r="E466" s="11" t="str">
        <f>+HYPERLINK("http://trademark.i-assist.jp/data/china/image_1902th/78793050.pdf", "78793050")</f>
        <v>78793050</v>
      </c>
      <c r="F466" s="10" t="s">
        <v>1721</v>
      </c>
      <c r="G466" s="10" t="s">
        <v>1722</v>
      </c>
      <c r="H466" s="10" t="s">
        <v>1723</v>
      </c>
      <c r="I466" s="10" t="s">
        <v>147</v>
      </c>
    </row>
    <row r="467" spans="1:9" x14ac:dyDescent="0.15">
      <c r="A467" s="9">
        <v>466</v>
      </c>
      <c r="B467" s="10" t="s">
        <v>9</v>
      </c>
      <c r="C467" s="10" t="s">
        <v>363</v>
      </c>
      <c r="D467" s="10" t="s">
        <v>364</v>
      </c>
      <c r="E467" s="11" t="str">
        <f>+HYPERLINK("http://trademark.i-assist.jp/data/china/image_1902th/78793740.pdf", "78793740")</f>
        <v>78793740</v>
      </c>
      <c r="F467" s="10" t="s">
        <v>1724</v>
      </c>
      <c r="G467" s="10" t="s">
        <v>1697</v>
      </c>
      <c r="H467" s="10" t="s">
        <v>1725</v>
      </c>
      <c r="I467" s="10" t="s">
        <v>147</v>
      </c>
    </row>
    <row r="468" spans="1:9" x14ac:dyDescent="0.15">
      <c r="A468" s="9">
        <v>467</v>
      </c>
      <c r="B468" s="10" t="s">
        <v>9</v>
      </c>
      <c r="C468" s="10" t="s">
        <v>363</v>
      </c>
      <c r="D468" s="10" t="s">
        <v>364</v>
      </c>
      <c r="E468" s="11" t="str">
        <f>+HYPERLINK("http://trademark.i-assist.jp/data/china/image_1902th/78794604.pdf", "78794604")</f>
        <v>78794604</v>
      </c>
      <c r="F468" s="10" t="s">
        <v>1726</v>
      </c>
      <c r="G468" s="10" t="s">
        <v>1727</v>
      </c>
      <c r="H468" s="10" t="s">
        <v>1728</v>
      </c>
      <c r="I468" s="10" t="s">
        <v>147</v>
      </c>
    </row>
    <row r="469" spans="1:9" x14ac:dyDescent="0.15">
      <c r="A469" s="9">
        <v>468</v>
      </c>
      <c r="B469" s="10" t="s">
        <v>9</v>
      </c>
      <c r="C469" s="10" t="s">
        <v>363</v>
      </c>
      <c r="D469" s="10" t="s">
        <v>364</v>
      </c>
      <c r="E469" s="11" t="str">
        <f>+HYPERLINK("http://trademark.i-assist.jp/data/china/image_1902th/78794649.pdf", "78794649")</f>
        <v>78794649</v>
      </c>
      <c r="F469" s="10" t="s">
        <v>1729</v>
      </c>
      <c r="G469" s="10" t="s">
        <v>55</v>
      </c>
      <c r="H469" s="10" t="s">
        <v>1730</v>
      </c>
      <c r="I469" s="10" t="s">
        <v>147</v>
      </c>
    </row>
    <row r="470" spans="1:9" x14ac:dyDescent="0.15">
      <c r="A470" s="9">
        <v>469</v>
      </c>
      <c r="B470" s="10" t="s">
        <v>9</v>
      </c>
      <c r="C470" s="10" t="s">
        <v>363</v>
      </c>
      <c r="D470" s="10" t="s">
        <v>364</v>
      </c>
      <c r="E470" s="11" t="str">
        <f>+HYPERLINK("http://trademark.i-assist.jp/data/china/image_1902th/78795760.pdf", "78795760")</f>
        <v>78795760</v>
      </c>
      <c r="F470" s="10" t="s">
        <v>1731</v>
      </c>
      <c r="G470" s="10" t="s">
        <v>1732</v>
      </c>
      <c r="H470" s="10" t="s">
        <v>1733</v>
      </c>
      <c r="I470" s="10" t="s">
        <v>147</v>
      </c>
    </row>
    <row r="471" spans="1:9" x14ac:dyDescent="0.15">
      <c r="A471" s="9">
        <v>470</v>
      </c>
      <c r="B471" s="10" t="s">
        <v>9</v>
      </c>
      <c r="C471" s="10" t="s">
        <v>363</v>
      </c>
      <c r="D471" s="10" t="s">
        <v>364</v>
      </c>
      <c r="E471" s="11" t="str">
        <f>+HYPERLINK("http://trademark.i-assist.jp/data/china/image_1902th/78796183.pdf", "78796183")</f>
        <v>78796183</v>
      </c>
      <c r="F471" s="10" t="s">
        <v>1734</v>
      </c>
      <c r="G471" s="10" t="s">
        <v>1735</v>
      </c>
      <c r="H471" s="10" t="s">
        <v>1736</v>
      </c>
      <c r="I471" s="10" t="s">
        <v>147</v>
      </c>
    </row>
    <row r="472" spans="1:9" x14ac:dyDescent="0.15">
      <c r="A472" s="9">
        <v>471</v>
      </c>
      <c r="B472" s="10" t="s">
        <v>9</v>
      </c>
      <c r="C472" s="10" t="s">
        <v>363</v>
      </c>
      <c r="D472" s="10" t="s">
        <v>364</v>
      </c>
      <c r="E472" s="11" t="str">
        <f>+HYPERLINK("http://trademark.i-assist.jp/data/china/image_1902th/78796239.pdf", "78796239")</f>
        <v>78796239</v>
      </c>
      <c r="F472" s="10" t="s">
        <v>1737</v>
      </c>
      <c r="G472" s="10" t="s">
        <v>1738</v>
      </c>
      <c r="H472" s="10" t="s">
        <v>1739</v>
      </c>
      <c r="I472" s="10" t="s">
        <v>147</v>
      </c>
    </row>
    <row r="473" spans="1:9" x14ac:dyDescent="0.15">
      <c r="A473" s="9">
        <v>472</v>
      </c>
      <c r="B473" s="10" t="s">
        <v>9</v>
      </c>
      <c r="C473" s="10" t="s">
        <v>363</v>
      </c>
      <c r="D473" s="10" t="s">
        <v>364</v>
      </c>
      <c r="E473" s="11" t="str">
        <f>+HYPERLINK("http://trademark.i-assist.jp/data/china/image_1902th/78797508.pdf", "78797508")</f>
        <v>78797508</v>
      </c>
      <c r="F473" s="10" t="s">
        <v>1740</v>
      </c>
      <c r="G473" s="10" t="s">
        <v>1741</v>
      </c>
      <c r="H473" s="10" t="s">
        <v>1742</v>
      </c>
      <c r="I473" s="10" t="s">
        <v>147</v>
      </c>
    </row>
    <row r="474" spans="1:9" x14ac:dyDescent="0.15">
      <c r="A474" s="9">
        <v>473</v>
      </c>
      <c r="B474" s="10" t="s">
        <v>9</v>
      </c>
      <c r="C474" s="10" t="s">
        <v>363</v>
      </c>
      <c r="D474" s="10" t="s">
        <v>364</v>
      </c>
      <c r="E474" s="11" t="str">
        <f>+HYPERLINK("http://trademark.i-assist.jp/data/china/image_1902th/78797819.pdf", "78797819")</f>
        <v>78797819</v>
      </c>
      <c r="F474" s="10" t="s">
        <v>1743</v>
      </c>
      <c r="G474" s="10" t="s">
        <v>151</v>
      </c>
      <c r="H474" s="10" t="s">
        <v>1744</v>
      </c>
      <c r="I474" s="10" t="s">
        <v>147</v>
      </c>
    </row>
    <row r="475" spans="1:9" x14ac:dyDescent="0.15">
      <c r="A475" s="9">
        <v>474</v>
      </c>
      <c r="B475" s="10" t="s">
        <v>9</v>
      </c>
      <c r="C475" s="10" t="s">
        <v>363</v>
      </c>
      <c r="D475" s="10" t="s">
        <v>364</v>
      </c>
      <c r="E475" s="11" t="str">
        <f>+HYPERLINK("http://trademark.i-assist.jp/data/china/image_1902th/78798095.pdf", "78798095")</f>
        <v>78798095</v>
      </c>
      <c r="F475" s="10" t="s">
        <v>1745</v>
      </c>
      <c r="G475" s="10" t="s">
        <v>152</v>
      </c>
      <c r="H475" s="10" t="s">
        <v>1746</v>
      </c>
      <c r="I475" s="10" t="s">
        <v>147</v>
      </c>
    </row>
    <row r="476" spans="1:9" x14ac:dyDescent="0.15">
      <c r="A476" s="9">
        <v>475</v>
      </c>
      <c r="B476" s="10" t="s">
        <v>9</v>
      </c>
      <c r="C476" s="10" t="s">
        <v>363</v>
      </c>
      <c r="D476" s="10" t="s">
        <v>364</v>
      </c>
      <c r="E476" s="11" t="str">
        <f>+HYPERLINK("http://trademark.i-assist.jp/data/china/image_1902th/78798376.pdf", "78798376")</f>
        <v>78798376</v>
      </c>
      <c r="F476" s="10" t="s">
        <v>1747</v>
      </c>
      <c r="G476" s="10" t="s">
        <v>1619</v>
      </c>
      <c r="H476" s="10" t="s">
        <v>1748</v>
      </c>
      <c r="I476" s="10" t="s">
        <v>147</v>
      </c>
    </row>
    <row r="477" spans="1:9" x14ac:dyDescent="0.15">
      <c r="A477" s="9">
        <v>476</v>
      </c>
      <c r="B477" s="10" t="s">
        <v>9</v>
      </c>
      <c r="C477" s="10" t="s">
        <v>363</v>
      </c>
      <c r="D477" s="10" t="s">
        <v>364</v>
      </c>
      <c r="E477" s="11" t="str">
        <f>+HYPERLINK("http://trademark.i-assist.jp/data/china/image_1902th/78798977.pdf", "78798977")</f>
        <v>78798977</v>
      </c>
      <c r="F477" s="10" t="s">
        <v>1749</v>
      </c>
      <c r="G477" s="10" t="s">
        <v>1750</v>
      </c>
      <c r="H477" s="10" t="s">
        <v>1751</v>
      </c>
      <c r="I477" s="10" t="s">
        <v>147</v>
      </c>
    </row>
    <row r="478" spans="1:9" x14ac:dyDescent="0.15">
      <c r="A478" s="9">
        <v>477</v>
      </c>
      <c r="B478" s="10" t="s">
        <v>9</v>
      </c>
      <c r="C478" s="10" t="s">
        <v>363</v>
      </c>
      <c r="D478" s="10" t="s">
        <v>364</v>
      </c>
      <c r="E478" s="11" t="str">
        <f>+HYPERLINK("http://trademark.i-assist.jp/data/china/image_1902th/78800158.pdf", "78800158")</f>
        <v>78800158</v>
      </c>
      <c r="F478" s="10" t="s">
        <v>1752</v>
      </c>
      <c r="G478" s="10" t="s">
        <v>1753</v>
      </c>
      <c r="H478" s="10" t="s">
        <v>1754</v>
      </c>
      <c r="I478" s="10" t="s">
        <v>156</v>
      </c>
    </row>
    <row r="479" spans="1:9" x14ac:dyDescent="0.15">
      <c r="A479" s="9">
        <v>478</v>
      </c>
      <c r="B479" s="10" t="s">
        <v>9</v>
      </c>
      <c r="C479" s="10" t="s">
        <v>363</v>
      </c>
      <c r="D479" s="10" t="s">
        <v>364</v>
      </c>
      <c r="E479" s="11" t="str">
        <f>+HYPERLINK("http://trademark.i-assist.jp/data/china/image_1902th/78801323.pdf", "78801323")</f>
        <v>78801323</v>
      </c>
      <c r="F479" s="10" t="s">
        <v>1755</v>
      </c>
      <c r="G479" s="10" t="s">
        <v>275</v>
      </c>
      <c r="H479" s="10" t="s">
        <v>1756</v>
      </c>
      <c r="I479" s="10" t="s">
        <v>156</v>
      </c>
    </row>
    <row r="480" spans="1:9" x14ac:dyDescent="0.15">
      <c r="A480" s="9">
        <v>479</v>
      </c>
      <c r="B480" s="10" t="s">
        <v>9</v>
      </c>
      <c r="C480" s="10" t="s">
        <v>363</v>
      </c>
      <c r="D480" s="10" t="s">
        <v>364</v>
      </c>
      <c r="E480" s="11" t="str">
        <f>+HYPERLINK("http://trademark.i-assist.jp/data/china/image_1902th/78801820.pdf", "78801820")</f>
        <v>78801820</v>
      </c>
      <c r="F480" s="10" t="s">
        <v>1757</v>
      </c>
      <c r="G480" s="10" t="s">
        <v>1758</v>
      </c>
      <c r="H480" s="10" t="s">
        <v>1759</v>
      </c>
      <c r="I480" s="10" t="s">
        <v>156</v>
      </c>
    </row>
    <row r="481" spans="1:9" x14ac:dyDescent="0.15">
      <c r="A481" s="9">
        <v>480</v>
      </c>
      <c r="B481" s="10" t="s">
        <v>9</v>
      </c>
      <c r="C481" s="10" t="s">
        <v>363</v>
      </c>
      <c r="D481" s="10" t="s">
        <v>364</v>
      </c>
      <c r="E481" s="11" t="str">
        <f>+HYPERLINK("http://trademark.i-assist.jp/data/china/image_1902th/78804107.pdf", "78804107")</f>
        <v>78804107</v>
      </c>
      <c r="F481" s="10" t="s">
        <v>12</v>
      </c>
      <c r="G481" s="10" t="s">
        <v>1760</v>
      </c>
      <c r="H481" s="10" t="s">
        <v>1761</v>
      </c>
      <c r="I481" s="10" t="s">
        <v>156</v>
      </c>
    </row>
    <row r="482" spans="1:9" x14ac:dyDescent="0.15">
      <c r="A482" s="9">
        <v>481</v>
      </c>
      <c r="B482" s="10" t="s">
        <v>9</v>
      </c>
      <c r="C482" s="10" t="s">
        <v>363</v>
      </c>
      <c r="D482" s="10" t="s">
        <v>364</v>
      </c>
      <c r="E482" s="11" t="str">
        <f>+HYPERLINK("http://trademark.i-assist.jp/data/china/image_1902th/78804347.pdf", "78804347")</f>
        <v>78804347</v>
      </c>
      <c r="F482" s="10" t="s">
        <v>1762</v>
      </c>
      <c r="G482" s="10" t="s">
        <v>1763</v>
      </c>
      <c r="H482" s="10" t="s">
        <v>1764</v>
      </c>
      <c r="I482" s="10" t="s">
        <v>156</v>
      </c>
    </row>
    <row r="483" spans="1:9" x14ac:dyDescent="0.15">
      <c r="A483" s="9">
        <v>482</v>
      </c>
      <c r="B483" s="10" t="s">
        <v>9</v>
      </c>
      <c r="C483" s="10" t="s">
        <v>363</v>
      </c>
      <c r="D483" s="10" t="s">
        <v>364</v>
      </c>
      <c r="E483" s="11" t="str">
        <f>+HYPERLINK("http://trademark.i-assist.jp/data/china/image_1902th/78804355.pdf", "78804355")</f>
        <v>78804355</v>
      </c>
      <c r="F483" s="10" t="s">
        <v>1765</v>
      </c>
      <c r="G483" s="10" t="s">
        <v>1763</v>
      </c>
      <c r="H483" s="10" t="s">
        <v>1766</v>
      </c>
      <c r="I483" s="10" t="s">
        <v>156</v>
      </c>
    </row>
    <row r="484" spans="1:9" x14ac:dyDescent="0.15">
      <c r="A484" s="9">
        <v>483</v>
      </c>
      <c r="B484" s="10" t="s">
        <v>9</v>
      </c>
      <c r="C484" s="10" t="s">
        <v>363</v>
      </c>
      <c r="D484" s="10" t="s">
        <v>364</v>
      </c>
      <c r="E484" s="11" t="str">
        <f>+HYPERLINK("http://trademark.i-assist.jp/data/china/image_1902th/78805756.pdf", "78805756")</f>
        <v>78805756</v>
      </c>
      <c r="F484" s="10" t="s">
        <v>12</v>
      </c>
      <c r="G484" s="10" t="s">
        <v>1767</v>
      </c>
      <c r="H484" s="10" t="s">
        <v>1768</v>
      </c>
      <c r="I484" s="10" t="s">
        <v>156</v>
      </c>
    </row>
    <row r="485" spans="1:9" x14ac:dyDescent="0.15">
      <c r="A485" s="9">
        <v>484</v>
      </c>
      <c r="B485" s="10" t="s">
        <v>9</v>
      </c>
      <c r="C485" s="10" t="s">
        <v>363</v>
      </c>
      <c r="D485" s="10" t="s">
        <v>364</v>
      </c>
      <c r="E485" s="11" t="str">
        <f>+HYPERLINK("http://trademark.i-assist.jp/data/china/image_1902th/78805851.pdf", "78805851")</f>
        <v>78805851</v>
      </c>
      <c r="F485" s="10" t="s">
        <v>1769</v>
      </c>
      <c r="G485" s="10" t="s">
        <v>1770</v>
      </c>
      <c r="H485" s="10" t="s">
        <v>1771</v>
      </c>
      <c r="I485" s="10" t="s">
        <v>156</v>
      </c>
    </row>
    <row r="486" spans="1:9" x14ac:dyDescent="0.15">
      <c r="A486" s="9">
        <v>485</v>
      </c>
      <c r="B486" s="10" t="s">
        <v>9</v>
      </c>
      <c r="C486" s="10" t="s">
        <v>363</v>
      </c>
      <c r="D486" s="10" t="s">
        <v>364</v>
      </c>
      <c r="E486" s="11" t="str">
        <f>+HYPERLINK("http://trademark.i-assist.jp/data/china/image_1902th/78805938.pdf", "78805938")</f>
        <v>78805938</v>
      </c>
      <c r="F486" s="10" t="s">
        <v>1772</v>
      </c>
      <c r="G486" s="10" t="s">
        <v>1773</v>
      </c>
      <c r="H486" s="10" t="s">
        <v>1774</v>
      </c>
      <c r="I486" s="10" t="s">
        <v>156</v>
      </c>
    </row>
    <row r="487" spans="1:9" x14ac:dyDescent="0.15">
      <c r="A487" s="9">
        <v>486</v>
      </c>
      <c r="B487" s="10" t="s">
        <v>9</v>
      </c>
      <c r="C487" s="10" t="s">
        <v>363</v>
      </c>
      <c r="D487" s="10" t="s">
        <v>364</v>
      </c>
      <c r="E487" s="11" t="str">
        <f>+HYPERLINK("http://trademark.i-assist.jp/data/china/image_1902th/78806090.pdf", "78806090")</f>
        <v>78806090</v>
      </c>
      <c r="F487" s="10" t="s">
        <v>1775</v>
      </c>
      <c r="G487" s="10" t="s">
        <v>1776</v>
      </c>
      <c r="H487" s="10" t="s">
        <v>1777</v>
      </c>
      <c r="I487" s="10" t="s">
        <v>156</v>
      </c>
    </row>
    <row r="488" spans="1:9" x14ac:dyDescent="0.15">
      <c r="A488" s="9">
        <v>487</v>
      </c>
      <c r="B488" s="10" t="s">
        <v>9</v>
      </c>
      <c r="C488" s="10" t="s">
        <v>363</v>
      </c>
      <c r="D488" s="10" t="s">
        <v>364</v>
      </c>
      <c r="E488" s="11" t="str">
        <f>+HYPERLINK("http://trademark.i-assist.jp/data/china/image_1902th/78806465.pdf", "78806465")</f>
        <v>78806465</v>
      </c>
      <c r="F488" s="10" t="s">
        <v>12</v>
      </c>
      <c r="G488" s="10" t="s">
        <v>1778</v>
      </c>
      <c r="H488" s="10" t="s">
        <v>1779</v>
      </c>
      <c r="I488" s="10" t="s">
        <v>156</v>
      </c>
    </row>
    <row r="489" spans="1:9" x14ac:dyDescent="0.15">
      <c r="A489" s="9">
        <v>488</v>
      </c>
      <c r="B489" s="10" t="s">
        <v>9</v>
      </c>
      <c r="C489" s="10" t="s">
        <v>363</v>
      </c>
      <c r="D489" s="10" t="s">
        <v>364</v>
      </c>
      <c r="E489" s="11" t="str">
        <f>+HYPERLINK("http://trademark.i-assist.jp/data/china/image_1902th/78807187.pdf", "78807187")</f>
        <v>78807187</v>
      </c>
      <c r="F489" s="10" t="s">
        <v>1780</v>
      </c>
      <c r="G489" s="10" t="s">
        <v>1781</v>
      </c>
      <c r="H489" s="10" t="s">
        <v>1782</v>
      </c>
      <c r="I489" s="10" t="s">
        <v>156</v>
      </c>
    </row>
    <row r="490" spans="1:9" x14ac:dyDescent="0.15">
      <c r="A490" s="9">
        <v>489</v>
      </c>
      <c r="B490" s="10" t="s">
        <v>9</v>
      </c>
      <c r="C490" s="10" t="s">
        <v>363</v>
      </c>
      <c r="D490" s="10" t="s">
        <v>364</v>
      </c>
      <c r="E490" s="11" t="str">
        <f>+HYPERLINK("http://trademark.i-assist.jp/data/china/image_1902th/78807384.pdf", "78807384")</f>
        <v>78807384</v>
      </c>
      <c r="F490" s="10" t="s">
        <v>1783</v>
      </c>
      <c r="G490" s="10" t="s">
        <v>1784</v>
      </c>
      <c r="H490" s="10" t="s">
        <v>1785</v>
      </c>
      <c r="I490" s="10" t="s">
        <v>156</v>
      </c>
    </row>
    <row r="491" spans="1:9" x14ac:dyDescent="0.15">
      <c r="A491" s="9">
        <v>490</v>
      </c>
      <c r="B491" s="10" t="s">
        <v>9</v>
      </c>
      <c r="C491" s="10" t="s">
        <v>363</v>
      </c>
      <c r="D491" s="10" t="s">
        <v>364</v>
      </c>
      <c r="E491" s="11" t="str">
        <f>+HYPERLINK("http://trademark.i-assist.jp/data/china/image_1902th/78807428.pdf", "78807428")</f>
        <v>78807428</v>
      </c>
      <c r="F491" s="10" t="s">
        <v>12</v>
      </c>
      <c r="G491" s="10" t="s">
        <v>1786</v>
      </c>
      <c r="H491" s="10" t="s">
        <v>1787</v>
      </c>
      <c r="I491" s="10" t="s">
        <v>156</v>
      </c>
    </row>
    <row r="492" spans="1:9" x14ac:dyDescent="0.15">
      <c r="A492" s="9">
        <v>491</v>
      </c>
      <c r="B492" s="10" t="s">
        <v>9</v>
      </c>
      <c r="C492" s="10" t="s">
        <v>363</v>
      </c>
      <c r="D492" s="10" t="s">
        <v>364</v>
      </c>
      <c r="E492" s="11" t="str">
        <f>+HYPERLINK("http://trademark.i-assist.jp/data/china/image_1902th/78807637.pdf", "78807637")</f>
        <v>78807637</v>
      </c>
      <c r="F492" s="10" t="s">
        <v>1788</v>
      </c>
      <c r="G492" s="10" t="s">
        <v>1789</v>
      </c>
      <c r="H492" s="10" t="s">
        <v>1790</v>
      </c>
      <c r="I492" s="10" t="s">
        <v>156</v>
      </c>
    </row>
    <row r="493" spans="1:9" x14ac:dyDescent="0.15">
      <c r="A493" s="9">
        <v>492</v>
      </c>
      <c r="B493" s="10" t="s">
        <v>9</v>
      </c>
      <c r="C493" s="10" t="s">
        <v>363</v>
      </c>
      <c r="D493" s="10" t="s">
        <v>364</v>
      </c>
      <c r="E493" s="11" t="str">
        <f>+HYPERLINK("http://trademark.i-assist.jp/data/china/image_1902th/78807642.pdf", "78807642")</f>
        <v>78807642</v>
      </c>
      <c r="F493" s="10" t="s">
        <v>1791</v>
      </c>
      <c r="G493" s="10" t="s">
        <v>1792</v>
      </c>
      <c r="H493" s="10" t="s">
        <v>1793</v>
      </c>
      <c r="I493" s="10" t="s">
        <v>156</v>
      </c>
    </row>
    <row r="494" spans="1:9" x14ac:dyDescent="0.15">
      <c r="A494" s="9">
        <v>493</v>
      </c>
      <c r="B494" s="10" t="s">
        <v>9</v>
      </c>
      <c r="C494" s="10" t="s">
        <v>363</v>
      </c>
      <c r="D494" s="10" t="s">
        <v>364</v>
      </c>
      <c r="E494" s="11" t="str">
        <f>+HYPERLINK("http://trademark.i-assist.jp/data/china/image_1902th/78807873.pdf", "78807873")</f>
        <v>78807873</v>
      </c>
      <c r="F494" s="10" t="s">
        <v>1794</v>
      </c>
      <c r="G494" s="10" t="s">
        <v>1795</v>
      </c>
      <c r="H494" s="10" t="s">
        <v>1796</v>
      </c>
      <c r="I494" s="10" t="s">
        <v>156</v>
      </c>
    </row>
    <row r="495" spans="1:9" x14ac:dyDescent="0.15">
      <c r="A495" s="9">
        <v>494</v>
      </c>
      <c r="B495" s="10" t="s">
        <v>9</v>
      </c>
      <c r="C495" s="10" t="s">
        <v>363</v>
      </c>
      <c r="D495" s="10" t="s">
        <v>364</v>
      </c>
      <c r="E495" s="11" t="str">
        <f>+HYPERLINK("http://trademark.i-assist.jp/data/china/image_1902th/78808266.pdf", "78808266")</f>
        <v>78808266</v>
      </c>
      <c r="F495" s="10" t="s">
        <v>1797</v>
      </c>
      <c r="G495" s="10" t="s">
        <v>1798</v>
      </c>
      <c r="H495" s="10" t="s">
        <v>1799</v>
      </c>
      <c r="I495" s="10" t="s">
        <v>156</v>
      </c>
    </row>
    <row r="496" spans="1:9" x14ac:dyDescent="0.15">
      <c r="A496" s="9">
        <v>495</v>
      </c>
      <c r="B496" s="10" t="s">
        <v>9</v>
      </c>
      <c r="C496" s="10" t="s">
        <v>363</v>
      </c>
      <c r="D496" s="10" t="s">
        <v>364</v>
      </c>
      <c r="E496" s="11" t="str">
        <f>+HYPERLINK("http://trademark.i-assist.jp/data/china/image_1902th/78808355.pdf", "78808355")</f>
        <v>78808355</v>
      </c>
      <c r="F496" s="10" t="s">
        <v>1800</v>
      </c>
      <c r="G496" s="10" t="s">
        <v>1801</v>
      </c>
      <c r="H496" s="10" t="s">
        <v>1802</v>
      </c>
      <c r="I496" s="10" t="s">
        <v>156</v>
      </c>
    </row>
    <row r="497" spans="1:9" x14ac:dyDescent="0.15">
      <c r="A497" s="9">
        <v>496</v>
      </c>
      <c r="B497" s="10" t="s">
        <v>9</v>
      </c>
      <c r="C497" s="10" t="s">
        <v>363</v>
      </c>
      <c r="D497" s="10" t="s">
        <v>364</v>
      </c>
      <c r="E497" s="11" t="str">
        <f>+HYPERLINK("http://trademark.i-assist.jp/data/china/image_1902th/78808938.pdf", "78808938")</f>
        <v>78808938</v>
      </c>
      <c r="F497" s="10" t="s">
        <v>1803</v>
      </c>
      <c r="G497" s="10" t="s">
        <v>1804</v>
      </c>
      <c r="H497" s="10" t="s">
        <v>1805</v>
      </c>
      <c r="I497" s="10" t="s">
        <v>156</v>
      </c>
    </row>
    <row r="498" spans="1:9" x14ac:dyDescent="0.15">
      <c r="A498" s="9">
        <v>497</v>
      </c>
      <c r="B498" s="10" t="s">
        <v>9</v>
      </c>
      <c r="C498" s="10" t="s">
        <v>363</v>
      </c>
      <c r="D498" s="10" t="s">
        <v>364</v>
      </c>
      <c r="E498" s="11" t="str">
        <f>+HYPERLINK("http://trademark.i-assist.jp/data/china/image_1902th/78809119.pdf", "78809119")</f>
        <v>78809119</v>
      </c>
      <c r="F498" s="10" t="s">
        <v>1806</v>
      </c>
      <c r="G498" s="10" t="s">
        <v>1807</v>
      </c>
      <c r="H498" s="10" t="s">
        <v>1808</v>
      </c>
      <c r="I498" s="10" t="s">
        <v>156</v>
      </c>
    </row>
    <row r="499" spans="1:9" x14ac:dyDescent="0.15">
      <c r="A499" s="9">
        <v>498</v>
      </c>
      <c r="B499" s="10" t="s">
        <v>9</v>
      </c>
      <c r="C499" s="10" t="s">
        <v>363</v>
      </c>
      <c r="D499" s="10" t="s">
        <v>364</v>
      </c>
      <c r="E499" s="11" t="str">
        <f>+HYPERLINK("http://trademark.i-assist.jp/data/china/image_1902th/78809357.pdf", "78809357")</f>
        <v>78809357</v>
      </c>
      <c r="F499" s="10" t="s">
        <v>1809</v>
      </c>
      <c r="G499" s="10" t="s">
        <v>1810</v>
      </c>
      <c r="H499" s="10" t="s">
        <v>1811</v>
      </c>
      <c r="I499" s="10" t="s">
        <v>156</v>
      </c>
    </row>
    <row r="500" spans="1:9" x14ac:dyDescent="0.15">
      <c r="A500" s="9">
        <v>499</v>
      </c>
      <c r="B500" s="10" t="s">
        <v>9</v>
      </c>
      <c r="C500" s="10" t="s">
        <v>363</v>
      </c>
      <c r="D500" s="10" t="s">
        <v>364</v>
      </c>
      <c r="E500" s="11" t="str">
        <f>+HYPERLINK("http://trademark.i-assist.jp/data/china/image_1902th/78810178.pdf", "78810178")</f>
        <v>78810178</v>
      </c>
      <c r="F500" s="10" t="s">
        <v>1812</v>
      </c>
      <c r="G500" s="10" t="s">
        <v>1813</v>
      </c>
      <c r="H500" s="10" t="s">
        <v>1814</v>
      </c>
      <c r="I500" s="10" t="s">
        <v>156</v>
      </c>
    </row>
    <row r="501" spans="1:9" x14ac:dyDescent="0.15">
      <c r="A501" s="9">
        <v>500</v>
      </c>
      <c r="B501" s="10" t="s">
        <v>9</v>
      </c>
      <c r="C501" s="10" t="s">
        <v>363</v>
      </c>
      <c r="D501" s="10" t="s">
        <v>364</v>
      </c>
      <c r="E501" s="11" t="str">
        <f>+HYPERLINK("http://trademark.i-assist.jp/data/china/image_1902th/78810355.pdf", "78810355")</f>
        <v>78810355</v>
      </c>
      <c r="F501" s="10" t="s">
        <v>1815</v>
      </c>
      <c r="G501" s="10" t="s">
        <v>1816</v>
      </c>
      <c r="H501" s="10" t="s">
        <v>1817</v>
      </c>
      <c r="I501" s="10" t="s">
        <v>156</v>
      </c>
    </row>
    <row r="502" spans="1:9" x14ac:dyDescent="0.15">
      <c r="A502" s="9">
        <v>501</v>
      </c>
      <c r="B502" s="10" t="s">
        <v>9</v>
      </c>
      <c r="C502" s="10" t="s">
        <v>363</v>
      </c>
      <c r="D502" s="10" t="s">
        <v>364</v>
      </c>
      <c r="E502" s="11" t="str">
        <f>+HYPERLINK("http://trademark.i-assist.jp/data/china/image_1902th/78810837.pdf", "78810837")</f>
        <v>78810837</v>
      </c>
      <c r="F502" s="10" t="s">
        <v>1818</v>
      </c>
      <c r="G502" s="10" t="s">
        <v>1819</v>
      </c>
      <c r="H502" s="10" t="s">
        <v>1820</v>
      </c>
      <c r="I502" s="10" t="s">
        <v>156</v>
      </c>
    </row>
    <row r="503" spans="1:9" x14ac:dyDescent="0.15">
      <c r="A503" s="9">
        <v>502</v>
      </c>
      <c r="B503" s="10" t="s">
        <v>9</v>
      </c>
      <c r="C503" s="10" t="s">
        <v>363</v>
      </c>
      <c r="D503" s="10" t="s">
        <v>364</v>
      </c>
      <c r="E503" s="11" t="str">
        <f>+HYPERLINK("http://trademark.i-assist.jp/data/china/image_1902th/78811077.pdf", "78811077")</f>
        <v>78811077</v>
      </c>
      <c r="F503" s="10" t="s">
        <v>1821</v>
      </c>
      <c r="G503" s="10" t="s">
        <v>66</v>
      </c>
      <c r="H503" s="10" t="s">
        <v>1822</v>
      </c>
      <c r="I503" s="10" t="s">
        <v>156</v>
      </c>
    </row>
    <row r="504" spans="1:9" x14ac:dyDescent="0.15">
      <c r="A504" s="9">
        <v>503</v>
      </c>
      <c r="B504" s="10" t="s">
        <v>9</v>
      </c>
      <c r="C504" s="10" t="s">
        <v>363</v>
      </c>
      <c r="D504" s="10" t="s">
        <v>364</v>
      </c>
      <c r="E504" s="11" t="str">
        <f>+HYPERLINK("http://trademark.i-assist.jp/data/china/image_1902th/78811143.pdf", "78811143")</f>
        <v>78811143</v>
      </c>
      <c r="F504" s="10" t="s">
        <v>1823</v>
      </c>
      <c r="G504" s="10" t="s">
        <v>1824</v>
      </c>
      <c r="H504" s="10" t="s">
        <v>1825</v>
      </c>
      <c r="I504" s="10" t="s">
        <v>156</v>
      </c>
    </row>
    <row r="505" spans="1:9" x14ac:dyDescent="0.15">
      <c r="A505" s="9">
        <v>504</v>
      </c>
      <c r="B505" s="10" t="s">
        <v>9</v>
      </c>
      <c r="C505" s="10" t="s">
        <v>363</v>
      </c>
      <c r="D505" s="10" t="s">
        <v>364</v>
      </c>
      <c r="E505" s="11" t="str">
        <f>+HYPERLINK("http://trademark.i-assist.jp/data/china/image_1902th/78811613.pdf", "78811613")</f>
        <v>78811613</v>
      </c>
      <c r="F505" s="10" t="s">
        <v>1826</v>
      </c>
      <c r="G505" s="10" t="s">
        <v>1813</v>
      </c>
      <c r="H505" s="10" t="s">
        <v>1827</v>
      </c>
      <c r="I505" s="10" t="s">
        <v>156</v>
      </c>
    </row>
    <row r="506" spans="1:9" x14ac:dyDescent="0.15">
      <c r="A506" s="9">
        <v>505</v>
      </c>
      <c r="B506" s="10" t="s">
        <v>9</v>
      </c>
      <c r="C506" s="10" t="s">
        <v>363</v>
      </c>
      <c r="D506" s="10" t="s">
        <v>364</v>
      </c>
      <c r="E506" s="11" t="str">
        <f>+HYPERLINK("http://trademark.i-assist.jp/data/china/image_1902th/78811649.pdf", "78811649")</f>
        <v>78811649</v>
      </c>
      <c r="F506" s="10" t="s">
        <v>1828</v>
      </c>
      <c r="G506" s="10" t="s">
        <v>1829</v>
      </c>
      <c r="H506" s="10" t="s">
        <v>1830</v>
      </c>
      <c r="I506" s="10" t="s">
        <v>156</v>
      </c>
    </row>
    <row r="507" spans="1:9" x14ac:dyDescent="0.15">
      <c r="A507" s="9">
        <v>506</v>
      </c>
      <c r="B507" s="10" t="s">
        <v>9</v>
      </c>
      <c r="C507" s="10" t="s">
        <v>363</v>
      </c>
      <c r="D507" s="10" t="s">
        <v>364</v>
      </c>
      <c r="E507" s="11" t="str">
        <f>+HYPERLINK("http://trademark.i-assist.jp/data/china/image_1902th/78811930.pdf", "78811930")</f>
        <v>78811930</v>
      </c>
      <c r="F507" s="10" t="s">
        <v>1831</v>
      </c>
      <c r="G507" s="10" t="s">
        <v>55</v>
      </c>
      <c r="H507" s="10" t="s">
        <v>1832</v>
      </c>
      <c r="I507" s="10" t="s">
        <v>156</v>
      </c>
    </row>
    <row r="508" spans="1:9" x14ac:dyDescent="0.15">
      <c r="A508" s="9">
        <v>507</v>
      </c>
      <c r="B508" s="10" t="s">
        <v>9</v>
      </c>
      <c r="C508" s="10" t="s">
        <v>363</v>
      </c>
      <c r="D508" s="10" t="s">
        <v>364</v>
      </c>
      <c r="E508" s="11" t="str">
        <f>+HYPERLINK("http://trademark.i-assist.jp/data/china/image_1902th/78812019.pdf", "78812019")</f>
        <v>78812019</v>
      </c>
      <c r="F508" s="10" t="s">
        <v>1833</v>
      </c>
      <c r="G508" s="10" t="s">
        <v>1834</v>
      </c>
      <c r="H508" s="10" t="s">
        <v>1835</v>
      </c>
      <c r="I508" s="10" t="s">
        <v>156</v>
      </c>
    </row>
    <row r="509" spans="1:9" x14ac:dyDescent="0.15">
      <c r="A509" s="9">
        <v>508</v>
      </c>
      <c r="B509" s="10" t="s">
        <v>9</v>
      </c>
      <c r="C509" s="10" t="s">
        <v>363</v>
      </c>
      <c r="D509" s="10" t="s">
        <v>364</v>
      </c>
      <c r="E509" s="11" t="str">
        <f>+HYPERLINK("http://trademark.i-assist.jp/data/china/image_1902th/78812132.pdf", "78812132")</f>
        <v>78812132</v>
      </c>
      <c r="F509" s="10" t="s">
        <v>1836</v>
      </c>
      <c r="G509" s="10" t="s">
        <v>1837</v>
      </c>
      <c r="H509" s="10" t="s">
        <v>1838</v>
      </c>
      <c r="I509" s="10" t="s">
        <v>156</v>
      </c>
    </row>
    <row r="510" spans="1:9" x14ac:dyDescent="0.15">
      <c r="A510" s="9">
        <v>509</v>
      </c>
      <c r="B510" s="10" t="s">
        <v>9</v>
      </c>
      <c r="C510" s="10" t="s">
        <v>363</v>
      </c>
      <c r="D510" s="10" t="s">
        <v>364</v>
      </c>
      <c r="E510" s="11" t="str">
        <f>+HYPERLINK("http://trademark.i-assist.jp/data/china/image_1902th/78812426.pdf", "78812426")</f>
        <v>78812426</v>
      </c>
      <c r="F510" s="10" t="s">
        <v>1839</v>
      </c>
      <c r="G510" s="10" t="s">
        <v>1840</v>
      </c>
      <c r="H510" s="10" t="s">
        <v>1841</v>
      </c>
      <c r="I510" s="10" t="s">
        <v>156</v>
      </c>
    </row>
    <row r="511" spans="1:9" x14ac:dyDescent="0.15">
      <c r="A511" s="9">
        <v>510</v>
      </c>
      <c r="B511" s="10" t="s">
        <v>9</v>
      </c>
      <c r="C511" s="10" t="s">
        <v>363</v>
      </c>
      <c r="D511" s="10" t="s">
        <v>364</v>
      </c>
      <c r="E511" s="11" t="str">
        <f>+HYPERLINK("http://trademark.i-assist.jp/data/china/image_1902th/78812594.pdf", "78812594")</f>
        <v>78812594</v>
      </c>
      <c r="F511" s="10" t="s">
        <v>12</v>
      </c>
      <c r="G511" s="10" t="s">
        <v>1842</v>
      </c>
      <c r="H511" s="10" t="s">
        <v>1843</v>
      </c>
      <c r="I511" s="10" t="s">
        <v>156</v>
      </c>
    </row>
    <row r="512" spans="1:9" x14ac:dyDescent="0.15">
      <c r="A512" s="9">
        <v>511</v>
      </c>
      <c r="B512" s="10" t="s">
        <v>9</v>
      </c>
      <c r="C512" s="10" t="s">
        <v>363</v>
      </c>
      <c r="D512" s="10" t="s">
        <v>364</v>
      </c>
      <c r="E512" s="11" t="str">
        <f>+HYPERLINK("http://trademark.i-assist.jp/data/china/image_1902th/78812715.pdf", "78812715")</f>
        <v>78812715</v>
      </c>
      <c r="F512" s="10" t="s">
        <v>1844</v>
      </c>
      <c r="G512" s="10" t="s">
        <v>1845</v>
      </c>
      <c r="H512" s="10" t="s">
        <v>1846</v>
      </c>
      <c r="I512" s="10" t="s">
        <v>156</v>
      </c>
    </row>
    <row r="513" spans="1:9" x14ac:dyDescent="0.15">
      <c r="A513" s="9">
        <v>512</v>
      </c>
      <c r="B513" s="10" t="s">
        <v>9</v>
      </c>
      <c r="C513" s="10" t="s">
        <v>363</v>
      </c>
      <c r="D513" s="10" t="s">
        <v>364</v>
      </c>
      <c r="E513" s="11" t="str">
        <f>+HYPERLINK("http://trademark.i-assist.jp/data/china/image_1902th/78813078.pdf", "78813078")</f>
        <v>78813078</v>
      </c>
      <c r="F513" s="10" t="s">
        <v>1847</v>
      </c>
      <c r="G513" s="10" t="s">
        <v>1848</v>
      </c>
      <c r="H513" s="10" t="s">
        <v>1849</v>
      </c>
      <c r="I513" s="10" t="s">
        <v>156</v>
      </c>
    </row>
    <row r="514" spans="1:9" x14ac:dyDescent="0.15">
      <c r="A514" s="9">
        <v>513</v>
      </c>
      <c r="B514" s="10" t="s">
        <v>9</v>
      </c>
      <c r="C514" s="10" t="s">
        <v>363</v>
      </c>
      <c r="D514" s="10" t="s">
        <v>364</v>
      </c>
      <c r="E514" s="11" t="str">
        <f>+HYPERLINK("http://trademark.i-assist.jp/data/china/image_1902th/78813943.pdf", "78813943")</f>
        <v>78813943</v>
      </c>
      <c r="F514" s="10" t="s">
        <v>1850</v>
      </c>
      <c r="G514" s="10" t="s">
        <v>1851</v>
      </c>
      <c r="H514" s="10" t="s">
        <v>1852</v>
      </c>
      <c r="I514" s="10" t="s">
        <v>164</v>
      </c>
    </row>
    <row r="515" spans="1:9" x14ac:dyDescent="0.15">
      <c r="A515" s="9">
        <v>514</v>
      </c>
      <c r="B515" s="10" t="s">
        <v>9</v>
      </c>
      <c r="C515" s="10" t="s">
        <v>363</v>
      </c>
      <c r="D515" s="10" t="s">
        <v>364</v>
      </c>
      <c r="E515" s="11" t="str">
        <f>+HYPERLINK("http://trademark.i-assist.jp/data/china/image_1902th/78815274.pdf", "78815274")</f>
        <v>78815274</v>
      </c>
      <c r="F515" s="10" t="s">
        <v>1853</v>
      </c>
      <c r="G515" s="10" t="s">
        <v>1770</v>
      </c>
      <c r="H515" s="10" t="s">
        <v>1854</v>
      </c>
      <c r="I515" s="10" t="s">
        <v>156</v>
      </c>
    </row>
    <row r="516" spans="1:9" x14ac:dyDescent="0.15">
      <c r="A516" s="9">
        <v>515</v>
      </c>
      <c r="B516" s="10" t="s">
        <v>9</v>
      </c>
      <c r="C516" s="10" t="s">
        <v>363</v>
      </c>
      <c r="D516" s="10" t="s">
        <v>364</v>
      </c>
      <c r="E516" s="11" t="str">
        <f>+HYPERLINK("http://trademark.i-assist.jp/data/china/image_1902th/78815424.pdf", "78815424")</f>
        <v>78815424</v>
      </c>
      <c r="F516" s="10" t="s">
        <v>1855</v>
      </c>
      <c r="G516" s="10" t="s">
        <v>1856</v>
      </c>
      <c r="H516" s="10" t="s">
        <v>1857</v>
      </c>
      <c r="I516" s="10" t="s">
        <v>156</v>
      </c>
    </row>
    <row r="517" spans="1:9" x14ac:dyDescent="0.15">
      <c r="A517" s="9">
        <v>516</v>
      </c>
      <c r="B517" s="10" t="s">
        <v>9</v>
      </c>
      <c r="C517" s="10" t="s">
        <v>363</v>
      </c>
      <c r="D517" s="10" t="s">
        <v>364</v>
      </c>
      <c r="E517" s="11" t="str">
        <f>+HYPERLINK("http://trademark.i-assist.jp/data/china/image_1902th/78815865.pdf", "78815865")</f>
        <v>78815865</v>
      </c>
      <c r="F517" s="10" t="s">
        <v>1858</v>
      </c>
      <c r="G517" s="10" t="s">
        <v>1789</v>
      </c>
      <c r="H517" s="10" t="s">
        <v>1859</v>
      </c>
      <c r="I517" s="10" t="s">
        <v>156</v>
      </c>
    </row>
    <row r="518" spans="1:9" x14ac:dyDescent="0.15">
      <c r="A518" s="9">
        <v>517</v>
      </c>
      <c r="B518" s="10" t="s">
        <v>9</v>
      </c>
      <c r="C518" s="10" t="s">
        <v>363</v>
      </c>
      <c r="D518" s="10" t="s">
        <v>364</v>
      </c>
      <c r="E518" s="11" t="str">
        <f>+HYPERLINK("http://trademark.i-assist.jp/data/china/image_1902th/78815911.pdf", "78815911")</f>
        <v>78815911</v>
      </c>
      <c r="F518" s="10" t="s">
        <v>1860</v>
      </c>
      <c r="G518" s="10" t="s">
        <v>1861</v>
      </c>
      <c r="H518" s="10" t="s">
        <v>1862</v>
      </c>
      <c r="I518" s="10" t="s">
        <v>156</v>
      </c>
    </row>
    <row r="519" spans="1:9" x14ac:dyDescent="0.15">
      <c r="A519" s="9">
        <v>518</v>
      </c>
      <c r="B519" s="10" t="s">
        <v>9</v>
      </c>
      <c r="C519" s="10" t="s">
        <v>363</v>
      </c>
      <c r="D519" s="10" t="s">
        <v>364</v>
      </c>
      <c r="E519" s="11" t="str">
        <f>+HYPERLINK("http://trademark.i-assist.jp/data/china/image_1902th/78816031.pdf", "78816031")</f>
        <v>78816031</v>
      </c>
      <c r="F519" s="10" t="s">
        <v>12</v>
      </c>
      <c r="G519" s="10" t="s">
        <v>1863</v>
      </c>
      <c r="H519" s="10" t="s">
        <v>1864</v>
      </c>
      <c r="I519" s="10" t="s">
        <v>156</v>
      </c>
    </row>
    <row r="520" spans="1:9" x14ac:dyDescent="0.15">
      <c r="A520" s="9">
        <v>519</v>
      </c>
      <c r="B520" s="10" t="s">
        <v>9</v>
      </c>
      <c r="C520" s="10" t="s">
        <v>363</v>
      </c>
      <c r="D520" s="10" t="s">
        <v>364</v>
      </c>
      <c r="E520" s="11" t="str">
        <f>+HYPERLINK("http://trademark.i-assist.jp/data/china/image_1902th/78816261.pdf", "78816261")</f>
        <v>78816261</v>
      </c>
      <c r="F520" s="10" t="s">
        <v>1865</v>
      </c>
      <c r="G520" s="10" t="s">
        <v>1763</v>
      </c>
      <c r="H520" s="10" t="s">
        <v>1866</v>
      </c>
      <c r="I520" s="10" t="s">
        <v>156</v>
      </c>
    </row>
    <row r="521" spans="1:9" x14ac:dyDescent="0.15">
      <c r="A521" s="9">
        <v>520</v>
      </c>
      <c r="B521" s="10" t="s">
        <v>9</v>
      </c>
      <c r="C521" s="10" t="s">
        <v>363</v>
      </c>
      <c r="D521" s="10" t="s">
        <v>364</v>
      </c>
      <c r="E521" s="11" t="str">
        <f>+HYPERLINK("http://trademark.i-assist.jp/data/china/image_1902th/78817130.pdf", "78817130")</f>
        <v>78817130</v>
      </c>
      <c r="F521" s="10" t="s">
        <v>1867</v>
      </c>
      <c r="G521" s="10" t="s">
        <v>1868</v>
      </c>
      <c r="H521" s="10" t="s">
        <v>1869</v>
      </c>
      <c r="I521" s="10" t="s">
        <v>156</v>
      </c>
    </row>
    <row r="522" spans="1:9" x14ac:dyDescent="0.15">
      <c r="A522" s="9">
        <v>521</v>
      </c>
      <c r="B522" s="10" t="s">
        <v>9</v>
      </c>
      <c r="C522" s="10" t="s">
        <v>363</v>
      </c>
      <c r="D522" s="10" t="s">
        <v>364</v>
      </c>
      <c r="E522" s="11" t="str">
        <f>+HYPERLINK("http://trademark.i-assist.jp/data/china/image_1902th/78817355.pdf", "78817355")</f>
        <v>78817355</v>
      </c>
      <c r="F522" s="10" t="s">
        <v>1870</v>
      </c>
      <c r="G522" s="10" t="s">
        <v>162</v>
      </c>
      <c r="H522" s="10" t="s">
        <v>1871</v>
      </c>
      <c r="I522" s="10" t="s">
        <v>156</v>
      </c>
    </row>
    <row r="523" spans="1:9" x14ac:dyDescent="0.15">
      <c r="A523" s="9">
        <v>522</v>
      </c>
      <c r="B523" s="10" t="s">
        <v>9</v>
      </c>
      <c r="C523" s="10" t="s">
        <v>363</v>
      </c>
      <c r="D523" s="10" t="s">
        <v>364</v>
      </c>
      <c r="E523" s="11" t="str">
        <f>+HYPERLINK("http://trademark.i-assist.jp/data/china/image_1902th/78817485.pdf", "78817485")</f>
        <v>78817485</v>
      </c>
      <c r="F523" s="10" t="s">
        <v>1872</v>
      </c>
      <c r="G523" s="10" t="s">
        <v>1789</v>
      </c>
      <c r="H523" s="10" t="s">
        <v>1873</v>
      </c>
      <c r="I523" s="10" t="s">
        <v>156</v>
      </c>
    </row>
    <row r="524" spans="1:9" x14ac:dyDescent="0.15">
      <c r="A524" s="9">
        <v>523</v>
      </c>
      <c r="B524" s="10" t="s">
        <v>9</v>
      </c>
      <c r="C524" s="10" t="s">
        <v>363</v>
      </c>
      <c r="D524" s="10" t="s">
        <v>364</v>
      </c>
      <c r="E524" s="11" t="str">
        <f>+HYPERLINK("http://trademark.i-assist.jp/data/china/image_1902th/78817751.pdf", "78817751")</f>
        <v>78817751</v>
      </c>
      <c r="F524" s="10" t="s">
        <v>1874</v>
      </c>
      <c r="G524" s="10" t="s">
        <v>1875</v>
      </c>
      <c r="H524" s="10" t="s">
        <v>1876</v>
      </c>
      <c r="I524" s="10" t="s">
        <v>156</v>
      </c>
    </row>
    <row r="525" spans="1:9" x14ac:dyDescent="0.15">
      <c r="A525" s="9">
        <v>524</v>
      </c>
      <c r="B525" s="10" t="s">
        <v>9</v>
      </c>
      <c r="C525" s="10" t="s">
        <v>363</v>
      </c>
      <c r="D525" s="10" t="s">
        <v>364</v>
      </c>
      <c r="E525" s="11" t="str">
        <f>+HYPERLINK("http://trademark.i-assist.jp/data/china/image_1902th/78817977.pdf", "78817977")</f>
        <v>78817977</v>
      </c>
      <c r="F525" s="10" t="s">
        <v>1877</v>
      </c>
      <c r="G525" s="10" t="s">
        <v>1878</v>
      </c>
      <c r="H525" s="10" t="s">
        <v>1879</v>
      </c>
      <c r="I525" s="10" t="s">
        <v>156</v>
      </c>
    </row>
    <row r="526" spans="1:9" x14ac:dyDescent="0.15">
      <c r="A526" s="9">
        <v>525</v>
      </c>
      <c r="B526" s="10" t="s">
        <v>9</v>
      </c>
      <c r="C526" s="10" t="s">
        <v>363</v>
      </c>
      <c r="D526" s="10" t="s">
        <v>364</v>
      </c>
      <c r="E526" s="11" t="str">
        <f>+HYPERLINK("http://trademark.i-assist.jp/data/china/image_1902th/78818092.pdf", "78818092")</f>
        <v>78818092</v>
      </c>
      <c r="F526" s="10" t="s">
        <v>1880</v>
      </c>
      <c r="G526" s="10" t="s">
        <v>1881</v>
      </c>
      <c r="H526" s="10" t="s">
        <v>1882</v>
      </c>
      <c r="I526" s="10" t="s">
        <v>156</v>
      </c>
    </row>
    <row r="527" spans="1:9" x14ac:dyDescent="0.15">
      <c r="A527" s="9">
        <v>526</v>
      </c>
      <c r="B527" s="10" t="s">
        <v>9</v>
      </c>
      <c r="C527" s="10" t="s">
        <v>363</v>
      </c>
      <c r="D527" s="10" t="s">
        <v>364</v>
      </c>
      <c r="E527" s="11" t="str">
        <f>+HYPERLINK("http://trademark.i-assist.jp/data/china/image_1902th/78818386.pdf", "78818386")</f>
        <v>78818386</v>
      </c>
      <c r="F527" s="10" t="s">
        <v>12</v>
      </c>
      <c r="G527" s="10" t="s">
        <v>1883</v>
      </c>
      <c r="H527" s="10" t="s">
        <v>1884</v>
      </c>
      <c r="I527" s="10" t="s">
        <v>156</v>
      </c>
    </row>
    <row r="528" spans="1:9" x14ac:dyDescent="0.15">
      <c r="A528" s="9">
        <v>527</v>
      </c>
      <c r="B528" s="10" t="s">
        <v>9</v>
      </c>
      <c r="C528" s="10" t="s">
        <v>363</v>
      </c>
      <c r="D528" s="10" t="s">
        <v>364</v>
      </c>
      <c r="E528" s="11" t="str">
        <f>+HYPERLINK("http://trademark.i-assist.jp/data/china/image_1902th/78819021.pdf", "78819021")</f>
        <v>78819021</v>
      </c>
      <c r="F528" s="10" t="s">
        <v>1885</v>
      </c>
      <c r="G528" s="10" t="s">
        <v>1886</v>
      </c>
      <c r="H528" s="10" t="s">
        <v>1887</v>
      </c>
      <c r="I528" s="10" t="s">
        <v>156</v>
      </c>
    </row>
    <row r="529" spans="1:9" x14ac:dyDescent="0.15">
      <c r="A529" s="9">
        <v>528</v>
      </c>
      <c r="B529" s="10" t="s">
        <v>9</v>
      </c>
      <c r="C529" s="10" t="s">
        <v>363</v>
      </c>
      <c r="D529" s="10" t="s">
        <v>364</v>
      </c>
      <c r="E529" s="11" t="str">
        <f>+HYPERLINK("http://trademark.i-assist.jp/data/china/image_1902th/78820178.pdf", "78820178")</f>
        <v>78820178</v>
      </c>
      <c r="F529" s="10" t="s">
        <v>1888</v>
      </c>
      <c r="G529" s="10" t="s">
        <v>1889</v>
      </c>
      <c r="H529" s="10" t="s">
        <v>1890</v>
      </c>
      <c r="I529" s="10" t="s">
        <v>156</v>
      </c>
    </row>
    <row r="530" spans="1:9" x14ac:dyDescent="0.15">
      <c r="A530" s="9">
        <v>529</v>
      </c>
      <c r="B530" s="10" t="s">
        <v>9</v>
      </c>
      <c r="C530" s="10" t="s">
        <v>363</v>
      </c>
      <c r="D530" s="10" t="s">
        <v>364</v>
      </c>
      <c r="E530" s="11" t="str">
        <f>+HYPERLINK("http://trademark.i-assist.jp/data/china/image_1902th/78820334.pdf", "78820334")</f>
        <v>78820334</v>
      </c>
      <c r="F530" s="10" t="s">
        <v>1891</v>
      </c>
      <c r="G530" s="10" t="s">
        <v>873</v>
      </c>
      <c r="H530" s="10" t="s">
        <v>1892</v>
      </c>
      <c r="I530" s="10" t="s">
        <v>156</v>
      </c>
    </row>
    <row r="531" spans="1:9" x14ac:dyDescent="0.15">
      <c r="A531" s="9">
        <v>530</v>
      </c>
      <c r="B531" s="10" t="s">
        <v>9</v>
      </c>
      <c r="C531" s="10" t="s">
        <v>363</v>
      </c>
      <c r="D531" s="10" t="s">
        <v>364</v>
      </c>
      <c r="E531" s="11" t="str">
        <f>+HYPERLINK("http://trademark.i-assist.jp/data/china/image_1902th/78821125.pdf", "78821125")</f>
        <v>78821125</v>
      </c>
      <c r="F531" s="10" t="s">
        <v>1893</v>
      </c>
      <c r="G531" s="10" t="s">
        <v>162</v>
      </c>
      <c r="H531" s="10" t="s">
        <v>1894</v>
      </c>
      <c r="I531" s="10" t="s">
        <v>156</v>
      </c>
    </row>
    <row r="532" spans="1:9" x14ac:dyDescent="0.15">
      <c r="A532" s="9">
        <v>531</v>
      </c>
      <c r="B532" s="10" t="s">
        <v>9</v>
      </c>
      <c r="C532" s="10" t="s">
        <v>363</v>
      </c>
      <c r="D532" s="10" t="s">
        <v>364</v>
      </c>
      <c r="E532" s="11" t="str">
        <f>+HYPERLINK("http://trademark.i-assist.jp/data/china/image_1902th/78821253.pdf", "78821253")</f>
        <v>78821253</v>
      </c>
      <c r="F532" s="10" t="s">
        <v>1895</v>
      </c>
      <c r="G532" s="10" t="s">
        <v>1896</v>
      </c>
      <c r="H532" s="10" t="s">
        <v>1897</v>
      </c>
      <c r="I532" s="10" t="s">
        <v>156</v>
      </c>
    </row>
    <row r="533" spans="1:9" x14ac:dyDescent="0.15">
      <c r="A533" s="9">
        <v>532</v>
      </c>
      <c r="B533" s="10" t="s">
        <v>9</v>
      </c>
      <c r="C533" s="10" t="s">
        <v>363</v>
      </c>
      <c r="D533" s="10" t="s">
        <v>364</v>
      </c>
      <c r="E533" s="11" t="str">
        <f>+HYPERLINK("http://trademark.i-assist.jp/data/china/image_1902th/78821844.pdf", "78821844")</f>
        <v>78821844</v>
      </c>
      <c r="F533" s="10" t="s">
        <v>1898</v>
      </c>
      <c r="G533" s="10" t="s">
        <v>347</v>
      </c>
      <c r="H533" s="10" t="s">
        <v>1899</v>
      </c>
      <c r="I533" s="10" t="s">
        <v>156</v>
      </c>
    </row>
    <row r="534" spans="1:9" x14ac:dyDescent="0.15">
      <c r="A534" s="9">
        <v>533</v>
      </c>
      <c r="B534" s="10" t="s">
        <v>9</v>
      </c>
      <c r="C534" s="10" t="s">
        <v>363</v>
      </c>
      <c r="D534" s="10" t="s">
        <v>364</v>
      </c>
      <c r="E534" s="11" t="str">
        <f>+HYPERLINK("http://trademark.i-assist.jp/data/china/image_1902th/78822091.pdf", "78822091")</f>
        <v>78822091</v>
      </c>
      <c r="F534" s="10" t="s">
        <v>1900</v>
      </c>
      <c r="G534" s="10" t="s">
        <v>1901</v>
      </c>
      <c r="H534" s="10" t="s">
        <v>1902</v>
      </c>
      <c r="I534" s="10" t="s">
        <v>156</v>
      </c>
    </row>
    <row r="535" spans="1:9" x14ac:dyDescent="0.15">
      <c r="A535" s="9">
        <v>534</v>
      </c>
      <c r="B535" s="10" t="s">
        <v>9</v>
      </c>
      <c r="C535" s="10" t="s">
        <v>363</v>
      </c>
      <c r="D535" s="10" t="s">
        <v>364</v>
      </c>
      <c r="E535" s="11" t="str">
        <f>+HYPERLINK("http://trademark.i-assist.jp/data/china/image_1902th/78822094.pdf", "78822094")</f>
        <v>78822094</v>
      </c>
      <c r="F535" s="10" t="s">
        <v>1903</v>
      </c>
      <c r="G535" s="10" t="s">
        <v>1904</v>
      </c>
      <c r="H535" s="10" t="s">
        <v>1905</v>
      </c>
      <c r="I535" s="10" t="s">
        <v>156</v>
      </c>
    </row>
    <row r="536" spans="1:9" x14ac:dyDescent="0.15">
      <c r="A536" s="9">
        <v>535</v>
      </c>
      <c r="B536" s="10" t="s">
        <v>9</v>
      </c>
      <c r="C536" s="10" t="s">
        <v>363</v>
      </c>
      <c r="D536" s="10" t="s">
        <v>364</v>
      </c>
      <c r="E536" s="11" t="str">
        <f>+HYPERLINK("http://trademark.i-assist.jp/data/china/image_1902th/78822321.pdf", "78822321")</f>
        <v>78822321</v>
      </c>
      <c r="F536" s="10" t="s">
        <v>12</v>
      </c>
      <c r="G536" s="10" t="s">
        <v>1906</v>
      </c>
      <c r="H536" s="10" t="s">
        <v>1907</v>
      </c>
      <c r="I536" s="10" t="s">
        <v>156</v>
      </c>
    </row>
    <row r="537" spans="1:9" x14ac:dyDescent="0.15">
      <c r="A537" s="9">
        <v>536</v>
      </c>
      <c r="B537" s="10" t="s">
        <v>9</v>
      </c>
      <c r="C537" s="10" t="s">
        <v>363</v>
      </c>
      <c r="D537" s="10" t="s">
        <v>364</v>
      </c>
      <c r="E537" s="11" t="str">
        <f>+HYPERLINK("http://trademark.i-assist.jp/data/china/image_1902th/78822466.pdf", "78822466")</f>
        <v>78822466</v>
      </c>
      <c r="F537" s="10" t="s">
        <v>1908</v>
      </c>
      <c r="G537" s="10" t="s">
        <v>1773</v>
      </c>
      <c r="H537" s="10" t="s">
        <v>1909</v>
      </c>
      <c r="I537" s="10" t="s">
        <v>156</v>
      </c>
    </row>
    <row r="538" spans="1:9" x14ac:dyDescent="0.15">
      <c r="A538" s="9">
        <v>537</v>
      </c>
      <c r="B538" s="10" t="s">
        <v>9</v>
      </c>
      <c r="C538" s="10" t="s">
        <v>363</v>
      </c>
      <c r="D538" s="10" t="s">
        <v>364</v>
      </c>
      <c r="E538" s="11" t="str">
        <f>+HYPERLINK("http://trademark.i-assist.jp/data/china/image_1902th/78822643.pdf", "78822643")</f>
        <v>78822643</v>
      </c>
      <c r="F538" s="10" t="s">
        <v>1910</v>
      </c>
      <c r="G538" s="10" t="s">
        <v>1911</v>
      </c>
      <c r="H538" s="10" t="s">
        <v>1912</v>
      </c>
      <c r="I538" s="10" t="s">
        <v>156</v>
      </c>
    </row>
    <row r="539" spans="1:9" x14ac:dyDescent="0.15">
      <c r="A539" s="9">
        <v>538</v>
      </c>
      <c r="B539" s="10" t="s">
        <v>9</v>
      </c>
      <c r="C539" s="10" t="s">
        <v>363</v>
      </c>
      <c r="D539" s="10" t="s">
        <v>364</v>
      </c>
      <c r="E539" s="11" t="str">
        <f>+HYPERLINK("http://trademark.i-assist.jp/data/china/image_1902th/78822893.pdf", "78822893")</f>
        <v>78822893</v>
      </c>
      <c r="F539" s="10" t="s">
        <v>1913</v>
      </c>
      <c r="G539" s="10" t="s">
        <v>1914</v>
      </c>
      <c r="H539" s="10" t="s">
        <v>1915</v>
      </c>
      <c r="I539" s="10" t="s">
        <v>156</v>
      </c>
    </row>
    <row r="540" spans="1:9" x14ac:dyDescent="0.15">
      <c r="A540" s="9">
        <v>539</v>
      </c>
      <c r="B540" s="10" t="s">
        <v>9</v>
      </c>
      <c r="C540" s="10" t="s">
        <v>363</v>
      </c>
      <c r="D540" s="10" t="s">
        <v>364</v>
      </c>
      <c r="E540" s="11" t="str">
        <f>+HYPERLINK("http://trademark.i-assist.jp/data/china/image_1902th/78824059.pdf", "78824059")</f>
        <v>78824059</v>
      </c>
      <c r="F540" s="10" t="s">
        <v>1916</v>
      </c>
      <c r="G540" s="10" t="s">
        <v>1917</v>
      </c>
      <c r="H540" s="10" t="s">
        <v>1918</v>
      </c>
      <c r="I540" s="10" t="s">
        <v>156</v>
      </c>
    </row>
    <row r="541" spans="1:9" x14ac:dyDescent="0.15">
      <c r="A541" s="9">
        <v>540</v>
      </c>
      <c r="B541" s="10" t="s">
        <v>9</v>
      </c>
      <c r="C541" s="10" t="s">
        <v>363</v>
      </c>
      <c r="D541" s="10" t="s">
        <v>364</v>
      </c>
      <c r="E541" s="11" t="str">
        <f>+HYPERLINK("http://trademark.i-assist.jp/data/china/image_1902th/78824134.pdf", "78824134")</f>
        <v>78824134</v>
      </c>
      <c r="F541" s="10" t="s">
        <v>1919</v>
      </c>
      <c r="G541" s="10" t="s">
        <v>1773</v>
      </c>
      <c r="H541" s="10" t="s">
        <v>1920</v>
      </c>
      <c r="I541" s="10" t="s">
        <v>156</v>
      </c>
    </row>
    <row r="542" spans="1:9" x14ac:dyDescent="0.15">
      <c r="A542" s="9">
        <v>541</v>
      </c>
      <c r="B542" s="10" t="s">
        <v>9</v>
      </c>
      <c r="C542" s="10" t="s">
        <v>363</v>
      </c>
      <c r="D542" s="10" t="s">
        <v>364</v>
      </c>
      <c r="E542" s="11" t="str">
        <f>+HYPERLINK("http://trademark.i-assist.jp/data/china/image_1902th/78824833.pdf", "78824833")</f>
        <v>78824833</v>
      </c>
      <c r="F542" s="10" t="s">
        <v>1921</v>
      </c>
      <c r="G542" s="10" t="s">
        <v>1922</v>
      </c>
      <c r="H542" s="10" t="s">
        <v>1923</v>
      </c>
      <c r="I542" s="10" t="s">
        <v>156</v>
      </c>
    </row>
    <row r="543" spans="1:9" x14ac:dyDescent="0.15">
      <c r="A543" s="9">
        <v>542</v>
      </c>
      <c r="B543" s="10" t="s">
        <v>9</v>
      </c>
      <c r="C543" s="10" t="s">
        <v>363</v>
      </c>
      <c r="D543" s="10" t="s">
        <v>364</v>
      </c>
      <c r="E543" s="11" t="str">
        <f>+HYPERLINK("http://trademark.i-assist.jp/data/china/image_1902th/78824881.pdf", "78824881")</f>
        <v>78824881</v>
      </c>
      <c r="F543" s="10" t="s">
        <v>1924</v>
      </c>
      <c r="G543" s="10" t="s">
        <v>1925</v>
      </c>
      <c r="H543" s="10" t="s">
        <v>1926</v>
      </c>
      <c r="I543" s="10" t="s">
        <v>156</v>
      </c>
    </row>
    <row r="544" spans="1:9" x14ac:dyDescent="0.15">
      <c r="A544" s="9">
        <v>543</v>
      </c>
      <c r="B544" s="10" t="s">
        <v>9</v>
      </c>
      <c r="C544" s="10" t="s">
        <v>363</v>
      </c>
      <c r="D544" s="10" t="s">
        <v>364</v>
      </c>
      <c r="E544" s="11" t="str">
        <f>+HYPERLINK("http://trademark.i-assist.jp/data/china/image_1902th/78825628.pdf", "78825628")</f>
        <v>78825628</v>
      </c>
      <c r="F544" s="10" t="s">
        <v>1927</v>
      </c>
      <c r="G544" s="10" t="s">
        <v>1928</v>
      </c>
      <c r="H544" s="10" t="s">
        <v>1929</v>
      </c>
      <c r="I544" s="10" t="s">
        <v>156</v>
      </c>
    </row>
    <row r="545" spans="1:9" x14ac:dyDescent="0.15">
      <c r="A545" s="9">
        <v>544</v>
      </c>
      <c r="B545" s="10" t="s">
        <v>9</v>
      </c>
      <c r="C545" s="10" t="s">
        <v>363</v>
      </c>
      <c r="D545" s="10" t="s">
        <v>364</v>
      </c>
      <c r="E545" s="11" t="str">
        <f>+HYPERLINK("http://trademark.i-assist.jp/data/china/image_1902th/78826810.pdf", "78826810")</f>
        <v>78826810</v>
      </c>
      <c r="F545" s="10" t="s">
        <v>1930</v>
      </c>
      <c r="G545" s="10" t="s">
        <v>1931</v>
      </c>
      <c r="H545" s="10" t="s">
        <v>1932</v>
      </c>
      <c r="I545" s="10" t="s">
        <v>156</v>
      </c>
    </row>
    <row r="546" spans="1:9" x14ac:dyDescent="0.15">
      <c r="A546" s="9">
        <v>545</v>
      </c>
      <c r="B546" s="10" t="s">
        <v>9</v>
      </c>
      <c r="C546" s="10" t="s">
        <v>363</v>
      </c>
      <c r="D546" s="10" t="s">
        <v>364</v>
      </c>
      <c r="E546" s="11" t="str">
        <f>+HYPERLINK("http://trademark.i-assist.jp/data/china/image_1902th/78826993.pdf", "78826993")</f>
        <v>78826993</v>
      </c>
      <c r="F546" s="10" t="s">
        <v>1933</v>
      </c>
      <c r="G546" s="10" t="s">
        <v>1934</v>
      </c>
      <c r="H546" s="10" t="s">
        <v>1935</v>
      </c>
      <c r="I546" s="10" t="s">
        <v>156</v>
      </c>
    </row>
    <row r="547" spans="1:9" x14ac:dyDescent="0.15">
      <c r="A547" s="9">
        <v>546</v>
      </c>
      <c r="B547" s="10" t="s">
        <v>9</v>
      </c>
      <c r="C547" s="10" t="s">
        <v>363</v>
      </c>
      <c r="D547" s="10" t="s">
        <v>364</v>
      </c>
      <c r="E547" s="11" t="str">
        <f>+HYPERLINK("http://trademark.i-assist.jp/data/china/image_1902th/78827331.pdf", "78827331")</f>
        <v>78827331</v>
      </c>
      <c r="F547" s="10" t="s">
        <v>1936</v>
      </c>
      <c r="G547" s="10" t="s">
        <v>1937</v>
      </c>
      <c r="H547" s="10" t="s">
        <v>1938</v>
      </c>
      <c r="I547" s="10" t="s">
        <v>156</v>
      </c>
    </row>
    <row r="548" spans="1:9" x14ac:dyDescent="0.15">
      <c r="A548" s="9">
        <v>547</v>
      </c>
      <c r="B548" s="10" t="s">
        <v>9</v>
      </c>
      <c r="C548" s="10" t="s">
        <v>363</v>
      </c>
      <c r="D548" s="10" t="s">
        <v>364</v>
      </c>
      <c r="E548" s="11" t="str">
        <f>+HYPERLINK("http://trademark.i-assist.jp/data/china/image_1902th/78827477A.pdf", "78827477A")</f>
        <v>78827477A</v>
      </c>
      <c r="F548" s="10" t="s">
        <v>1939</v>
      </c>
      <c r="G548" s="10" t="s">
        <v>1940</v>
      </c>
      <c r="H548" s="10" t="s">
        <v>1941</v>
      </c>
      <c r="I548" s="10" t="s">
        <v>156</v>
      </c>
    </row>
    <row r="549" spans="1:9" x14ac:dyDescent="0.15">
      <c r="A549" s="9">
        <v>548</v>
      </c>
      <c r="B549" s="10" t="s">
        <v>9</v>
      </c>
      <c r="C549" s="10" t="s">
        <v>363</v>
      </c>
      <c r="D549" s="10" t="s">
        <v>364</v>
      </c>
      <c r="E549" s="11" t="str">
        <f>+HYPERLINK("http://trademark.i-assist.jp/data/china/image_1902th/78828001.pdf", "78828001")</f>
        <v>78828001</v>
      </c>
      <c r="F549" s="10" t="s">
        <v>12</v>
      </c>
      <c r="G549" s="10" t="s">
        <v>1942</v>
      </c>
      <c r="H549" s="10" t="s">
        <v>1943</v>
      </c>
      <c r="I549" s="10" t="s">
        <v>164</v>
      </c>
    </row>
    <row r="550" spans="1:9" x14ac:dyDescent="0.15">
      <c r="A550" s="9">
        <v>549</v>
      </c>
      <c r="B550" s="10" t="s">
        <v>9</v>
      </c>
      <c r="C550" s="10" t="s">
        <v>363</v>
      </c>
      <c r="D550" s="10" t="s">
        <v>364</v>
      </c>
      <c r="E550" s="11" t="str">
        <f>+HYPERLINK("http://trademark.i-assist.jp/data/china/image_1902th/78828026.pdf", "78828026")</f>
        <v>78828026</v>
      </c>
      <c r="F550" s="10" t="s">
        <v>1944</v>
      </c>
      <c r="G550" s="10" t="s">
        <v>1945</v>
      </c>
      <c r="H550" s="10" t="s">
        <v>1946</v>
      </c>
      <c r="I550" s="10" t="s">
        <v>164</v>
      </c>
    </row>
    <row r="551" spans="1:9" x14ac:dyDescent="0.15">
      <c r="A551" s="9">
        <v>550</v>
      </c>
      <c r="B551" s="10" t="s">
        <v>9</v>
      </c>
      <c r="C551" s="10" t="s">
        <v>363</v>
      </c>
      <c r="D551" s="10" t="s">
        <v>364</v>
      </c>
      <c r="E551" s="11" t="str">
        <f>+HYPERLINK("http://trademark.i-assist.jp/data/china/image_1902th/78828815.pdf", "78828815")</f>
        <v>78828815</v>
      </c>
      <c r="F551" s="10" t="s">
        <v>1947</v>
      </c>
      <c r="G551" s="10" t="s">
        <v>1851</v>
      </c>
      <c r="H551" s="10" t="s">
        <v>1948</v>
      </c>
      <c r="I551" s="10" t="s">
        <v>164</v>
      </c>
    </row>
    <row r="552" spans="1:9" x14ac:dyDescent="0.15">
      <c r="A552" s="9">
        <v>551</v>
      </c>
      <c r="B552" s="10" t="s">
        <v>9</v>
      </c>
      <c r="C552" s="10" t="s">
        <v>363</v>
      </c>
      <c r="D552" s="10" t="s">
        <v>364</v>
      </c>
      <c r="E552" s="11" t="str">
        <f>+HYPERLINK("http://trademark.i-assist.jp/data/china/image_1902th/78828883.pdf", "78828883")</f>
        <v>78828883</v>
      </c>
      <c r="F552" s="10" t="s">
        <v>1949</v>
      </c>
      <c r="G552" s="10" t="s">
        <v>1950</v>
      </c>
      <c r="H552" s="10" t="s">
        <v>1951</v>
      </c>
      <c r="I552" s="10" t="s">
        <v>164</v>
      </c>
    </row>
    <row r="553" spans="1:9" x14ac:dyDescent="0.15">
      <c r="A553" s="9">
        <v>552</v>
      </c>
      <c r="B553" s="10" t="s">
        <v>9</v>
      </c>
      <c r="C553" s="10" t="s">
        <v>363</v>
      </c>
      <c r="D553" s="10" t="s">
        <v>364</v>
      </c>
      <c r="E553" s="11" t="str">
        <f>+HYPERLINK("http://trademark.i-assist.jp/data/china/image_1902th/78829650.pdf", "78829650")</f>
        <v>78829650</v>
      </c>
      <c r="F553" s="10" t="s">
        <v>1952</v>
      </c>
      <c r="G553" s="10" t="s">
        <v>1953</v>
      </c>
      <c r="H553" s="10" t="s">
        <v>1954</v>
      </c>
      <c r="I553" s="10" t="s">
        <v>164</v>
      </c>
    </row>
    <row r="554" spans="1:9" x14ac:dyDescent="0.15">
      <c r="A554" s="9">
        <v>553</v>
      </c>
      <c r="B554" s="10" t="s">
        <v>9</v>
      </c>
      <c r="C554" s="10" t="s">
        <v>363</v>
      </c>
      <c r="D554" s="10" t="s">
        <v>364</v>
      </c>
      <c r="E554" s="11" t="str">
        <f>+HYPERLINK("http://trademark.i-assist.jp/data/china/image_1902th/78831626.pdf", "78831626")</f>
        <v>78831626</v>
      </c>
      <c r="F554" s="10" t="s">
        <v>1955</v>
      </c>
      <c r="G554" s="10" t="s">
        <v>1956</v>
      </c>
      <c r="H554" s="10" t="s">
        <v>1957</v>
      </c>
      <c r="I554" s="10" t="s">
        <v>164</v>
      </c>
    </row>
    <row r="555" spans="1:9" x14ac:dyDescent="0.15">
      <c r="A555" s="9">
        <v>554</v>
      </c>
      <c r="B555" s="10" t="s">
        <v>9</v>
      </c>
      <c r="C555" s="10" t="s">
        <v>363</v>
      </c>
      <c r="D555" s="10" t="s">
        <v>364</v>
      </c>
      <c r="E555" s="11" t="str">
        <f>+HYPERLINK("http://trademark.i-assist.jp/data/china/image_1902th/78831707.pdf", "78831707")</f>
        <v>78831707</v>
      </c>
      <c r="F555" s="10" t="s">
        <v>1958</v>
      </c>
      <c r="G555" s="10" t="s">
        <v>1851</v>
      </c>
      <c r="H555" s="10" t="s">
        <v>1959</v>
      </c>
      <c r="I555" s="10" t="s">
        <v>164</v>
      </c>
    </row>
    <row r="556" spans="1:9" x14ac:dyDescent="0.15">
      <c r="A556" s="9">
        <v>555</v>
      </c>
      <c r="B556" s="10" t="s">
        <v>9</v>
      </c>
      <c r="C556" s="10" t="s">
        <v>363</v>
      </c>
      <c r="D556" s="10" t="s">
        <v>364</v>
      </c>
      <c r="E556" s="11" t="str">
        <f>+HYPERLINK("http://trademark.i-assist.jp/data/china/image_1902th/78831953.pdf", "78831953")</f>
        <v>78831953</v>
      </c>
      <c r="F556" s="10" t="s">
        <v>1960</v>
      </c>
      <c r="G556" s="10" t="s">
        <v>1961</v>
      </c>
      <c r="H556" s="10" t="s">
        <v>1962</v>
      </c>
      <c r="I556" s="10" t="s">
        <v>164</v>
      </c>
    </row>
    <row r="557" spans="1:9" x14ac:dyDescent="0.15">
      <c r="A557" s="9">
        <v>556</v>
      </c>
      <c r="B557" s="10" t="s">
        <v>9</v>
      </c>
      <c r="C557" s="10" t="s">
        <v>363</v>
      </c>
      <c r="D557" s="10" t="s">
        <v>364</v>
      </c>
      <c r="E557" s="11" t="str">
        <f>+HYPERLINK("http://trademark.i-assist.jp/data/china/image_1902th/78833348.pdf", "78833348")</f>
        <v>78833348</v>
      </c>
      <c r="F557" s="10" t="s">
        <v>1963</v>
      </c>
      <c r="G557" s="10" t="s">
        <v>1964</v>
      </c>
      <c r="H557" s="10" t="s">
        <v>1965</v>
      </c>
      <c r="I557" s="10" t="s">
        <v>164</v>
      </c>
    </row>
    <row r="558" spans="1:9" x14ac:dyDescent="0.15">
      <c r="A558" s="9">
        <v>557</v>
      </c>
      <c r="B558" s="10" t="s">
        <v>9</v>
      </c>
      <c r="C558" s="10" t="s">
        <v>363</v>
      </c>
      <c r="D558" s="10" t="s">
        <v>364</v>
      </c>
      <c r="E558" s="11" t="str">
        <f>+HYPERLINK("http://trademark.i-assist.jp/data/china/image_1902th/78834172.pdf", "78834172")</f>
        <v>78834172</v>
      </c>
      <c r="F558" s="10" t="s">
        <v>1966</v>
      </c>
      <c r="G558" s="10" t="s">
        <v>1967</v>
      </c>
      <c r="H558" s="10" t="s">
        <v>1968</v>
      </c>
      <c r="I558" s="10" t="s">
        <v>164</v>
      </c>
    </row>
    <row r="559" spans="1:9" x14ac:dyDescent="0.15">
      <c r="A559" s="9">
        <v>558</v>
      </c>
      <c r="B559" s="10" t="s">
        <v>9</v>
      </c>
      <c r="C559" s="10" t="s">
        <v>363</v>
      </c>
      <c r="D559" s="10" t="s">
        <v>364</v>
      </c>
      <c r="E559" s="11" t="str">
        <f>+HYPERLINK("http://trademark.i-assist.jp/data/china/image_1902th/78834934.pdf", "78834934")</f>
        <v>78834934</v>
      </c>
      <c r="F559" s="10" t="s">
        <v>1969</v>
      </c>
      <c r="G559" s="10" t="s">
        <v>1970</v>
      </c>
      <c r="H559" s="10" t="s">
        <v>1971</v>
      </c>
      <c r="I559" s="10" t="s">
        <v>164</v>
      </c>
    </row>
    <row r="560" spans="1:9" x14ac:dyDescent="0.15">
      <c r="A560" s="9">
        <v>559</v>
      </c>
      <c r="B560" s="10" t="s">
        <v>9</v>
      </c>
      <c r="C560" s="10" t="s">
        <v>363</v>
      </c>
      <c r="D560" s="10" t="s">
        <v>364</v>
      </c>
      <c r="E560" s="11" t="str">
        <f>+HYPERLINK("http://trademark.i-assist.jp/data/china/image_1902th/78837533.pdf", "78837533")</f>
        <v>78837533</v>
      </c>
      <c r="F560" s="10" t="s">
        <v>1972</v>
      </c>
      <c r="G560" s="10" t="s">
        <v>1973</v>
      </c>
      <c r="H560" s="10" t="s">
        <v>1974</v>
      </c>
      <c r="I560" s="10" t="s">
        <v>167</v>
      </c>
    </row>
    <row r="561" spans="1:9" x14ac:dyDescent="0.15">
      <c r="A561" s="9">
        <v>560</v>
      </c>
      <c r="B561" s="10" t="s">
        <v>9</v>
      </c>
      <c r="C561" s="10" t="s">
        <v>363</v>
      </c>
      <c r="D561" s="10" t="s">
        <v>364</v>
      </c>
      <c r="E561" s="11" t="str">
        <f>+HYPERLINK("http://trademark.i-assist.jp/data/china/image_1902th/78838044.pdf", "78838044")</f>
        <v>78838044</v>
      </c>
      <c r="F561" s="10" t="s">
        <v>1975</v>
      </c>
      <c r="G561" s="10" t="s">
        <v>1976</v>
      </c>
      <c r="H561" s="10" t="s">
        <v>1977</v>
      </c>
      <c r="I561" s="10" t="s">
        <v>169</v>
      </c>
    </row>
    <row r="562" spans="1:9" x14ac:dyDescent="0.15">
      <c r="A562" s="9">
        <v>561</v>
      </c>
      <c r="B562" s="10" t="s">
        <v>9</v>
      </c>
      <c r="C562" s="10" t="s">
        <v>363</v>
      </c>
      <c r="D562" s="10" t="s">
        <v>364</v>
      </c>
      <c r="E562" s="11" t="str">
        <f>+HYPERLINK("http://trademark.i-assist.jp/data/china/image_1902th/78838477.pdf", "78838477")</f>
        <v>78838477</v>
      </c>
      <c r="F562" s="10" t="s">
        <v>1978</v>
      </c>
      <c r="G562" s="10" t="s">
        <v>1979</v>
      </c>
      <c r="H562" s="10" t="s">
        <v>1980</v>
      </c>
      <c r="I562" s="10" t="s">
        <v>169</v>
      </c>
    </row>
    <row r="563" spans="1:9" x14ac:dyDescent="0.15">
      <c r="A563" s="9">
        <v>562</v>
      </c>
      <c r="B563" s="10" t="s">
        <v>9</v>
      </c>
      <c r="C563" s="10" t="s">
        <v>363</v>
      </c>
      <c r="D563" s="10" t="s">
        <v>364</v>
      </c>
      <c r="E563" s="11" t="str">
        <f>+HYPERLINK("http://trademark.i-assist.jp/data/china/image_1902th/78839238.pdf", "78839238")</f>
        <v>78839238</v>
      </c>
      <c r="F563" s="10" t="s">
        <v>1981</v>
      </c>
      <c r="G563" s="10" t="s">
        <v>1982</v>
      </c>
      <c r="H563" s="10" t="s">
        <v>1983</v>
      </c>
      <c r="I563" s="10" t="s">
        <v>169</v>
      </c>
    </row>
    <row r="564" spans="1:9" x14ac:dyDescent="0.15">
      <c r="A564" s="9">
        <v>563</v>
      </c>
      <c r="B564" s="10" t="s">
        <v>9</v>
      </c>
      <c r="C564" s="10" t="s">
        <v>363</v>
      </c>
      <c r="D564" s="10" t="s">
        <v>364</v>
      </c>
      <c r="E564" s="11" t="str">
        <f>+HYPERLINK("http://trademark.i-assist.jp/data/china/image_1902th/78840298.pdf", "78840298")</f>
        <v>78840298</v>
      </c>
      <c r="F564" s="10" t="s">
        <v>1984</v>
      </c>
      <c r="G564" s="10" t="s">
        <v>1985</v>
      </c>
      <c r="H564" s="10" t="s">
        <v>1986</v>
      </c>
      <c r="I564" s="10" t="s">
        <v>169</v>
      </c>
    </row>
    <row r="565" spans="1:9" x14ac:dyDescent="0.15">
      <c r="A565" s="9">
        <v>564</v>
      </c>
      <c r="B565" s="10" t="s">
        <v>9</v>
      </c>
      <c r="C565" s="10" t="s">
        <v>363</v>
      </c>
      <c r="D565" s="10" t="s">
        <v>364</v>
      </c>
      <c r="E565" s="11" t="str">
        <f>+HYPERLINK("http://trademark.i-assist.jp/data/china/image_1902th/78840905.pdf", "78840905")</f>
        <v>78840905</v>
      </c>
      <c r="F565" s="10" t="s">
        <v>1987</v>
      </c>
      <c r="G565" s="10" t="s">
        <v>1988</v>
      </c>
      <c r="H565" s="10" t="s">
        <v>1989</v>
      </c>
      <c r="I565" s="10" t="s">
        <v>169</v>
      </c>
    </row>
    <row r="566" spans="1:9" x14ac:dyDescent="0.15">
      <c r="A566" s="9">
        <v>565</v>
      </c>
      <c r="B566" s="10" t="s">
        <v>9</v>
      </c>
      <c r="C566" s="10" t="s">
        <v>363</v>
      </c>
      <c r="D566" s="10" t="s">
        <v>364</v>
      </c>
      <c r="E566" s="11" t="str">
        <f>+HYPERLINK("http://trademark.i-assist.jp/data/china/image_1902th/78841446.pdf", "78841446")</f>
        <v>78841446</v>
      </c>
      <c r="F566" s="10" t="s">
        <v>1990</v>
      </c>
      <c r="G566" s="10" t="s">
        <v>1991</v>
      </c>
      <c r="H566" s="10" t="s">
        <v>1992</v>
      </c>
      <c r="I566" s="10" t="s">
        <v>169</v>
      </c>
    </row>
    <row r="567" spans="1:9" x14ac:dyDescent="0.15">
      <c r="A567" s="9">
        <v>566</v>
      </c>
      <c r="B567" s="10" t="s">
        <v>9</v>
      </c>
      <c r="C567" s="10" t="s">
        <v>363</v>
      </c>
      <c r="D567" s="10" t="s">
        <v>364</v>
      </c>
      <c r="E567" s="11" t="str">
        <f>+HYPERLINK("http://trademark.i-assist.jp/data/china/image_1902th/78842735.pdf", "78842735")</f>
        <v>78842735</v>
      </c>
      <c r="F567" s="10" t="s">
        <v>1993</v>
      </c>
      <c r="G567" s="10" t="s">
        <v>155</v>
      </c>
      <c r="H567" s="10" t="s">
        <v>1994</v>
      </c>
      <c r="I567" s="10" t="s">
        <v>169</v>
      </c>
    </row>
    <row r="568" spans="1:9" x14ac:dyDescent="0.15">
      <c r="A568" s="9">
        <v>567</v>
      </c>
      <c r="B568" s="10" t="s">
        <v>9</v>
      </c>
      <c r="C568" s="10" t="s">
        <v>363</v>
      </c>
      <c r="D568" s="10" t="s">
        <v>364</v>
      </c>
      <c r="E568" s="11" t="str">
        <f>+HYPERLINK("http://trademark.i-assist.jp/data/china/image_1902th/78842780.pdf", "78842780")</f>
        <v>78842780</v>
      </c>
      <c r="F568" s="10" t="s">
        <v>1995</v>
      </c>
      <c r="G568" s="10" t="s">
        <v>1996</v>
      </c>
      <c r="H568" s="10" t="s">
        <v>1997</v>
      </c>
      <c r="I568" s="10" t="s">
        <v>169</v>
      </c>
    </row>
    <row r="569" spans="1:9" x14ac:dyDescent="0.15">
      <c r="A569" s="9">
        <v>568</v>
      </c>
      <c r="B569" s="10" t="s">
        <v>9</v>
      </c>
      <c r="C569" s="10" t="s">
        <v>363</v>
      </c>
      <c r="D569" s="10" t="s">
        <v>364</v>
      </c>
      <c r="E569" s="11" t="str">
        <f>+HYPERLINK("http://trademark.i-assist.jp/data/china/image_1902th/78842782.pdf", "78842782")</f>
        <v>78842782</v>
      </c>
      <c r="F569" s="10" t="s">
        <v>1998</v>
      </c>
      <c r="G569" s="10" t="s">
        <v>1999</v>
      </c>
      <c r="H569" s="10" t="s">
        <v>2000</v>
      </c>
      <c r="I569" s="10" t="s">
        <v>169</v>
      </c>
    </row>
    <row r="570" spans="1:9" x14ac:dyDescent="0.15">
      <c r="A570" s="9">
        <v>569</v>
      </c>
      <c r="B570" s="10" t="s">
        <v>9</v>
      </c>
      <c r="C570" s="10" t="s">
        <v>363</v>
      </c>
      <c r="D570" s="10" t="s">
        <v>364</v>
      </c>
      <c r="E570" s="11" t="str">
        <f>+HYPERLINK("http://trademark.i-assist.jp/data/china/image_1902th/78842786.pdf", "78842786")</f>
        <v>78842786</v>
      </c>
      <c r="F570" s="10" t="s">
        <v>2001</v>
      </c>
      <c r="G570" s="10" t="s">
        <v>2002</v>
      </c>
      <c r="H570" s="10" t="s">
        <v>2003</v>
      </c>
      <c r="I570" s="10" t="s">
        <v>169</v>
      </c>
    </row>
    <row r="571" spans="1:9" x14ac:dyDescent="0.15">
      <c r="A571" s="9">
        <v>570</v>
      </c>
      <c r="B571" s="10" t="s">
        <v>9</v>
      </c>
      <c r="C571" s="10" t="s">
        <v>363</v>
      </c>
      <c r="D571" s="10" t="s">
        <v>364</v>
      </c>
      <c r="E571" s="11" t="str">
        <f>+HYPERLINK("http://trademark.i-assist.jp/data/china/image_1902th/78843399.pdf", "78843399")</f>
        <v>78843399</v>
      </c>
      <c r="F571" s="10" t="s">
        <v>2004</v>
      </c>
      <c r="G571" s="10" t="s">
        <v>2005</v>
      </c>
      <c r="H571" s="10" t="s">
        <v>2006</v>
      </c>
      <c r="I571" s="10" t="s">
        <v>169</v>
      </c>
    </row>
    <row r="572" spans="1:9" x14ac:dyDescent="0.15">
      <c r="A572" s="9">
        <v>571</v>
      </c>
      <c r="B572" s="10" t="s">
        <v>9</v>
      </c>
      <c r="C572" s="10" t="s">
        <v>363</v>
      </c>
      <c r="D572" s="10" t="s">
        <v>364</v>
      </c>
      <c r="E572" s="11" t="str">
        <f>+HYPERLINK("http://trademark.i-assist.jp/data/china/image_1902th/78843672.pdf", "78843672")</f>
        <v>78843672</v>
      </c>
      <c r="F572" s="10" t="s">
        <v>2007</v>
      </c>
      <c r="G572" s="10" t="s">
        <v>2008</v>
      </c>
      <c r="H572" s="10" t="s">
        <v>2009</v>
      </c>
      <c r="I572" s="10" t="s">
        <v>169</v>
      </c>
    </row>
    <row r="573" spans="1:9" x14ac:dyDescent="0.15">
      <c r="A573" s="9">
        <v>572</v>
      </c>
      <c r="B573" s="10" t="s">
        <v>9</v>
      </c>
      <c r="C573" s="10" t="s">
        <v>363</v>
      </c>
      <c r="D573" s="10" t="s">
        <v>364</v>
      </c>
      <c r="E573" s="11" t="str">
        <f>+HYPERLINK("http://trademark.i-assist.jp/data/china/image_1902th/78844404.pdf", "78844404")</f>
        <v>78844404</v>
      </c>
      <c r="F573" s="10" t="s">
        <v>2010</v>
      </c>
      <c r="G573" s="10" t="s">
        <v>2011</v>
      </c>
      <c r="H573" s="10" t="s">
        <v>2012</v>
      </c>
      <c r="I573" s="10" t="s">
        <v>169</v>
      </c>
    </row>
    <row r="574" spans="1:9" x14ac:dyDescent="0.15">
      <c r="A574" s="9">
        <v>573</v>
      </c>
      <c r="B574" s="10" t="s">
        <v>9</v>
      </c>
      <c r="C574" s="10" t="s">
        <v>363</v>
      </c>
      <c r="D574" s="10" t="s">
        <v>364</v>
      </c>
      <c r="E574" s="11" t="str">
        <f>+HYPERLINK("http://trademark.i-assist.jp/data/china/image_1902th/78845036.pdf", "78845036")</f>
        <v>78845036</v>
      </c>
      <c r="F574" s="10" t="s">
        <v>2013</v>
      </c>
      <c r="G574" s="10" t="s">
        <v>2014</v>
      </c>
      <c r="H574" s="10" t="s">
        <v>2015</v>
      </c>
      <c r="I574" s="10" t="s">
        <v>169</v>
      </c>
    </row>
    <row r="575" spans="1:9" x14ac:dyDescent="0.15">
      <c r="A575" s="9">
        <v>574</v>
      </c>
      <c r="B575" s="10" t="s">
        <v>9</v>
      </c>
      <c r="C575" s="10" t="s">
        <v>363</v>
      </c>
      <c r="D575" s="10" t="s">
        <v>364</v>
      </c>
      <c r="E575" s="11" t="str">
        <f>+HYPERLINK("http://trademark.i-assist.jp/data/china/image_1902th/78845109.pdf", "78845109")</f>
        <v>78845109</v>
      </c>
      <c r="F575" s="10" t="s">
        <v>2016</v>
      </c>
      <c r="G575" s="10" t="s">
        <v>55</v>
      </c>
      <c r="H575" s="10" t="s">
        <v>2017</v>
      </c>
      <c r="I575" s="10" t="s">
        <v>169</v>
      </c>
    </row>
    <row r="576" spans="1:9" x14ac:dyDescent="0.15">
      <c r="A576" s="9">
        <v>575</v>
      </c>
      <c r="B576" s="10" t="s">
        <v>9</v>
      </c>
      <c r="C576" s="10" t="s">
        <v>363</v>
      </c>
      <c r="D576" s="10" t="s">
        <v>364</v>
      </c>
      <c r="E576" s="11" t="str">
        <f>+HYPERLINK("http://trademark.i-assist.jp/data/china/image_1902th/78845143.pdf", "78845143")</f>
        <v>78845143</v>
      </c>
      <c r="F576" s="10" t="s">
        <v>2018</v>
      </c>
      <c r="G576" s="10" t="s">
        <v>2019</v>
      </c>
      <c r="H576" s="10" t="s">
        <v>2020</v>
      </c>
      <c r="I576" s="10" t="s">
        <v>169</v>
      </c>
    </row>
    <row r="577" spans="1:9" x14ac:dyDescent="0.15">
      <c r="A577" s="9">
        <v>576</v>
      </c>
      <c r="B577" s="10" t="s">
        <v>9</v>
      </c>
      <c r="C577" s="10" t="s">
        <v>363</v>
      </c>
      <c r="D577" s="10" t="s">
        <v>364</v>
      </c>
      <c r="E577" s="11" t="str">
        <f>+HYPERLINK("http://trademark.i-assist.jp/data/china/image_1902th/78845243.pdf", "78845243")</f>
        <v>78845243</v>
      </c>
      <c r="F577" s="10" t="s">
        <v>2021</v>
      </c>
      <c r="G577" s="10" t="s">
        <v>170</v>
      </c>
      <c r="H577" s="10" t="s">
        <v>2022</v>
      </c>
      <c r="I577" s="10" t="s">
        <v>169</v>
      </c>
    </row>
    <row r="578" spans="1:9" x14ac:dyDescent="0.15">
      <c r="A578" s="9">
        <v>577</v>
      </c>
      <c r="B578" s="10" t="s">
        <v>9</v>
      </c>
      <c r="C578" s="10" t="s">
        <v>363</v>
      </c>
      <c r="D578" s="10" t="s">
        <v>364</v>
      </c>
      <c r="E578" s="11" t="str">
        <f>+HYPERLINK("http://trademark.i-assist.jp/data/china/image_1902th/78845666.pdf", "78845666")</f>
        <v>78845666</v>
      </c>
      <c r="F578" s="10" t="s">
        <v>2023</v>
      </c>
      <c r="G578" s="10" t="s">
        <v>35</v>
      </c>
      <c r="H578" s="10" t="s">
        <v>2024</v>
      </c>
      <c r="I578" s="10" t="s">
        <v>169</v>
      </c>
    </row>
    <row r="579" spans="1:9" x14ac:dyDescent="0.15">
      <c r="A579" s="9">
        <v>578</v>
      </c>
      <c r="B579" s="10" t="s">
        <v>9</v>
      </c>
      <c r="C579" s="10" t="s">
        <v>363</v>
      </c>
      <c r="D579" s="10" t="s">
        <v>364</v>
      </c>
      <c r="E579" s="11" t="str">
        <f>+HYPERLINK("http://trademark.i-assist.jp/data/china/image_1902th/78846089.pdf", "78846089")</f>
        <v>78846089</v>
      </c>
      <c r="F579" s="10" t="s">
        <v>2025</v>
      </c>
      <c r="G579" s="10" t="s">
        <v>2026</v>
      </c>
      <c r="H579" s="10" t="s">
        <v>2027</v>
      </c>
      <c r="I579" s="10" t="s">
        <v>169</v>
      </c>
    </row>
    <row r="580" spans="1:9" x14ac:dyDescent="0.15">
      <c r="A580" s="9">
        <v>579</v>
      </c>
      <c r="B580" s="10" t="s">
        <v>9</v>
      </c>
      <c r="C580" s="10" t="s">
        <v>363</v>
      </c>
      <c r="D580" s="10" t="s">
        <v>364</v>
      </c>
      <c r="E580" s="11" t="str">
        <f>+HYPERLINK("http://trademark.i-assist.jp/data/china/image_1902th/78846376.pdf", "78846376")</f>
        <v>78846376</v>
      </c>
      <c r="F580" s="10" t="s">
        <v>2028</v>
      </c>
      <c r="G580" s="10" t="s">
        <v>2029</v>
      </c>
      <c r="H580" s="10" t="s">
        <v>2030</v>
      </c>
      <c r="I580" s="10" t="s">
        <v>169</v>
      </c>
    </row>
    <row r="581" spans="1:9" x14ac:dyDescent="0.15">
      <c r="A581" s="9">
        <v>580</v>
      </c>
      <c r="B581" s="10" t="s">
        <v>9</v>
      </c>
      <c r="C581" s="10" t="s">
        <v>363</v>
      </c>
      <c r="D581" s="10" t="s">
        <v>364</v>
      </c>
      <c r="E581" s="11" t="str">
        <f>+HYPERLINK("http://trademark.i-assist.jp/data/china/image_1902th/78847394.pdf", "78847394")</f>
        <v>78847394</v>
      </c>
      <c r="F581" s="10" t="s">
        <v>2031</v>
      </c>
      <c r="G581" s="10" t="s">
        <v>198</v>
      </c>
      <c r="H581" s="10" t="s">
        <v>199</v>
      </c>
      <c r="I581" s="10" t="s">
        <v>169</v>
      </c>
    </row>
    <row r="582" spans="1:9" x14ac:dyDescent="0.15">
      <c r="A582" s="9">
        <v>581</v>
      </c>
      <c r="B582" s="10" t="s">
        <v>9</v>
      </c>
      <c r="C582" s="10" t="s">
        <v>363</v>
      </c>
      <c r="D582" s="10" t="s">
        <v>364</v>
      </c>
      <c r="E582" s="11" t="str">
        <f>+HYPERLINK("http://trademark.i-assist.jp/data/china/image_1902th/78848200.pdf", "78848200")</f>
        <v>78848200</v>
      </c>
      <c r="F582" s="10" t="s">
        <v>2032</v>
      </c>
      <c r="G582" s="10" t="s">
        <v>172</v>
      </c>
      <c r="H582" s="10" t="s">
        <v>2033</v>
      </c>
      <c r="I582" s="10" t="s">
        <v>169</v>
      </c>
    </row>
    <row r="583" spans="1:9" x14ac:dyDescent="0.15">
      <c r="A583" s="9">
        <v>582</v>
      </c>
      <c r="B583" s="10" t="s">
        <v>9</v>
      </c>
      <c r="C583" s="10" t="s">
        <v>363</v>
      </c>
      <c r="D583" s="10" t="s">
        <v>364</v>
      </c>
      <c r="E583" s="11" t="str">
        <f>+HYPERLINK("http://trademark.i-assist.jp/data/china/image_1902th/78848565.pdf", "78848565")</f>
        <v>78848565</v>
      </c>
      <c r="F583" s="10" t="s">
        <v>2034</v>
      </c>
      <c r="G583" s="10" t="s">
        <v>2035</v>
      </c>
      <c r="H583" s="10" t="s">
        <v>2036</v>
      </c>
      <c r="I583" s="10" t="s">
        <v>169</v>
      </c>
    </row>
    <row r="584" spans="1:9" x14ac:dyDescent="0.15">
      <c r="A584" s="9">
        <v>583</v>
      </c>
      <c r="B584" s="10" t="s">
        <v>9</v>
      </c>
      <c r="C584" s="10" t="s">
        <v>363</v>
      </c>
      <c r="D584" s="10" t="s">
        <v>364</v>
      </c>
      <c r="E584" s="11" t="str">
        <f>+HYPERLINK("http://trademark.i-assist.jp/data/china/image_1902th/78849361.pdf", "78849361")</f>
        <v>78849361</v>
      </c>
      <c r="F584" s="10" t="s">
        <v>2037</v>
      </c>
      <c r="G584" s="10" t="s">
        <v>277</v>
      </c>
      <c r="H584" s="10" t="s">
        <v>2038</v>
      </c>
      <c r="I584" s="10" t="s">
        <v>169</v>
      </c>
    </row>
    <row r="585" spans="1:9" x14ac:dyDescent="0.15">
      <c r="A585" s="9">
        <v>584</v>
      </c>
      <c r="B585" s="10" t="s">
        <v>9</v>
      </c>
      <c r="C585" s="10" t="s">
        <v>363</v>
      </c>
      <c r="D585" s="10" t="s">
        <v>364</v>
      </c>
      <c r="E585" s="11" t="str">
        <f>+HYPERLINK("http://trademark.i-assist.jp/data/china/image_1902th/78849869.pdf", "78849869")</f>
        <v>78849869</v>
      </c>
      <c r="F585" s="10" t="s">
        <v>2039</v>
      </c>
      <c r="G585" s="10" t="s">
        <v>2040</v>
      </c>
      <c r="H585" s="10" t="s">
        <v>2041</v>
      </c>
      <c r="I585" s="10" t="s">
        <v>169</v>
      </c>
    </row>
    <row r="586" spans="1:9" x14ac:dyDescent="0.15">
      <c r="A586" s="9">
        <v>585</v>
      </c>
      <c r="B586" s="10" t="s">
        <v>9</v>
      </c>
      <c r="C586" s="10" t="s">
        <v>363</v>
      </c>
      <c r="D586" s="10" t="s">
        <v>364</v>
      </c>
      <c r="E586" s="11" t="str">
        <f>+HYPERLINK("http://trademark.i-assist.jp/data/china/image_1902th/78849920.pdf", "78849920")</f>
        <v>78849920</v>
      </c>
      <c r="F586" s="10" t="s">
        <v>2042</v>
      </c>
      <c r="G586" s="10" t="s">
        <v>1837</v>
      </c>
      <c r="H586" s="10" t="s">
        <v>2043</v>
      </c>
      <c r="I586" s="10" t="s">
        <v>169</v>
      </c>
    </row>
    <row r="587" spans="1:9" x14ac:dyDescent="0.15">
      <c r="A587" s="9">
        <v>586</v>
      </c>
      <c r="B587" s="10" t="s">
        <v>9</v>
      </c>
      <c r="C587" s="10" t="s">
        <v>363</v>
      </c>
      <c r="D587" s="10" t="s">
        <v>364</v>
      </c>
      <c r="E587" s="11" t="str">
        <f>+HYPERLINK("http://trademark.i-assist.jp/data/china/image_1902th/78850262.pdf", "78850262")</f>
        <v>78850262</v>
      </c>
      <c r="F587" s="10" t="s">
        <v>2044</v>
      </c>
      <c r="G587" s="10" t="s">
        <v>2045</v>
      </c>
      <c r="H587" s="10" t="s">
        <v>2046</v>
      </c>
      <c r="I587" s="10" t="s">
        <v>169</v>
      </c>
    </row>
    <row r="588" spans="1:9" x14ac:dyDescent="0.15">
      <c r="A588" s="9">
        <v>587</v>
      </c>
      <c r="B588" s="10" t="s">
        <v>9</v>
      </c>
      <c r="C588" s="10" t="s">
        <v>363</v>
      </c>
      <c r="D588" s="10" t="s">
        <v>364</v>
      </c>
      <c r="E588" s="11" t="str">
        <f>+HYPERLINK("http://trademark.i-assist.jp/data/china/image_1902th/78850791.pdf", "78850791")</f>
        <v>78850791</v>
      </c>
      <c r="F588" s="10" t="s">
        <v>2047</v>
      </c>
      <c r="G588" s="10" t="s">
        <v>2048</v>
      </c>
      <c r="H588" s="10" t="s">
        <v>2049</v>
      </c>
      <c r="I588" s="10" t="s">
        <v>169</v>
      </c>
    </row>
    <row r="589" spans="1:9" x14ac:dyDescent="0.15">
      <c r="A589" s="9">
        <v>588</v>
      </c>
      <c r="B589" s="10" t="s">
        <v>9</v>
      </c>
      <c r="C589" s="10" t="s">
        <v>363</v>
      </c>
      <c r="D589" s="10" t="s">
        <v>364</v>
      </c>
      <c r="E589" s="11" t="str">
        <f>+HYPERLINK("http://trademark.i-assist.jp/data/china/image_1902th/78850942.pdf", "78850942")</f>
        <v>78850942</v>
      </c>
      <c r="F589" s="10" t="s">
        <v>2050</v>
      </c>
      <c r="G589" s="10" t="s">
        <v>2051</v>
      </c>
      <c r="H589" s="10" t="s">
        <v>2052</v>
      </c>
      <c r="I589" s="10" t="s">
        <v>169</v>
      </c>
    </row>
    <row r="590" spans="1:9" x14ac:dyDescent="0.15">
      <c r="A590" s="9">
        <v>589</v>
      </c>
      <c r="B590" s="10" t="s">
        <v>9</v>
      </c>
      <c r="C590" s="10" t="s">
        <v>363</v>
      </c>
      <c r="D590" s="10" t="s">
        <v>364</v>
      </c>
      <c r="E590" s="11" t="str">
        <f>+HYPERLINK("http://trademark.i-assist.jp/data/china/image_1902th/78851054.pdf", "78851054")</f>
        <v>78851054</v>
      </c>
      <c r="F590" s="10" t="s">
        <v>2053</v>
      </c>
      <c r="G590" s="10" t="s">
        <v>1789</v>
      </c>
      <c r="H590" s="10" t="s">
        <v>2054</v>
      </c>
      <c r="I590" s="10" t="s">
        <v>169</v>
      </c>
    </row>
    <row r="591" spans="1:9" x14ac:dyDescent="0.15">
      <c r="A591" s="9">
        <v>590</v>
      </c>
      <c r="B591" s="10" t="s">
        <v>9</v>
      </c>
      <c r="C591" s="10" t="s">
        <v>363</v>
      </c>
      <c r="D591" s="10" t="s">
        <v>364</v>
      </c>
      <c r="E591" s="11" t="str">
        <f>+HYPERLINK("http://trademark.i-assist.jp/data/china/image_1902th/78851077.pdf", "78851077")</f>
        <v>78851077</v>
      </c>
      <c r="F591" s="10" t="s">
        <v>2055</v>
      </c>
      <c r="G591" s="10" t="s">
        <v>2056</v>
      </c>
      <c r="H591" s="10" t="s">
        <v>2057</v>
      </c>
      <c r="I591" s="10" t="s">
        <v>169</v>
      </c>
    </row>
    <row r="592" spans="1:9" x14ac:dyDescent="0.15">
      <c r="A592" s="9">
        <v>591</v>
      </c>
      <c r="B592" s="10" t="s">
        <v>9</v>
      </c>
      <c r="C592" s="10" t="s">
        <v>363</v>
      </c>
      <c r="D592" s="10" t="s">
        <v>364</v>
      </c>
      <c r="E592" s="11" t="str">
        <f>+HYPERLINK("http://trademark.i-assist.jp/data/china/image_1902th/78851322.pdf", "78851322")</f>
        <v>78851322</v>
      </c>
      <c r="F592" s="10" t="s">
        <v>2058</v>
      </c>
      <c r="G592" s="10" t="s">
        <v>170</v>
      </c>
      <c r="H592" s="10" t="s">
        <v>2059</v>
      </c>
      <c r="I592" s="10" t="s">
        <v>169</v>
      </c>
    </row>
    <row r="593" spans="1:9" x14ac:dyDescent="0.15">
      <c r="A593" s="9">
        <v>592</v>
      </c>
      <c r="B593" s="10" t="s">
        <v>9</v>
      </c>
      <c r="C593" s="10" t="s">
        <v>363</v>
      </c>
      <c r="D593" s="10" t="s">
        <v>364</v>
      </c>
      <c r="E593" s="11" t="str">
        <f>+HYPERLINK("http://trademark.i-assist.jp/data/china/image_1902th/78851611.pdf", "78851611")</f>
        <v>78851611</v>
      </c>
      <c r="F593" s="10" t="s">
        <v>12</v>
      </c>
      <c r="G593" s="10" t="s">
        <v>2060</v>
      </c>
      <c r="H593" s="10" t="s">
        <v>2061</v>
      </c>
      <c r="I593" s="10" t="s">
        <v>169</v>
      </c>
    </row>
    <row r="594" spans="1:9" x14ac:dyDescent="0.15">
      <c r="A594" s="9">
        <v>593</v>
      </c>
      <c r="B594" s="10" t="s">
        <v>9</v>
      </c>
      <c r="C594" s="10" t="s">
        <v>363</v>
      </c>
      <c r="D594" s="10" t="s">
        <v>364</v>
      </c>
      <c r="E594" s="11" t="str">
        <f>+HYPERLINK("http://trademark.i-assist.jp/data/china/image_1902th/78852377.pdf", "78852377")</f>
        <v>78852377</v>
      </c>
      <c r="F594" s="10" t="s">
        <v>2062</v>
      </c>
      <c r="G594" s="10" t="s">
        <v>2063</v>
      </c>
      <c r="H594" s="10" t="s">
        <v>2064</v>
      </c>
      <c r="I594" s="10" t="s">
        <v>169</v>
      </c>
    </row>
    <row r="595" spans="1:9" x14ac:dyDescent="0.15">
      <c r="A595" s="9">
        <v>594</v>
      </c>
      <c r="B595" s="10" t="s">
        <v>9</v>
      </c>
      <c r="C595" s="10" t="s">
        <v>363</v>
      </c>
      <c r="D595" s="10" t="s">
        <v>364</v>
      </c>
      <c r="E595" s="11" t="str">
        <f>+HYPERLINK("http://trademark.i-assist.jp/data/china/image_1902th/78852548.pdf", "78852548")</f>
        <v>78852548</v>
      </c>
      <c r="F595" s="10" t="s">
        <v>2065</v>
      </c>
      <c r="G595" s="10" t="s">
        <v>2066</v>
      </c>
      <c r="H595" s="10" t="s">
        <v>2067</v>
      </c>
      <c r="I595" s="10" t="s">
        <v>169</v>
      </c>
    </row>
    <row r="596" spans="1:9" x14ac:dyDescent="0.15">
      <c r="A596" s="9">
        <v>595</v>
      </c>
      <c r="B596" s="10" t="s">
        <v>9</v>
      </c>
      <c r="C596" s="10" t="s">
        <v>363</v>
      </c>
      <c r="D596" s="10" t="s">
        <v>364</v>
      </c>
      <c r="E596" s="11" t="str">
        <f>+HYPERLINK("http://trademark.i-assist.jp/data/china/image_1902th/78852655.pdf", "78852655")</f>
        <v>78852655</v>
      </c>
      <c r="F596" s="10" t="s">
        <v>2068</v>
      </c>
      <c r="G596" s="10" t="s">
        <v>2069</v>
      </c>
      <c r="H596" s="10" t="s">
        <v>2070</v>
      </c>
      <c r="I596" s="10" t="s">
        <v>169</v>
      </c>
    </row>
    <row r="597" spans="1:9" x14ac:dyDescent="0.15">
      <c r="A597" s="9">
        <v>596</v>
      </c>
      <c r="B597" s="10" t="s">
        <v>9</v>
      </c>
      <c r="C597" s="10" t="s">
        <v>363</v>
      </c>
      <c r="D597" s="10" t="s">
        <v>364</v>
      </c>
      <c r="E597" s="11" t="str">
        <f>+HYPERLINK("http://trademark.i-assist.jp/data/china/image_1902th/78853139.pdf", "78853139")</f>
        <v>78853139</v>
      </c>
      <c r="F597" s="10" t="s">
        <v>2071</v>
      </c>
      <c r="G597" s="10" t="s">
        <v>172</v>
      </c>
      <c r="H597" s="10" t="s">
        <v>2072</v>
      </c>
      <c r="I597" s="10" t="s">
        <v>169</v>
      </c>
    </row>
    <row r="598" spans="1:9" x14ac:dyDescent="0.15">
      <c r="A598" s="9">
        <v>597</v>
      </c>
      <c r="B598" s="10" t="s">
        <v>9</v>
      </c>
      <c r="C598" s="10" t="s">
        <v>363</v>
      </c>
      <c r="D598" s="10" t="s">
        <v>364</v>
      </c>
      <c r="E598" s="11" t="str">
        <f>+HYPERLINK("http://trademark.i-assist.jp/data/china/image_1902th/78853465.pdf", "78853465")</f>
        <v>78853465</v>
      </c>
      <c r="F598" s="10" t="s">
        <v>2073</v>
      </c>
      <c r="G598" s="10" t="s">
        <v>172</v>
      </c>
      <c r="H598" s="10" t="s">
        <v>2074</v>
      </c>
      <c r="I598" s="10" t="s">
        <v>169</v>
      </c>
    </row>
    <row r="599" spans="1:9" x14ac:dyDescent="0.15">
      <c r="A599" s="9">
        <v>598</v>
      </c>
      <c r="B599" s="10" t="s">
        <v>9</v>
      </c>
      <c r="C599" s="10" t="s">
        <v>363</v>
      </c>
      <c r="D599" s="10" t="s">
        <v>364</v>
      </c>
      <c r="E599" s="11" t="str">
        <f>+HYPERLINK("http://trademark.i-assist.jp/data/china/image_1902th/78854023.pdf", "78854023")</f>
        <v>78854023</v>
      </c>
      <c r="F599" s="10" t="s">
        <v>2075</v>
      </c>
      <c r="G599" s="10" t="s">
        <v>2076</v>
      </c>
      <c r="H599" s="10" t="s">
        <v>2077</v>
      </c>
      <c r="I599" s="10" t="s">
        <v>169</v>
      </c>
    </row>
    <row r="600" spans="1:9" x14ac:dyDescent="0.15">
      <c r="A600" s="9">
        <v>599</v>
      </c>
      <c r="B600" s="10" t="s">
        <v>9</v>
      </c>
      <c r="C600" s="10" t="s">
        <v>363</v>
      </c>
      <c r="D600" s="10" t="s">
        <v>364</v>
      </c>
      <c r="E600" s="11" t="str">
        <f>+HYPERLINK("http://trademark.i-assist.jp/data/china/image_1902th/78854303.pdf", "78854303")</f>
        <v>78854303</v>
      </c>
      <c r="F600" s="10" t="s">
        <v>2078</v>
      </c>
      <c r="G600" s="10" t="s">
        <v>2079</v>
      </c>
      <c r="H600" s="10" t="s">
        <v>2080</v>
      </c>
      <c r="I600" s="10" t="s">
        <v>169</v>
      </c>
    </row>
    <row r="601" spans="1:9" x14ac:dyDescent="0.15">
      <c r="A601" s="9">
        <v>600</v>
      </c>
      <c r="B601" s="10" t="s">
        <v>9</v>
      </c>
      <c r="C601" s="10" t="s">
        <v>363</v>
      </c>
      <c r="D601" s="10" t="s">
        <v>364</v>
      </c>
      <c r="E601" s="11" t="str">
        <f>+HYPERLINK("http://trademark.i-assist.jp/data/china/image_1902th/78854459.pdf", "78854459")</f>
        <v>78854459</v>
      </c>
      <c r="F601" s="10" t="s">
        <v>2081</v>
      </c>
      <c r="G601" s="10" t="s">
        <v>2082</v>
      </c>
      <c r="H601" s="10" t="s">
        <v>2083</v>
      </c>
      <c r="I601" s="10" t="s">
        <v>169</v>
      </c>
    </row>
    <row r="602" spans="1:9" x14ac:dyDescent="0.15">
      <c r="A602" s="9">
        <v>601</v>
      </c>
      <c r="B602" s="10" t="s">
        <v>9</v>
      </c>
      <c r="C602" s="10" t="s">
        <v>363</v>
      </c>
      <c r="D602" s="10" t="s">
        <v>364</v>
      </c>
      <c r="E602" s="11" t="str">
        <f>+HYPERLINK("http://trademark.i-assist.jp/data/china/image_1902th/78854556.pdf", "78854556")</f>
        <v>78854556</v>
      </c>
      <c r="F602" s="10" t="s">
        <v>2084</v>
      </c>
      <c r="G602" s="10" t="s">
        <v>55</v>
      </c>
      <c r="H602" s="10" t="s">
        <v>2085</v>
      </c>
      <c r="I602" s="10" t="s">
        <v>169</v>
      </c>
    </row>
    <row r="603" spans="1:9" x14ac:dyDescent="0.15">
      <c r="A603" s="9">
        <v>602</v>
      </c>
      <c r="B603" s="10" t="s">
        <v>9</v>
      </c>
      <c r="C603" s="10" t="s">
        <v>363</v>
      </c>
      <c r="D603" s="10" t="s">
        <v>364</v>
      </c>
      <c r="E603" s="11" t="str">
        <f>+HYPERLINK("http://trademark.i-assist.jp/data/china/image_1902th/78854603.pdf", "78854603")</f>
        <v>78854603</v>
      </c>
      <c r="F603" s="10" t="s">
        <v>2086</v>
      </c>
      <c r="G603" s="10" t="s">
        <v>2087</v>
      </c>
      <c r="H603" s="10" t="s">
        <v>2088</v>
      </c>
      <c r="I603" s="10" t="s">
        <v>169</v>
      </c>
    </row>
    <row r="604" spans="1:9" x14ac:dyDescent="0.15">
      <c r="A604" s="9">
        <v>603</v>
      </c>
      <c r="B604" s="10" t="s">
        <v>9</v>
      </c>
      <c r="C604" s="10" t="s">
        <v>363</v>
      </c>
      <c r="D604" s="10" t="s">
        <v>364</v>
      </c>
      <c r="E604" s="11" t="str">
        <f>+HYPERLINK("http://trademark.i-assist.jp/data/china/image_1902th/78854824.pdf", "78854824")</f>
        <v>78854824</v>
      </c>
      <c r="F604" s="10" t="s">
        <v>2089</v>
      </c>
      <c r="G604" s="10" t="s">
        <v>2063</v>
      </c>
      <c r="H604" s="10" t="s">
        <v>2090</v>
      </c>
      <c r="I604" s="10" t="s">
        <v>169</v>
      </c>
    </row>
    <row r="605" spans="1:9" x14ac:dyDescent="0.15">
      <c r="A605" s="9">
        <v>604</v>
      </c>
      <c r="B605" s="10" t="s">
        <v>9</v>
      </c>
      <c r="C605" s="10" t="s">
        <v>363</v>
      </c>
      <c r="D605" s="10" t="s">
        <v>364</v>
      </c>
      <c r="E605" s="11" t="str">
        <f>+HYPERLINK("http://trademark.i-assist.jp/data/china/image_1902th/78855320.pdf", "78855320")</f>
        <v>78855320</v>
      </c>
      <c r="F605" s="10" t="s">
        <v>2091</v>
      </c>
      <c r="G605" s="10" t="s">
        <v>2092</v>
      </c>
      <c r="H605" s="10" t="s">
        <v>2093</v>
      </c>
      <c r="I605" s="10" t="s">
        <v>169</v>
      </c>
    </row>
    <row r="606" spans="1:9" x14ac:dyDescent="0.15">
      <c r="A606" s="9">
        <v>605</v>
      </c>
      <c r="B606" s="10" t="s">
        <v>9</v>
      </c>
      <c r="C606" s="10" t="s">
        <v>363</v>
      </c>
      <c r="D606" s="10" t="s">
        <v>364</v>
      </c>
      <c r="E606" s="11" t="str">
        <f>+HYPERLINK("http://trademark.i-assist.jp/data/china/image_1902th/78856122.pdf", "78856122")</f>
        <v>78856122</v>
      </c>
      <c r="F606" s="10" t="s">
        <v>2094</v>
      </c>
      <c r="G606" s="10" t="s">
        <v>2095</v>
      </c>
      <c r="H606" s="10" t="s">
        <v>2096</v>
      </c>
      <c r="I606" s="10" t="s">
        <v>169</v>
      </c>
    </row>
    <row r="607" spans="1:9" x14ac:dyDescent="0.15">
      <c r="A607" s="9">
        <v>606</v>
      </c>
      <c r="B607" s="10" t="s">
        <v>9</v>
      </c>
      <c r="C607" s="10" t="s">
        <v>363</v>
      </c>
      <c r="D607" s="10" t="s">
        <v>364</v>
      </c>
      <c r="E607" s="11" t="str">
        <f>+HYPERLINK("http://trademark.i-assist.jp/data/china/image_1902th/78856356.pdf", "78856356")</f>
        <v>78856356</v>
      </c>
      <c r="F607" s="10" t="s">
        <v>2097</v>
      </c>
      <c r="G607" s="10" t="s">
        <v>2098</v>
      </c>
      <c r="H607" s="10" t="s">
        <v>2099</v>
      </c>
      <c r="I607" s="10" t="s">
        <v>169</v>
      </c>
    </row>
    <row r="608" spans="1:9" x14ac:dyDescent="0.15">
      <c r="A608" s="9">
        <v>607</v>
      </c>
      <c r="B608" s="10" t="s">
        <v>9</v>
      </c>
      <c r="C608" s="10" t="s">
        <v>363</v>
      </c>
      <c r="D608" s="10" t="s">
        <v>364</v>
      </c>
      <c r="E608" s="11" t="str">
        <f>+HYPERLINK("http://trademark.i-assist.jp/data/china/image_1902th/78856508.pdf", "78856508")</f>
        <v>78856508</v>
      </c>
      <c r="F608" s="10" t="s">
        <v>2100</v>
      </c>
      <c r="G608" s="10" t="s">
        <v>173</v>
      </c>
      <c r="H608" s="10" t="s">
        <v>2101</v>
      </c>
      <c r="I608" s="10" t="s">
        <v>169</v>
      </c>
    </row>
    <row r="609" spans="1:9" x14ac:dyDescent="0.15">
      <c r="A609" s="9">
        <v>608</v>
      </c>
      <c r="B609" s="10" t="s">
        <v>9</v>
      </c>
      <c r="C609" s="10" t="s">
        <v>363</v>
      </c>
      <c r="D609" s="10" t="s">
        <v>364</v>
      </c>
      <c r="E609" s="11" t="str">
        <f>+HYPERLINK("http://trademark.i-assist.jp/data/china/image_1902th/78856680.pdf", "78856680")</f>
        <v>78856680</v>
      </c>
      <c r="F609" s="10" t="s">
        <v>2102</v>
      </c>
      <c r="G609" s="10" t="s">
        <v>2103</v>
      </c>
      <c r="H609" s="10" t="s">
        <v>2104</v>
      </c>
      <c r="I609" s="10" t="s">
        <v>169</v>
      </c>
    </row>
    <row r="610" spans="1:9" x14ac:dyDescent="0.15">
      <c r="A610" s="9">
        <v>609</v>
      </c>
      <c r="B610" s="10" t="s">
        <v>9</v>
      </c>
      <c r="C610" s="10" t="s">
        <v>363</v>
      </c>
      <c r="D610" s="10" t="s">
        <v>364</v>
      </c>
      <c r="E610" s="11" t="str">
        <f>+HYPERLINK("http://trademark.i-assist.jp/data/china/image_1902th/78856825.pdf", "78856825")</f>
        <v>78856825</v>
      </c>
      <c r="F610" s="10" t="s">
        <v>2105</v>
      </c>
      <c r="G610" s="10" t="s">
        <v>2106</v>
      </c>
      <c r="H610" s="10" t="s">
        <v>2107</v>
      </c>
      <c r="I610" s="10" t="s">
        <v>169</v>
      </c>
    </row>
    <row r="611" spans="1:9" x14ac:dyDescent="0.15">
      <c r="A611" s="9">
        <v>610</v>
      </c>
      <c r="B611" s="10" t="s">
        <v>9</v>
      </c>
      <c r="C611" s="10" t="s">
        <v>363</v>
      </c>
      <c r="D611" s="10" t="s">
        <v>364</v>
      </c>
      <c r="E611" s="11" t="str">
        <f>+HYPERLINK("http://trademark.i-assist.jp/data/china/image_1902th/78856826.pdf", "78856826")</f>
        <v>78856826</v>
      </c>
      <c r="F611" s="10" t="s">
        <v>2108</v>
      </c>
      <c r="G611" s="10" t="s">
        <v>2109</v>
      </c>
      <c r="H611" s="10" t="s">
        <v>2110</v>
      </c>
      <c r="I611" s="10" t="s">
        <v>169</v>
      </c>
    </row>
    <row r="612" spans="1:9" x14ac:dyDescent="0.15">
      <c r="A612" s="9">
        <v>611</v>
      </c>
      <c r="B612" s="10" t="s">
        <v>9</v>
      </c>
      <c r="C612" s="10" t="s">
        <v>363</v>
      </c>
      <c r="D612" s="10" t="s">
        <v>364</v>
      </c>
      <c r="E612" s="11" t="str">
        <f>+HYPERLINK("http://trademark.i-assist.jp/data/china/image_1902th/78856990.pdf", "78856990")</f>
        <v>78856990</v>
      </c>
      <c r="F612" s="10" t="s">
        <v>2111</v>
      </c>
      <c r="G612" s="10" t="s">
        <v>1931</v>
      </c>
      <c r="H612" s="10" t="s">
        <v>2112</v>
      </c>
      <c r="I612" s="10" t="s">
        <v>169</v>
      </c>
    </row>
    <row r="613" spans="1:9" x14ac:dyDescent="0.15">
      <c r="A613" s="9">
        <v>612</v>
      </c>
      <c r="B613" s="10" t="s">
        <v>9</v>
      </c>
      <c r="C613" s="10" t="s">
        <v>363</v>
      </c>
      <c r="D613" s="10" t="s">
        <v>364</v>
      </c>
      <c r="E613" s="11" t="str">
        <f>+HYPERLINK("http://trademark.i-assist.jp/data/china/image_1902th/78857036.pdf", "78857036")</f>
        <v>78857036</v>
      </c>
      <c r="F613" s="10" t="s">
        <v>2113</v>
      </c>
      <c r="G613" s="10" t="s">
        <v>1996</v>
      </c>
      <c r="H613" s="10" t="s">
        <v>2114</v>
      </c>
      <c r="I613" s="10" t="s">
        <v>169</v>
      </c>
    </row>
    <row r="614" spans="1:9" x14ac:dyDescent="0.15">
      <c r="A614" s="9">
        <v>613</v>
      </c>
      <c r="B614" s="10" t="s">
        <v>9</v>
      </c>
      <c r="C614" s="10" t="s">
        <v>363</v>
      </c>
      <c r="D614" s="10" t="s">
        <v>364</v>
      </c>
      <c r="E614" s="11" t="str">
        <f>+HYPERLINK("http://trademark.i-assist.jp/data/china/image_1902th/78857217.pdf", "78857217")</f>
        <v>78857217</v>
      </c>
      <c r="F614" s="10" t="s">
        <v>2115</v>
      </c>
      <c r="G614" s="10" t="s">
        <v>2082</v>
      </c>
      <c r="H614" s="10" t="s">
        <v>2116</v>
      </c>
      <c r="I614" s="10" t="s">
        <v>169</v>
      </c>
    </row>
    <row r="615" spans="1:9" x14ac:dyDescent="0.15">
      <c r="A615" s="9">
        <v>614</v>
      </c>
      <c r="B615" s="10" t="s">
        <v>9</v>
      </c>
      <c r="C615" s="10" t="s">
        <v>363</v>
      </c>
      <c r="D615" s="10" t="s">
        <v>364</v>
      </c>
      <c r="E615" s="11" t="str">
        <f>+HYPERLINK("http://trademark.i-assist.jp/data/china/image_1902th/78857270.pdf", "78857270")</f>
        <v>78857270</v>
      </c>
      <c r="F615" s="10" t="s">
        <v>2117</v>
      </c>
      <c r="G615" s="10" t="s">
        <v>175</v>
      </c>
      <c r="H615" s="10" t="s">
        <v>2118</v>
      </c>
      <c r="I615" s="10" t="s">
        <v>169</v>
      </c>
    </row>
    <row r="616" spans="1:9" x14ac:dyDescent="0.15">
      <c r="A616" s="9">
        <v>615</v>
      </c>
      <c r="B616" s="10" t="s">
        <v>9</v>
      </c>
      <c r="C616" s="10" t="s">
        <v>363</v>
      </c>
      <c r="D616" s="10" t="s">
        <v>364</v>
      </c>
      <c r="E616" s="11" t="str">
        <f>+HYPERLINK("http://trademark.i-assist.jp/data/china/image_1902th/78857313.pdf", "78857313")</f>
        <v>78857313</v>
      </c>
      <c r="F616" s="10" t="s">
        <v>2119</v>
      </c>
      <c r="G616" s="10" t="s">
        <v>2120</v>
      </c>
      <c r="H616" s="10" t="s">
        <v>2121</v>
      </c>
      <c r="I616" s="10" t="s">
        <v>169</v>
      </c>
    </row>
    <row r="617" spans="1:9" x14ac:dyDescent="0.15">
      <c r="A617" s="9">
        <v>616</v>
      </c>
      <c r="B617" s="10" t="s">
        <v>9</v>
      </c>
      <c r="C617" s="10" t="s">
        <v>363</v>
      </c>
      <c r="D617" s="10" t="s">
        <v>364</v>
      </c>
      <c r="E617" s="11" t="str">
        <f>+HYPERLINK("http://trademark.i-assist.jp/data/china/image_1902th/78857353.pdf", "78857353")</f>
        <v>78857353</v>
      </c>
      <c r="F617" s="10" t="s">
        <v>2122</v>
      </c>
      <c r="G617" s="10" t="s">
        <v>2123</v>
      </c>
      <c r="H617" s="10" t="s">
        <v>2124</v>
      </c>
      <c r="I617" s="10" t="s">
        <v>169</v>
      </c>
    </row>
    <row r="618" spans="1:9" x14ac:dyDescent="0.15">
      <c r="A618" s="9">
        <v>617</v>
      </c>
      <c r="B618" s="10" t="s">
        <v>9</v>
      </c>
      <c r="C618" s="10" t="s">
        <v>363</v>
      </c>
      <c r="D618" s="10" t="s">
        <v>364</v>
      </c>
      <c r="E618" s="11" t="str">
        <f>+HYPERLINK("http://trademark.i-assist.jp/data/china/image_1902th/78857862.pdf", "78857862")</f>
        <v>78857862</v>
      </c>
      <c r="F618" s="10" t="s">
        <v>2125</v>
      </c>
      <c r="G618" s="10" t="s">
        <v>1789</v>
      </c>
      <c r="H618" s="10" t="s">
        <v>2126</v>
      </c>
      <c r="I618" s="10" t="s">
        <v>169</v>
      </c>
    </row>
    <row r="619" spans="1:9" x14ac:dyDescent="0.15">
      <c r="A619" s="9">
        <v>618</v>
      </c>
      <c r="B619" s="10" t="s">
        <v>9</v>
      </c>
      <c r="C619" s="10" t="s">
        <v>363</v>
      </c>
      <c r="D619" s="10" t="s">
        <v>364</v>
      </c>
      <c r="E619" s="11" t="str">
        <f>+HYPERLINK("http://trademark.i-assist.jp/data/china/image_1902th/78858271.pdf", "78858271")</f>
        <v>78858271</v>
      </c>
      <c r="F619" s="10" t="s">
        <v>2127</v>
      </c>
      <c r="G619" s="10" t="s">
        <v>170</v>
      </c>
      <c r="H619" s="10" t="s">
        <v>2128</v>
      </c>
      <c r="I619" s="10" t="s">
        <v>169</v>
      </c>
    </row>
    <row r="620" spans="1:9" x14ac:dyDescent="0.15">
      <c r="A620" s="9">
        <v>619</v>
      </c>
      <c r="B620" s="10" t="s">
        <v>9</v>
      </c>
      <c r="C620" s="10" t="s">
        <v>363</v>
      </c>
      <c r="D620" s="10" t="s">
        <v>364</v>
      </c>
      <c r="E620" s="11" t="str">
        <f>+HYPERLINK("http://trademark.i-assist.jp/data/china/image_1902th/78858472.pdf", "78858472")</f>
        <v>78858472</v>
      </c>
      <c r="F620" s="10" t="s">
        <v>2129</v>
      </c>
      <c r="G620" s="10" t="s">
        <v>2045</v>
      </c>
      <c r="H620" s="10" t="s">
        <v>2130</v>
      </c>
      <c r="I620" s="10" t="s">
        <v>169</v>
      </c>
    </row>
    <row r="621" spans="1:9" x14ac:dyDescent="0.15">
      <c r="A621" s="9">
        <v>620</v>
      </c>
      <c r="B621" s="10" t="s">
        <v>9</v>
      </c>
      <c r="C621" s="10" t="s">
        <v>363</v>
      </c>
      <c r="D621" s="10" t="s">
        <v>364</v>
      </c>
      <c r="E621" s="11" t="str">
        <f>+HYPERLINK("http://trademark.i-assist.jp/data/china/image_1902th/78858811.pdf", "78858811")</f>
        <v>78858811</v>
      </c>
      <c r="F621" s="10" t="s">
        <v>2131</v>
      </c>
      <c r="G621" s="10" t="s">
        <v>2076</v>
      </c>
      <c r="H621" s="10" t="s">
        <v>2132</v>
      </c>
      <c r="I621" s="10" t="s">
        <v>169</v>
      </c>
    </row>
    <row r="622" spans="1:9" x14ac:dyDescent="0.15">
      <c r="A622" s="9">
        <v>621</v>
      </c>
      <c r="B622" s="10" t="s">
        <v>9</v>
      </c>
      <c r="C622" s="10" t="s">
        <v>363</v>
      </c>
      <c r="D622" s="10" t="s">
        <v>364</v>
      </c>
      <c r="E622" s="11" t="str">
        <f>+HYPERLINK("http://trademark.i-assist.jp/data/china/image_1902th/78859262.pdf", "78859262")</f>
        <v>78859262</v>
      </c>
      <c r="F622" s="10" t="s">
        <v>2133</v>
      </c>
      <c r="G622" s="10" t="s">
        <v>2134</v>
      </c>
      <c r="H622" s="10" t="s">
        <v>2135</v>
      </c>
      <c r="I622" s="10" t="s">
        <v>169</v>
      </c>
    </row>
    <row r="623" spans="1:9" x14ac:dyDescent="0.15">
      <c r="A623" s="9">
        <v>622</v>
      </c>
      <c r="B623" s="10" t="s">
        <v>9</v>
      </c>
      <c r="C623" s="10" t="s">
        <v>363</v>
      </c>
      <c r="D623" s="10" t="s">
        <v>364</v>
      </c>
      <c r="E623" s="11" t="str">
        <f>+HYPERLINK("http://trademark.i-assist.jp/data/china/image_1902th/78859377.pdf", "78859377")</f>
        <v>78859377</v>
      </c>
      <c r="F623" s="10" t="s">
        <v>2136</v>
      </c>
      <c r="G623" s="10" t="s">
        <v>1789</v>
      </c>
      <c r="H623" s="10" t="s">
        <v>2137</v>
      </c>
      <c r="I623" s="10" t="s">
        <v>169</v>
      </c>
    </row>
    <row r="624" spans="1:9" x14ac:dyDescent="0.15">
      <c r="A624" s="9">
        <v>623</v>
      </c>
      <c r="B624" s="10" t="s">
        <v>9</v>
      </c>
      <c r="C624" s="10" t="s">
        <v>363</v>
      </c>
      <c r="D624" s="10" t="s">
        <v>364</v>
      </c>
      <c r="E624" s="11" t="str">
        <f>+HYPERLINK("http://trademark.i-assist.jp/data/china/image_1902th/78859426.pdf", "78859426")</f>
        <v>78859426</v>
      </c>
      <c r="F624" s="10" t="s">
        <v>2138</v>
      </c>
      <c r="G624" s="10" t="s">
        <v>2139</v>
      </c>
      <c r="H624" s="10" t="s">
        <v>2140</v>
      </c>
      <c r="I624" s="10" t="s">
        <v>169</v>
      </c>
    </row>
    <row r="625" spans="1:9" x14ac:dyDescent="0.15">
      <c r="A625" s="9">
        <v>624</v>
      </c>
      <c r="B625" s="10" t="s">
        <v>9</v>
      </c>
      <c r="C625" s="10" t="s">
        <v>363</v>
      </c>
      <c r="D625" s="10" t="s">
        <v>364</v>
      </c>
      <c r="E625" s="11" t="str">
        <f>+HYPERLINK("http://trademark.i-assist.jp/data/china/image_1902th/78860138.pdf", "78860138")</f>
        <v>78860138</v>
      </c>
      <c r="F625" s="10" t="s">
        <v>2141</v>
      </c>
      <c r="G625" s="10" t="s">
        <v>2142</v>
      </c>
      <c r="H625" s="10" t="s">
        <v>2143</v>
      </c>
      <c r="I625" s="10" t="s">
        <v>169</v>
      </c>
    </row>
    <row r="626" spans="1:9" x14ac:dyDescent="0.15">
      <c r="A626" s="9">
        <v>625</v>
      </c>
      <c r="B626" s="10" t="s">
        <v>9</v>
      </c>
      <c r="C626" s="10" t="s">
        <v>363</v>
      </c>
      <c r="D626" s="10" t="s">
        <v>364</v>
      </c>
      <c r="E626" s="11" t="str">
        <f>+HYPERLINK("http://trademark.i-assist.jp/data/china/image_1902th/78860519.pdf", "78860519")</f>
        <v>78860519</v>
      </c>
      <c r="F626" s="10" t="s">
        <v>2144</v>
      </c>
      <c r="G626" s="10" t="s">
        <v>2145</v>
      </c>
      <c r="H626" s="10" t="s">
        <v>2146</v>
      </c>
      <c r="I626" s="10" t="s">
        <v>169</v>
      </c>
    </row>
    <row r="627" spans="1:9" x14ac:dyDescent="0.15">
      <c r="A627" s="9">
        <v>626</v>
      </c>
      <c r="B627" s="10" t="s">
        <v>9</v>
      </c>
      <c r="C627" s="10" t="s">
        <v>363</v>
      </c>
      <c r="D627" s="10" t="s">
        <v>364</v>
      </c>
      <c r="E627" s="11" t="str">
        <f>+HYPERLINK("http://trademark.i-assist.jp/data/china/image_1902th/78860658.pdf", "78860658")</f>
        <v>78860658</v>
      </c>
      <c r="F627" s="10" t="s">
        <v>2147</v>
      </c>
      <c r="G627" s="10" t="s">
        <v>2148</v>
      </c>
      <c r="H627" s="10" t="s">
        <v>2149</v>
      </c>
      <c r="I627" s="10" t="s">
        <v>169</v>
      </c>
    </row>
    <row r="628" spans="1:9" x14ac:dyDescent="0.15">
      <c r="A628" s="9">
        <v>627</v>
      </c>
      <c r="B628" s="10" t="s">
        <v>9</v>
      </c>
      <c r="C628" s="10" t="s">
        <v>363</v>
      </c>
      <c r="D628" s="10" t="s">
        <v>364</v>
      </c>
      <c r="E628" s="11" t="str">
        <f>+HYPERLINK("http://trademark.i-assist.jp/data/china/image_1902th/78860979.pdf", "78860979")</f>
        <v>78860979</v>
      </c>
      <c r="F628" s="10" t="s">
        <v>2150</v>
      </c>
      <c r="G628" s="10" t="s">
        <v>2134</v>
      </c>
      <c r="H628" s="10" t="s">
        <v>2151</v>
      </c>
      <c r="I628" s="10" t="s">
        <v>169</v>
      </c>
    </row>
    <row r="629" spans="1:9" x14ac:dyDescent="0.15">
      <c r="A629" s="9">
        <v>628</v>
      </c>
      <c r="B629" s="10" t="s">
        <v>9</v>
      </c>
      <c r="C629" s="10" t="s">
        <v>363</v>
      </c>
      <c r="D629" s="10" t="s">
        <v>364</v>
      </c>
      <c r="E629" s="11" t="str">
        <f>+HYPERLINK("http://trademark.i-assist.jp/data/china/image_1902th/78861338.pdf", "78861338")</f>
        <v>78861338</v>
      </c>
      <c r="F629" s="10" t="s">
        <v>2152</v>
      </c>
      <c r="G629" s="10" t="s">
        <v>2153</v>
      </c>
      <c r="H629" s="10" t="s">
        <v>2154</v>
      </c>
      <c r="I629" s="10" t="s">
        <v>169</v>
      </c>
    </row>
    <row r="630" spans="1:9" x14ac:dyDescent="0.15">
      <c r="A630" s="9">
        <v>629</v>
      </c>
      <c r="B630" s="10" t="s">
        <v>9</v>
      </c>
      <c r="C630" s="10" t="s">
        <v>363</v>
      </c>
      <c r="D630" s="10" t="s">
        <v>364</v>
      </c>
      <c r="E630" s="11" t="str">
        <f>+HYPERLINK("http://trademark.i-assist.jp/data/china/image_1902th/78861482.pdf", "78861482")</f>
        <v>78861482</v>
      </c>
      <c r="F630" s="10" t="s">
        <v>2155</v>
      </c>
      <c r="G630" s="10" t="s">
        <v>2076</v>
      </c>
      <c r="H630" s="10" t="s">
        <v>2156</v>
      </c>
      <c r="I630" s="10" t="s">
        <v>169</v>
      </c>
    </row>
    <row r="631" spans="1:9" x14ac:dyDescent="0.15">
      <c r="A631" s="9">
        <v>630</v>
      </c>
      <c r="B631" s="10" t="s">
        <v>9</v>
      </c>
      <c r="C631" s="10" t="s">
        <v>363</v>
      </c>
      <c r="D631" s="10" t="s">
        <v>364</v>
      </c>
      <c r="E631" s="11" t="str">
        <f>+HYPERLINK("http://trademark.i-assist.jp/data/china/image_1902th/78861884.pdf", "78861884")</f>
        <v>78861884</v>
      </c>
      <c r="F631" s="10" t="s">
        <v>2157</v>
      </c>
      <c r="G631" s="10" t="s">
        <v>2158</v>
      </c>
      <c r="H631" s="10" t="s">
        <v>2159</v>
      </c>
      <c r="I631" s="10" t="s">
        <v>169</v>
      </c>
    </row>
    <row r="632" spans="1:9" x14ac:dyDescent="0.15">
      <c r="A632" s="9">
        <v>631</v>
      </c>
      <c r="B632" s="10" t="s">
        <v>9</v>
      </c>
      <c r="C632" s="10" t="s">
        <v>363</v>
      </c>
      <c r="D632" s="10" t="s">
        <v>364</v>
      </c>
      <c r="E632" s="11" t="str">
        <f>+HYPERLINK("http://trademark.i-assist.jp/data/china/image_1902th/78862961.pdf", "78862961")</f>
        <v>78862961</v>
      </c>
      <c r="F632" s="10" t="s">
        <v>2160</v>
      </c>
      <c r="G632" s="10" t="s">
        <v>170</v>
      </c>
      <c r="H632" s="10" t="s">
        <v>2161</v>
      </c>
      <c r="I632" s="10" t="s">
        <v>169</v>
      </c>
    </row>
    <row r="633" spans="1:9" x14ac:dyDescent="0.15">
      <c r="A633" s="9">
        <v>632</v>
      </c>
      <c r="B633" s="10" t="s">
        <v>9</v>
      </c>
      <c r="C633" s="10" t="s">
        <v>363</v>
      </c>
      <c r="D633" s="10" t="s">
        <v>364</v>
      </c>
      <c r="E633" s="11" t="str">
        <f>+HYPERLINK("http://trademark.i-assist.jp/data/china/image_1902th/78863026.pdf", "78863026")</f>
        <v>78863026</v>
      </c>
      <c r="F633" s="10" t="s">
        <v>2162</v>
      </c>
      <c r="G633" s="10" t="s">
        <v>2163</v>
      </c>
      <c r="H633" s="10" t="s">
        <v>15</v>
      </c>
      <c r="I633" s="10" t="s">
        <v>169</v>
      </c>
    </row>
    <row r="634" spans="1:9" x14ac:dyDescent="0.15">
      <c r="A634" s="9">
        <v>633</v>
      </c>
      <c r="B634" s="10" t="s">
        <v>9</v>
      </c>
      <c r="C634" s="10" t="s">
        <v>363</v>
      </c>
      <c r="D634" s="10" t="s">
        <v>364</v>
      </c>
      <c r="E634" s="11" t="str">
        <f>+HYPERLINK("http://trademark.i-assist.jp/data/china/image_1902th/78863201.pdf", "78863201")</f>
        <v>78863201</v>
      </c>
      <c r="F634" s="10" t="s">
        <v>2164</v>
      </c>
      <c r="G634" s="10" t="s">
        <v>2165</v>
      </c>
      <c r="H634" s="10" t="s">
        <v>2166</v>
      </c>
      <c r="I634" s="10" t="s">
        <v>169</v>
      </c>
    </row>
    <row r="635" spans="1:9" x14ac:dyDescent="0.15">
      <c r="A635" s="9">
        <v>634</v>
      </c>
      <c r="B635" s="10" t="s">
        <v>9</v>
      </c>
      <c r="C635" s="10" t="s">
        <v>363</v>
      </c>
      <c r="D635" s="10" t="s">
        <v>364</v>
      </c>
      <c r="E635" s="11" t="str">
        <f>+HYPERLINK("http://trademark.i-assist.jp/data/china/image_1902th/78863477A.pdf", "78863477A")</f>
        <v>78863477A</v>
      </c>
      <c r="F635" s="10" t="s">
        <v>2167</v>
      </c>
      <c r="G635" s="10" t="s">
        <v>125</v>
      </c>
      <c r="H635" s="10" t="s">
        <v>2168</v>
      </c>
      <c r="I635" s="10" t="s">
        <v>169</v>
      </c>
    </row>
    <row r="636" spans="1:9" x14ac:dyDescent="0.15">
      <c r="A636" s="9">
        <v>635</v>
      </c>
      <c r="B636" s="10" t="s">
        <v>9</v>
      </c>
      <c r="C636" s="10" t="s">
        <v>363</v>
      </c>
      <c r="D636" s="10" t="s">
        <v>364</v>
      </c>
      <c r="E636" s="11" t="str">
        <f>+HYPERLINK("http://trademark.i-assist.jp/data/china/image_1902th/78865073.pdf", "78865073")</f>
        <v>78865073</v>
      </c>
      <c r="F636" s="10" t="s">
        <v>2169</v>
      </c>
      <c r="G636" s="10" t="s">
        <v>2170</v>
      </c>
      <c r="H636" s="10" t="s">
        <v>2171</v>
      </c>
      <c r="I636" s="10" t="s">
        <v>81</v>
      </c>
    </row>
    <row r="637" spans="1:9" x14ac:dyDescent="0.15">
      <c r="A637" s="9">
        <v>636</v>
      </c>
      <c r="B637" s="10" t="s">
        <v>9</v>
      </c>
      <c r="C637" s="10" t="s">
        <v>363</v>
      </c>
      <c r="D637" s="10" t="s">
        <v>364</v>
      </c>
      <c r="E637" s="11" t="str">
        <f>+HYPERLINK("http://trademark.i-assist.jp/data/china/image_1902th/78865829.pdf", "78865829")</f>
        <v>78865829</v>
      </c>
      <c r="F637" s="10" t="s">
        <v>2172</v>
      </c>
      <c r="G637" s="10" t="s">
        <v>2173</v>
      </c>
      <c r="H637" s="10" t="s">
        <v>2174</v>
      </c>
      <c r="I637" s="10" t="s">
        <v>81</v>
      </c>
    </row>
    <row r="638" spans="1:9" x14ac:dyDescent="0.15">
      <c r="A638" s="9">
        <v>637</v>
      </c>
      <c r="B638" s="10" t="s">
        <v>9</v>
      </c>
      <c r="C638" s="10" t="s">
        <v>363</v>
      </c>
      <c r="D638" s="10" t="s">
        <v>364</v>
      </c>
      <c r="E638" s="11" t="str">
        <f>+HYPERLINK("http://trademark.i-assist.jp/data/china/image_1902th/78866829.pdf", "78866829")</f>
        <v>78866829</v>
      </c>
      <c r="F638" s="10" t="s">
        <v>2175</v>
      </c>
      <c r="G638" s="10" t="s">
        <v>2176</v>
      </c>
      <c r="H638" s="10" t="s">
        <v>2177</v>
      </c>
      <c r="I638" s="10" t="s">
        <v>81</v>
      </c>
    </row>
    <row r="639" spans="1:9" x14ac:dyDescent="0.15">
      <c r="A639" s="9">
        <v>638</v>
      </c>
      <c r="B639" s="10" t="s">
        <v>9</v>
      </c>
      <c r="C639" s="10" t="s">
        <v>363</v>
      </c>
      <c r="D639" s="10" t="s">
        <v>364</v>
      </c>
      <c r="E639" s="11" t="str">
        <f>+HYPERLINK("http://trademark.i-assist.jp/data/china/image_1902th/78866847.pdf", "78866847")</f>
        <v>78866847</v>
      </c>
      <c r="F639" s="10" t="s">
        <v>2178</v>
      </c>
      <c r="G639" s="10" t="s">
        <v>2179</v>
      </c>
      <c r="H639" s="10" t="s">
        <v>2180</v>
      </c>
      <c r="I639" s="10" t="s">
        <v>81</v>
      </c>
    </row>
    <row r="640" spans="1:9" x14ac:dyDescent="0.15">
      <c r="A640" s="9">
        <v>639</v>
      </c>
      <c r="B640" s="10" t="s">
        <v>9</v>
      </c>
      <c r="C640" s="10" t="s">
        <v>363</v>
      </c>
      <c r="D640" s="10" t="s">
        <v>364</v>
      </c>
      <c r="E640" s="11" t="str">
        <f>+HYPERLINK("http://trademark.i-assist.jp/data/china/image_1902th/78866900.pdf", "78866900")</f>
        <v>78866900</v>
      </c>
      <c r="F640" s="10" t="s">
        <v>2181</v>
      </c>
      <c r="G640" s="10" t="s">
        <v>181</v>
      </c>
      <c r="H640" s="10" t="s">
        <v>2182</v>
      </c>
      <c r="I640" s="10" t="s">
        <v>81</v>
      </c>
    </row>
    <row r="641" spans="1:9" x14ac:dyDescent="0.15">
      <c r="A641" s="9">
        <v>640</v>
      </c>
      <c r="B641" s="10" t="s">
        <v>9</v>
      </c>
      <c r="C641" s="10" t="s">
        <v>363</v>
      </c>
      <c r="D641" s="10" t="s">
        <v>364</v>
      </c>
      <c r="E641" s="11" t="str">
        <f>+HYPERLINK("http://trademark.i-assist.jp/data/china/image_1902th/78867216.pdf", "78867216")</f>
        <v>78867216</v>
      </c>
      <c r="F641" s="10" t="s">
        <v>2183</v>
      </c>
      <c r="G641" s="10" t="s">
        <v>2184</v>
      </c>
      <c r="H641" s="10" t="s">
        <v>2185</v>
      </c>
      <c r="I641" s="10" t="s">
        <v>81</v>
      </c>
    </row>
    <row r="642" spans="1:9" x14ac:dyDescent="0.15">
      <c r="A642" s="9">
        <v>641</v>
      </c>
      <c r="B642" s="10" t="s">
        <v>9</v>
      </c>
      <c r="C642" s="10" t="s">
        <v>363</v>
      </c>
      <c r="D642" s="10" t="s">
        <v>364</v>
      </c>
      <c r="E642" s="11" t="str">
        <f>+HYPERLINK("http://trademark.i-assist.jp/data/china/image_1902th/78867620.pdf", "78867620")</f>
        <v>78867620</v>
      </c>
      <c r="F642" s="10" t="s">
        <v>2186</v>
      </c>
      <c r="G642" s="10" t="s">
        <v>2187</v>
      </c>
      <c r="H642" s="10" t="s">
        <v>2188</v>
      </c>
      <c r="I642" s="10" t="s">
        <v>81</v>
      </c>
    </row>
    <row r="643" spans="1:9" x14ac:dyDescent="0.15">
      <c r="A643" s="9">
        <v>642</v>
      </c>
      <c r="B643" s="10" t="s">
        <v>9</v>
      </c>
      <c r="C643" s="10" t="s">
        <v>363</v>
      </c>
      <c r="D643" s="10" t="s">
        <v>364</v>
      </c>
      <c r="E643" s="11" t="str">
        <f>+HYPERLINK("http://trademark.i-assist.jp/data/china/image_1902th/78867699.pdf", "78867699")</f>
        <v>78867699</v>
      </c>
      <c r="F643" s="10" t="s">
        <v>2189</v>
      </c>
      <c r="G643" s="10" t="s">
        <v>2190</v>
      </c>
      <c r="H643" s="10" t="s">
        <v>2191</v>
      </c>
      <c r="I643" s="10" t="s">
        <v>81</v>
      </c>
    </row>
    <row r="644" spans="1:9" x14ac:dyDescent="0.15">
      <c r="A644" s="9">
        <v>643</v>
      </c>
      <c r="B644" s="10" t="s">
        <v>9</v>
      </c>
      <c r="C644" s="10" t="s">
        <v>363</v>
      </c>
      <c r="D644" s="10" t="s">
        <v>364</v>
      </c>
      <c r="E644" s="11" t="str">
        <f>+HYPERLINK("http://trademark.i-assist.jp/data/china/image_1902th/78868149.pdf", "78868149")</f>
        <v>78868149</v>
      </c>
      <c r="F644" s="10" t="s">
        <v>2192</v>
      </c>
      <c r="G644" s="10" t="s">
        <v>2193</v>
      </c>
      <c r="H644" s="10" t="s">
        <v>2194</v>
      </c>
      <c r="I644" s="10" t="s">
        <v>81</v>
      </c>
    </row>
    <row r="645" spans="1:9" x14ac:dyDescent="0.15">
      <c r="A645" s="9">
        <v>644</v>
      </c>
      <c r="B645" s="10" t="s">
        <v>9</v>
      </c>
      <c r="C645" s="10" t="s">
        <v>363</v>
      </c>
      <c r="D645" s="10" t="s">
        <v>364</v>
      </c>
      <c r="E645" s="11" t="str">
        <f>+HYPERLINK("http://trademark.i-assist.jp/data/china/image_1902th/78868365.pdf", "78868365")</f>
        <v>78868365</v>
      </c>
      <c r="F645" s="10" t="s">
        <v>2195</v>
      </c>
      <c r="G645" s="10" t="s">
        <v>2196</v>
      </c>
      <c r="H645" s="10" t="s">
        <v>2197</v>
      </c>
      <c r="I645" s="10" t="s">
        <v>81</v>
      </c>
    </row>
    <row r="646" spans="1:9" x14ac:dyDescent="0.15">
      <c r="A646" s="9">
        <v>645</v>
      </c>
      <c r="B646" s="10" t="s">
        <v>9</v>
      </c>
      <c r="C646" s="10" t="s">
        <v>363</v>
      </c>
      <c r="D646" s="10" t="s">
        <v>364</v>
      </c>
      <c r="E646" s="11" t="str">
        <f>+HYPERLINK("http://trademark.i-assist.jp/data/china/image_1902th/78868542.pdf", "78868542")</f>
        <v>78868542</v>
      </c>
      <c r="F646" s="10" t="s">
        <v>2198</v>
      </c>
      <c r="G646" s="10" t="s">
        <v>2199</v>
      </c>
      <c r="H646" s="10" t="s">
        <v>2200</v>
      </c>
      <c r="I646" s="10" t="s">
        <v>81</v>
      </c>
    </row>
    <row r="647" spans="1:9" x14ac:dyDescent="0.15">
      <c r="A647" s="9">
        <v>646</v>
      </c>
      <c r="B647" s="10" t="s">
        <v>9</v>
      </c>
      <c r="C647" s="10" t="s">
        <v>363</v>
      </c>
      <c r="D647" s="10" t="s">
        <v>364</v>
      </c>
      <c r="E647" s="11" t="str">
        <f>+HYPERLINK("http://trademark.i-assist.jp/data/china/image_1902th/78868731.pdf", "78868731")</f>
        <v>78868731</v>
      </c>
      <c r="F647" s="10" t="s">
        <v>2201</v>
      </c>
      <c r="G647" s="10" t="s">
        <v>2202</v>
      </c>
      <c r="H647" s="10" t="s">
        <v>2203</v>
      </c>
      <c r="I647" s="10" t="s">
        <v>81</v>
      </c>
    </row>
    <row r="648" spans="1:9" x14ac:dyDescent="0.15">
      <c r="A648" s="9">
        <v>647</v>
      </c>
      <c r="B648" s="10" t="s">
        <v>9</v>
      </c>
      <c r="C648" s="10" t="s">
        <v>363</v>
      </c>
      <c r="D648" s="10" t="s">
        <v>364</v>
      </c>
      <c r="E648" s="11" t="str">
        <f>+HYPERLINK("http://trademark.i-assist.jp/data/china/image_1902th/78869236.pdf", "78869236")</f>
        <v>78869236</v>
      </c>
      <c r="F648" s="10" t="s">
        <v>2204</v>
      </c>
      <c r="G648" s="10" t="s">
        <v>200</v>
      </c>
      <c r="H648" s="10" t="s">
        <v>2205</v>
      </c>
      <c r="I648" s="10" t="s">
        <v>81</v>
      </c>
    </row>
    <row r="649" spans="1:9" x14ac:dyDescent="0.15">
      <c r="A649" s="9">
        <v>648</v>
      </c>
      <c r="B649" s="10" t="s">
        <v>9</v>
      </c>
      <c r="C649" s="10" t="s">
        <v>363</v>
      </c>
      <c r="D649" s="10" t="s">
        <v>364</v>
      </c>
      <c r="E649" s="11" t="str">
        <f>+HYPERLINK("http://trademark.i-assist.jp/data/china/image_1902th/78869345.pdf", "78869345")</f>
        <v>78869345</v>
      </c>
      <c r="F649" s="10" t="s">
        <v>2206</v>
      </c>
      <c r="G649" s="10" t="s">
        <v>2207</v>
      </c>
      <c r="H649" s="10" t="s">
        <v>2208</v>
      </c>
      <c r="I649" s="10" t="s">
        <v>81</v>
      </c>
    </row>
    <row r="650" spans="1:9" x14ac:dyDescent="0.15">
      <c r="A650" s="9">
        <v>649</v>
      </c>
      <c r="B650" s="10" t="s">
        <v>9</v>
      </c>
      <c r="C650" s="10" t="s">
        <v>363</v>
      </c>
      <c r="D650" s="10" t="s">
        <v>364</v>
      </c>
      <c r="E650" s="11" t="str">
        <f>+HYPERLINK("http://trademark.i-assist.jp/data/china/image_1902th/78870072.pdf", "78870072")</f>
        <v>78870072</v>
      </c>
      <c r="F650" s="10" t="s">
        <v>2209</v>
      </c>
      <c r="G650" s="10" t="s">
        <v>2210</v>
      </c>
      <c r="H650" s="10" t="s">
        <v>2211</v>
      </c>
      <c r="I650" s="10" t="s">
        <v>81</v>
      </c>
    </row>
    <row r="651" spans="1:9" x14ac:dyDescent="0.15">
      <c r="A651" s="9">
        <v>650</v>
      </c>
      <c r="B651" s="10" t="s">
        <v>9</v>
      </c>
      <c r="C651" s="10" t="s">
        <v>363</v>
      </c>
      <c r="D651" s="10" t="s">
        <v>364</v>
      </c>
      <c r="E651" s="11" t="str">
        <f>+HYPERLINK("http://trademark.i-assist.jp/data/china/image_1902th/78870597.pdf", "78870597")</f>
        <v>78870597</v>
      </c>
      <c r="F651" s="10" t="s">
        <v>2212</v>
      </c>
      <c r="G651" s="10" t="s">
        <v>2213</v>
      </c>
      <c r="H651" s="10" t="s">
        <v>2214</v>
      </c>
      <c r="I651" s="10" t="s">
        <v>81</v>
      </c>
    </row>
    <row r="652" spans="1:9" x14ac:dyDescent="0.15">
      <c r="A652" s="9">
        <v>651</v>
      </c>
      <c r="B652" s="10" t="s">
        <v>9</v>
      </c>
      <c r="C652" s="10" t="s">
        <v>363</v>
      </c>
      <c r="D652" s="10" t="s">
        <v>364</v>
      </c>
      <c r="E652" s="11" t="str">
        <f>+HYPERLINK("http://trademark.i-assist.jp/data/china/image_1902th/78870720.pdf", "78870720")</f>
        <v>78870720</v>
      </c>
      <c r="F652" s="10" t="s">
        <v>2215</v>
      </c>
      <c r="G652" s="10" t="s">
        <v>211</v>
      </c>
      <c r="H652" s="10" t="s">
        <v>2216</v>
      </c>
      <c r="I652" s="10" t="s">
        <v>81</v>
      </c>
    </row>
    <row r="653" spans="1:9" x14ac:dyDescent="0.15">
      <c r="A653" s="9">
        <v>652</v>
      </c>
      <c r="B653" s="10" t="s">
        <v>9</v>
      </c>
      <c r="C653" s="10" t="s">
        <v>363</v>
      </c>
      <c r="D653" s="10" t="s">
        <v>364</v>
      </c>
      <c r="E653" s="11" t="str">
        <f>+HYPERLINK("http://trademark.i-assist.jp/data/china/image_1902th/78870862.pdf", "78870862")</f>
        <v>78870862</v>
      </c>
      <c r="F653" s="10" t="s">
        <v>2217</v>
      </c>
      <c r="G653" s="10" t="s">
        <v>163</v>
      </c>
      <c r="H653" s="10" t="s">
        <v>2218</v>
      </c>
      <c r="I653" s="10" t="s">
        <v>81</v>
      </c>
    </row>
    <row r="654" spans="1:9" x14ac:dyDescent="0.15">
      <c r="A654" s="9">
        <v>653</v>
      </c>
      <c r="B654" s="10" t="s">
        <v>9</v>
      </c>
      <c r="C654" s="10" t="s">
        <v>363</v>
      </c>
      <c r="D654" s="10" t="s">
        <v>364</v>
      </c>
      <c r="E654" s="11" t="str">
        <f>+HYPERLINK("http://trademark.i-assist.jp/data/china/image_1902th/78871636.pdf", "78871636")</f>
        <v>78871636</v>
      </c>
      <c r="F654" s="10" t="s">
        <v>2219</v>
      </c>
      <c r="G654" s="10" t="s">
        <v>2220</v>
      </c>
      <c r="H654" s="10" t="s">
        <v>2221</v>
      </c>
      <c r="I654" s="10" t="s">
        <v>81</v>
      </c>
    </row>
    <row r="655" spans="1:9" x14ac:dyDescent="0.15">
      <c r="A655" s="9">
        <v>654</v>
      </c>
      <c r="B655" s="10" t="s">
        <v>9</v>
      </c>
      <c r="C655" s="10" t="s">
        <v>363</v>
      </c>
      <c r="D655" s="10" t="s">
        <v>364</v>
      </c>
      <c r="E655" s="11" t="str">
        <f>+HYPERLINK("http://trademark.i-assist.jp/data/china/image_1902th/78871954.pdf", "78871954")</f>
        <v>78871954</v>
      </c>
      <c r="F655" s="10" t="s">
        <v>2222</v>
      </c>
      <c r="G655" s="10" t="s">
        <v>2223</v>
      </c>
      <c r="H655" s="10" t="s">
        <v>2224</v>
      </c>
      <c r="I655" s="10" t="s">
        <v>81</v>
      </c>
    </row>
    <row r="656" spans="1:9" x14ac:dyDescent="0.15">
      <c r="A656" s="9">
        <v>655</v>
      </c>
      <c r="B656" s="10" t="s">
        <v>9</v>
      </c>
      <c r="C656" s="10" t="s">
        <v>363</v>
      </c>
      <c r="D656" s="10" t="s">
        <v>364</v>
      </c>
      <c r="E656" s="11" t="str">
        <f>+HYPERLINK("http://trademark.i-assist.jp/data/china/image_1902th/78874758.pdf", "78874758")</f>
        <v>78874758</v>
      </c>
      <c r="F656" s="10" t="s">
        <v>2225</v>
      </c>
      <c r="G656" s="10" t="s">
        <v>2226</v>
      </c>
      <c r="H656" s="10" t="s">
        <v>2227</v>
      </c>
      <c r="I656" s="10" t="s">
        <v>81</v>
      </c>
    </row>
    <row r="657" spans="1:9" x14ac:dyDescent="0.15">
      <c r="A657" s="9">
        <v>656</v>
      </c>
      <c r="B657" s="10" t="s">
        <v>9</v>
      </c>
      <c r="C657" s="10" t="s">
        <v>363</v>
      </c>
      <c r="D657" s="10" t="s">
        <v>364</v>
      </c>
      <c r="E657" s="11" t="str">
        <f>+HYPERLINK("http://trademark.i-assist.jp/data/china/image_1902th/78875181.pdf", "78875181")</f>
        <v>78875181</v>
      </c>
      <c r="F657" s="10" t="s">
        <v>2228</v>
      </c>
      <c r="G657" s="10" t="s">
        <v>2229</v>
      </c>
      <c r="H657" s="10" t="s">
        <v>2230</v>
      </c>
      <c r="I657" s="10" t="s">
        <v>81</v>
      </c>
    </row>
    <row r="658" spans="1:9" x14ac:dyDescent="0.15">
      <c r="A658" s="9">
        <v>657</v>
      </c>
      <c r="B658" s="10" t="s">
        <v>9</v>
      </c>
      <c r="C658" s="10" t="s">
        <v>363</v>
      </c>
      <c r="D658" s="10" t="s">
        <v>364</v>
      </c>
      <c r="E658" s="11" t="str">
        <f>+HYPERLINK("http://trademark.i-assist.jp/data/china/image_1902th/78875958.pdf", "78875958")</f>
        <v>78875958</v>
      </c>
      <c r="F658" s="10" t="s">
        <v>2231</v>
      </c>
      <c r="G658" s="10" t="s">
        <v>2232</v>
      </c>
      <c r="H658" s="10" t="s">
        <v>2233</v>
      </c>
      <c r="I658" s="10" t="s">
        <v>81</v>
      </c>
    </row>
    <row r="659" spans="1:9" x14ac:dyDescent="0.15">
      <c r="A659" s="9">
        <v>658</v>
      </c>
      <c r="B659" s="10" t="s">
        <v>9</v>
      </c>
      <c r="C659" s="10" t="s">
        <v>363</v>
      </c>
      <c r="D659" s="10" t="s">
        <v>364</v>
      </c>
      <c r="E659" s="11" t="str">
        <f>+HYPERLINK("http://trademark.i-assist.jp/data/china/image_1902th/78876067.pdf", "78876067")</f>
        <v>78876067</v>
      </c>
      <c r="F659" s="10" t="s">
        <v>2234</v>
      </c>
      <c r="G659" s="10" t="s">
        <v>2235</v>
      </c>
      <c r="H659" s="10" t="s">
        <v>2236</v>
      </c>
      <c r="I659" s="10" t="s">
        <v>81</v>
      </c>
    </row>
    <row r="660" spans="1:9" x14ac:dyDescent="0.15">
      <c r="A660" s="9">
        <v>659</v>
      </c>
      <c r="B660" s="10" t="s">
        <v>9</v>
      </c>
      <c r="C660" s="10" t="s">
        <v>363</v>
      </c>
      <c r="D660" s="10" t="s">
        <v>364</v>
      </c>
      <c r="E660" s="11" t="str">
        <f>+HYPERLINK("http://trademark.i-assist.jp/data/china/image_1902th/78876231.pdf", "78876231")</f>
        <v>78876231</v>
      </c>
      <c r="F660" s="10" t="s">
        <v>2237</v>
      </c>
      <c r="G660" s="10" t="s">
        <v>2238</v>
      </c>
      <c r="H660" s="10" t="s">
        <v>2239</v>
      </c>
      <c r="I660" s="10" t="s">
        <v>81</v>
      </c>
    </row>
    <row r="661" spans="1:9" x14ac:dyDescent="0.15">
      <c r="A661" s="9">
        <v>660</v>
      </c>
      <c r="B661" s="10" t="s">
        <v>9</v>
      </c>
      <c r="C661" s="10" t="s">
        <v>363</v>
      </c>
      <c r="D661" s="10" t="s">
        <v>364</v>
      </c>
      <c r="E661" s="11" t="str">
        <f>+HYPERLINK("http://trademark.i-assist.jp/data/china/image_1902th/78876268.pdf", "78876268")</f>
        <v>78876268</v>
      </c>
      <c r="F661" s="10" t="s">
        <v>2240</v>
      </c>
      <c r="G661" s="10" t="s">
        <v>2241</v>
      </c>
      <c r="H661" s="10" t="s">
        <v>2242</v>
      </c>
      <c r="I661" s="10" t="s">
        <v>81</v>
      </c>
    </row>
    <row r="662" spans="1:9" x14ac:dyDescent="0.15">
      <c r="A662" s="9">
        <v>661</v>
      </c>
      <c r="B662" s="10" t="s">
        <v>9</v>
      </c>
      <c r="C662" s="10" t="s">
        <v>363</v>
      </c>
      <c r="D662" s="10" t="s">
        <v>364</v>
      </c>
      <c r="E662" s="11" t="str">
        <f>+HYPERLINK("http://trademark.i-assist.jp/data/china/image_1902th/78877143.pdf", "78877143")</f>
        <v>78877143</v>
      </c>
      <c r="F662" s="10" t="s">
        <v>2243</v>
      </c>
      <c r="G662" s="10" t="s">
        <v>2244</v>
      </c>
      <c r="H662" s="10" t="s">
        <v>2245</v>
      </c>
      <c r="I662" s="10" t="s">
        <v>81</v>
      </c>
    </row>
    <row r="663" spans="1:9" x14ac:dyDescent="0.15">
      <c r="A663" s="9">
        <v>662</v>
      </c>
      <c r="B663" s="10" t="s">
        <v>9</v>
      </c>
      <c r="C663" s="10" t="s">
        <v>363</v>
      </c>
      <c r="D663" s="10" t="s">
        <v>364</v>
      </c>
      <c r="E663" s="11" t="str">
        <f>+HYPERLINK("http://trademark.i-assist.jp/data/china/image_1902th/78877853.pdf", "78877853")</f>
        <v>78877853</v>
      </c>
      <c r="F663" s="10" t="s">
        <v>2246</v>
      </c>
      <c r="G663" s="10" t="s">
        <v>2184</v>
      </c>
      <c r="H663" s="10" t="s">
        <v>2247</v>
      </c>
      <c r="I663" s="10" t="s">
        <v>81</v>
      </c>
    </row>
    <row r="664" spans="1:9" x14ac:dyDescent="0.15">
      <c r="A664" s="9">
        <v>663</v>
      </c>
      <c r="B664" s="10" t="s">
        <v>9</v>
      </c>
      <c r="C664" s="10" t="s">
        <v>363</v>
      </c>
      <c r="D664" s="10" t="s">
        <v>364</v>
      </c>
      <c r="E664" s="11" t="str">
        <f>+HYPERLINK("http://trademark.i-assist.jp/data/china/image_1902th/78877942.pdf", "78877942")</f>
        <v>78877942</v>
      </c>
      <c r="F664" s="10" t="s">
        <v>2248</v>
      </c>
      <c r="G664" s="10" t="s">
        <v>2249</v>
      </c>
      <c r="H664" s="10" t="s">
        <v>2250</v>
      </c>
      <c r="I664" s="10" t="s">
        <v>81</v>
      </c>
    </row>
    <row r="665" spans="1:9" x14ac:dyDescent="0.15">
      <c r="A665" s="9">
        <v>664</v>
      </c>
      <c r="B665" s="10" t="s">
        <v>9</v>
      </c>
      <c r="C665" s="10" t="s">
        <v>363</v>
      </c>
      <c r="D665" s="10" t="s">
        <v>364</v>
      </c>
      <c r="E665" s="11" t="str">
        <f>+HYPERLINK("http://trademark.i-assist.jp/data/china/image_1902th/78877965.pdf", "78877965")</f>
        <v>78877965</v>
      </c>
      <c r="F665" s="10" t="s">
        <v>2251</v>
      </c>
      <c r="G665" s="10" t="s">
        <v>2252</v>
      </c>
      <c r="H665" s="10" t="s">
        <v>2253</v>
      </c>
      <c r="I665" s="10" t="s">
        <v>81</v>
      </c>
    </row>
    <row r="666" spans="1:9" x14ac:dyDescent="0.15">
      <c r="A666" s="9">
        <v>665</v>
      </c>
      <c r="B666" s="10" t="s">
        <v>9</v>
      </c>
      <c r="C666" s="10" t="s">
        <v>363</v>
      </c>
      <c r="D666" s="10" t="s">
        <v>364</v>
      </c>
      <c r="E666" s="11" t="str">
        <f>+HYPERLINK("http://trademark.i-assist.jp/data/china/image_1902th/78878044.pdf", "78878044")</f>
        <v>78878044</v>
      </c>
      <c r="F666" s="10" t="s">
        <v>2254</v>
      </c>
      <c r="G666" s="10" t="s">
        <v>2255</v>
      </c>
      <c r="H666" s="10" t="s">
        <v>2256</v>
      </c>
      <c r="I666" s="10" t="s">
        <v>81</v>
      </c>
    </row>
    <row r="667" spans="1:9" x14ac:dyDescent="0.15">
      <c r="A667" s="9">
        <v>666</v>
      </c>
      <c r="B667" s="10" t="s">
        <v>9</v>
      </c>
      <c r="C667" s="10" t="s">
        <v>363</v>
      </c>
      <c r="D667" s="10" t="s">
        <v>364</v>
      </c>
      <c r="E667" s="11" t="str">
        <f>+HYPERLINK("http://trademark.i-assist.jp/data/china/image_1902th/78879050.pdf", "78879050")</f>
        <v>78879050</v>
      </c>
      <c r="F667" s="10" t="s">
        <v>2257</v>
      </c>
      <c r="G667" s="10" t="s">
        <v>37</v>
      </c>
      <c r="H667" s="10" t="s">
        <v>2258</v>
      </c>
      <c r="I667" s="10" t="s">
        <v>81</v>
      </c>
    </row>
    <row r="668" spans="1:9" x14ac:dyDescent="0.15">
      <c r="A668" s="9">
        <v>667</v>
      </c>
      <c r="B668" s="10" t="s">
        <v>9</v>
      </c>
      <c r="C668" s="10" t="s">
        <v>363</v>
      </c>
      <c r="D668" s="10" t="s">
        <v>364</v>
      </c>
      <c r="E668" s="11" t="str">
        <f>+HYPERLINK("http://trademark.i-assist.jp/data/china/image_1902th/78879287.pdf", "78879287")</f>
        <v>78879287</v>
      </c>
      <c r="F668" s="10" t="s">
        <v>12</v>
      </c>
      <c r="G668" s="10" t="s">
        <v>126</v>
      </c>
      <c r="H668" s="10" t="s">
        <v>2259</v>
      </c>
      <c r="I668" s="10" t="s">
        <v>81</v>
      </c>
    </row>
    <row r="669" spans="1:9" x14ac:dyDescent="0.15">
      <c r="A669" s="9">
        <v>668</v>
      </c>
      <c r="B669" s="10" t="s">
        <v>9</v>
      </c>
      <c r="C669" s="10" t="s">
        <v>363</v>
      </c>
      <c r="D669" s="10" t="s">
        <v>364</v>
      </c>
      <c r="E669" s="11" t="str">
        <f>+HYPERLINK("http://trademark.i-assist.jp/data/china/image_1902th/78879702.pdf", "78879702")</f>
        <v>78879702</v>
      </c>
      <c r="F669" s="10" t="s">
        <v>2260</v>
      </c>
      <c r="G669" s="10" t="s">
        <v>2261</v>
      </c>
      <c r="H669" s="10" t="s">
        <v>2262</v>
      </c>
      <c r="I669" s="10" t="s">
        <v>81</v>
      </c>
    </row>
    <row r="670" spans="1:9" x14ac:dyDescent="0.15">
      <c r="A670" s="9">
        <v>669</v>
      </c>
      <c r="B670" s="10" t="s">
        <v>9</v>
      </c>
      <c r="C670" s="10" t="s">
        <v>363</v>
      </c>
      <c r="D670" s="10" t="s">
        <v>364</v>
      </c>
      <c r="E670" s="11" t="str">
        <f>+HYPERLINK("http://trademark.i-assist.jp/data/china/image_1902th/78880010.pdf", "78880010")</f>
        <v>78880010</v>
      </c>
      <c r="F670" s="10" t="s">
        <v>2263</v>
      </c>
      <c r="G670" s="10" t="s">
        <v>2264</v>
      </c>
      <c r="H670" s="10" t="s">
        <v>2265</v>
      </c>
      <c r="I670" s="10" t="s">
        <v>81</v>
      </c>
    </row>
    <row r="671" spans="1:9" x14ac:dyDescent="0.15">
      <c r="A671" s="9">
        <v>670</v>
      </c>
      <c r="B671" s="10" t="s">
        <v>9</v>
      </c>
      <c r="C671" s="10" t="s">
        <v>363</v>
      </c>
      <c r="D671" s="10" t="s">
        <v>364</v>
      </c>
      <c r="E671" s="11" t="str">
        <f>+HYPERLINK("http://trademark.i-assist.jp/data/china/image_1902th/78880170.pdf", "78880170")</f>
        <v>78880170</v>
      </c>
      <c r="F671" s="10" t="s">
        <v>2266</v>
      </c>
      <c r="G671" s="10" t="s">
        <v>1878</v>
      </c>
      <c r="H671" s="10" t="s">
        <v>2267</v>
      </c>
      <c r="I671" s="10" t="s">
        <v>81</v>
      </c>
    </row>
    <row r="672" spans="1:9" x14ac:dyDescent="0.15">
      <c r="A672" s="9">
        <v>671</v>
      </c>
      <c r="B672" s="10" t="s">
        <v>9</v>
      </c>
      <c r="C672" s="10" t="s">
        <v>363</v>
      </c>
      <c r="D672" s="10" t="s">
        <v>364</v>
      </c>
      <c r="E672" s="11" t="str">
        <f>+HYPERLINK("http://trademark.i-assist.jp/data/china/image_1902th/78880414.pdf", "78880414")</f>
        <v>78880414</v>
      </c>
      <c r="F672" s="10" t="s">
        <v>2268</v>
      </c>
      <c r="G672" s="10" t="s">
        <v>2252</v>
      </c>
      <c r="H672" s="10" t="s">
        <v>2269</v>
      </c>
      <c r="I672" s="10" t="s">
        <v>81</v>
      </c>
    </row>
    <row r="673" spans="1:9" x14ac:dyDescent="0.15">
      <c r="A673" s="9">
        <v>672</v>
      </c>
      <c r="B673" s="10" t="s">
        <v>9</v>
      </c>
      <c r="C673" s="10" t="s">
        <v>363</v>
      </c>
      <c r="D673" s="10" t="s">
        <v>364</v>
      </c>
      <c r="E673" s="11" t="str">
        <f>+HYPERLINK("http://trademark.i-assist.jp/data/china/image_1902th/78880858.pdf", "78880858")</f>
        <v>78880858</v>
      </c>
      <c r="F673" s="10" t="s">
        <v>2270</v>
      </c>
      <c r="G673" s="10" t="s">
        <v>2271</v>
      </c>
      <c r="H673" s="10" t="s">
        <v>2272</v>
      </c>
      <c r="I673" s="10" t="s">
        <v>81</v>
      </c>
    </row>
    <row r="674" spans="1:9" x14ac:dyDescent="0.15">
      <c r="A674" s="9">
        <v>673</v>
      </c>
      <c r="B674" s="10" t="s">
        <v>9</v>
      </c>
      <c r="C674" s="10" t="s">
        <v>363</v>
      </c>
      <c r="D674" s="10" t="s">
        <v>364</v>
      </c>
      <c r="E674" s="11" t="str">
        <f>+HYPERLINK("http://trademark.i-assist.jp/data/china/image_1902th/78881049.pdf", "78881049")</f>
        <v>78881049</v>
      </c>
      <c r="F674" s="10" t="s">
        <v>2273</v>
      </c>
      <c r="G674" s="10" t="s">
        <v>2274</v>
      </c>
      <c r="H674" s="10" t="s">
        <v>2275</v>
      </c>
      <c r="I674" s="10" t="s">
        <v>81</v>
      </c>
    </row>
    <row r="675" spans="1:9" x14ac:dyDescent="0.15">
      <c r="A675" s="9">
        <v>674</v>
      </c>
      <c r="B675" s="10" t="s">
        <v>9</v>
      </c>
      <c r="C675" s="10" t="s">
        <v>363</v>
      </c>
      <c r="D675" s="10" t="s">
        <v>364</v>
      </c>
      <c r="E675" s="11" t="str">
        <f>+HYPERLINK("http://trademark.i-assist.jp/data/china/image_1902th/78881321.pdf", "78881321")</f>
        <v>78881321</v>
      </c>
      <c r="F675" s="10" t="s">
        <v>2276</v>
      </c>
      <c r="G675" s="10" t="s">
        <v>2277</v>
      </c>
      <c r="H675" s="10" t="s">
        <v>2278</v>
      </c>
      <c r="I675" s="10" t="s">
        <v>81</v>
      </c>
    </row>
    <row r="676" spans="1:9" x14ac:dyDescent="0.15">
      <c r="A676" s="9">
        <v>675</v>
      </c>
      <c r="B676" s="10" t="s">
        <v>9</v>
      </c>
      <c r="C676" s="10" t="s">
        <v>363</v>
      </c>
      <c r="D676" s="10" t="s">
        <v>364</v>
      </c>
      <c r="E676" s="11" t="str">
        <f>+HYPERLINK("http://trademark.i-assist.jp/data/china/image_1902th/78881420.pdf", "78881420")</f>
        <v>78881420</v>
      </c>
      <c r="F676" s="10" t="s">
        <v>2279</v>
      </c>
      <c r="G676" s="10" t="s">
        <v>2280</v>
      </c>
      <c r="H676" s="10" t="s">
        <v>2281</v>
      </c>
      <c r="I676" s="10" t="s">
        <v>81</v>
      </c>
    </row>
    <row r="677" spans="1:9" x14ac:dyDescent="0.15">
      <c r="A677" s="9">
        <v>676</v>
      </c>
      <c r="B677" s="10" t="s">
        <v>9</v>
      </c>
      <c r="C677" s="10" t="s">
        <v>363</v>
      </c>
      <c r="D677" s="10" t="s">
        <v>364</v>
      </c>
      <c r="E677" s="11" t="str">
        <f>+HYPERLINK("http://trademark.i-assist.jp/data/china/image_1902th/78881863.pdf", "78881863")</f>
        <v>78881863</v>
      </c>
      <c r="F677" s="10" t="s">
        <v>2282</v>
      </c>
      <c r="G677" s="10" t="s">
        <v>2283</v>
      </c>
      <c r="H677" s="10" t="s">
        <v>2284</v>
      </c>
      <c r="I677" s="10" t="s">
        <v>81</v>
      </c>
    </row>
    <row r="678" spans="1:9" x14ac:dyDescent="0.15">
      <c r="A678" s="9">
        <v>677</v>
      </c>
      <c r="B678" s="10" t="s">
        <v>9</v>
      </c>
      <c r="C678" s="10" t="s">
        <v>363</v>
      </c>
      <c r="D678" s="10" t="s">
        <v>364</v>
      </c>
      <c r="E678" s="11" t="str">
        <f>+HYPERLINK("http://trademark.i-assist.jp/data/china/image_1902th/78881868.pdf", "78881868")</f>
        <v>78881868</v>
      </c>
      <c r="F678" s="10" t="s">
        <v>2285</v>
      </c>
      <c r="G678" s="10" t="s">
        <v>2286</v>
      </c>
      <c r="H678" s="10" t="s">
        <v>2287</v>
      </c>
      <c r="I678" s="10" t="s">
        <v>81</v>
      </c>
    </row>
    <row r="679" spans="1:9" x14ac:dyDescent="0.15">
      <c r="A679" s="9">
        <v>678</v>
      </c>
      <c r="B679" s="10" t="s">
        <v>9</v>
      </c>
      <c r="C679" s="10" t="s">
        <v>363</v>
      </c>
      <c r="D679" s="10" t="s">
        <v>364</v>
      </c>
      <c r="E679" s="11" t="str">
        <f>+HYPERLINK("http://trademark.i-assist.jp/data/china/image_1902th/78882514.pdf", "78882514")</f>
        <v>78882514</v>
      </c>
      <c r="F679" s="10" t="s">
        <v>2288</v>
      </c>
      <c r="G679" s="10" t="s">
        <v>2289</v>
      </c>
      <c r="H679" s="10" t="s">
        <v>2290</v>
      </c>
      <c r="I679" s="10" t="s">
        <v>81</v>
      </c>
    </row>
    <row r="680" spans="1:9" x14ac:dyDescent="0.15">
      <c r="A680" s="9">
        <v>679</v>
      </c>
      <c r="B680" s="10" t="s">
        <v>9</v>
      </c>
      <c r="C680" s="10" t="s">
        <v>363</v>
      </c>
      <c r="D680" s="10" t="s">
        <v>364</v>
      </c>
      <c r="E680" s="11" t="str">
        <f>+HYPERLINK("http://trademark.i-assist.jp/data/china/image_1902th/78882754.pdf", "78882754")</f>
        <v>78882754</v>
      </c>
      <c r="F680" s="10" t="s">
        <v>2291</v>
      </c>
      <c r="G680" s="10" t="s">
        <v>180</v>
      </c>
      <c r="H680" s="10" t="s">
        <v>2292</v>
      </c>
      <c r="I680" s="10" t="s">
        <v>81</v>
      </c>
    </row>
    <row r="681" spans="1:9" x14ac:dyDescent="0.15">
      <c r="A681" s="9">
        <v>680</v>
      </c>
      <c r="B681" s="10" t="s">
        <v>9</v>
      </c>
      <c r="C681" s="10" t="s">
        <v>363</v>
      </c>
      <c r="D681" s="10" t="s">
        <v>364</v>
      </c>
      <c r="E681" s="11" t="str">
        <f>+HYPERLINK("http://trademark.i-assist.jp/data/china/image_1902th/78883004.pdf", "78883004")</f>
        <v>78883004</v>
      </c>
      <c r="F681" s="10" t="s">
        <v>2293</v>
      </c>
      <c r="G681" s="10" t="s">
        <v>2294</v>
      </c>
      <c r="H681" s="10" t="s">
        <v>2295</v>
      </c>
      <c r="I681" s="10" t="s">
        <v>81</v>
      </c>
    </row>
    <row r="682" spans="1:9" x14ac:dyDescent="0.15">
      <c r="A682" s="9">
        <v>681</v>
      </c>
      <c r="B682" s="10" t="s">
        <v>9</v>
      </c>
      <c r="C682" s="10" t="s">
        <v>363</v>
      </c>
      <c r="D682" s="10" t="s">
        <v>364</v>
      </c>
      <c r="E682" s="11" t="str">
        <f>+HYPERLINK("http://trademark.i-assist.jp/data/china/image_1902th/78883168.pdf", "78883168")</f>
        <v>78883168</v>
      </c>
      <c r="F682" s="10" t="s">
        <v>2296</v>
      </c>
      <c r="G682" s="10" t="s">
        <v>2297</v>
      </c>
      <c r="H682" s="10" t="s">
        <v>2298</v>
      </c>
      <c r="I682" s="10" t="s">
        <v>81</v>
      </c>
    </row>
    <row r="683" spans="1:9" x14ac:dyDescent="0.15">
      <c r="A683" s="9">
        <v>682</v>
      </c>
      <c r="B683" s="10" t="s">
        <v>9</v>
      </c>
      <c r="C683" s="10" t="s">
        <v>363</v>
      </c>
      <c r="D683" s="10" t="s">
        <v>364</v>
      </c>
      <c r="E683" s="11" t="str">
        <f>+HYPERLINK("http://trademark.i-assist.jp/data/china/image_1902th/78883185.pdf", "78883185")</f>
        <v>78883185</v>
      </c>
      <c r="F683" s="10" t="s">
        <v>2299</v>
      </c>
      <c r="G683" s="10" t="s">
        <v>2297</v>
      </c>
      <c r="H683" s="10" t="s">
        <v>2300</v>
      </c>
      <c r="I683" s="10" t="s">
        <v>81</v>
      </c>
    </row>
    <row r="684" spans="1:9" x14ac:dyDescent="0.15">
      <c r="A684" s="9">
        <v>683</v>
      </c>
      <c r="B684" s="10" t="s">
        <v>9</v>
      </c>
      <c r="C684" s="10" t="s">
        <v>363</v>
      </c>
      <c r="D684" s="10" t="s">
        <v>364</v>
      </c>
      <c r="E684" s="11" t="str">
        <f>+HYPERLINK("http://trademark.i-assist.jp/data/china/image_1902th/78883349.pdf", "78883349")</f>
        <v>78883349</v>
      </c>
      <c r="F684" s="10" t="s">
        <v>2301</v>
      </c>
      <c r="G684" s="10" t="s">
        <v>2302</v>
      </c>
      <c r="H684" s="10" t="s">
        <v>2303</v>
      </c>
      <c r="I684" s="10" t="s">
        <v>81</v>
      </c>
    </row>
    <row r="685" spans="1:9" x14ac:dyDescent="0.15">
      <c r="A685" s="9">
        <v>684</v>
      </c>
      <c r="B685" s="10" t="s">
        <v>9</v>
      </c>
      <c r="C685" s="10" t="s">
        <v>363</v>
      </c>
      <c r="D685" s="10" t="s">
        <v>364</v>
      </c>
      <c r="E685" s="11" t="str">
        <f>+HYPERLINK("http://trademark.i-assist.jp/data/china/image_1902th/78883586A.pdf", "78883586A")</f>
        <v>78883586A</v>
      </c>
      <c r="F685" s="10" t="s">
        <v>2304</v>
      </c>
      <c r="G685" s="10" t="s">
        <v>2305</v>
      </c>
      <c r="H685" s="10" t="s">
        <v>2306</v>
      </c>
      <c r="I685" s="10" t="s">
        <v>81</v>
      </c>
    </row>
    <row r="686" spans="1:9" x14ac:dyDescent="0.15">
      <c r="A686" s="9">
        <v>685</v>
      </c>
      <c r="B686" s="10" t="s">
        <v>9</v>
      </c>
      <c r="C686" s="10" t="s">
        <v>363</v>
      </c>
      <c r="D686" s="10" t="s">
        <v>364</v>
      </c>
      <c r="E686" s="11" t="str">
        <f>+HYPERLINK("http://trademark.i-assist.jp/data/china/image_1902th/78883995.pdf", "78883995")</f>
        <v>78883995</v>
      </c>
      <c r="F686" s="10" t="s">
        <v>2307</v>
      </c>
      <c r="G686" s="10" t="s">
        <v>2308</v>
      </c>
      <c r="H686" s="10" t="s">
        <v>2309</v>
      </c>
      <c r="I686" s="10" t="s">
        <v>81</v>
      </c>
    </row>
    <row r="687" spans="1:9" x14ac:dyDescent="0.15">
      <c r="A687" s="9">
        <v>686</v>
      </c>
      <c r="B687" s="10" t="s">
        <v>9</v>
      </c>
      <c r="C687" s="10" t="s">
        <v>363</v>
      </c>
      <c r="D687" s="10" t="s">
        <v>364</v>
      </c>
      <c r="E687" s="11" t="str">
        <f>+HYPERLINK("http://trademark.i-assist.jp/data/china/image_1902th/78884173.pdf", "78884173")</f>
        <v>78884173</v>
      </c>
      <c r="F687" s="10" t="s">
        <v>2310</v>
      </c>
      <c r="G687" s="10" t="s">
        <v>2311</v>
      </c>
      <c r="H687" s="10" t="s">
        <v>2312</v>
      </c>
      <c r="I687" s="10" t="s">
        <v>81</v>
      </c>
    </row>
    <row r="688" spans="1:9" x14ac:dyDescent="0.15">
      <c r="A688" s="9">
        <v>687</v>
      </c>
      <c r="B688" s="10" t="s">
        <v>9</v>
      </c>
      <c r="C688" s="10" t="s">
        <v>363</v>
      </c>
      <c r="D688" s="10" t="s">
        <v>364</v>
      </c>
      <c r="E688" s="11" t="str">
        <f>+HYPERLINK("http://trademark.i-assist.jp/data/china/image_1902th/78884657.pdf", "78884657")</f>
        <v>78884657</v>
      </c>
      <c r="F688" s="10" t="s">
        <v>2313</v>
      </c>
      <c r="G688" s="10" t="s">
        <v>2314</v>
      </c>
      <c r="H688" s="10" t="s">
        <v>2315</v>
      </c>
      <c r="I688" s="10" t="s">
        <v>81</v>
      </c>
    </row>
    <row r="689" spans="1:9" x14ac:dyDescent="0.15">
      <c r="A689" s="9">
        <v>688</v>
      </c>
      <c r="B689" s="10" t="s">
        <v>9</v>
      </c>
      <c r="C689" s="10" t="s">
        <v>363</v>
      </c>
      <c r="D689" s="10" t="s">
        <v>364</v>
      </c>
      <c r="E689" s="11" t="str">
        <f>+HYPERLINK("http://trademark.i-assist.jp/data/china/image_1902th/78885382.pdf", "78885382")</f>
        <v>78885382</v>
      </c>
      <c r="F689" s="10" t="s">
        <v>12</v>
      </c>
      <c r="G689" s="10" t="s">
        <v>2316</v>
      </c>
      <c r="H689" s="10" t="s">
        <v>2317</v>
      </c>
      <c r="I689" s="10" t="s">
        <v>81</v>
      </c>
    </row>
    <row r="690" spans="1:9" x14ac:dyDescent="0.15">
      <c r="A690" s="9">
        <v>689</v>
      </c>
      <c r="B690" s="10" t="s">
        <v>9</v>
      </c>
      <c r="C690" s="10" t="s">
        <v>363</v>
      </c>
      <c r="D690" s="10" t="s">
        <v>364</v>
      </c>
      <c r="E690" s="11" t="str">
        <f>+HYPERLINK("http://trademark.i-assist.jp/data/china/image_1902th/78885420.pdf", "78885420")</f>
        <v>78885420</v>
      </c>
      <c r="F690" s="10" t="s">
        <v>2318</v>
      </c>
      <c r="G690" s="10" t="s">
        <v>2199</v>
      </c>
      <c r="H690" s="10" t="s">
        <v>2319</v>
      </c>
      <c r="I690" s="10" t="s">
        <v>81</v>
      </c>
    </row>
    <row r="691" spans="1:9" x14ac:dyDescent="0.15">
      <c r="A691" s="9">
        <v>690</v>
      </c>
      <c r="B691" s="10" t="s">
        <v>9</v>
      </c>
      <c r="C691" s="10" t="s">
        <v>363</v>
      </c>
      <c r="D691" s="10" t="s">
        <v>364</v>
      </c>
      <c r="E691" s="11" t="str">
        <f>+HYPERLINK("http://trademark.i-assist.jp/data/china/image_1902th/78887497.pdf", "78887497")</f>
        <v>78887497</v>
      </c>
      <c r="F691" s="10" t="s">
        <v>2320</v>
      </c>
      <c r="G691" s="10" t="s">
        <v>178</v>
      </c>
      <c r="H691" s="10" t="s">
        <v>2321</v>
      </c>
      <c r="I691" s="10" t="s">
        <v>81</v>
      </c>
    </row>
    <row r="692" spans="1:9" x14ac:dyDescent="0.15">
      <c r="A692" s="9">
        <v>691</v>
      </c>
      <c r="B692" s="10" t="s">
        <v>9</v>
      </c>
      <c r="C692" s="10" t="s">
        <v>363</v>
      </c>
      <c r="D692" s="10" t="s">
        <v>364</v>
      </c>
      <c r="E692" s="11" t="str">
        <f>+HYPERLINK("http://trademark.i-assist.jp/data/china/image_1902th/78887505.pdf", "78887505")</f>
        <v>78887505</v>
      </c>
      <c r="F692" s="10" t="s">
        <v>2322</v>
      </c>
      <c r="G692" s="10" t="s">
        <v>2323</v>
      </c>
      <c r="H692" s="10" t="s">
        <v>2324</v>
      </c>
      <c r="I692" s="10" t="s">
        <v>81</v>
      </c>
    </row>
    <row r="693" spans="1:9" x14ac:dyDescent="0.15">
      <c r="A693" s="9">
        <v>692</v>
      </c>
      <c r="B693" s="10" t="s">
        <v>9</v>
      </c>
      <c r="C693" s="10" t="s">
        <v>363</v>
      </c>
      <c r="D693" s="10" t="s">
        <v>364</v>
      </c>
      <c r="E693" s="11" t="str">
        <f>+HYPERLINK("http://trademark.i-assist.jp/data/china/image_1902th/78888278.pdf", "78888278")</f>
        <v>78888278</v>
      </c>
      <c r="F693" s="10" t="s">
        <v>2325</v>
      </c>
      <c r="G693" s="10" t="s">
        <v>2326</v>
      </c>
      <c r="H693" s="10" t="s">
        <v>2327</v>
      </c>
      <c r="I693" s="10" t="s">
        <v>81</v>
      </c>
    </row>
    <row r="694" spans="1:9" x14ac:dyDescent="0.15">
      <c r="A694" s="9">
        <v>693</v>
      </c>
      <c r="B694" s="10" t="s">
        <v>9</v>
      </c>
      <c r="C694" s="10" t="s">
        <v>363</v>
      </c>
      <c r="D694" s="10" t="s">
        <v>364</v>
      </c>
      <c r="E694" s="11" t="str">
        <f>+HYPERLINK("http://trademark.i-assist.jp/data/china/image_1902th/78888295.pdf", "78888295")</f>
        <v>78888295</v>
      </c>
      <c r="F694" s="10" t="s">
        <v>2328</v>
      </c>
      <c r="G694" s="10" t="s">
        <v>181</v>
      </c>
      <c r="H694" s="10" t="s">
        <v>2329</v>
      </c>
      <c r="I694" s="10" t="s">
        <v>81</v>
      </c>
    </row>
    <row r="695" spans="1:9" x14ac:dyDescent="0.15">
      <c r="A695" s="9">
        <v>694</v>
      </c>
      <c r="B695" s="10" t="s">
        <v>9</v>
      </c>
      <c r="C695" s="10" t="s">
        <v>363</v>
      </c>
      <c r="D695" s="10" t="s">
        <v>364</v>
      </c>
      <c r="E695" s="11" t="str">
        <f>+HYPERLINK("http://trademark.i-assist.jp/data/china/image_1902th/78889010.pdf", "78889010")</f>
        <v>78889010</v>
      </c>
      <c r="F695" s="10" t="s">
        <v>2330</v>
      </c>
      <c r="G695" s="10" t="s">
        <v>2331</v>
      </c>
      <c r="H695" s="10" t="s">
        <v>2332</v>
      </c>
      <c r="I695" s="10" t="s">
        <v>81</v>
      </c>
    </row>
    <row r="696" spans="1:9" x14ac:dyDescent="0.15">
      <c r="A696" s="9">
        <v>695</v>
      </c>
      <c r="B696" s="10" t="s">
        <v>9</v>
      </c>
      <c r="C696" s="10" t="s">
        <v>363</v>
      </c>
      <c r="D696" s="10" t="s">
        <v>364</v>
      </c>
      <c r="E696" s="11" t="str">
        <f>+HYPERLINK("http://trademark.i-assist.jp/data/china/image_1902th/78889528.pdf", "78889528")</f>
        <v>78889528</v>
      </c>
      <c r="F696" s="10" t="s">
        <v>2333</v>
      </c>
      <c r="G696" s="10" t="s">
        <v>181</v>
      </c>
      <c r="H696" s="10" t="s">
        <v>2334</v>
      </c>
      <c r="I696" s="10" t="s">
        <v>81</v>
      </c>
    </row>
    <row r="697" spans="1:9" x14ac:dyDescent="0.15">
      <c r="A697" s="9">
        <v>696</v>
      </c>
      <c r="B697" s="10" t="s">
        <v>9</v>
      </c>
      <c r="C697" s="10" t="s">
        <v>363</v>
      </c>
      <c r="D697" s="10" t="s">
        <v>364</v>
      </c>
      <c r="E697" s="11" t="str">
        <f>+HYPERLINK("http://trademark.i-assist.jp/data/china/image_1902th/78889643.pdf", "78889643")</f>
        <v>78889643</v>
      </c>
      <c r="F697" s="10" t="s">
        <v>2335</v>
      </c>
      <c r="G697" s="10" t="s">
        <v>2336</v>
      </c>
      <c r="H697" s="10" t="s">
        <v>2337</v>
      </c>
      <c r="I697" s="10" t="s">
        <v>81</v>
      </c>
    </row>
    <row r="698" spans="1:9" x14ac:dyDescent="0.15">
      <c r="A698" s="9">
        <v>697</v>
      </c>
      <c r="B698" s="10" t="s">
        <v>9</v>
      </c>
      <c r="C698" s="10" t="s">
        <v>363</v>
      </c>
      <c r="D698" s="10" t="s">
        <v>364</v>
      </c>
      <c r="E698" s="11" t="str">
        <f>+HYPERLINK("http://trademark.i-assist.jp/data/china/image_1902th/78890079.pdf", "78890079")</f>
        <v>78890079</v>
      </c>
      <c r="F698" s="10" t="s">
        <v>2338</v>
      </c>
      <c r="G698" s="10" t="s">
        <v>2339</v>
      </c>
      <c r="H698" s="10" t="s">
        <v>2340</v>
      </c>
      <c r="I698" s="10" t="s">
        <v>81</v>
      </c>
    </row>
    <row r="699" spans="1:9" x14ac:dyDescent="0.15">
      <c r="A699" s="9">
        <v>698</v>
      </c>
      <c r="B699" s="10" t="s">
        <v>9</v>
      </c>
      <c r="C699" s="10" t="s">
        <v>363</v>
      </c>
      <c r="D699" s="10" t="s">
        <v>364</v>
      </c>
      <c r="E699" s="11" t="str">
        <f>+HYPERLINK("http://trademark.i-assist.jp/data/china/image_1902th/78890334.pdf", "78890334")</f>
        <v>78890334</v>
      </c>
      <c r="F699" s="10" t="s">
        <v>2341</v>
      </c>
      <c r="G699" s="10" t="s">
        <v>2342</v>
      </c>
      <c r="H699" s="10" t="s">
        <v>52</v>
      </c>
      <c r="I699" s="10" t="s">
        <v>81</v>
      </c>
    </row>
    <row r="700" spans="1:9" x14ac:dyDescent="0.15">
      <c r="A700" s="9">
        <v>699</v>
      </c>
      <c r="B700" s="10" t="s">
        <v>9</v>
      </c>
      <c r="C700" s="10" t="s">
        <v>363</v>
      </c>
      <c r="D700" s="10" t="s">
        <v>364</v>
      </c>
      <c r="E700" s="11" t="str">
        <f>+HYPERLINK("http://trademark.i-assist.jp/data/china/image_1902th/78890863.pdf", "78890863")</f>
        <v>78890863</v>
      </c>
      <c r="F700" s="10" t="s">
        <v>2343</v>
      </c>
      <c r="G700" s="10" t="s">
        <v>138</v>
      </c>
      <c r="H700" s="10" t="s">
        <v>2344</v>
      </c>
      <c r="I700" s="10" t="s">
        <v>81</v>
      </c>
    </row>
    <row r="701" spans="1:9" x14ac:dyDescent="0.15">
      <c r="A701" s="9">
        <v>700</v>
      </c>
      <c r="B701" s="10" t="s">
        <v>9</v>
      </c>
      <c r="C701" s="10" t="s">
        <v>363</v>
      </c>
      <c r="D701" s="10" t="s">
        <v>364</v>
      </c>
      <c r="E701" s="11" t="str">
        <f>+HYPERLINK("http://trademark.i-assist.jp/data/china/image_1902th/78891130.pdf", "78891130")</f>
        <v>78891130</v>
      </c>
      <c r="F701" s="10" t="s">
        <v>2345</v>
      </c>
      <c r="G701" s="10" t="s">
        <v>2346</v>
      </c>
      <c r="H701" s="10" t="s">
        <v>2347</v>
      </c>
      <c r="I701" s="10" t="s">
        <v>81</v>
      </c>
    </row>
    <row r="702" spans="1:9" x14ac:dyDescent="0.15">
      <c r="A702" s="9">
        <v>701</v>
      </c>
      <c r="B702" s="10" t="s">
        <v>9</v>
      </c>
      <c r="C702" s="10" t="s">
        <v>363</v>
      </c>
      <c r="D702" s="10" t="s">
        <v>364</v>
      </c>
      <c r="E702" s="11" t="str">
        <f>+HYPERLINK("http://trademark.i-assist.jp/data/china/image_1902th/78891288.pdf", "78891288")</f>
        <v>78891288</v>
      </c>
      <c r="F702" s="10" t="s">
        <v>2348</v>
      </c>
      <c r="G702" s="10" t="s">
        <v>2349</v>
      </c>
      <c r="H702" s="10" t="s">
        <v>2350</v>
      </c>
      <c r="I702" s="10" t="s">
        <v>81</v>
      </c>
    </row>
    <row r="703" spans="1:9" x14ac:dyDescent="0.15">
      <c r="A703" s="9">
        <v>702</v>
      </c>
      <c r="B703" s="10" t="s">
        <v>9</v>
      </c>
      <c r="C703" s="10" t="s">
        <v>363</v>
      </c>
      <c r="D703" s="10" t="s">
        <v>364</v>
      </c>
      <c r="E703" s="11" t="str">
        <f>+HYPERLINK("http://trademark.i-assist.jp/data/china/image_1902th/78891481.pdf", "78891481")</f>
        <v>78891481</v>
      </c>
      <c r="F703" s="10" t="s">
        <v>2351</v>
      </c>
      <c r="G703" s="10" t="s">
        <v>2352</v>
      </c>
      <c r="H703" s="10" t="s">
        <v>2353</v>
      </c>
      <c r="I703" s="10" t="s">
        <v>81</v>
      </c>
    </row>
    <row r="704" spans="1:9" x14ac:dyDescent="0.15">
      <c r="A704" s="9">
        <v>703</v>
      </c>
      <c r="B704" s="10" t="s">
        <v>9</v>
      </c>
      <c r="C704" s="10" t="s">
        <v>363</v>
      </c>
      <c r="D704" s="10" t="s">
        <v>364</v>
      </c>
      <c r="E704" s="11" t="str">
        <f>+HYPERLINK("http://trademark.i-assist.jp/data/china/image_1902th/78892116.pdf", "78892116")</f>
        <v>78892116</v>
      </c>
      <c r="F704" s="10" t="s">
        <v>2354</v>
      </c>
      <c r="G704" s="10" t="s">
        <v>2355</v>
      </c>
      <c r="H704" s="10" t="s">
        <v>2356</v>
      </c>
      <c r="I704" s="10" t="s">
        <v>81</v>
      </c>
    </row>
    <row r="705" spans="1:9" x14ac:dyDescent="0.15">
      <c r="A705" s="9">
        <v>704</v>
      </c>
      <c r="B705" s="10" t="s">
        <v>9</v>
      </c>
      <c r="C705" s="10" t="s">
        <v>363</v>
      </c>
      <c r="D705" s="10" t="s">
        <v>364</v>
      </c>
      <c r="E705" s="11" t="str">
        <f>+HYPERLINK("http://trademark.i-assist.jp/data/china/image_1902th/78894085.pdf", "78894085")</f>
        <v>78894085</v>
      </c>
      <c r="F705" s="10" t="s">
        <v>2357</v>
      </c>
      <c r="G705" s="10" t="s">
        <v>2358</v>
      </c>
      <c r="H705" s="10" t="s">
        <v>2359</v>
      </c>
      <c r="I705" s="10" t="s">
        <v>182</v>
      </c>
    </row>
    <row r="706" spans="1:9" x14ac:dyDescent="0.15">
      <c r="A706" s="9">
        <v>705</v>
      </c>
      <c r="B706" s="10" t="s">
        <v>9</v>
      </c>
      <c r="C706" s="10" t="s">
        <v>363</v>
      </c>
      <c r="D706" s="10" t="s">
        <v>364</v>
      </c>
      <c r="E706" s="11" t="str">
        <f>+HYPERLINK("http://trademark.i-assist.jp/data/china/image_1902th/78895146.pdf", "78895146")</f>
        <v>78895146</v>
      </c>
      <c r="F706" s="10" t="s">
        <v>2360</v>
      </c>
      <c r="G706" s="10" t="s">
        <v>2361</v>
      </c>
      <c r="H706" s="10" t="s">
        <v>2362</v>
      </c>
      <c r="I706" s="10" t="s">
        <v>182</v>
      </c>
    </row>
    <row r="707" spans="1:9" x14ac:dyDescent="0.15">
      <c r="A707" s="9">
        <v>706</v>
      </c>
      <c r="B707" s="10" t="s">
        <v>9</v>
      </c>
      <c r="C707" s="10" t="s">
        <v>363</v>
      </c>
      <c r="D707" s="10" t="s">
        <v>364</v>
      </c>
      <c r="E707" s="11" t="str">
        <f>+HYPERLINK("http://trademark.i-assist.jp/data/china/image_1902th/78895757.pdf", "78895757")</f>
        <v>78895757</v>
      </c>
      <c r="F707" s="10" t="s">
        <v>2363</v>
      </c>
      <c r="G707" s="10" t="s">
        <v>2364</v>
      </c>
      <c r="H707" s="10" t="s">
        <v>2365</v>
      </c>
      <c r="I707" s="10" t="s">
        <v>182</v>
      </c>
    </row>
    <row r="708" spans="1:9" x14ac:dyDescent="0.15">
      <c r="A708" s="9">
        <v>707</v>
      </c>
      <c r="B708" s="10" t="s">
        <v>9</v>
      </c>
      <c r="C708" s="10" t="s">
        <v>363</v>
      </c>
      <c r="D708" s="10" t="s">
        <v>364</v>
      </c>
      <c r="E708" s="11" t="str">
        <f>+HYPERLINK("http://trademark.i-assist.jp/data/china/image_1902th/78896903.pdf", "78896903")</f>
        <v>78896903</v>
      </c>
      <c r="F708" s="10" t="s">
        <v>2366</v>
      </c>
      <c r="G708" s="10" t="s">
        <v>29</v>
      </c>
      <c r="H708" s="10" t="s">
        <v>2367</v>
      </c>
      <c r="I708" s="10" t="s">
        <v>182</v>
      </c>
    </row>
    <row r="709" spans="1:9" x14ac:dyDescent="0.15">
      <c r="A709" s="9">
        <v>708</v>
      </c>
      <c r="B709" s="10" t="s">
        <v>9</v>
      </c>
      <c r="C709" s="10" t="s">
        <v>363</v>
      </c>
      <c r="D709" s="10" t="s">
        <v>364</v>
      </c>
      <c r="E709" s="11" t="str">
        <f>+HYPERLINK("http://trademark.i-assist.jp/data/china/image_1902th/78897792.pdf", "78897792")</f>
        <v>78897792</v>
      </c>
      <c r="F709" s="10" t="s">
        <v>2368</v>
      </c>
      <c r="G709" s="10" t="s">
        <v>2369</v>
      </c>
      <c r="H709" s="10" t="s">
        <v>2370</v>
      </c>
      <c r="I709" s="10" t="s">
        <v>182</v>
      </c>
    </row>
    <row r="710" spans="1:9" x14ac:dyDescent="0.15">
      <c r="A710" s="9">
        <v>709</v>
      </c>
      <c r="B710" s="10" t="s">
        <v>9</v>
      </c>
      <c r="C710" s="10" t="s">
        <v>363</v>
      </c>
      <c r="D710" s="10" t="s">
        <v>364</v>
      </c>
      <c r="E710" s="11" t="str">
        <f>+HYPERLINK("http://trademark.i-assist.jp/data/china/image_1902th/78898070.pdf", "78898070")</f>
        <v>78898070</v>
      </c>
      <c r="F710" s="10" t="s">
        <v>2371</v>
      </c>
      <c r="G710" s="10" t="s">
        <v>2372</v>
      </c>
      <c r="H710" s="10" t="s">
        <v>2373</v>
      </c>
      <c r="I710" s="10" t="s">
        <v>182</v>
      </c>
    </row>
    <row r="711" spans="1:9" x14ac:dyDescent="0.15">
      <c r="A711" s="9">
        <v>710</v>
      </c>
      <c r="B711" s="10" t="s">
        <v>9</v>
      </c>
      <c r="C711" s="10" t="s">
        <v>363</v>
      </c>
      <c r="D711" s="10" t="s">
        <v>364</v>
      </c>
      <c r="E711" s="11" t="str">
        <f>+HYPERLINK("http://trademark.i-assist.jp/data/china/image_1902th/78899183.pdf", "78899183")</f>
        <v>78899183</v>
      </c>
      <c r="F711" s="10" t="s">
        <v>2374</v>
      </c>
      <c r="G711" s="10" t="s">
        <v>2375</v>
      </c>
      <c r="H711" s="10" t="s">
        <v>2376</v>
      </c>
      <c r="I711" s="10" t="s">
        <v>182</v>
      </c>
    </row>
    <row r="712" spans="1:9" x14ac:dyDescent="0.15">
      <c r="A712" s="9">
        <v>711</v>
      </c>
      <c r="B712" s="10" t="s">
        <v>9</v>
      </c>
      <c r="C712" s="10" t="s">
        <v>363</v>
      </c>
      <c r="D712" s="10" t="s">
        <v>364</v>
      </c>
      <c r="E712" s="11" t="str">
        <f>+HYPERLINK("http://trademark.i-assist.jp/data/china/image_1902th/78899296.pdf", "78899296")</f>
        <v>78899296</v>
      </c>
      <c r="F712" s="10" t="s">
        <v>12</v>
      </c>
      <c r="G712" s="10" t="s">
        <v>2377</v>
      </c>
      <c r="H712" s="10" t="s">
        <v>2378</v>
      </c>
      <c r="I712" s="10" t="s">
        <v>182</v>
      </c>
    </row>
    <row r="713" spans="1:9" x14ac:dyDescent="0.15">
      <c r="A713" s="9">
        <v>712</v>
      </c>
      <c r="B713" s="10" t="s">
        <v>9</v>
      </c>
      <c r="C713" s="10" t="s">
        <v>363</v>
      </c>
      <c r="D713" s="10" t="s">
        <v>364</v>
      </c>
      <c r="E713" s="11" t="str">
        <f>+HYPERLINK("http://trademark.i-assist.jp/data/china/image_1902th/78899349.pdf", "78899349")</f>
        <v>78899349</v>
      </c>
      <c r="F713" s="10" t="s">
        <v>2379</v>
      </c>
      <c r="G713" s="10" t="s">
        <v>191</v>
      </c>
      <c r="H713" s="10" t="s">
        <v>2380</v>
      </c>
      <c r="I713" s="10" t="s">
        <v>182</v>
      </c>
    </row>
    <row r="714" spans="1:9" x14ac:dyDescent="0.15">
      <c r="A714" s="9">
        <v>713</v>
      </c>
      <c r="B714" s="10" t="s">
        <v>9</v>
      </c>
      <c r="C714" s="10" t="s">
        <v>363</v>
      </c>
      <c r="D714" s="10" t="s">
        <v>364</v>
      </c>
      <c r="E714" s="11" t="str">
        <f>+HYPERLINK("http://trademark.i-assist.jp/data/china/image_1902th/78901108.pdf", "78901108")</f>
        <v>78901108</v>
      </c>
      <c r="F714" s="10" t="s">
        <v>2381</v>
      </c>
      <c r="G714" s="10" t="s">
        <v>2382</v>
      </c>
      <c r="H714" s="10" t="s">
        <v>2383</v>
      </c>
      <c r="I714" s="10" t="s">
        <v>182</v>
      </c>
    </row>
    <row r="715" spans="1:9" x14ac:dyDescent="0.15">
      <c r="A715" s="9">
        <v>714</v>
      </c>
      <c r="B715" s="10" t="s">
        <v>9</v>
      </c>
      <c r="C715" s="10" t="s">
        <v>363</v>
      </c>
      <c r="D715" s="10" t="s">
        <v>364</v>
      </c>
      <c r="E715" s="11" t="str">
        <f>+HYPERLINK("http://trademark.i-assist.jp/data/china/image_1902th/78901382.pdf", "78901382")</f>
        <v>78901382</v>
      </c>
      <c r="F715" s="10" t="s">
        <v>2384</v>
      </c>
      <c r="G715" s="10" t="s">
        <v>2385</v>
      </c>
      <c r="H715" s="10" t="s">
        <v>2386</v>
      </c>
      <c r="I715" s="10" t="s">
        <v>182</v>
      </c>
    </row>
    <row r="716" spans="1:9" x14ac:dyDescent="0.15">
      <c r="A716" s="9">
        <v>715</v>
      </c>
      <c r="B716" s="10" t="s">
        <v>9</v>
      </c>
      <c r="C716" s="10" t="s">
        <v>363</v>
      </c>
      <c r="D716" s="10" t="s">
        <v>364</v>
      </c>
      <c r="E716" s="11" t="str">
        <f>+HYPERLINK("http://trademark.i-assist.jp/data/china/image_1902th/78901397.pdf", "78901397")</f>
        <v>78901397</v>
      </c>
      <c r="F716" s="10" t="s">
        <v>2387</v>
      </c>
      <c r="G716" s="10" t="s">
        <v>2388</v>
      </c>
      <c r="H716" s="10" t="s">
        <v>2389</v>
      </c>
      <c r="I716" s="10" t="s">
        <v>182</v>
      </c>
    </row>
    <row r="717" spans="1:9" x14ac:dyDescent="0.15">
      <c r="A717" s="9">
        <v>716</v>
      </c>
      <c r="B717" s="10" t="s">
        <v>9</v>
      </c>
      <c r="C717" s="10" t="s">
        <v>363</v>
      </c>
      <c r="D717" s="10" t="s">
        <v>364</v>
      </c>
      <c r="E717" s="11" t="str">
        <f>+HYPERLINK("http://trademark.i-assist.jp/data/china/image_1902th/78901399.pdf", "78901399")</f>
        <v>78901399</v>
      </c>
      <c r="F717" s="10" t="s">
        <v>2390</v>
      </c>
      <c r="G717" s="10" t="s">
        <v>189</v>
      </c>
      <c r="H717" s="10" t="s">
        <v>2391</v>
      </c>
      <c r="I717" s="10" t="s">
        <v>182</v>
      </c>
    </row>
    <row r="718" spans="1:9" x14ac:dyDescent="0.15">
      <c r="A718" s="9">
        <v>717</v>
      </c>
      <c r="B718" s="10" t="s">
        <v>9</v>
      </c>
      <c r="C718" s="10" t="s">
        <v>363</v>
      </c>
      <c r="D718" s="10" t="s">
        <v>364</v>
      </c>
      <c r="E718" s="11" t="str">
        <f>+HYPERLINK("http://trademark.i-assist.jp/data/china/image_1902th/78902038.pdf", "78902038")</f>
        <v>78902038</v>
      </c>
      <c r="F718" s="10" t="s">
        <v>2392</v>
      </c>
      <c r="G718" s="10" t="s">
        <v>183</v>
      </c>
      <c r="H718" s="10" t="s">
        <v>2393</v>
      </c>
      <c r="I718" s="10" t="s">
        <v>182</v>
      </c>
    </row>
    <row r="719" spans="1:9" x14ac:dyDescent="0.15">
      <c r="A719" s="9">
        <v>718</v>
      </c>
      <c r="B719" s="10" t="s">
        <v>9</v>
      </c>
      <c r="C719" s="10" t="s">
        <v>363</v>
      </c>
      <c r="D719" s="10" t="s">
        <v>364</v>
      </c>
      <c r="E719" s="11" t="str">
        <f>+HYPERLINK("http://trademark.i-assist.jp/data/china/image_1902th/78902182.pdf", "78902182")</f>
        <v>78902182</v>
      </c>
      <c r="F719" s="10" t="s">
        <v>2394</v>
      </c>
      <c r="G719" s="10" t="s">
        <v>262</v>
      </c>
      <c r="H719" s="10" t="s">
        <v>2395</v>
      </c>
      <c r="I719" s="10" t="s">
        <v>182</v>
      </c>
    </row>
    <row r="720" spans="1:9" x14ac:dyDescent="0.15">
      <c r="A720" s="9">
        <v>719</v>
      </c>
      <c r="B720" s="10" t="s">
        <v>9</v>
      </c>
      <c r="C720" s="10" t="s">
        <v>363</v>
      </c>
      <c r="D720" s="10" t="s">
        <v>364</v>
      </c>
      <c r="E720" s="11" t="str">
        <f>+HYPERLINK("http://trademark.i-assist.jp/data/china/image_1902th/78902835.pdf", "78902835")</f>
        <v>78902835</v>
      </c>
      <c r="F720" s="10" t="s">
        <v>2396</v>
      </c>
      <c r="G720" s="10" t="s">
        <v>183</v>
      </c>
      <c r="H720" s="10" t="s">
        <v>2397</v>
      </c>
      <c r="I720" s="10" t="s">
        <v>182</v>
      </c>
    </row>
    <row r="721" spans="1:9" x14ac:dyDescent="0.15">
      <c r="A721" s="9">
        <v>720</v>
      </c>
      <c r="B721" s="10" t="s">
        <v>9</v>
      </c>
      <c r="C721" s="10" t="s">
        <v>363</v>
      </c>
      <c r="D721" s="10" t="s">
        <v>364</v>
      </c>
      <c r="E721" s="11" t="str">
        <f>+HYPERLINK("http://trademark.i-assist.jp/data/china/image_1902th/78903096.pdf", "78903096")</f>
        <v>78903096</v>
      </c>
      <c r="F721" s="10" t="s">
        <v>2398</v>
      </c>
      <c r="G721" s="10" t="s">
        <v>2399</v>
      </c>
      <c r="H721" s="10" t="s">
        <v>2400</v>
      </c>
      <c r="I721" s="10" t="s">
        <v>182</v>
      </c>
    </row>
    <row r="722" spans="1:9" x14ac:dyDescent="0.15">
      <c r="A722" s="9">
        <v>721</v>
      </c>
      <c r="B722" s="10" t="s">
        <v>9</v>
      </c>
      <c r="C722" s="10" t="s">
        <v>363</v>
      </c>
      <c r="D722" s="10" t="s">
        <v>364</v>
      </c>
      <c r="E722" s="11" t="str">
        <f>+HYPERLINK("http://trademark.i-assist.jp/data/china/image_1902th/78905304.pdf", "78905304")</f>
        <v>78905304</v>
      </c>
      <c r="F722" s="10" t="s">
        <v>2401</v>
      </c>
      <c r="G722" s="10" t="s">
        <v>54</v>
      </c>
      <c r="H722" s="10" t="s">
        <v>2402</v>
      </c>
      <c r="I722" s="10" t="s">
        <v>182</v>
      </c>
    </row>
    <row r="723" spans="1:9" x14ac:dyDescent="0.15">
      <c r="A723" s="9">
        <v>722</v>
      </c>
      <c r="B723" s="10" t="s">
        <v>9</v>
      </c>
      <c r="C723" s="10" t="s">
        <v>363</v>
      </c>
      <c r="D723" s="10" t="s">
        <v>364</v>
      </c>
      <c r="E723" s="11" t="str">
        <f>+HYPERLINK("http://trademark.i-assist.jp/data/china/image_1902th/78905467.pdf", "78905467")</f>
        <v>78905467</v>
      </c>
      <c r="F723" s="10" t="s">
        <v>2403</v>
      </c>
      <c r="G723" s="10" t="s">
        <v>2404</v>
      </c>
      <c r="H723" s="10" t="s">
        <v>2405</v>
      </c>
      <c r="I723" s="10" t="s">
        <v>182</v>
      </c>
    </row>
    <row r="724" spans="1:9" x14ac:dyDescent="0.15">
      <c r="A724" s="9">
        <v>723</v>
      </c>
      <c r="B724" s="10" t="s">
        <v>9</v>
      </c>
      <c r="C724" s="10" t="s">
        <v>363</v>
      </c>
      <c r="D724" s="10" t="s">
        <v>364</v>
      </c>
      <c r="E724" s="11" t="str">
        <f>+HYPERLINK("http://trademark.i-assist.jp/data/china/image_1902th/78905722.pdf", "78905722")</f>
        <v>78905722</v>
      </c>
      <c r="F724" s="10" t="s">
        <v>12</v>
      </c>
      <c r="G724" s="10" t="s">
        <v>2406</v>
      </c>
      <c r="H724" s="10" t="s">
        <v>2407</v>
      </c>
      <c r="I724" s="10" t="s">
        <v>182</v>
      </c>
    </row>
    <row r="725" spans="1:9" x14ac:dyDescent="0.15">
      <c r="A725" s="9">
        <v>724</v>
      </c>
      <c r="B725" s="10" t="s">
        <v>9</v>
      </c>
      <c r="C725" s="10" t="s">
        <v>363</v>
      </c>
      <c r="D725" s="10" t="s">
        <v>364</v>
      </c>
      <c r="E725" s="11" t="str">
        <f>+HYPERLINK("http://trademark.i-assist.jp/data/china/image_1902th/78906037.pdf", "78906037")</f>
        <v>78906037</v>
      </c>
      <c r="F725" s="10" t="s">
        <v>2408</v>
      </c>
      <c r="G725" s="10" t="s">
        <v>183</v>
      </c>
      <c r="H725" s="10" t="s">
        <v>2409</v>
      </c>
      <c r="I725" s="10" t="s">
        <v>182</v>
      </c>
    </row>
    <row r="726" spans="1:9" x14ac:dyDescent="0.15">
      <c r="A726" s="9">
        <v>725</v>
      </c>
      <c r="B726" s="10" t="s">
        <v>9</v>
      </c>
      <c r="C726" s="10" t="s">
        <v>363</v>
      </c>
      <c r="D726" s="10" t="s">
        <v>364</v>
      </c>
      <c r="E726" s="11" t="str">
        <f>+HYPERLINK("http://trademark.i-assist.jp/data/china/image_1902th/78907070.pdf", "78907070")</f>
        <v>78907070</v>
      </c>
      <c r="F726" s="10" t="s">
        <v>2410</v>
      </c>
      <c r="G726" s="10" t="s">
        <v>2411</v>
      </c>
      <c r="H726" s="10" t="s">
        <v>2412</v>
      </c>
      <c r="I726" s="10" t="s">
        <v>182</v>
      </c>
    </row>
    <row r="727" spans="1:9" x14ac:dyDescent="0.15">
      <c r="A727" s="9">
        <v>726</v>
      </c>
      <c r="B727" s="10" t="s">
        <v>9</v>
      </c>
      <c r="C727" s="10" t="s">
        <v>363</v>
      </c>
      <c r="D727" s="10" t="s">
        <v>364</v>
      </c>
      <c r="E727" s="11" t="str">
        <f>+HYPERLINK("http://trademark.i-assist.jp/data/china/image_1902th/78907709.pdf", "78907709")</f>
        <v>78907709</v>
      </c>
      <c r="F727" s="10" t="s">
        <v>2413</v>
      </c>
      <c r="G727" s="10" t="s">
        <v>168</v>
      </c>
      <c r="H727" s="10" t="s">
        <v>2414</v>
      </c>
      <c r="I727" s="10" t="s">
        <v>182</v>
      </c>
    </row>
    <row r="728" spans="1:9" x14ac:dyDescent="0.15">
      <c r="A728" s="9">
        <v>727</v>
      </c>
      <c r="B728" s="10" t="s">
        <v>9</v>
      </c>
      <c r="C728" s="10" t="s">
        <v>363</v>
      </c>
      <c r="D728" s="10" t="s">
        <v>364</v>
      </c>
      <c r="E728" s="11" t="str">
        <f>+HYPERLINK("http://trademark.i-assist.jp/data/china/image_1902th/78908429.pdf", "78908429")</f>
        <v>78908429</v>
      </c>
      <c r="F728" s="10" t="s">
        <v>2415</v>
      </c>
      <c r="G728" s="10" t="s">
        <v>184</v>
      </c>
      <c r="H728" s="10" t="s">
        <v>2416</v>
      </c>
      <c r="I728" s="10" t="s">
        <v>182</v>
      </c>
    </row>
    <row r="729" spans="1:9" x14ac:dyDescent="0.15">
      <c r="A729" s="9">
        <v>728</v>
      </c>
      <c r="B729" s="10" t="s">
        <v>9</v>
      </c>
      <c r="C729" s="10" t="s">
        <v>363</v>
      </c>
      <c r="D729" s="10" t="s">
        <v>364</v>
      </c>
      <c r="E729" s="11" t="str">
        <f>+HYPERLINK("http://trademark.i-assist.jp/data/china/image_1902th/78909476.pdf", "78909476")</f>
        <v>78909476</v>
      </c>
      <c r="F729" s="10" t="s">
        <v>2417</v>
      </c>
      <c r="G729" s="10" t="s">
        <v>2418</v>
      </c>
      <c r="H729" s="10" t="s">
        <v>2419</v>
      </c>
      <c r="I729" s="10" t="s">
        <v>182</v>
      </c>
    </row>
    <row r="730" spans="1:9" x14ac:dyDescent="0.15">
      <c r="A730" s="9">
        <v>729</v>
      </c>
      <c r="B730" s="10" t="s">
        <v>9</v>
      </c>
      <c r="C730" s="10" t="s">
        <v>363</v>
      </c>
      <c r="D730" s="10" t="s">
        <v>364</v>
      </c>
      <c r="E730" s="11" t="str">
        <f>+HYPERLINK("http://trademark.i-assist.jp/data/china/image_1902th/78909613.pdf", "78909613")</f>
        <v>78909613</v>
      </c>
      <c r="F730" s="10" t="s">
        <v>2420</v>
      </c>
      <c r="G730" s="10" t="s">
        <v>2421</v>
      </c>
      <c r="H730" s="10" t="s">
        <v>2422</v>
      </c>
      <c r="I730" s="10" t="s">
        <v>182</v>
      </c>
    </row>
    <row r="731" spans="1:9" x14ac:dyDescent="0.15">
      <c r="A731" s="9">
        <v>730</v>
      </c>
      <c r="B731" s="10" t="s">
        <v>9</v>
      </c>
      <c r="C731" s="10" t="s">
        <v>363</v>
      </c>
      <c r="D731" s="10" t="s">
        <v>364</v>
      </c>
      <c r="E731" s="11" t="str">
        <f>+HYPERLINK("http://trademark.i-assist.jp/data/china/image_1902th/78909927.pdf", "78909927")</f>
        <v>78909927</v>
      </c>
      <c r="F731" s="10" t="s">
        <v>2423</v>
      </c>
      <c r="G731" s="10" t="s">
        <v>190</v>
      </c>
      <c r="H731" s="10" t="s">
        <v>2424</v>
      </c>
      <c r="I731" s="10" t="s">
        <v>182</v>
      </c>
    </row>
    <row r="732" spans="1:9" x14ac:dyDescent="0.15">
      <c r="A732" s="9">
        <v>731</v>
      </c>
      <c r="B732" s="10" t="s">
        <v>9</v>
      </c>
      <c r="C732" s="10" t="s">
        <v>363</v>
      </c>
      <c r="D732" s="10" t="s">
        <v>364</v>
      </c>
      <c r="E732" s="11" t="str">
        <f>+HYPERLINK("http://trademark.i-assist.jp/data/china/image_1902th/78910153.pdf", "78910153")</f>
        <v>78910153</v>
      </c>
      <c r="F732" s="10" t="s">
        <v>2425</v>
      </c>
      <c r="G732" s="10" t="s">
        <v>2426</v>
      </c>
      <c r="H732" s="10" t="s">
        <v>2427</v>
      </c>
      <c r="I732" s="10" t="s">
        <v>182</v>
      </c>
    </row>
    <row r="733" spans="1:9" x14ac:dyDescent="0.15">
      <c r="A733" s="9">
        <v>732</v>
      </c>
      <c r="B733" s="10" t="s">
        <v>9</v>
      </c>
      <c r="C733" s="10" t="s">
        <v>363</v>
      </c>
      <c r="D733" s="10" t="s">
        <v>364</v>
      </c>
      <c r="E733" s="11" t="str">
        <f>+HYPERLINK("http://trademark.i-assist.jp/data/china/image_1902th/78910639.pdf", "78910639")</f>
        <v>78910639</v>
      </c>
      <c r="F733" s="10" t="s">
        <v>2428</v>
      </c>
      <c r="G733" s="10" t="s">
        <v>2429</v>
      </c>
      <c r="H733" s="10" t="s">
        <v>2430</v>
      </c>
      <c r="I733" s="10" t="s">
        <v>182</v>
      </c>
    </row>
    <row r="734" spans="1:9" x14ac:dyDescent="0.15">
      <c r="A734" s="9">
        <v>733</v>
      </c>
      <c r="B734" s="10" t="s">
        <v>9</v>
      </c>
      <c r="C734" s="10" t="s">
        <v>363</v>
      </c>
      <c r="D734" s="10" t="s">
        <v>364</v>
      </c>
      <c r="E734" s="11" t="str">
        <f>+HYPERLINK("http://trademark.i-assist.jp/data/china/image_1902th/78911136.pdf", "78911136")</f>
        <v>78911136</v>
      </c>
      <c r="F734" s="10" t="s">
        <v>12</v>
      </c>
      <c r="G734" s="10" t="s">
        <v>2431</v>
      </c>
      <c r="H734" s="10" t="s">
        <v>2432</v>
      </c>
      <c r="I734" s="10" t="s">
        <v>182</v>
      </c>
    </row>
    <row r="735" spans="1:9" x14ac:dyDescent="0.15">
      <c r="A735" s="9">
        <v>734</v>
      </c>
      <c r="B735" s="10" t="s">
        <v>9</v>
      </c>
      <c r="C735" s="10" t="s">
        <v>363</v>
      </c>
      <c r="D735" s="10" t="s">
        <v>364</v>
      </c>
      <c r="E735" s="11" t="str">
        <f>+HYPERLINK("http://trademark.i-assist.jp/data/china/image_1902th/78911268.pdf", "78911268")</f>
        <v>78911268</v>
      </c>
      <c r="F735" s="10" t="s">
        <v>2433</v>
      </c>
      <c r="G735" s="10" t="s">
        <v>2434</v>
      </c>
      <c r="H735" s="10" t="s">
        <v>2435</v>
      </c>
      <c r="I735" s="10" t="s">
        <v>182</v>
      </c>
    </row>
    <row r="736" spans="1:9" x14ac:dyDescent="0.15">
      <c r="A736" s="9">
        <v>735</v>
      </c>
      <c r="B736" s="10" t="s">
        <v>9</v>
      </c>
      <c r="C736" s="10" t="s">
        <v>363</v>
      </c>
      <c r="D736" s="10" t="s">
        <v>364</v>
      </c>
      <c r="E736" s="11" t="str">
        <f>+HYPERLINK("http://trademark.i-assist.jp/data/china/image_1902th/78912234.pdf", "78912234")</f>
        <v>78912234</v>
      </c>
      <c r="F736" s="10" t="s">
        <v>2436</v>
      </c>
      <c r="G736" s="10" t="s">
        <v>2437</v>
      </c>
      <c r="H736" s="10" t="s">
        <v>2438</v>
      </c>
      <c r="I736" s="10" t="s">
        <v>182</v>
      </c>
    </row>
    <row r="737" spans="1:9" x14ac:dyDescent="0.15">
      <c r="A737" s="9">
        <v>736</v>
      </c>
      <c r="B737" s="10" t="s">
        <v>9</v>
      </c>
      <c r="C737" s="10" t="s">
        <v>363</v>
      </c>
      <c r="D737" s="10" t="s">
        <v>364</v>
      </c>
      <c r="E737" s="11" t="str">
        <f>+HYPERLINK("http://trademark.i-assist.jp/data/china/image_1902th/78912238.pdf", "78912238")</f>
        <v>78912238</v>
      </c>
      <c r="F737" s="10" t="s">
        <v>2439</v>
      </c>
      <c r="G737" s="10" t="s">
        <v>2437</v>
      </c>
      <c r="H737" s="10" t="s">
        <v>2440</v>
      </c>
      <c r="I737" s="10" t="s">
        <v>182</v>
      </c>
    </row>
    <row r="738" spans="1:9" x14ac:dyDescent="0.15">
      <c r="A738" s="9">
        <v>737</v>
      </c>
      <c r="B738" s="10" t="s">
        <v>9</v>
      </c>
      <c r="C738" s="10" t="s">
        <v>363</v>
      </c>
      <c r="D738" s="10" t="s">
        <v>364</v>
      </c>
      <c r="E738" s="11" t="str">
        <f>+HYPERLINK("http://trademark.i-assist.jp/data/china/image_1902th/78912366.pdf", "78912366")</f>
        <v>78912366</v>
      </c>
      <c r="F738" s="10" t="s">
        <v>2441</v>
      </c>
      <c r="G738" s="10" t="s">
        <v>188</v>
      </c>
      <c r="H738" s="10" t="s">
        <v>2442</v>
      </c>
      <c r="I738" s="10" t="s">
        <v>182</v>
      </c>
    </row>
    <row r="739" spans="1:9" x14ac:dyDescent="0.15">
      <c r="A739" s="9">
        <v>738</v>
      </c>
      <c r="B739" s="10" t="s">
        <v>9</v>
      </c>
      <c r="C739" s="10" t="s">
        <v>363</v>
      </c>
      <c r="D739" s="10" t="s">
        <v>364</v>
      </c>
      <c r="E739" s="11" t="str">
        <f>+HYPERLINK("http://trademark.i-assist.jp/data/china/image_1902th/78912655.pdf", "78912655")</f>
        <v>78912655</v>
      </c>
      <c r="F739" s="10" t="s">
        <v>2443</v>
      </c>
      <c r="G739" s="10" t="s">
        <v>2444</v>
      </c>
      <c r="H739" s="10" t="s">
        <v>2445</v>
      </c>
      <c r="I739" s="10" t="s">
        <v>182</v>
      </c>
    </row>
    <row r="740" spans="1:9" x14ac:dyDescent="0.15">
      <c r="A740" s="9">
        <v>739</v>
      </c>
      <c r="B740" s="10" t="s">
        <v>9</v>
      </c>
      <c r="C740" s="10" t="s">
        <v>363</v>
      </c>
      <c r="D740" s="10" t="s">
        <v>364</v>
      </c>
      <c r="E740" s="11" t="str">
        <f>+HYPERLINK("http://trademark.i-assist.jp/data/china/image_1902th/78913202.pdf", "78913202")</f>
        <v>78913202</v>
      </c>
      <c r="F740" s="10" t="s">
        <v>2446</v>
      </c>
      <c r="G740" s="10" t="s">
        <v>192</v>
      </c>
      <c r="H740" s="10" t="s">
        <v>2447</v>
      </c>
      <c r="I740" s="10" t="s">
        <v>182</v>
      </c>
    </row>
    <row r="741" spans="1:9" x14ac:dyDescent="0.15">
      <c r="A741" s="9">
        <v>740</v>
      </c>
      <c r="B741" s="10" t="s">
        <v>9</v>
      </c>
      <c r="C741" s="10" t="s">
        <v>363</v>
      </c>
      <c r="D741" s="10" t="s">
        <v>364</v>
      </c>
      <c r="E741" s="11" t="str">
        <f>+HYPERLINK("http://trademark.i-assist.jp/data/china/image_1902th/78913210.pdf", "78913210")</f>
        <v>78913210</v>
      </c>
      <c r="F741" s="10" t="s">
        <v>2448</v>
      </c>
      <c r="G741" s="10" t="s">
        <v>2449</v>
      </c>
      <c r="H741" s="10" t="s">
        <v>2450</v>
      </c>
      <c r="I741" s="10" t="s">
        <v>182</v>
      </c>
    </row>
    <row r="742" spans="1:9" x14ac:dyDescent="0.15">
      <c r="A742" s="9">
        <v>741</v>
      </c>
      <c r="B742" s="10" t="s">
        <v>9</v>
      </c>
      <c r="C742" s="10" t="s">
        <v>363</v>
      </c>
      <c r="D742" s="10" t="s">
        <v>364</v>
      </c>
      <c r="E742" s="11" t="str">
        <f>+HYPERLINK("http://trademark.i-assist.jp/data/china/image_1902th/78913621.pdf", "78913621")</f>
        <v>78913621</v>
      </c>
      <c r="F742" s="10" t="s">
        <v>2451</v>
      </c>
      <c r="G742" s="10" t="s">
        <v>2452</v>
      </c>
      <c r="H742" s="10" t="s">
        <v>2453</v>
      </c>
      <c r="I742" s="10" t="s">
        <v>182</v>
      </c>
    </row>
    <row r="743" spans="1:9" x14ac:dyDescent="0.15">
      <c r="A743" s="9">
        <v>742</v>
      </c>
      <c r="B743" s="10" t="s">
        <v>9</v>
      </c>
      <c r="C743" s="10" t="s">
        <v>363</v>
      </c>
      <c r="D743" s="10" t="s">
        <v>364</v>
      </c>
      <c r="E743" s="11" t="str">
        <f>+HYPERLINK("http://trademark.i-assist.jp/data/china/image_1902th/78913663.pdf", "78913663")</f>
        <v>78913663</v>
      </c>
      <c r="F743" s="10" t="s">
        <v>2454</v>
      </c>
      <c r="G743" s="10" t="s">
        <v>2377</v>
      </c>
      <c r="H743" s="10" t="s">
        <v>2455</v>
      </c>
      <c r="I743" s="10" t="s">
        <v>182</v>
      </c>
    </row>
    <row r="744" spans="1:9" x14ac:dyDescent="0.15">
      <c r="A744" s="9">
        <v>743</v>
      </c>
      <c r="B744" s="10" t="s">
        <v>9</v>
      </c>
      <c r="C744" s="10" t="s">
        <v>363</v>
      </c>
      <c r="D744" s="10" t="s">
        <v>364</v>
      </c>
      <c r="E744" s="11" t="str">
        <f>+HYPERLINK("http://trademark.i-assist.jp/data/china/image_1902th/78914048.pdf", "78914048")</f>
        <v>78914048</v>
      </c>
      <c r="F744" s="10" t="s">
        <v>2456</v>
      </c>
      <c r="G744" s="10" t="s">
        <v>2457</v>
      </c>
      <c r="H744" s="10" t="s">
        <v>2458</v>
      </c>
      <c r="I744" s="10" t="s">
        <v>182</v>
      </c>
    </row>
    <row r="745" spans="1:9" x14ac:dyDescent="0.15">
      <c r="A745" s="9">
        <v>744</v>
      </c>
      <c r="B745" s="10" t="s">
        <v>9</v>
      </c>
      <c r="C745" s="10" t="s">
        <v>363</v>
      </c>
      <c r="D745" s="10" t="s">
        <v>364</v>
      </c>
      <c r="E745" s="11" t="str">
        <f>+HYPERLINK("http://trademark.i-assist.jp/data/china/image_1902th/78914548.pdf", "78914548")</f>
        <v>78914548</v>
      </c>
      <c r="F745" s="10" t="s">
        <v>2459</v>
      </c>
      <c r="G745" s="10" t="s">
        <v>2460</v>
      </c>
      <c r="H745" s="10" t="s">
        <v>2461</v>
      </c>
      <c r="I745" s="10" t="s">
        <v>182</v>
      </c>
    </row>
    <row r="746" spans="1:9" x14ac:dyDescent="0.15">
      <c r="A746" s="9">
        <v>745</v>
      </c>
      <c r="B746" s="10" t="s">
        <v>9</v>
      </c>
      <c r="C746" s="10" t="s">
        <v>363</v>
      </c>
      <c r="D746" s="10" t="s">
        <v>364</v>
      </c>
      <c r="E746" s="11" t="str">
        <f>+HYPERLINK("http://trademark.i-assist.jp/data/china/image_1902th/78915500.pdf", "78915500")</f>
        <v>78915500</v>
      </c>
      <c r="F746" s="10" t="s">
        <v>2462</v>
      </c>
      <c r="G746" s="10" t="s">
        <v>2463</v>
      </c>
      <c r="H746" s="10" t="s">
        <v>2464</v>
      </c>
      <c r="I746" s="10" t="s">
        <v>182</v>
      </c>
    </row>
    <row r="747" spans="1:9" x14ac:dyDescent="0.15">
      <c r="A747" s="9">
        <v>746</v>
      </c>
      <c r="B747" s="10" t="s">
        <v>9</v>
      </c>
      <c r="C747" s="10" t="s">
        <v>363</v>
      </c>
      <c r="D747" s="10" t="s">
        <v>364</v>
      </c>
      <c r="E747" s="11" t="str">
        <f>+HYPERLINK("http://trademark.i-assist.jp/data/china/image_1902th/78915692.pdf", "78915692")</f>
        <v>78915692</v>
      </c>
      <c r="F747" s="10" t="s">
        <v>2465</v>
      </c>
      <c r="G747" s="10" t="s">
        <v>74</v>
      </c>
      <c r="H747" s="10" t="s">
        <v>2466</v>
      </c>
      <c r="I747" s="10" t="s">
        <v>182</v>
      </c>
    </row>
    <row r="748" spans="1:9" x14ac:dyDescent="0.15">
      <c r="A748" s="9">
        <v>747</v>
      </c>
      <c r="B748" s="10" t="s">
        <v>9</v>
      </c>
      <c r="C748" s="10" t="s">
        <v>363</v>
      </c>
      <c r="D748" s="10" t="s">
        <v>364</v>
      </c>
      <c r="E748" s="11" t="str">
        <f>+HYPERLINK("http://trademark.i-assist.jp/data/china/image_1902th/78916446.pdf", "78916446")</f>
        <v>78916446</v>
      </c>
      <c r="F748" s="10" t="s">
        <v>2467</v>
      </c>
      <c r="G748" s="10" t="s">
        <v>193</v>
      </c>
      <c r="H748" s="10" t="s">
        <v>2468</v>
      </c>
      <c r="I748" s="10" t="s">
        <v>182</v>
      </c>
    </row>
    <row r="749" spans="1:9" x14ac:dyDescent="0.15">
      <c r="A749" s="9">
        <v>748</v>
      </c>
      <c r="B749" s="10" t="s">
        <v>9</v>
      </c>
      <c r="C749" s="10" t="s">
        <v>363</v>
      </c>
      <c r="D749" s="10" t="s">
        <v>364</v>
      </c>
      <c r="E749" s="11" t="str">
        <f>+HYPERLINK("http://trademark.i-assist.jp/data/china/image_1902th/78917335.pdf", "78917335")</f>
        <v>78917335</v>
      </c>
      <c r="F749" s="10" t="s">
        <v>2469</v>
      </c>
      <c r="G749" s="10" t="s">
        <v>2470</v>
      </c>
      <c r="H749" s="10" t="s">
        <v>2471</v>
      </c>
      <c r="I749" s="10" t="s">
        <v>182</v>
      </c>
    </row>
    <row r="750" spans="1:9" x14ac:dyDescent="0.15">
      <c r="A750" s="9">
        <v>749</v>
      </c>
      <c r="B750" s="10" t="s">
        <v>9</v>
      </c>
      <c r="C750" s="10" t="s">
        <v>363</v>
      </c>
      <c r="D750" s="10" t="s">
        <v>364</v>
      </c>
      <c r="E750" s="11" t="str">
        <f>+HYPERLINK("http://trademark.i-assist.jp/data/china/image_1902th/78917968.pdf", "78917968")</f>
        <v>78917968</v>
      </c>
      <c r="F750" s="10" t="s">
        <v>2472</v>
      </c>
      <c r="G750" s="10" t="s">
        <v>2372</v>
      </c>
      <c r="H750" s="10" t="s">
        <v>2473</v>
      </c>
      <c r="I750" s="10" t="s">
        <v>182</v>
      </c>
    </row>
    <row r="751" spans="1:9" x14ac:dyDescent="0.15">
      <c r="A751" s="9">
        <v>750</v>
      </c>
      <c r="B751" s="10" t="s">
        <v>9</v>
      </c>
      <c r="C751" s="10" t="s">
        <v>363</v>
      </c>
      <c r="D751" s="10" t="s">
        <v>364</v>
      </c>
      <c r="E751" s="11" t="str">
        <f>+HYPERLINK("http://trademark.i-assist.jp/data/china/image_1902th/78918160.pdf", "78918160")</f>
        <v>78918160</v>
      </c>
      <c r="F751" s="10" t="s">
        <v>2474</v>
      </c>
      <c r="G751" s="10" t="s">
        <v>2475</v>
      </c>
      <c r="H751" s="10" t="s">
        <v>2476</v>
      </c>
      <c r="I751" s="10" t="s">
        <v>182</v>
      </c>
    </row>
    <row r="752" spans="1:9" x14ac:dyDescent="0.15">
      <c r="A752" s="9">
        <v>751</v>
      </c>
      <c r="B752" s="10" t="s">
        <v>9</v>
      </c>
      <c r="C752" s="10" t="s">
        <v>363</v>
      </c>
      <c r="D752" s="10" t="s">
        <v>364</v>
      </c>
      <c r="E752" s="11" t="str">
        <f>+HYPERLINK("http://trademark.i-assist.jp/data/china/image_1902th/78918565.pdf", "78918565")</f>
        <v>78918565</v>
      </c>
      <c r="F752" s="10" t="s">
        <v>2477</v>
      </c>
      <c r="G752" s="10" t="s">
        <v>2478</v>
      </c>
      <c r="H752" s="10" t="s">
        <v>2479</v>
      </c>
      <c r="I752" s="10" t="s">
        <v>182</v>
      </c>
    </row>
    <row r="753" spans="1:9" x14ac:dyDescent="0.15">
      <c r="A753" s="9">
        <v>752</v>
      </c>
      <c r="B753" s="10" t="s">
        <v>9</v>
      </c>
      <c r="C753" s="10" t="s">
        <v>363</v>
      </c>
      <c r="D753" s="10" t="s">
        <v>364</v>
      </c>
      <c r="E753" s="11" t="str">
        <f>+HYPERLINK("http://trademark.i-assist.jp/data/china/image_1902th/78921944.pdf", "78921944")</f>
        <v>78921944</v>
      </c>
      <c r="F753" s="10" t="s">
        <v>2480</v>
      </c>
      <c r="G753" s="10" t="s">
        <v>1676</v>
      </c>
      <c r="H753" s="10" t="s">
        <v>2481</v>
      </c>
      <c r="I753" s="10" t="s">
        <v>195</v>
      </c>
    </row>
    <row r="754" spans="1:9" x14ac:dyDescent="0.15">
      <c r="A754" s="9">
        <v>753</v>
      </c>
      <c r="B754" s="10" t="s">
        <v>9</v>
      </c>
      <c r="C754" s="10" t="s">
        <v>363</v>
      </c>
      <c r="D754" s="10" t="s">
        <v>364</v>
      </c>
      <c r="E754" s="11" t="str">
        <f>+HYPERLINK("http://trademark.i-assist.jp/data/china/image_1902th/78922160.pdf", "78922160")</f>
        <v>78922160</v>
      </c>
      <c r="F754" s="10" t="s">
        <v>2482</v>
      </c>
      <c r="G754" s="10" t="s">
        <v>2483</v>
      </c>
      <c r="H754" s="10" t="s">
        <v>2484</v>
      </c>
      <c r="I754" s="10" t="s">
        <v>195</v>
      </c>
    </row>
    <row r="755" spans="1:9" x14ac:dyDescent="0.15">
      <c r="A755" s="9">
        <v>754</v>
      </c>
      <c r="B755" s="10" t="s">
        <v>9</v>
      </c>
      <c r="C755" s="10" t="s">
        <v>363</v>
      </c>
      <c r="D755" s="10" t="s">
        <v>364</v>
      </c>
      <c r="E755" s="11" t="str">
        <f>+HYPERLINK("http://trademark.i-assist.jp/data/china/image_1902th/78922283.pdf", "78922283")</f>
        <v>78922283</v>
      </c>
      <c r="F755" s="10" t="s">
        <v>2485</v>
      </c>
      <c r="G755" s="10" t="s">
        <v>2486</v>
      </c>
      <c r="H755" s="10" t="s">
        <v>2487</v>
      </c>
      <c r="I755" s="10" t="s">
        <v>195</v>
      </c>
    </row>
    <row r="756" spans="1:9" x14ac:dyDescent="0.15">
      <c r="A756" s="9">
        <v>755</v>
      </c>
      <c r="B756" s="10" t="s">
        <v>9</v>
      </c>
      <c r="C756" s="10" t="s">
        <v>363</v>
      </c>
      <c r="D756" s="10" t="s">
        <v>364</v>
      </c>
      <c r="E756" s="11" t="str">
        <f>+HYPERLINK("http://trademark.i-assist.jp/data/china/image_1902th/78922658.pdf", "78922658")</f>
        <v>78922658</v>
      </c>
      <c r="F756" s="10" t="s">
        <v>204</v>
      </c>
      <c r="G756" s="10" t="s">
        <v>205</v>
      </c>
      <c r="H756" s="10" t="s">
        <v>206</v>
      </c>
      <c r="I756" s="10" t="s">
        <v>195</v>
      </c>
    </row>
    <row r="757" spans="1:9" x14ac:dyDescent="0.15">
      <c r="A757" s="9">
        <v>756</v>
      </c>
      <c r="B757" s="10" t="s">
        <v>9</v>
      </c>
      <c r="C757" s="10" t="s">
        <v>363</v>
      </c>
      <c r="D757" s="10" t="s">
        <v>364</v>
      </c>
      <c r="E757" s="11" t="str">
        <f>+HYPERLINK("http://trademark.i-assist.jp/data/china/image_1902th/78923618.pdf", "78923618")</f>
        <v>78923618</v>
      </c>
      <c r="F757" s="10" t="s">
        <v>2488</v>
      </c>
      <c r="G757" s="10" t="s">
        <v>2489</v>
      </c>
      <c r="H757" s="10" t="s">
        <v>2490</v>
      </c>
      <c r="I757" s="10" t="s">
        <v>195</v>
      </c>
    </row>
    <row r="758" spans="1:9" x14ac:dyDescent="0.15">
      <c r="A758" s="9">
        <v>757</v>
      </c>
      <c r="B758" s="10" t="s">
        <v>9</v>
      </c>
      <c r="C758" s="10" t="s">
        <v>363</v>
      </c>
      <c r="D758" s="10" t="s">
        <v>364</v>
      </c>
      <c r="E758" s="11" t="str">
        <f>+HYPERLINK("http://trademark.i-assist.jp/data/china/image_1902th/78923924.pdf", "78923924")</f>
        <v>78923924</v>
      </c>
      <c r="F758" s="10" t="s">
        <v>2491</v>
      </c>
      <c r="G758" s="10" t="s">
        <v>2492</v>
      </c>
      <c r="H758" s="10" t="s">
        <v>2493</v>
      </c>
      <c r="I758" s="10" t="s">
        <v>195</v>
      </c>
    </row>
    <row r="759" spans="1:9" x14ac:dyDescent="0.15">
      <c r="A759" s="9">
        <v>758</v>
      </c>
      <c r="B759" s="10" t="s">
        <v>9</v>
      </c>
      <c r="C759" s="10" t="s">
        <v>363</v>
      </c>
      <c r="D759" s="10" t="s">
        <v>364</v>
      </c>
      <c r="E759" s="11" t="str">
        <f>+HYPERLINK("http://trademark.i-assist.jp/data/china/image_1902th/78924345.pdf", "78924345")</f>
        <v>78924345</v>
      </c>
      <c r="F759" s="10" t="s">
        <v>2494</v>
      </c>
      <c r="G759" s="10" t="s">
        <v>2495</v>
      </c>
      <c r="H759" s="10" t="s">
        <v>2496</v>
      </c>
      <c r="I759" s="10" t="s">
        <v>195</v>
      </c>
    </row>
    <row r="760" spans="1:9" x14ac:dyDescent="0.15">
      <c r="A760" s="9">
        <v>759</v>
      </c>
      <c r="B760" s="10" t="s">
        <v>9</v>
      </c>
      <c r="C760" s="10" t="s">
        <v>363</v>
      </c>
      <c r="D760" s="10" t="s">
        <v>364</v>
      </c>
      <c r="E760" s="11" t="str">
        <f>+HYPERLINK("http://trademark.i-assist.jp/data/china/image_1902th/78924478.pdf", "78924478")</f>
        <v>78924478</v>
      </c>
      <c r="F760" s="10" t="s">
        <v>2497</v>
      </c>
      <c r="G760" s="10" t="s">
        <v>209</v>
      </c>
      <c r="H760" s="10" t="s">
        <v>2498</v>
      </c>
      <c r="I760" s="10" t="s">
        <v>195</v>
      </c>
    </row>
    <row r="761" spans="1:9" x14ac:dyDescent="0.15">
      <c r="A761" s="9">
        <v>760</v>
      </c>
      <c r="B761" s="10" t="s">
        <v>9</v>
      </c>
      <c r="C761" s="10" t="s">
        <v>363</v>
      </c>
      <c r="D761" s="10" t="s">
        <v>364</v>
      </c>
      <c r="E761" s="11" t="str">
        <f>+HYPERLINK("http://trademark.i-assist.jp/data/china/image_1902th/78924637.pdf", "78924637")</f>
        <v>78924637</v>
      </c>
      <c r="F761" s="10" t="s">
        <v>2499</v>
      </c>
      <c r="G761" s="10" t="s">
        <v>179</v>
      </c>
      <c r="H761" s="10" t="s">
        <v>2500</v>
      </c>
      <c r="I761" s="10" t="s">
        <v>195</v>
      </c>
    </row>
    <row r="762" spans="1:9" x14ac:dyDescent="0.15">
      <c r="A762" s="9">
        <v>761</v>
      </c>
      <c r="B762" s="10" t="s">
        <v>9</v>
      </c>
      <c r="C762" s="10" t="s">
        <v>363</v>
      </c>
      <c r="D762" s="10" t="s">
        <v>364</v>
      </c>
      <c r="E762" s="11" t="str">
        <f>+HYPERLINK("http://trademark.i-assist.jp/data/china/image_1902th/78924976.pdf", "78924976")</f>
        <v>78924976</v>
      </c>
      <c r="F762" s="10" t="s">
        <v>2501</v>
      </c>
      <c r="G762" s="10" t="s">
        <v>2502</v>
      </c>
      <c r="H762" s="10" t="s">
        <v>2503</v>
      </c>
      <c r="I762" s="10" t="s">
        <v>195</v>
      </c>
    </row>
    <row r="763" spans="1:9" x14ac:dyDescent="0.15">
      <c r="A763" s="9">
        <v>762</v>
      </c>
      <c r="B763" s="10" t="s">
        <v>9</v>
      </c>
      <c r="C763" s="10" t="s">
        <v>363</v>
      </c>
      <c r="D763" s="10" t="s">
        <v>364</v>
      </c>
      <c r="E763" s="11" t="str">
        <f>+HYPERLINK("http://trademark.i-assist.jp/data/china/image_1902th/78925844.pdf", "78925844")</f>
        <v>78925844</v>
      </c>
      <c r="F763" s="10" t="s">
        <v>2504</v>
      </c>
      <c r="G763" s="10" t="s">
        <v>2505</v>
      </c>
      <c r="H763" s="10" t="s">
        <v>2506</v>
      </c>
      <c r="I763" s="10" t="s">
        <v>195</v>
      </c>
    </row>
    <row r="764" spans="1:9" x14ac:dyDescent="0.15">
      <c r="A764" s="9">
        <v>763</v>
      </c>
      <c r="B764" s="10" t="s">
        <v>9</v>
      </c>
      <c r="C764" s="10" t="s">
        <v>363</v>
      </c>
      <c r="D764" s="10" t="s">
        <v>364</v>
      </c>
      <c r="E764" s="11" t="str">
        <f>+HYPERLINK("http://trademark.i-assist.jp/data/china/image_1902th/78926627.pdf", "78926627")</f>
        <v>78926627</v>
      </c>
      <c r="F764" s="10" t="s">
        <v>2507</v>
      </c>
      <c r="G764" s="10" t="s">
        <v>2508</v>
      </c>
      <c r="H764" s="10" t="s">
        <v>2509</v>
      </c>
      <c r="I764" s="10" t="s">
        <v>195</v>
      </c>
    </row>
    <row r="765" spans="1:9" x14ac:dyDescent="0.15">
      <c r="A765" s="9">
        <v>764</v>
      </c>
      <c r="B765" s="10" t="s">
        <v>9</v>
      </c>
      <c r="C765" s="10" t="s">
        <v>363</v>
      </c>
      <c r="D765" s="10" t="s">
        <v>364</v>
      </c>
      <c r="E765" s="11" t="str">
        <f>+HYPERLINK("http://trademark.i-assist.jp/data/china/image_1902th/78927080.pdf", "78927080")</f>
        <v>78927080</v>
      </c>
      <c r="F765" s="10" t="s">
        <v>2510</v>
      </c>
      <c r="G765" s="10" t="s">
        <v>197</v>
      </c>
      <c r="H765" s="10" t="s">
        <v>2511</v>
      </c>
      <c r="I765" s="10" t="s">
        <v>195</v>
      </c>
    </row>
    <row r="766" spans="1:9" x14ac:dyDescent="0.15">
      <c r="A766" s="9">
        <v>765</v>
      </c>
      <c r="B766" s="10" t="s">
        <v>9</v>
      </c>
      <c r="C766" s="10" t="s">
        <v>363</v>
      </c>
      <c r="D766" s="10" t="s">
        <v>364</v>
      </c>
      <c r="E766" s="11" t="str">
        <f>+HYPERLINK("http://trademark.i-assist.jp/data/china/image_1902th/78927167.pdf", "78927167")</f>
        <v>78927167</v>
      </c>
      <c r="F766" s="10" t="s">
        <v>2512</v>
      </c>
      <c r="G766" s="10" t="s">
        <v>1705</v>
      </c>
      <c r="H766" s="10" t="s">
        <v>2513</v>
      </c>
      <c r="I766" s="10" t="s">
        <v>195</v>
      </c>
    </row>
    <row r="767" spans="1:9" x14ac:dyDescent="0.15">
      <c r="A767" s="9">
        <v>766</v>
      </c>
      <c r="B767" s="10" t="s">
        <v>9</v>
      </c>
      <c r="C767" s="10" t="s">
        <v>363</v>
      </c>
      <c r="D767" s="10" t="s">
        <v>364</v>
      </c>
      <c r="E767" s="11" t="str">
        <f>+HYPERLINK("http://trademark.i-assist.jp/data/china/image_1902th/78927275.pdf", "78927275")</f>
        <v>78927275</v>
      </c>
      <c r="F767" s="10" t="s">
        <v>2514</v>
      </c>
      <c r="G767" s="10" t="s">
        <v>2515</v>
      </c>
      <c r="H767" s="10" t="s">
        <v>2516</v>
      </c>
      <c r="I767" s="10" t="s">
        <v>195</v>
      </c>
    </row>
    <row r="768" spans="1:9" x14ac:dyDescent="0.15">
      <c r="A768" s="9">
        <v>767</v>
      </c>
      <c r="B768" s="10" t="s">
        <v>9</v>
      </c>
      <c r="C768" s="10" t="s">
        <v>363</v>
      </c>
      <c r="D768" s="10" t="s">
        <v>364</v>
      </c>
      <c r="E768" s="11" t="str">
        <f>+HYPERLINK("http://trademark.i-assist.jp/data/china/image_1902th/78927615.pdf", "78927615")</f>
        <v>78927615</v>
      </c>
      <c r="F768" s="10" t="s">
        <v>2517</v>
      </c>
      <c r="G768" s="10" t="s">
        <v>2518</v>
      </c>
      <c r="H768" s="10" t="s">
        <v>2519</v>
      </c>
      <c r="I768" s="10" t="s">
        <v>195</v>
      </c>
    </row>
    <row r="769" spans="1:9" x14ac:dyDescent="0.15">
      <c r="A769" s="9">
        <v>768</v>
      </c>
      <c r="B769" s="10" t="s">
        <v>9</v>
      </c>
      <c r="C769" s="10" t="s">
        <v>363</v>
      </c>
      <c r="D769" s="10" t="s">
        <v>364</v>
      </c>
      <c r="E769" s="11" t="str">
        <f>+HYPERLINK("http://trademark.i-assist.jp/data/china/image_1902th/78928385A.pdf", "78928385A")</f>
        <v>78928385A</v>
      </c>
      <c r="F769" s="10" t="s">
        <v>2520</v>
      </c>
      <c r="G769" s="10" t="s">
        <v>2521</v>
      </c>
      <c r="H769" s="10" t="s">
        <v>2522</v>
      </c>
      <c r="I769" s="10" t="s">
        <v>195</v>
      </c>
    </row>
    <row r="770" spans="1:9" x14ac:dyDescent="0.15">
      <c r="A770" s="9">
        <v>769</v>
      </c>
      <c r="B770" s="10" t="s">
        <v>9</v>
      </c>
      <c r="C770" s="10" t="s">
        <v>363</v>
      </c>
      <c r="D770" s="10" t="s">
        <v>364</v>
      </c>
      <c r="E770" s="11" t="str">
        <f>+HYPERLINK("http://trademark.i-assist.jp/data/china/image_1902th/78929282.pdf", "78929282")</f>
        <v>78929282</v>
      </c>
      <c r="F770" s="10" t="s">
        <v>2523</v>
      </c>
      <c r="G770" s="10" t="s">
        <v>2524</v>
      </c>
      <c r="H770" s="10" t="s">
        <v>2525</v>
      </c>
      <c r="I770" s="10" t="s">
        <v>195</v>
      </c>
    </row>
    <row r="771" spans="1:9" x14ac:dyDescent="0.15">
      <c r="A771" s="9">
        <v>770</v>
      </c>
      <c r="B771" s="10" t="s">
        <v>9</v>
      </c>
      <c r="C771" s="10" t="s">
        <v>363</v>
      </c>
      <c r="D771" s="10" t="s">
        <v>364</v>
      </c>
      <c r="E771" s="11" t="str">
        <f>+HYPERLINK("http://trademark.i-assist.jp/data/china/image_1902th/78930512.pdf", "78930512")</f>
        <v>78930512</v>
      </c>
      <c r="F771" s="10" t="s">
        <v>2526</v>
      </c>
      <c r="G771" s="10" t="s">
        <v>2527</v>
      </c>
      <c r="H771" s="10" t="s">
        <v>2528</v>
      </c>
      <c r="I771" s="10" t="s">
        <v>195</v>
      </c>
    </row>
    <row r="772" spans="1:9" x14ac:dyDescent="0.15">
      <c r="A772" s="9">
        <v>771</v>
      </c>
      <c r="B772" s="10" t="s">
        <v>9</v>
      </c>
      <c r="C772" s="10" t="s">
        <v>363</v>
      </c>
      <c r="D772" s="10" t="s">
        <v>364</v>
      </c>
      <c r="E772" s="11" t="str">
        <f>+HYPERLINK("http://trademark.i-assist.jp/data/china/image_1902th/78930659.pdf", "78930659")</f>
        <v>78930659</v>
      </c>
      <c r="F772" s="10" t="s">
        <v>2529</v>
      </c>
      <c r="G772" s="10" t="s">
        <v>2495</v>
      </c>
      <c r="H772" s="10" t="s">
        <v>2530</v>
      </c>
      <c r="I772" s="10" t="s">
        <v>195</v>
      </c>
    </row>
    <row r="773" spans="1:9" x14ac:dyDescent="0.15">
      <c r="A773" s="9">
        <v>772</v>
      </c>
      <c r="B773" s="10" t="s">
        <v>9</v>
      </c>
      <c r="C773" s="10" t="s">
        <v>363</v>
      </c>
      <c r="D773" s="10" t="s">
        <v>364</v>
      </c>
      <c r="E773" s="11" t="str">
        <f>+HYPERLINK("http://trademark.i-assist.jp/data/china/image_1902th/78931190.pdf", "78931190")</f>
        <v>78931190</v>
      </c>
      <c r="F773" s="10" t="s">
        <v>2531</v>
      </c>
      <c r="G773" s="10" t="s">
        <v>2532</v>
      </c>
      <c r="H773" s="10" t="s">
        <v>2533</v>
      </c>
      <c r="I773" s="10" t="s">
        <v>195</v>
      </c>
    </row>
    <row r="774" spans="1:9" x14ac:dyDescent="0.15">
      <c r="A774" s="9">
        <v>773</v>
      </c>
      <c r="B774" s="10" t="s">
        <v>9</v>
      </c>
      <c r="C774" s="10" t="s">
        <v>363</v>
      </c>
      <c r="D774" s="10" t="s">
        <v>364</v>
      </c>
      <c r="E774" s="11" t="str">
        <f>+HYPERLINK("http://trademark.i-assist.jp/data/china/image_1902th/78931458.pdf", "78931458")</f>
        <v>78931458</v>
      </c>
      <c r="F774" s="10" t="s">
        <v>2534</v>
      </c>
      <c r="G774" s="10" t="s">
        <v>2535</v>
      </c>
      <c r="H774" s="10" t="s">
        <v>2536</v>
      </c>
      <c r="I774" s="10" t="s">
        <v>195</v>
      </c>
    </row>
    <row r="775" spans="1:9" x14ac:dyDescent="0.15">
      <c r="A775" s="9">
        <v>774</v>
      </c>
      <c r="B775" s="10" t="s">
        <v>9</v>
      </c>
      <c r="C775" s="10" t="s">
        <v>363</v>
      </c>
      <c r="D775" s="10" t="s">
        <v>364</v>
      </c>
      <c r="E775" s="11" t="str">
        <f>+HYPERLINK("http://trademark.i-assist.jp/data/china/image_1902th/78931785.pdf", "78931785")</f>
        <v>78931785</v>
      </c>
      <c r="F775" s="10" t="s">
        <v>2537</v>
      </c>
      <c r="G775" s="10" t="s">
        <v>2538</v>
      </c>
      <c r="H775" s="10" t="s">
        <v>2539</v>
      </c>
      <c r="I775" s="10" t="s">
        <v>195</v>
      </c>
    </row>
    <row r="776" spans="1:9" x14ac:dyDescent="0.15">
      <c r="A776" s="9">
        <v>775</v>
      </c>
      <c r="B776" s="10" t="s">
        <v>9</v>
      </c>
      <c r="C776" s="10" t="s">
        <v>363</v>
      </c>
      <c r="D776" s="10" t="s">
        <v>364</v>
      </c>
      <c r="E776" s="11" t="str">
        <f>+HYPERLINK("http://trademark.i-assist.jp/data/china/image_1902th/78932654.pdf", "78932654")</f>
        <v>78932654</v>
      </c>
      <c r="F776" s="10" t="s">
        <v>2540</v>
      </c>
      <c r="G776" s="10" t="s">
        <v>2541</v>
      </c>
      <c r="H776" s="10" t="s">
        <v>2542</v>
      </c>
      <c r="I776" s="10" t="s">
        <v>195</v>
      </c>
    </row>
    <row r="777" spans="1:9" x14ac:dyDescent="0.15">
      <c r="A777" s="9">
        <v>776</v>
      </c>
      <c r="B777" s="10" t="s">
        <v>9</v>
      </c>
      <c r="C777" s="10" t="s">
        <v>363</v>
      </c>
      <c r="D777" s="10" t="s">
        <v>364</v>
      </c>
      <c r="E777" s="11" t="str">
        <f>+HYPERLINK("http://trademark.i-assist.jp/data/china/image_1902th/78932665.pdf", "78932665")</f>
        <v>78932665</v>
      </c>
      <c r="F777" s="10" t="s">
        <v>12</v>
      </c>
      <c r="G777" s="10" t="s">
        <v>2543</v>
      </c>
      <c r="H777" s="10" t="s">
        <v>2544</v>
      </c>
      <c r="I777" s="10" t="s">
        <v>195</v>
      </c>
    </row>
    <row r="778" spans="1:9" x14ac:dyDescent="0.15">
      <c r="A778" s="9">
        <v>777</v>
      </c>
      <c r="B778" s="10" t="s">
        <v>9</v>
      </c>
      <c r="C778" s="10" t="s">
        <v>363</v>
      </c>
      <c r="D778" s="10" t="s">
        <v>364</v>
      </c>
      <c r="E778" s="11" t="str">
        <f>+HYPERLINK("http://trademark.i-assist.jp/data/china/image_1902th/78933215.pdf", "78933215")</f>
        <v>78933215</v>
      </c>
      <c r="F778" s="10" t="s">
        <v>2545</v>
      </c>
      <c r="G778" s="10" t="s">
        <v>2546</v>
      </c>
      <c r="H778" s="10" t="s">
        <v>2547</v>
      </c>
      <c r="I778" s="10" t="s">
        <v>195</v>
      </c>
    </row>
    <row r="779" spans="1:9" x14ac:dyDescent="0.15">
      <c r="A779" s="9">
        <v>778</v>
      </c>
      <c r="B779" s="10" t="s">
        <v>9</v>
      </c>
      <c r="C779" s="10" t="s">
        <v>363</v>
      </c>
      <c r="D779" s="10" t="s">
        <v>364</v>
      </c>
      <c r="E779" s="11" t="str">
        <f>+HYPERLINK("http://trademark.i-assist.jp/data/china/image_1902th/78933345.pdf", "78933345")</f>
        <v>78933345</v>
      </c>
      <c r="F779" s="10" t="s">
        <v>2548</v>
      </c>
      <c r="G779" s="10" t="s">
        <v>2549</v>
      </c>
      <c r="H779" s="10" t="s">
        <v>2550</v>
      </c>
      <c r="I779" s="10" t="s">
        <v>195</v>
      </c>
    </row>
    <row r="780" spans="1:9" x14ac:dyDescent="0.15">
      <c r="A780" s="9">
        <v>779</v>
      </c>
      <c r="B780" s="10" t="s">
        <v>9</v>
      </c>
      <c r="C780" s="10" t="s">
        <v>363</v>
      </c>
      <c r="D780" s="10" t="s">
        <v>364</v>
      </c>
      <c r="E780" s="11" t="str">
        <f>+HYPERLINK("http://trademark.i-assist.jp/data/china/image_1902th/78933502.pdf", "78933502")</f>
        <v>78933502</v>
      </c>
      <c r="F780" s="10" t="s">
        <v>12</v>
      </c>
      <c r="G780" s="10" t="s">
        <v>2551</v>
      </c>
      <c r="H780" s="10" t="s">
        <v>2552</v>
      </c>
      <c r="I780" s="10" t="s">
        <v>195</v>
      </c>
    </row>
    <row r="781" spans="1:9" x14ac:dyDescent="0.15">
      <c r="A781" s="9">
        <v>780</v>
      </c>
      <c r="B781" s="10" t="s">
        <v>9</v>
      </c>
      <c r="C781" s="10" t="s">
        <v>363</v>
      </c>
      <c r="D781" s="10" t="s">
        <v>364</v>
      </c>
      <c r="E781" s="11" t="str">
        <f>+HYPERLINK("http://trademark.i-assist.jp/data/china/image_1902th/78933524.pdf", "78933524")</f>
        <v>78933524</v>
      </c>
      <c r="F781" s="10" t="s">
        <v>2553</v>
      </c>
      <c r="G781" s="10" t="s">
        <v>2554</v>
      </c>
      <c r="H781" s="10" t="s">
        <v>2555</v>
      </c>
      <c r="I781" s="10" t="s">
        <v>195</v>
      </c>
    </row>
    <row r="782" spans="1:9" x14ac:dyDescent="0.15">
      <c r="A782" s="9">
        <v>781</v>
      </c>
      <c r="B782" s="10" t="s">
        <v>9</v>
      </c>
      <c r="C782" s="10" t="s">
        <v>363</v>
      </c>
      <c r="D782" s="10" t="s">
        <v>364</v>
      </c>
      <c r="E782" s="11" t="str">
        <f>+HYPERLINK("http://trademark.i-assist.jp/data/china/image_1902th/78933633.pdf", "78933633")</f>
        <v>78933633</v>
      </c>
      <c r="F782" s="10" t="s">
        <v>2556</v>
      </c>
      <c r="G782" s="10" t="s">
        <v>196</v>
      </c>
      <c r="H782" s="10" t="s">
        <v>2557</v>
      </c>
      <c r="I782" s="10" t="s">
        <v>195</v>
      </c>
    </row>
    <row r="783" spans="1:9" x14ac:dyDescent="0.15">
      <c r="A783" s="9">
        <v>782</v>
      </c>
      <c r="B783" s="10" t="s">
        <v>9</v>
      </c>
      <c r="C783" s="10" t="s">
        <v>363</v>
      </c>
      <c r="D783" s="10" t="s">
        <v>364</v>
      </c>
      <c r="E783" s="11" t="str">
        <f>+HYPERLINK("http://trademark.i-assist.jp/data/china/image_1902th/78934568.pdf", "78934568")</f>
        <v>78934568</v>
      </c>
      <c r="F783" s="10" t="s">
        <v>2558</v>
      </c>
      <c r="G783" s="10" t="s">
        <v>2559</v>
      </c>
      <c r="H783" s="10" t="s">
        <v>2560</v>
      </c>
      <c r="I783" s="10" t="s">
        <v>195</v>
      </c>
    </row>
    <row r="784" spans="1:9" x14ac:dyDescent="0.15">
      <c r="A784" s="9">
        <v>783</v>
      </c>
      <c r="B784" s="10" t="s">
        <v>9</v>
      </c>
      <c r="C784" s="10" t="s">
        <v>363</v>
      </c>
      <c r="D784" s="10" t="s">
        <v>364</v>
      </c>
      <c r="E784" s="11" t="str">
        <f>+HYPERLINK("http://trademark.i-assist.jp/data/china/image_1902th/78934800.pdf", "78934800")</f>
        <v>78934800</v>
      </c>
      <c r="F784" s="10" t="s">
        <v>2561</v>
      </c>
      <c r="G784" s="10" t="s">
        <v>2562</v>
      </c>
      <c r="H784" s="10" t="s">
        <v>2563</v>
      </c>
      <c r="I784" s="10" t="s">
        <v>195</v>
      </c>
    </row>
    <row r="785" spans="1:9" x14ac:dyDescent="0.15">
      <c r="A785" s="9">
        <v>784</v>
      </c>
      <c r="B785" s="10" t="s">
        <v>9</v>
      </c>
      <c r="C785" s="10" t="s">
        <v>363</v>
      </c>
      <c r="D785" s="10" t="s">
        <v>364</v>
      </c>
      <c r="E785" s="11" t="str">
        <f>+HYPERLINK("http://trademark.i-assist.jp/data/china/image_1902th/78935171.pdf", "78935171")</f>
        <v>78935171</v>
      </c>
      <c r="F785" s="10" t="s">
        <v>2564</v>
      </c>
      <c r="G785" s="10" t="s">
        <v>2565</v>
      </c>
      <c r="H785" s="10" t="s">
        <v>2566</v>
      </c>
      <c r="I785" s="10" t="s">
        <v>195</v>
      </c>
    </row>
    <row r="786" spans="1:9" x14ac:dyDescent="0.15">
      <c r="A786" s="9">
        <v>785</v>
      </c>
      <c r="B786" s="10" t="s">
        <v>9</v>
      </c>
      <c r="C786" s="10" t="s">
        <v>363</v>
      </c>
      <c r="D786" s="10" t="s">
        <v>364</v>
      </c>
      <c r="E786" s="11" t="str">
        <f>+HYPERLINK("http://trademark.i-assist.jp/data/china/image_1902th/78936113.pdf", "78936113")</f>
        <v>78936113</v>
      </c>
      <c r="F786" s="10" t="s">
        <v>12</v>
      </c>
      <c r="G786" s="10" t="s">
        <v>2567</v>
      </c>
      <c r="H786" s="10" t="s">
        <v>2568</v>
      </c>
      <c r="I786" s="10" t="s">
        <v>195</v>
      </c>
    </row>
    <row r="787" spans="1:9" x14ac:dyDescent="0.15">
      <c r="A787" s="9">
        <v>786</v>
      </c>
      <c r="B787" s="10" t="s">
        <v>9</v>
      </c>
      <c r="C787" s="10" t="s">
        <v>363</v>
      </c>
      <c r="D787" s="10" t="s">
        <v>364</v>
      </c>
      <c r="E787" s="11" t="str">
        <f>+HYPERLINK("http://trademark.i-assist.jp/data/china/image_1902th/78936698.pdf", "78936698")</f>
        <v>78936698</v>
      </c>
      <c r="F787" s="10" t="s">
        <v>2569</v>
      </c>
      <c r="G787" s="10" t="s">
        <v>2541</v>
      </c>
      <c r="H787" s="10" t="s">
        <v>2570</v>
      </c>
      <c r="I787" s="10" t="s">
        <v>195</v>
      </c>
    </row>
    <row r="788" spans="1:9" x14ac:dyDescent="0.15">
      <c r="A788" s="9">
        <v>787</v>
      </c>
      <c r="B788" s="10" t="s">
        <v>9</v>
      </c>
      <c r="C788" s="10" t="s">
        <v>363</v>
      </c>
      <c r="D788" s="10" t="s">
        <v>364</v>
      </c>
      <c r="E788" s="11" t="str">
        <f>+HYPERLINK("http://trademark.i-assist.jp/data/china/image_1902th/78937014.pdf", "78937014")</f>
        <v>78937014</v>
      </c>
      <c r="F788" s="10" t="s">
        <v>2571</v>
      </c>
      <c r="G788" s="10" t="s">
        <v>2572</v>
      </c>
      <c r="H788" s="10" t="s">
        <v>2573</v>
      </c>
      <c r="I788" s="10" t="s">
        <v>195</v>
      </c>
    </row>
    <row r="789" spans="1:9" x14ac:dyDescent="0.15">
      <c r="A789" s="9">
        <v>788</v>
      </c>
      <c r="B789" s="10" t="s">
        <v>9</v>
      </c>
      <c r="C789" s="10" t="s">
        <v>363</v>
      </c>
      <c r="D789" s="10" t="s">
        <v>364</v>
      </c>
      <c r="E789" s="11" t="str">
        <f>+HYPERLINK("http://trademark.i-assist.jp/data/china/image_1902th/78937143.pdf", "78937143")</f>
        <v>78937143</v>
      </c>
      <c r="F789" s="10" t="s">
        <v>2574</v>
      </c>
      <c r="G789" s="10" t="s">
        <v>2575</v>
      </c>
      <c r="H789" s="10" t="s">
        <v>2576</v>
      </c>
      <c r="I789" s="10" t="s">
        <v>195</v>
      </c>
    </row>
    <row r="790" spans="1:9" x14ac:dyDescent="0.15">
      <c r="A790" s="9">
        <v>789</v>
      </c>
      <c r="B790" s="10" t="s">
        <v>9</v>
      </c>
      <c r="C790" s="10" t="s">
        <v>363</v>
      </c>
      <c r="D790" s="10" t="s">
        <v>364</v>
      </c>
      <c r="E790" s="11" t="str">
        <f>+HYPERLINK("http://trademark.i-assist.jp/data/china/image_1902th/78937268.pdf", "78937268")</f>
        <v>78937268</v>
      </c>
      <c r="F790" s="10" t="s">
        <v>2577</v>
      </c>
      <c r="G790" s="10" t="s">
        <v>207</v>
      </c>
      <c r="H790" s="10" t="s">
        <v>2578</v>
      </c>
      <c r="I790" s="10" t="s">
        <v>195</v>
      </c>
    </row>
    <row r="791" spans="1:9" x14ac:dyDescent="0.15">
      <c r="A791" s="9">
        <v>790</v>
      </c>
      <c r="B791" s="10" t="s">
        <v>9</v>
      </c>
      <c r="C791" s="10" t="s">
        <v>363</v>
      </c>
      <c r="D791" s="10" t="s">
        <v>364</v>
      </c>
      <c r="E791" s="11" t="str">
        <f>+HYPERLINK("http://trademark.i-assist.jp/data/china/image_1902th/78937785.pdf", "78937785")</f>
        <v>78937785</v>
      </c>
      <c r="F791" s="10" t="s">
        <v>2579</v>
      </c>
      <c r="G791" s="10" t="s">
        <v>75</v>
      </c>
      <c r="H791" s="10" t="s">
        <v>2580</v>
      </c>
      <c r="I791" s="10" t="s">
        <v>195</v>
      </c>
    </row>
    <row r="792" spans="1:9" x14ac:dyDescent="0.15">
      <c r="A792" s="9">
        <v>791</v>
      </c>
      <c r="B792" s="10" t="s">
        <v>9</v>
      </c>
      <c r="C792" s="10" t="s">
        <v>363</v>
      </c>
      <c r="D792" s="10" t="s">
        <v>364</v>
      </c>
      <c r="E792" s="11" t="str">
        <f>+HYPERLINK("http://trademark.i-assist.jp/data/china/image_1902th/78938091.pdf", "78938091")</f>
        <v>78938091</v>
      </c>
      <c r="F792" s="10" t="s">
        <v>2581</v>
      </c>
      <c r="G792" s="10" t="s">
        <v>197</v>
      </c>
      <c r="H792" s="10" t="s">
        <v>2582</v>
      </c>
      <c r="I792" s="10" t="s">
        <v>195</v>
      </c>
    </row>
    <row r="793" spans="1:9" x14ac:dyDescent="0.15">
      <c r="A793" s="9">
        <v>792</v>
      </c>
      <c r="B793" s="10" t="s">
        <v>9</v>
      </c>
      <c r="C793" s="10" t="s">
        <v>363</v>
      </c>
      <c r="D793" s="10" t="s">
        <v>364</v>
      </c>
      <c r="E793" s="11" t="str">
        <f>+HYPERLINK("http://trademark.i-assist.jp/data/china/image_1902th/78938120.pdf", "78938120")</f>
        <v>78938120</v>
      </c>
      <c r="F793" s="10" t="s">
        <v>2583</v>
      </c>
      <c r="G793" s="10" t="s">
        <v>2584</v>
      </c>
      <c r="H793" s="10" t="s">
        <v>2585</v>
      </c>
      <c r="I793" s="10" t="s">
        <v>195</v>
      </c>
    </row>
    <row r="794" spans="1:9" x14ac:dyDescent="0.15">
      <c r="A794" s="9">
        <v>793</v>
      </c>
      <c r="B794" s="10" t="s">
        <v>9</v>
      </c>
      <c r="C794" s="10" t="s">
        <v>363</v>
      </c>
      <c r="D794" s="10" t="s">
        <v>364</v>
      </c>
      <c r="E794" s="11" t="str">
        <f>+HYPERLINK("http://trademark.i-assist.jp/data/china/image_1902th/78938537.pdf", "78938537")</f>
        <v>78938537</v>
      </c>
      <c r="F794" s="10" t="s">
        <v>2586</v>
      </c>
      <c r="G794" s="10" t="s">
        <v>2587</v>
      </c>
      <c r="H794" s="10" t="s">
        <v>2588</v>
      </c>
      <c r="I794" s="10" t="s">
        <v>195</v>
      </c>
    </row>
    <row r="795" spans="1:9" x14ac:dyDescent="0.15">
      <c r="A795" s="9">
        <v>794</v>
      </c>
      <c r="B795" s="10" t="s">
        <v>9</v>
      </c>
      <c r="C795" s="10" t="s">
        <v>363</v>
      </c>
      <c r="D795" s="10" t="s">
        <v>364</v>
      </c>
      <c r="E795" s="11" t="str">
        <f>+HYPERLINK("http://trademark.i-assist.jp/data/china/image_1902th/78938675.pdf", "78938675")</f>
        <v>78938675</v>
      </c>
      <c r="F795" s="10" t="s">
        <v>2589</v>
      </c>
      <c r="G795" s="10" t="s">
        <v>203</v>
      </c>
      <c r="H795" s="10" t="s">
        <v>2590</v>
      </c>
      <c r="I795" s="10" t="s">
        <v>195</v>
      </c>
    </row>
    <row r="796" spans="1:9" x14ac:dyDescent="0.15">
      <c r="A796" s="9">
        <v>795</v>
      </c>
      <c r="B796" s="10" t="s">
        <v>9</v>
      </c>
      <c r="C796" s="10" t="s">
        <v>363</v>
      </c>
      <c r="D796" s="10" t="s">
        <v>364</v>
      </c>
      <c r="E796" s="11" t="str">
        <f>+HYPERLINK("http://trademark.i-assist.jp/data/china/image_1902th/78938770.pdf", "78938770")</f>
        <v>78938770</v>
      </c>
      <c r="F796" s="10" t="s">
        <v>2591</v>
      </c>
      <c r="G796" s="10" t="s">
        <v>129</v>
      </c>
      <c r="H796" s="10" t="s">
        <v>2592</v>
      </c>
      <c r="I796" s="10" t="s">
        <v>195</v>
      </c>
    </row>
    <row r="797" spans="1:9" x14ac:dyDescent="0.15">
      <c r="A797" s="9">
        <v>796</v>
      </c>
      <c r="B797" s="10" t="s">
        <v>9</v>
      </c>
      <c r="C797" s="10" t="s">
        <v>363</v>
      </c>
      <c r="D797" s="10" t="s">
        <v>364</v>
      </c>
      <c r="E797" s="11" t="str">
        <f>+HYPERLINK("http://trademark.i-assist.jp/data/china/image_1902th/78939357.pdf", "78939357")</f>
        <v>78939357</v>
      </c>
      <c r="F797" s="10" t="s">
        <v>2593</v>
      </c>
      <c r="G797" s="10" t="s">
        <v>2594</v>
      </c>
      <c r="H797" s="10" t="s">
        <v>2595</v>
      </c>
      <c r="I797" s="10" t="s">
        <v>195</v>
      </c>
    </row>
    <row r="798" spans="1:9" x14ac:dyDescent="0.15">
      <c r="A798" s="9">
        <v>797</v>
      </c>
      <c r="B798" s="10" t="s">
        <v>9</v>
      </c>
      <c r="C798" s="10" t="s">
        <v>363</v>
      </c>
      <c r="D798" s="10" t="s">
        <v>364</v>
      </c>
      <c r="E798" s="11" t="str">
        <f>+HYPERLINK("http://trademark.i-assist.jp/data/china/image_1902th/78939628.pdf", "78939628")</f>
        <v>78939628</v>
      </c>
      <c r="F798" s="10" t="s">
        <v>2596</v>
      </c>
      <c r="G798" s="10" t="s">
        <v>2597</v>
      </c>
      <c r="H798" s="10" t="s">
        <v>2598</v>
      </c>
      <c r="I798" s="10" t="s">
        <v>195</v>
      </c>
    </row>
    <row r="799" spans="1:9" x14ac:dyDescent="0.15">
      <c r="A799" s="9">
        <v>798</v>
      </c>
      <c r="B799" s="10" t="s">
        <v>9</v>
      </c>
      <c r="C799" s="10" t="s">
        <v>363</v>
      </c>
      <c r="D799" s="10" t="s">
        <v>364</v>
      </c>
      <c r="E799" s="11" t="str">
        <f>+HYPERLINK("http://trademark.i-assist.jp/data/china/image_1902th/78939887.pdf", "78939887")</f>
        <v>78939887</v>
      </c>
      <c r="F799" s="10" t="s">
        <v>2599</v>
      </c>
      <c r="G799" s="10" t="s">
        <v>104</v>
      </c>
      <c r="H799" s="10" t="s">
        <v>2600</v>
      </c>
      <c r="I799" s="10" t="s">
        <v>195</v>
      </c>
    </row>
    <row r="800" spans="1:9" x14ac:dyDescent="0.15">
      <c r="A800" s="9">
        <v>799</v>
      </c>
      <c r="B800" s="10" t="s">
        <v>9</v>
      </c>
      <c r="C800" s="10" t="s">
        <v>363</v>
      </c>
      <c r="D800" s="10" t="s">
        <v>364</v>
      </c>
      <c r="E800" s="11" t="str">
        <f>+HYPERLINK("http://trademark.i-assist.jp/data/china/image_1902th/78940202.pdf", "78940202")</f>
        <v>78940202</v>
      </c>
      <c r="F800" s="10" t="s">
        <v>2601</v>
      </c>
      <c r="G800" s="10" t="s">
        <v>2602</v>
      </c>
      <c r="H800" s="10" t="s">
        <v>2603</v>
      </c>
      <c r="I800" s="10" t="s">
        <v>195</v>
      </c>
    </row>
    <row r="801" spans="1:9" x14ac:dyDescent="0.15">
      <c r="A801" s="9">
        <v>800</v>
      </c>
      <c r="B801" s="10" t="s">
        <v>9</v>
      </c>
      <c r="C801" s="10" t="s">
        <v>363</v>
      </c>
      <c r="D801" s="10" t="s">
        <v>364</v>
      </c>
      <c r="E801" s="11" t="str">
        <f>+HYPERLINK("http://trademark.i-assist.jp/data/china/image_1902th/78940750.pdf", "78940750")</f>
        <v>78940750</v>
      </c>
      <c r="F801" s="10" t="s">
        <v>2604</v>
      </c>
      <c r="G801" s="10" t="s">
        <v>207</v>
      </c>
      <c r="H801" s="10" t="s">
        <v>2605</v>
      </c>
      <c r="I801" s="10" t="s">
        <v>195</v>
      </c>
    </row>
    <row r="802" spans="1:9" x14ac:dyDescent="0.15">
      <c r="A802" s="9">
        <v>801</v>
      </c>
      <c r="B802" s="10" t="s">
        <v>9</v>
      </c>
      <c r="C802" s="10" t="s">
        <v>363</v>
      </c>
      <c r="D802" s="10" t="s">
        <v>364</v>
      </c>
      <c r="E802" s="11" t="str">
        <f>+HYPERLINK("http://trademark.i-assist.jp/data/china/image_1902th/78941230.pdf", "78941230")</f>
        <v>78941230</v>
      </c>
      <c r="F802" s="10" t="s">
        <v>2606</v>
      </c>
      <c r="G802" s="10" t="s">
        <v>327</v>
      </c>
      <c r="H802" s="10" t="s">
        <v>2607</v>
      </c>
      <c r="I802" s="10" t="s">
        <v>195</v>
      </c>
    </row>
    <row r="803" spans="1:9" x14ac:dyDescent="0.15">
      <c r="A803" s="9">
        <v>802</v>
      </c>
      <c r="B803" s="10" t="s">
        <v>9</v>
      </c>
      <c r="C803" s="10" t="s">
        <v>363</v>
      </c>
      <c r="D803" s="10" t="s">
        <v>364</v>
      </c>
      <c r="E803" s="11" t="str">
        <f>+HYPERLINK("http://trademark.i-assist.jp/data/china/image_1902th/78941540.pdf", "78941540")</f>
        <v>78941540</v>
      </c>
      <c r="F803" s="10" t="s">
        <v>2608</v>
      </c>
      <c r="G803" s="10" t="s">
        <v>207</v>
      </c>
      <c r="H803" s="10" t="s">
        <v>2609</v>
      </c>
      <c r="I803" s="10" t="s">
        <v>195</v>
      </c>
    </row>
    <row r="804" spans="1:9" x14ac:dyDescent="0.15">
      <c r="A804" s="9">
        <v>803</v>
      </c>
      <c r="B804" s="10" t="s">
        <v>9</v>
      </c>
      <c r="C804" s="10" t="s">
        <v>363</v>
      </c>
      <c r="D804" s="10" t="s">
        <v>364</v>
      </c>
      <c r="E804" s="11" t="str">
        <f>+HYPERLINK("http://trademark.i-assist.jp/data/china/image_1902th/78941997.pdf", "78941997")</f>
        <v>78941997</v>
      </c>
      <c r="F804" s="10" t="s">
        <v>2610</v>
      </c>
      <c r="G804" s="10" t="s">
        <v>122</v>
      </c>
      <c r="H804" s="10" t="s">
        <v>2611</v>
      </c>
      <c r="I804" s="10" t="s">
        <v>195</v>
      </c>
    </row>
    <row r="805" spans="1:9" x14ac:dyDescent="0.15">
      <c r="A805" s="9">
        <v>804</v>
      </c>
      <c r="B805" s="10" t="s">
        <v>9</v>
      </c>
      <c r="C805" s="10" t="s">
        <v>363</v>
      </c>
      <c r="D805" s="10" t="s">
        <v>364</v>
      </c>
      <c r="E805" s="11" t="str">
        <f>+HYPERLINK("http://trademark.i-assist.jp/data/china/image_1902th/78942606.pdf", "78942606")</f>
        <v>78942606</v>
      </c>
      <c r="F805" s="10" t="s">
        <v>2612</v>
      </c>
      <c r="G805" s="10" t="s">
        <v>277</v>
      </c>
      <c r="H805" s="10" t="s">
        <v>2613</v>
      </c>
      <c r="I805" s="10" t="s">
        <v>195</v>
      </c>
    </row>
    <row r="806" spans="1:9" x14ac:dyDescent="0.15">
      <c r="A806" s="9">
        <v>805</v>
      </c>
      <c r="B806" s="10" t="s">
        <v>9</v>
      </c>
      <c r="C806" s="10" t="s">
        <v>363</v>
      </c>
      <c r="D806" s="10" t="s">
        <v>364</v>
      </c>
      <c r="E806" s="11" t="str">
        <f>+HYPERLINK("http://trademark.i-assist.jp/data/china/image_1902th/78943920.pdf", "78943920")</f>
        <v>78943920</v>
      </c>
      <c r="F806" s="10" t="s">
        <v>2614</v>
      </c>
      <c r="G806" s="10" t="s">
        <v>2615</v>
      </c>
      <c r="H806" s="10" t="s">
        <v>2616</v>
      </c>
      <c r="I806" s="10" t="s">
        <v>195</v>
      </c>
    </row>
    <row r="807" spans="1:9" x14ac:dyDescent="0.15">
      <c r="A807" s="9">
        <v>806</v>
      </c>
      <c r="B807" s="10" t="s">
        <v>9</v>
      </c>
      <c r="C807" s="10" t="s">
        <v>363</v>
      </c>
      <c r="D807" s="10" t="s">
        <v>364</v>
      </c>
      <c r="E807" s="11" t="str">
        <f>+HYPERLINK("http://trademark.i-assist.jp/data/china/image_1902th/78944625.pdf", "78944625")</f>
        <v>78944625</v>
      </c>
      <c r="F807" s="10" t="s">
        <v>2617</v>
      </c>
      <c r="G807" s="10" t="s">
        <v>2535</v>
      </c>
      <c r="H807" s="10" t="s">
        <v>2618</v>
      </c>
      <c r="I807" s="10" t="s">
        <v>195</v>
      </c>
    </row>
    <row r="808" spans="1:9" x14ac:dyDescent="0.15">
      <c r="A808" s="9">
        <v>807</v>
      </c>
      <c r="B808" s="10" t="s">
        <v>9</v>
      </c>
      <c r="C808" s="10" t="s">
        <v>363</v>
      </c>
      <c r="D808" s="10" t="s">
        <v>364</v>
      </c>
      <c r="E808" s="11" t="str">
        <f>+HYPERLINK("http://trademark.i-assist.jp/data/china/image_1902th/78944929.pdf", "78944929")</f>
        <v>78944929</v>
      </c>
      <c r="F808" s="10" t="s">
        <v>2619</v>
      </c>
      <c r="G808" s="10" t="s">
        <v>2620</v>
      </c>
      <c r="H808" s="10" t="s">
        <v>2621</v>
      </c>
      <c r="I808" s="10" t="s">
        <v>195</v>
      </c>
    </row>
    <row r="809" spans="1:9" x14ac:dyDescent="0.15">
      <c r="A809" s="9">
        <v>808</v>
      </c>
      <c r="B809" s="10" t="s">
        <v>9</v>
      </c>
      <c r="C809" s="10" t="s">
        <v>363</v>
      </c>
      <c r="D809" s="10" t="s">
        <v>364</v>
      </c>
      <c r="E809" s="11" t="str">
        <f>+HYPERLINK("http://trademark.i-assist.jp/data/china/image_1902th/78945810.pdf", "78945810")</f>
        <v>78945810</v>
      </c>
      <c r="F809" s="10" t="s">
        <v>2622</v>
      </c>
      <c r="G809" s="10" t="s">
        <v>2623</v>
      </c>
      <c r="H809" s="10" t="s">
        <v>2624</v>
      </c>
      <c r="I809" s="10" t="s">
        <v>195</v>
      </c>
    </row>
    <row r="810" spans="1:9" x14ac:dyDescent="0.15">
      <c r="A810" s="9">
        <v>809</v>
      </c>
      <c r="B810" s="10" t="s">
        <v>9</v>
      </c>
      <c r="C810" s="10" t="s">
        <v>363</v>
      </c>
      <c r="D810" s="10" t="s">
        <v>364</v>
      </c>
      <c r="E810" s="11" t="str">
        <f>+HYPERLINK("http://trademark.i-assist.jp/data/china/image_1902th/78945883.pdf", "78945883")</f>
        <v>78945883</v>
      </c>
      <c r="F810" s="10" t="s">
        <v>2625</v>
      </c>
      <c r="G810" s="10" t="s">
        <v>2626</v>
      </c>
      <c r="H810" s="10" t="s">
        <v>2627</v>
      </c>
      <c r="I810" s="10" t="s">
        <v>195</v>
      </c>
    </row>
    <row r="811" spans="1:9" x14ac:dyDescent="0.15">
      <c r="A811" s="9">
        <v>810</v>
      </c>
      <c r="B811" s="10" t="s">
        <v>9</v>
      </c>
      <c r="C811" s="10" t="s">
        <v>363</v>
      </c>
      <c r="D811" s="10" t="s">
        <v>364</v>
      </c>
      <c r="E811" s="11" t="str">
        <f>+HYPERLINK("http://trademark.i-assist.jp/data/china/image_1902th/78945920.pdf", "78945920")</f>
        <v>78945920</v>
      </c>
      <c r="F811" s="10" t="s">
        <v>2628</v>
      </c>
      <c r="G811" s="10" t="s">
        <v>2629</v>
      </c>
      <c r="H811" s="10" t="s">
        <v>2630</v>
      </c>
      <c r="I811" s="10" t="s">
        <v>195</v>
      </c>
    </row>
    <row r="812" spans="1:9" x14ac:dyDescent="0.15">
      <c r="A812" s="9">
        <v>811</v>
      </c>
      <c r="B812" s="10" t="s">
        <v>9</v>
      </c>
      <c r="C812" s="10" t="s">
        <v>363</v>
      </c>
      <c r="D812" s="10" t="s">
        <v>364</v>
      </c>
      <c r="E812" s="11" t="str">
        <f>+HYPERLINK("http://trademark.i-assist.jp/data/china/image_1902th/78946454.pdf", "78946454")</f>
        <v>78946454</v>
      </c>
      <c r="F812" s="10" t="s">
        <v>2631</v>
      </c>
      <c r="G812" s="10" t="s">
        <v>122</v>
      </c>
      <c r="H812" s="10" t="s">
        <v>2632</v>
      </c>
      <c r="I812" s="10" t="s">
        <v>195</v>
      </c>
    </row>
    <row r="813" spans="1:9" x14ac:dyDescent="0.15">
      <c r="A813" s="9">
        <v>812</v>
      </c>
      <c r="B813" s="10" t="s">
        <v>9</v>
      </c>
      <c r="C813" s="10" t="s">
        <v>363</v>
      </c>
      <c r="D813" s="10" t="s">
        <v>364</v>
      </c>
      <c r="E813" s="11" t="str">
        <f>+HYPERLINK("http://trademark.i-assist.jp/data/china/image_1902th/78946946.pdf", "78946946")</f>
        <v>78946946</v>
      </c>
      <c r="F813" s="10" t="s">
        <v>12</v>
      </c>
      <c r="G813" s="10" t="s">
        <v>2633</v>
      </c>
      <c r="H813" s="10" t="s">
        <v>2634</v>
      </c>
      <c r="I813" s="10" t="s">
        <v>195</v>
      </c>
    </row>
    <row r="814" spans="1:9" x14ac:dyDescent="0.15">
      <c r="A814" s="9">
        <v>813</v>
      </c>
      <c r="B814" s="10" t="s">
        <v>9</v>
      </c>
      <c r="C814" s="10" t="s">
        <v>363</v>
      </c>
      <c r="D814" s="10" t="s">
        <v>364</v>
      </c>
      <c r="E814" s="11" t="str">
        <f>+HYPERLINK("http://trademark.i-assist.jp/data/china/image_1902th/78946982.pdf", "78946982")</f>
        <v>78946982</v>
      </c>
      <c r="F814" s="10" t="s">
        <v>2635</v>
      </c>
      <c r="G814" s="10" t="s">
        <v>2636</v>
      </c>
      <c r="H814" s="10" t="s">
        <v>2637</v>
      </c>
      <c r="I814" s="10" t="s">
        <v>195</v>
      </c>
    </row>
    <row r="815" spans="1:9" x14ac:dyDescent="0.15">
      <c r="A815" s="9">
        <v>814</v>
      </c>
      <c r="B815" s="10" t="s">
        <v>9</v>
      </c>
      <c r="C815" s="10" t="s">
        <v>363</v>
      </c>
      <c r="D815" s="10" t="s">
        <v>364</v>
      </c>
      <c r="E815" s="11" t="str">
        <f>+HYPERLINK("http://trademark.i-assist.jp/data/china/image_1902th/78947138.pdf", "78947138")</f>
        <v>78947138</v>
      </c>
      <c r="F815" s="10" t="s">
        <v>2638</v>
      </c>
      <c r="G815" s="10" t="s">
        <v>2639</v>
      </c>
      <c r="H815" s="10" t="s">
        <v>2640</v>
      </c>
      <c r="I815" s="10" t="s">
        <v>195</v>
      </c>
    </row>
    <row r="816" spans="1:9" x14ac:dyDescent="0.15">
      <c r="A816" s="9">
        <v>815</v>
      </c>
      <c r="B816" s="10" t="s">
        <v>9</v>
      </c>
      <c r="C816" s="10" t="s">
        <v>363</v>
      </c>
      <c r="D816" s="10" t="s">
        <v>364</v>
      </c>
      <c r="E816" s="11" t="str">
        <f>+HYPERLINK("http://trademark.i-assist.jp/data/china/image_1902th/78947201.pdf", "78947201")</f>
        <v>78947201</v>
      </c>
      <c r="F816" s="10" t="s">
        <v>2641</v>
      </c>
      <c r="G816" s="10" t="s">
        <v>2642</v>
      </c>
      <c r="H816" s="10" t="s">
        <v>2643</v>
      </c>
      <c r="I816" s="10" t="s">
        <v>195</v>
      </c>
    </row>
    <row r="817" spans="1:9" x14ac:dyDescent="0.15">
      <c r="A817" s="9">
        <v>816</v>
      </c>
      <c r="B817" s="10" t="s">
        <v>9</v>
      </c>
      <c r="C817" s="10" t="s">
        <v>363</v>
      </c>
      <c r="D817" s="10" t="s">
        <v>364</v>
      </c>
      <c r="E817" s="11" t="str">
        <f>+HYPERLINK("http://trademark.i-assist.jp/data/china/image_1902th/78947281.pdf", "78947281")</f>
        <v>78947281</v>
      </c>
      <c r="F817" s="10" t="s">
        <v>2644</v>
      </c>
      <c r="G817" s="10" t="s">
        <v>62</v>
      </c>
      <c r="H817" s="10" t="s">
        <v>2645</v>
      </c>
      <c r="I817" s="10" t="s">
        <v>195</v>
      </c>
    </row>
    <row r="818" spans="1:9" x14ac:dyDescent="0.15">
      <c r="A818" s="9">
        <v>817</v>
      </c>
      <c r="B818" s="10" t="s">
        <v>9</v>
      </c>
      <c r="C818" s="10" t="s">
        <v>363</v>
      </c>
      <c r="D818" s="10" t="s">
        <v>364</v>
      </c>
      <c r="E818" s="11" t="str">
        <f>+HYPERLINK("http://trademark.i-assist.jp/data/china/image_1902th/78948278.pdf", "78948278")</f>
        <v>78948278</v>
      </c>
      <c r="F818" s="10" t="s">
        <v>2646</v>
      </c>
      <c r="G818" s="10" t="s">
        <v>2647</v>
      </c>
      <c r="H818" s="10" t="s">
        <v>2648</v>
      </c>
      <c r="I818" s="10" t="s">
        <v>195</v>
      </c>
    </row>
    <row r="819" spans="1:9" x14ac:dyDescent="0.15">
      <c r="A819" s="9">
        <v>818</v>
      </c>
      <c r="B819" s="10" t="s">
        <v>9</v>
      </c>
      <c r="C819" s="10" t="s">
        <v>363</v>
      </c>
      <c r="D819" s="10" t="s">
        <v>364</v>
      </c>
      <c r="E819" s="11" t="str">
        <f>+HYPERLINK("http://trademark.i-assist.jp/data/china/image_1902th/78948819.pdf", "78948819")</f>
        <v>78948819</v>
      </c>
      <c r="F819" s="10" t="s">
        <v>2649</v>
      </c>
      <c r="G819" s="10" t="s">
        <v>2650</v>
      </c>
      <c r="H819" s="10" t="s">
        <v>2651</v>
      </c>
      <c r="I819" s="10" t="s">
        <v>213</v>
      </c>
    </row>
    <row r="820" spans="1:9" x14ac:dyDescent="0.15">
      <c r="A820" s="9">
        <v>819</v>
      </c>
      <c r="B820" s="10" t="s">
        <v>9</v>
      </c>
      <c r="C820" s="10" t="s">
        <v>363</v>
      </c>
      <c r="D820" s="10" t="s">
        <v>364</v>
      </c>
      <c r="E820" s="11" t="str">
        <f>+HYPERLINK("http://trademark.i-assist.jp/data/china/image_1902th/78949214.pdf", "78949214")</f>
        <v>78949214</v>
      </c>
      <c r="F820" s="10" t="s">
        <v>2652</v>
      </c>
      <c r="G820" s="10" t="s">
        <v>2653</v>
      </c>
      <c r="H820" s="10" t="s">
        <v>2654</v>
      </c>
      <c r="I820" s="10" t="s">
        <v>213</v>
      </c>
    </row>
    <row r="821" spans="1:9" x14ac:dyDescent="0.15">
      <c r="A821" s="9">
        <v>820</v>
      </c>
      <c r="B821" s="10" t="s">
        <v>9</v>
      </c>
      <c r="C821" s="10" t="s">
        <v>363</v>
      </c>
      <c r="D821" s="10" t="s">
        <v>364</v>
      </c>
      <c r="E821" s="11" t="str">
        <f>+HYPERLINK("http://trademark.i-assist.jp/data/china/image_1902th/78949285.pdf", "78949285")</f>
        <v>78949285</v>
      </c>
      <c r="F821" s="10" t="s">
        <v>2655</v>
      </c>
      <c r="G821" s="10" t="s">
        <v>2656</v>
      </c>
      <c r="H821" s="10" t="s">
        <v>2657</v>
      </c>
      <c r="I821" s="10" t="s">
        <v>213</v>
      </c>
    </row>
    <row r="822" spans="1:9" x14ac:dyDescent="0.15">
      <c r="A822" s="9">
        <v>821</v>
      </c>
      <c r="B822" s="10" t="s">
        <v>9</v>
      </c>
      <c r="C822" s="10" t="s">
        <v>363</v>
      </c>
      <c r="D822" s="10" t="s">
        <v>364</v>
      </c>
      <c r="E822" s="11" t="str">
        <f>+HYPERLINK("http://trademark.i-assist.jp/data/china/image_1902th/78949773.pdf", "78949773")</f>
        <v>78949773</v>
      </c>
      <c r="F822" s="10" t="s">
        <v>2658</v>
      </c>
      <c r="G822" s="10" t="s">
        <v>2659</v>
      </c>
      <c r="H822" s="10" t="s">
        <v>2660</v>
      </c>
      <c r="I822" s="10" t="s">
        <v>213</v>
      </c>
    </row>
    <row r="823" spans="1:9" x14ac:dyDescent="0.15">
      <c r="A823" s="9">
        <v>822</v>
      </c>
      <c r="B823" s="10" t="s">
        <v>9</v>
      </c>
      <c r="C823" s="10" t="s">
        <v>363</v>
      </c>
      <c r="D823" s="10" t="s">
        <v>364</v>
      </c>
      <c r="E823" s="11" t="str">
        <f>+HYPERLINK("http://trademark.i-assist.jp/data/china/image_1902th/78950039.pdf", "78950039")</f>
        <v>78950039</v>
      </c>
      <c r="F823" s="10" t="s">
        <v>2661</v>
      </c>
      <c r="G823" s="10" t="s">
        <v>2662</v>
      </c>
      <c r="H823" s="10" t="s">
        <v>2663</v>
      </c>
      <c r="I823" s="10" t="s">
        <v>213</v>
      </c>
    </row>
    <row r="824" spans="1:9" x14ac:dyDescent="0.15">
      <c r="A824" s="9">
        <v>823</v>
      </c>
      <c r="B824" s="10" t="s">
        <v>9</v>
      </c>
      <c r="C824" s="10" t="s">
        <v>363</v>
      </c>
      <c r="D824" s="10" t="s">
        <v>364</v>
      </c>
      <c r="E824" s="11" t="str">
        <f>+HYPERLINK("http://trademark.i-assist.jp/data/china/image_1902th/78950309.pdf", "78950309")</f>
        <v>78950309</v>
      </c>
      <c r="F824" s="10" t="s">
        <v>2664</v>
      </c>
      <c r="G824" s="10" t="s">
        <v>2665</v>
      </c>
      <c r="H824" s="10" t="s">
        <v>2666</v>
      </c>
      <c r="I824" s="10" t="s">
        <v>213</v>
      </c>
    </row>
    <row r="825" spans="1:9" x14ac:dyDescent="0.15">
      <c r="A825" s="9">
        <v>824</v>
      </c>
      <c r="B825" s="10" t="s">
        <v>9</v>
      </c>
      <c r="C825" s="10" t="s">
        <v>363</v>
      </c>
      <c r="D825" s="10" t="s">
        <v>364</v>
      </c>
      <c r="E825" s="11" t="str">
        <f>+HYPERLINK("http://trademark.i-assist.jp/data/china/image_1902th/78950322.pdf", "78950322")</f>
        <v>78950322</v>
      </c>
      <c r="F825" s="10" t="s">
        <v>2667</v>
      </c>
      <c r="G825" s="10" t="s">
        <v>2668</v>
      </c>
      <c r="H825" s="10" t="s">
        <v>2669</v>
      </c>
      <c r="I825" s="10" t="s">
        <v>213</v>
      </c>
    </row>
    <row r="826" spans="1:9" x14ac:dyDescent="0.15">
      <c r="A826" s="9">
        <v>825</v>
      </c>
      <c r="B826" s="10" t="s">
        <v>9</v>
      </c>
      <c r="C826" s="10" t="s">
        <v>363</v>
      </c>
      <c r="D826" s="10" t="s">
        <v>364</v>
      </c>
      <c r="E826" s="11" t="str">
        <f>+HYPERLINK("http://trademark.i-assist.jp/data/china/image_1902th/78950432.pdf", "78950432")</f>
        <v>78950432</v>
      </c>
      <c r="F826" s="10" t="s">
        <v>2670</v>
      </c>
      <c r="G826" s="10" t="s">
        <v>2671</v>
      </c>
      <c r="H826" s="10" t="s">
        <v>2672</v>
      </c>
      <c r="I826" s="10" t="s">
        <v>213</v>
      </c>
    </row>
    <row r="827" spans="1:9" x14ac:dyDescent="0.15">
      <c r="A827" s="9">
        <v>826</v>
      </c>
      <c r="B827" s="10" t="s">
        <v>9</v>
      </c>
      <c r="C827" s="10" t="s">
        <v>363</v>
      </c>
      <c r="D827" s="10" t="s">
        <v>364</v>
      </c>
      <c r="E827" s="11" t="str">
        <f>+HYPERLINK("http://trademark.i-assist.jp/data/china/image_1902th/78950446.pdf", "78950446")</f>
        <v>78950446</v>
      </c>
      <c r="F827" s="10" t="s">
        <v>2673</v>
      </c>
      <c r="G827" s="10" t="s">
        <v>2674</v>
      </c>
      <c r="H827" s="10" t="s">
        <v>2675</v>
      </c>
      <c r="I827" s="10" t="s">
        <v>213</v>
      </c>
    </row>
    <row r="828" spans="1:9" x14ac:dyDescent="0.15">
      <c r="A828" s="9">
        <v>827</v>
      </c>
      <c r="B828" s="10" t="s">
        <v>9</v>
      </c>
      <c r="C828" s="10" t="s">
        <v>363</v>
      </c>
      <c r="D828" s="10" t="s">
        <v>364</v>
      </c>
      <c r="E828" s="11" t="str">
        <f>+HYPERLINK("http://trademark.i-assist.jp/data/china/image_1902th/78950654.pdf", "78950654")</f>
        <v>78950654</v>
      </c>
      <c r="F828" s="10" t="s">
        <v>2676</v>
      </c>
      <c r="G828" s="10" t="s">
        <v>2677</v>
      </c>
      <c r="H828" s="10" t="s">
        <v>2678</v>
      </c>
      <c r="I828" s="10" t="s">
        <v>213</v>
      </c>
    </row>
    <row r="829" spans="1:9" x14ac:dyDescent="0.15">
      <c r="A829" s="9">
        <v>828</v>
      </c>
      <c r="B829" s="10" t="s">
        <v>9</v>
      </c>
      <c r="C829" s="10" t="s">
        <v>363</v>
      </c>
      <c r="D829" s="10" t="s">
        <v>364</v>
      </c>
      <c r="E829" s="11" t="str">
        <f>+HYPERLINK("http://trademark.i-assist.jp/data/china/image_1902th/78951008.pdf", "78951008")</f>
        <v>78951008</v>
      </c>
      <c r="F829" s="10" t="s">
        <v>2679</v>
      </c>
      <c r="G829" s="10" t="s">
        <v>2680</v>
      </c>
      <c r="H829" s="10" t="s">
        <v>2681</v>
      </c>
      <c r="I829" s="10" t="s">
        <v>213</v>
      </c>
    </row>
    <row r="830" spans="1:9" x14ac:dyDescent="0.15">
      <c r="A830" s="9">
        <v>829</v>
      </c>
      <c r="B830" s="10" t="s">
        <v>9</v>
      </c>
      <c r="C830" s="10" t="s">
        <v>363</v>
      </c>
      <c r="D830" s="10" t="s">
        <v>364</v>
      </c>
      <c r="E830" s="11" t="str">
        <f>+HYPERLINK("http://trademark.i-assist.jp/data/china/image_1902th/78951305.pdf", "78951305")</f>
        <v>78951305</v>
      </c>
      <c r="F830" s="10" t="s">
        <v>2682</v>
      </c>
      <c r="G830" s="10" t="s">
        <v>2683</v>
      </c>
      <c r="H830" s="10" t="s">
        <v>2684</v>
      </c>
      <c r="I830" s="10" t="s">
        <v>213</v>
      </c>
    </row>
    <row r="831" spans="1:9" x14ac:dyDescent="0.15">
      <c r="A831" s="9">
        <v>830</v>
      </c>
      <c r="B831" s="10" t="s">
        <v>9</v>
      </c>
      <c r="C831" s="10" t="s">
        <v>363</v>
      </c>
      <c r="D831" s="10" t="s">
        <v>364</v>
      </c>
      <c r="E831" s="11" t="str">
        <f>+HYPERLINK("http://trademark.i-assist.jp/data/china/image_1902th/78951761.pdf", "78951761")</f>
        <v>78951761</v>
      </c>
      <c r="F831" s="10" t="s">
        <v>2685</v>
      </c>
      <c r="G831" s="10" t="s">
        <v>2686</v>
      </c>
      <c r="H831" s="10" t="s">
        <v>2687</v>
      </c>
      <c r="I831" s="10" t="s">
        <v>213</v>
      </c>
    </row>
    <row r="832" spans="1:9" x14ac:dyDescent="0.15">
      <c r="A832" s="9">
        <v>831</v>
      </c>
      <c r="B832" s="10" t="s">
        <v>9</v>
      </c>
      <c r="C832" s="10" t="s">
        <v>363</v>
      </c>
      <c r="D832" s="10" t="s">
        <v>364</v>
      </c>
      <c r="E832" s="11" t="str">
        <f>+HYPERLINK("http://trademark.i-assist.jp/data/china/image_1902th/78952199.pdf", "78952199")</f>
        <v>78952199</v>
      </c>
      <c r="F832" s="10" t="s">
        <v>2688</v>
      </c>
      <c r="G832" s="10" t="s">
        <v>2689</v>
      </c>
      <c r="H832" s="10" t="s">
        <v>2690</v>
      </c>
      <c r="I832" s="10" t="s">
        <v>213</v>
      </c>
    </row>
    <row r="833" spans="1:9" x14ac:dyDescent="0.15">
      <c r="A833" s="9">
        <v>832</v>
      </c>
      <c r="B833" s="10" t="s">
        <v>9</v>
      </c>
      <c r="C833" s="10" t="s">
        <v>363</v>
      </c>
      <c r="D833" s="10" t="s">
        <v>364</v>
      </c>
      <c r="E833" s="11" t="str">
        <f>+HYPERLINK("http://trademark.i-assist.jp/data/china/image_1902th/78952220.pdf", "78952220")</f>
        <v>78952220</v>
      </c>
      <c r="F833" s="10" t="s">
        <v>2691</v>
      </c>
      <c r="G833" s="10" t="s">
        <v>235</v>
      </c>
      <c r="H833" s="10" t="s">
        <v>2692</v>
      </c>
      <c r="I833" s="10" t="s">
        <v>213</v>
      </c>
    </row>
    <row r="834" spans="1:9" x14ac:dyDescent="0.15">
      <c r="A834" s="9">
        <v>833</v>
      </c>
      <c r="B834" s="10" t="s">
        <v>9</v>
      </c>
      <c r="C834" s="10" t="s">
        <v>363</v>
      </c>
      <c r="D834" s="10" t="s">
        <v>364</v>
      </c>
      <c r="E834" s="11" t="str">
        <f>+HYPERLINK("http://trademark.i-assist.jp/data/china/image_1902th/78952330.pdf", "78952330")</f>
        <v>78952330</v>
      </c>
      <c r="F834" s="10" t="s">
        <v>2693</v>
      </c>
      <c r="G834" s="10" t="s">
        <v>2694</v>
      </c>
      <c r="H834" s="10" t="s">
        <v>2695</v>
      </c>
      <c r="I834" s="10" t="s">
        <v>213</v>
      </c>
    </row>
    <row r="835" spans="1:9" x14ac:dyDescent="0.15">
      <c r="A835" s="9">
        <v>834</v>
      </c>
      <c r="B835" s="10" t="s">
        <v>9</v>
      </c>
      <c r="C835" s="10" t="s">
        <v>363</v>
      </c>
      <c r="D835" s="10" t="s">
        <v>364</v>
      </c>
      <c r="E835" s="11" t="str">
        <f>+HYPERLINK("http://trademark.i-assist.jp/data/china/image_1902th/78952644.pdf", "78952644")</f>
        <v>78952644</v>
      </c>
      <c r="F835" s="10" t="s">
        <v>2696</v>
      </c>
      <c r="G835" s="10" t="s">
        <v>2697</v>
      </c>
      <c r="H835" s="10" t="s">
        <v>2698</v>
      </c>
      <c r="I835" s="10" t="s">
        <v>213</v>
      </c>
    </row>
    <row r="836" spans="1:9" x14ac:dyDescent="0.15">
      <c r="A836" s="9">
        <v>835</v>
      </c>
      <c r="B836" s="10" t="s">
        <v>9</v>
      </c>
      <c r="C836" s="10" t="s">
        <v>363</v>
      </c>
      <c r="D836" s="10" t="s">
        <v>364</v>
      </c>
      <c r="E836" s="11" t="str">
        <f>+HYPERLINK("http://trademark.i-assist.jp/data/china/image_1902th/78952893.pdf", "78952893")</f>
        <v>78952893</v>
      </c>
      <c r="F836" s="10" t="s">
        <v>2699</v>
      </c>
      <c r="G836" s="10" t="s">
        <v>2700</v>
      </c>
      <c r="H836" s="10" t="s">
        <v>2701</v>
      </c>
      <c r="I836" s="10" t="s">
        <v>213</v>
      </c>
    </row>
    <row r="837" spans="1:9" x14ac:dyDescent="0.15">
      <c r="A837" s="9">
        <v>836</v>
      </c>
      <c r="B837" s="10" t="s">
        <v>9</v>
      </c>
      <c r="C837" s="10" t="s">
        <v>363</v>
      </c>
      <c r="D837" s="10" t="s">
        <v>364</v>
      </c>
      <c r="E837" s="11" t="str">
        <f>+HYPERLINK("http://trademark.i-assist.jp/data/china/image_1902th/78952984.pdf", "78952984")</f>
        <v>78952984</v>
      </c>
      <c r="F837" s="10" t="s">
        <v>2702</v>
      </c>
      <c r="G837" s="10" t="s">
        <v>2703</v>
      </c>
      <c r="H837" s="10" t="s">
        <v>2704</v>
      </c>
      <c r="I837" s="10" t="s">
        <v>213</v>
      </c>
    </row>
    <row r="838" spans="1:9" x14ac:dyDescent="0.15">
      <c r="A838" s="9">
        <v>837</v>
      </c>
      <c r="B838" s="10" t="s">
        <v>9</v>
      </c>
      <c r="C838" s="10" t="s">
        <v>363</v>
      </c>
      <c r="D838" s="10" t="s">
        <v>364</v>
      </c>
      <c r="E838" s="11" t="str">
        <f>+HYPERLINK("http://trademark.i-assist.jp/data/china/image_1902th/78953290.pdf", "78953290")</f>
        <v>78953290</v>
      </c>
      <c r="F838" s="10" t="s">
        <v>2705</v>
      </c>
      <c r="G838" s="10" t="s">
        <v>2706</v>
      </c>
      <c r="H838" s="10" t="s">
        <v>2707</v>
      </c>
      <c r="I838" s="10" t="s">
        <v>213</v>
      </c>
    </row>
    <row r="839" spans="1:9" x14ac:dyDescent="0.15">
      <c r="A839" s="9">
        <v>838</v>
      </c>
      <c r="B839" s="10" t="s">
        <v>9</v>
      </c>
      <c r="C839" s="10" t="s">
        <v>363</v>
      </c>
      <c r="D839" s="10" t="s">
        <v>364</v>
      </c>
      <c r="E839" s="11" t="str">
        <f>+HYPERLINK("http://trademark.i-assist.jp/data/china/image_1902th/78954046.pdf", "78954046")</f>
        <v>78954046</v>
      </c>
      <c r="F839" s="10" t="s">
        <v>2708</v>
      </c>
      <c r="G839" s="10" t="s">
        <v>2709</v>
      </c>
      <c r="H839" s="10" t="s">
        <v>2710</v>
      </c>
      <c r="I839" s="10" t="s">
        <v>213</v>
      </c>
    </row>
    <row r="840" spans="1:9" x14ac:dyDescent="0.15">
      <c r="A840" s="9">
        <v>839</v>
      </c>
      <c r="B840" s="10" t="s">
        <v>9</v>
      </c>
      <c r="C840" s="10" t="s">
        <v>363</v>
      </c>
      <c r="D840" s="10" t="s">
        <v>364</v>
      </c>
      <c r="E840" s="11" t="str">
        <f>+HYPERLINK("http://trademark.i-assist.jp/data/china/image_1902th/78954053.pdf", "78954053")</f>
        <v>78954053</v>
      </c>
      <c r="F840" s="10" t="s">
        <v>2711</v>
      </c>
      <c r="G840" s="10" t="s">
        <v>2712</v>
      </c>
      <c r="H840" s="10" t="s">
        <v>2713</v>
      </c>
      <c r="I840" s="10" t="s">
        <v>213</v>
      </c>
    </row>
    <row r="841" spans="1:9" x14ac:dyDescent="0.15">
      <c r="A841" s="9">
        <v>840</v>
      </c>
      <c r="B841" s="10" t="s">
        <v>9</v>
      </c>
      <c r="C841" s="10" t="s">
        <v>363</v>
      </c>
      <c r="D841" s="10" t="s">
        <v>364</v>
      </c>
      <c r="E841" s="11" t="str">
        <f>+HYPERLINK("http://trademark.i-assist.jp/data/china/image_1902th/78954240.pdf", "78954240")</f>
        <v>78954240</v>
      </c>
      <c r="F841" s="10" t="s">
        <v>2714</v>
      </c>
      <c r="G841" s="10" t="s">
        <v>2715</v>
      </c>
      <c r="H841" s="10" t="s">
        <v>2716</v>
      </c>
      <c r="I841" s="10" t="s">
        <v>213</v>
      </c>
    </row>
    <row r="842" spans="1:9" x14ac:dyDescent="0.15">
      <c r="A842" s="9">
        <v>841</v>
      </c>
      <c r="B842" s="10" t="s">
        <v>9</v>
      </c>
      <c r="C842" s="10" t="s">
        <v>363</v>
      </c>
      <c r="D842" s="10" t="s">
        <v>364</v>
      </c>
      <c r="E842" s="11" t="str">
        <f>+HYPERLINK("http://trademark.i-assist.jp/data/china/image_1902th/78954460.pdf", "78954460")</f>
        <v>78954460</v>
      </c>
      <c r="F842" s="10" t="s">
        <v>2717</v>
      </c>
      <c r="G842" s="10" t="s">
        <v>2636</v>
      </c>
      <c r="H842" s="10" t="s">
        <v>2718</v>
      </c>
      <c r="I842" s="10" t="s">
        <v>213</v>
      </c>
    </row>
    <row r="843" spans="1:9" x14ac:dyDescent="0.15">
      <c r="A843" s="9">
        <v>842</v>
      </c>
      <c r="B843" s="10" t="s">
        <v>9</v>
      </c>
      <c r="C843" s="10" t="s">
        <v>363</v>
      </c>
      <c r="D843" s="10" t="s">
        <v>364</v>
      </c>
      <c r="E843" s="11" t="str">
        <f>+HYPERLINK("http://trademark.i-assist.jp/data/china/image_1902th/78954905.pdf", "78954905")</f>
        <v>78954905</v>
      </c>
      <c r="F843" s="10" t="s">
        <v>2719</v>
      </c>
      <c r="G843" s="10" t="s">
        <v>2720</v>
      </c>
      <c r="H843" s="10" t="s">
        <v>2721</v>
      </c>
      <c r="I843" s="10" t="s">
        <v>213</v>
      </c>
    </row>
    <row r="844" spans="1:9" x14ac:dyDescent="0.15">
      <c r="A844" s="9">
        <v>843</v>
      </c>
      <c r="B844" s="10" t="s">
        <v>9</v>
      </c>
      <c r="C844" s="10" t="s">
        <v>363</v>
      </c>
      <c r="D844" s="10" t="s">
        <v>364</v>
      </c>
      <c r="E844" s="11" t="str">
        <f>+HYPERLINK("http://trademark.i-assist.jp/data/china/image_1902th/78954927.pdf", "78954927")</f>
        <v>78954927</v>
      </c>
      <c r="F844" s="10" t="s">
        <v>2722</v>
      </c>
      <c r="G844" s="10" t="s">
        <v>2723</v>
      </c>
      <c r="H844" s="10" t="s">
        <v>2724</v>
      </c>
      <c r="I844" s="10" t="s">
        <v>213</v>
      </c>
    </row>
    <row r="845" spans="1:9" x14ac:dyDescent="0.15">
      <c r="A845" s="9">
        <v>844</v>
      </c>
      <c r="B845" s="10" t="s">
        <v>9</v>
      </c>
      <c r="C845" s="10" t="s">
        <v>363</v>
      </c>
      <c r="D845" s="10" t="s">
        <v>364</v>
      </c>
      <c r="E845" s="11" t="str">
        <f>+HYPERLINK("http://trademark.i-assist.jp/data/china/image_1902th/78955140.pdf", "78955140")</f>
        <v>78955140</v>
      </c>
      <c r="F845" s="10" t="s">
        <v>2725</v>
      </c>
      <c r="G845" s="10" t="s">
        <v>214</v>
      </c>
      <c r="H845" s="10" t="s">
        <v>2726</v>
      </c>
      <c r="I845" s="10" t="s">
        <v>213</v>
      </c>
    </row>
    <row r="846" spans="1:9" x14ac:dyDescent="0.15">
      <c r="A846" s="9">
        <v>845</v>
      </c>
      <c r="B846" s="10" t="s">
        <v>9</v>
      </c>
      <c r="C846" s="10" t="s">
        <v>363</v>
      </c>
      <c r="D846" s="10" t="s">
        <v>364</v>
      </c>
      <c r="E846" s="11" t="str">
        <f>+HYPERLINK("http://trademark.i-assist.jp/data/china/image_1902th/78955211.pdf", "78955211")</f>
        <v>78955211</v>
      </c>
      <c r="F846" s="10" t="s">
        <v>2727</v>
      </c>
      <c r="G846" s="10" t="s">
        <v>2728</v>
      </c>
      <c r="H846" s="10" t="s">
        <v>2729</v>
      </c>
      <c r="I846" s="10" t="s">
        <v>213</v>
      </c>
    </row>
    <row r="847" spans="1:9" x14ac:dyDescent="0.15">
      <c r="A847" s="9">
        <v>846</v>
      </c>
      <c r="B847" s="10" t="s">
        <v>9</v>
      </c>
      <c r="C847" s="10" t="s">
        <v>363</v>
      </c>
      <c r="D847" s="10" t="s">
        <v>364</v>
      </c>
      <c r="E847" s="11" t="str">
        <f>+HYPERLINK("http://trademark.i-assist.jp/data/china/image_1902th/78955302.pdf", "78955302")</f>
        <v>78955302</v>
      </c>
      <c r="F847" s="10" t="s">
        <v>2730</v>
      </c>
      <c r="G847" s="10" t="s">
        <v>215</v>
      </c>
      <c r="H847" s="10" t="s">
        <v>2731</v>
      </c>
      <c r="I847" s="10" t="s">
        <v>213</v>
      </c>
    </row>
    <row r="848" spans="1:9" x14ac:dyDescent="0.15">
      <c r="A848" s="9">
        <v>847</v>
      </c>
      <c r="B848" s="10" t="s">
        <v>9</v>
      </c>
      <c r="C848" s="10" t="s">
        <v>363</v>
      </c>
      <c r="D848" s="10" t="s">
        <v>364</v>
      </c>
      <c r="E848" s="11" t="str">
        <f>+HYPERLINK("http://trademark.i-assist.jp/data/china/image_1902th/78956004.pdf", "78956004")</f>
        <v>78956004</v>
      </c>
      <c r="F848" s="10" t="s">
        <v>2732</v>
      </c>
      <c r="G848" s="10" t="s">
        <v>2733</v>
      </c>
      <c r="H848" s="10" t="s">
        <v>2734</v>
      </c>
      <c r="I848" s="10" t="s">
        <v>213</v>
      </c>
    </row>
    <row r="849" spans="1:9" x14ac:dyDescent="0.15">
      <c r="A849" s="9">
        <v>848</v>
      </c>
      <c r="B849" s="10" t="s">
        <v>9</v>
      </c>
      <c r="C849" s="10" t="s">
        <v>363</v>
      </c>
      <c r="D849" s="10" t="s">
        <v>364</v>
      </c>
      <c r="E849" s="11" t="str">
        <f>+HYPERLINK("http://trademark.i-assist.jp/data/china/image_1902th/78956516.pdf", "78956516")</f>
        <v>78956516</v>
      </c>
      <c r="F849" s="10" t="s">
        <v>2735</v>
      </c>
      <c r="G849" s="10" t="s">
        <v>2736</v>
      </c>
      <c r="H849" s="10" t="s">
        <v>2737</v>
      </c>
      <c r="I849" s="10" t="s">
        <v>213</v>
      </c>
    </row>
    <row r="850" spans="1:9" x14ac:dyDescent="0.15">
      <c r="A850" s="9">
        <v>849</v>
      </c>
      <c r="B850" s="10" t="s">
        <v>9</v>
      </c>
      <c r="C850" s="10" t="s">
        <v>363</v>
      </c>
      <c r="D850" s="10" t="s">
        <v>364</v>
      </c>
      <c r="E850" s="11" t="str">
        <f>+HYPERLINK("http://trademark.i-assist.jp/data/china/image_1902th/78956600.pdf", "78956600")</f>
        <v>78956600</v>
      </c>
      <c r="F850" s="10" t="s">
        <v>2738</v>
      </c>
      <c r="G850" s="10" t="s">
        <v>2680</v>
      </c>
      <c r="H850" s="10" t="s">
        <v>2739</v>
      </c>
      <c r="I850" s="10" t="s">
        <v>213</v>
      </c>
    </row>
    <row r="851" spans="1:9" x14ac:dyDescent="0.15">
      <c r="A851" s="9">
        <v>850</v>
      </c>
      <c r="B851" s="10" t="s">
        <v>9</v>
      </c>
      <c r="C851" s="10" t="s">
        <v>363</v>
      </c>
      <c r="D851" s="10" t="s">
        <v>364</v>
      </c>
      <c r="E851" s="11" t="str">
        <f>+HYPERLINK("http://trademark.i-assist.jp/data/china/image_1902th/78957126.pdf", "78957126")</f>
        <v>78957126</v>
      </c>
      <c r="F851" s="10" t="s">
        <v>2740</v>
      </c>
      <c r="G851" s="10" t="s">
        <v>2741</v>
      </c>
      <c r="H851" s="10" t="s">
        <v>2742</v>
      </c>
      <c r="I851" s="10" t="s">
        <v>213</v>
      </c>
    </row>
    <row r="852" spans="1:9" x14ac:dyDescent="0.15">
      <c r="A852" s="9">
        <v>851</v>
      </c>
      <c r="B852" s="10" t="s">
        <v>9</v>
      </c>
      <c r="C852" s="10" t="s">
        <v>363</v>
      </c>
      <c r="D852" s="10" t="s">
        <v>364</v>
      </c>
      <c r="E852" s="11" t="str">
        <f>+HYPERLINK("http://trademark.i-assist.jp/data/china/image_1902th/78957413.pdf", "78957413")</f>
        <v>78957413</v>
      </c>
      <c r="F852" s="10" t="s">
        <v>2743</v>
      </c>
      <c r="G852" s="10" t="s">
        <v>2744</v>
      </c>
      <c r="H852" s="10" t="s">
        <v>2745</v>
      </c>
      <c r="I852" s="10" t="s">
        <v>213</v>
      </c>
    </row>
    <row r="853" spans="1:9" x14ac:dyDescent="0.15">
      <c r="A853" s="9">
        <v>852</v>
      </c>
      <c r="B853" s="10" t="s">
        <v>9</v>
      </c>
      <c r="C853" s="10" t="s">
        <v>363</v>
      </c>
      <c r="D853" s="10" t="s">
        <v>364</v>
      </c>
      <c r="E853" s="11" t="str">
        <f>+HYPERLINK("http://trademark.i-assist.jp/data/china/image_1902th/78957419.pdf", "78957419")</f>
        <v>78957419</v>
      </c>
      <c r="F853" s="10" t="s">
        <v>2746</v>
      </c>
      <c r="G853" s="10" t="s">
        <v>2744</v>
      </c>
      <c r="H853" s="10" t="s">
        <v>2747</v>
      </c>
      <c r="I853" s="10" t="s">
        <v>213</v>
      </c>
    </row>
    <row r="854" spans="1:9" x14ac:dyDescent="0.15">
      <c r="A854" s="9">
        <v>853</v>
      </c>
      <c r="B854" s="10" t="s">
        <v>9</v>
      </c>
      <c r="C854" s="10" t="s">
        <v>363</v>
      </c>
      <c r="D854" s="10" t="s">
        <v>364</v>
      </c>
      <c r="E854" s="11" t="str">
        <f>+HYPERLINK("http://trademark.i-assist.jp/data/china/image_1902th/78957797.pdf", "78957797")</f>
        <v>78957797</v>
      </c>
      <c r="F854" s="10" t="s">
        <v>2748</v>
      </c>
      <c r="G854" s="10" t="s">
        <v>2749</v>
      </c>
      <c r="H854" s="10" t="s">
        <v>2750</v>
      </c>
      <c r="I854" s="10" t="s">
        <v>213</v>
      </c>
    </row>
    <row r="855" spans="1:9" x14ac:dyDescent="0.15">
      <c r="A855" s="9">
        <v>854</v>
      </c>
      <c r="B855" s="10" t="s">
        <v>9</v>
      </c>
      <c r="C855" s="10" t="s">
        <v>363</v>
      </c>
      <c r="D855" s="10" t="s">
        <v>364</v>
      </c>
      <c r="E855" s="11" t="str">
        <f>+HYPERLINK("http://trademark.i-assist.jp/data/china/image_1902th/78958107.pdf", "78958107")</f>
        <v>78958107</v>
      </c>
      <c r="F855" s="10" t="s">
        <v>2751</v>
      </c>
      <c r="G855" s="10" t="s">
        <v>2752</v>
      </c>
      <c r="H855" s="10" t="s">
        <v>2753</v>
      </c>
      <c r="I855" s="10" t="s">
        <v>213</v>
      </c>
    </row>
    <row r="856" spans="1:9" x14ac:dyDescent="0.15">
      <c r="A856" s="9">
        <v>855</v>
      </c>
      <c r="B856" s="10" t="s">
        <v>9</v>
      </c>
      <c r="C856" s="10" t="s">
        <v>363</v>
      </c>
      <c r="D856" s="10" t="s">
        <v>364</v>
      </c>
      <c r="E856" s="11" t="str">
        <f>+HYPERLINK("http://trademark.i-assist.jp/data/china/image_1902th/78958611.pdf", "78958611")</f>
        <v>78958611</v>
      </c>
      <c r="F856" s="10" t="s">
        <v>2754</v>
      </c>
      <c r="G856" s="10" t="s">
        <v>2755</v>
      </c>
      <c r="H856" s="10" t="s">
        <v>2756</v>
      </c>
      <c r="I856" s="10" t="s">
        <v>213</v>
      </c>
    </row>
    <row r="857" spans="1:9" x14ac:dyDescent="0.15">
      <c r="A857" s="9">
        <v>856</v>
      </c>
      <c r="B857" s="10" t="s">
        <v>9</v>
      </c>
      <c r="C857" s="10" t="s">
        <v>363</v>
      </c>
      <c r="D857" s="10" t="s">
        <v>364</v>
      </c>
      <c r="E857" s="11" t="str">
        <f>+HYPERLINK("http://trademark.i-assist.jp/data/china/image_1902th/78959621.pdf", "78959621")</f>
        <v>78959621</v>
      </c>
      <c r="F857" s="10" t="s">
        <v>2757</v>
      </c>
      <c r="G857" s="10" t="s">
        <v>2757</v>
      </c>
      <c r="H857" s="10" t="s">
        <v>2758</v>
      </c>
      <c r="I857" s="10" t="s">
        <v>213</v>
      </c>
    </row>
    <row r="858" spans="1:9" x14ac:dyDescent="0.15">
      <c r="A858" s="9">
        <v>857</v>
      </c>
      <c r="B858" s="10" t="s">
        <v>9</v>
      </c>
      <c r="C858" s="10" t="s">
        <v>363</v>
      </c>
      <c r="D858" s="10" t="s">
        <v>364</v>
      </c>
      <c r="E858" s="11" t="str">
        <f>+HYPERLINK("http://trademark.i-assist.jp/data/china/image_1902th/78960077.pdf", "78960077")</f>
        <v>78960077</v>
      </c>
      <c r="F858" s="10" t="s">
        <v>12</v>
      </c>
      <c r="G858" s="10" t="s">
        <v>2759</v>
      </c>
      <c r="H858" s="10" t="s">
        <v>2760</v>
      </c>
      <c r="I858" s="10" t="s">
        <v>213</v>
      </c>
    </row>
    <row r="859" spans="1:9" x14ac:dyDescent="0.15">
      <c r="A859" s="9">
        <v>858</v>
      </c>
      <c r="B859" s="10" t="s">
        <v>9</v>
      </c>
      <c r="C859" s="10" t="s">
        <v>363</v>
      </c>
      <c r="D859" s="10" t="s">
        <v>364</v>
      </c>
      <c r="E859" s="11" t="str">
        <f>+HYPERLINK("http://trademark.i-assist.jp/data/china/image_1902th/78960142.pdf", "78960142")</f>
        <v>78960142</v>
      </c>
      <c r="F859" s="10" t="s">
        <v>12</v>
      </c>
      <c r="G859" s="10" t="s">
        <v>2761</v>
      </c>
      <c r="H859" s="10" t="s">
        <v>2762</v>
      </c>
      <c r="I859" s="10" t="s">
        <v>213</v>
      </c>
    </row>
    <row r="860" spans="1:9" x14ac:dyDescent="0.15">
      <c r="A860" s="9">
        <v>859</v>
      </c>
      <c r="B860" s="10" t="s">
        <v>9</v>
      </c>
      <c r="C860" s="10" t="s">
        <v>363</v>
      </c>
      <c r="D860" s="10" t="s">
        <v>364</v>
      </c>
      <c r="E860" s="11" t="str">
        <f>+HYPERLINK("http://trademark.i-assist.jp/data/china/image_1902th/78960226.pdf", "78960226")</f>
        <v>78960226</v>
      </c>
      <c r="F860" s="10" t="s">
        <v>2763</v>
      </c>
      <c r="G860" s="10" t="s">
        <v>2764</v>
      </c>
      <c r="H860" s="10" t="s">
        <v>2765</v>
      </c>
      <c r="I860" s="10" t="s">
        <v>213</v>
      </c>
    </row>
    <row r="861" spans="1:9" x14ac:dyDescent="0.15">
      <c r="A861" s="9">
        <v>860</v>
      </c>
      <c r="B861" s="10" t="s">
        <v>9</v>
      </c>
      <c r="C861" s="10" t="s">
        <v>363</v>
      </c>
      <c r="D861" s="10" t="s">
        <v>364</v>
      </c>
      <c r="E861" s="11" t="str">
        <f>+HYPERLINK("http://trademark.i-assist.jp/data/china/image_1902th/78960282.pdf", "78960282")</f>
        <v>78960282</v>
      </c>
      <c r="F861" s="10" t="s">
        <v>2766</v>
      </c>
      <c r="G861" s="10" t="s">
        <v>2767</v>
      </c>
      <c r="H861" s="10" t="s">
        <v>2768</v>
      </c>
      <c r="I861" s="10" t="s">
        <v>213</v>
      </c>
    </row>
    <row r="862" spans="1:9" x14ac:dyDescent="0.15">
      <c r="A862" s="9">
        <v>861</v>
      </c>
      <c r="B862" s="10" t="s">
        <v>9</v>
      </c>
      <c r="C862" s="10" t="s">
        <v>363</v>
      </c>
      <c r="D862" s="10" t="s">
        <v>364</v>
      </c>
      <c r="E862" s="11" t="str">
        <f>+HYPERLINK("http://trademark.i-assist.jp/data/china/image_1902th/78960476.pdf", "78960476")</f>
        <v>78960476</v>
      </c>
      <c r="F862" s="10" t="s">
        <v>2769</v>
      </c>
      <c r="G862" s="10" t="s">
        <v>2770</v>
      </c>
      <c r="H862" s="10" t="s">
        <v>2771</v>
      </c>
      <c r="I862" s="10" t="s">
        <v>213</v>
      </c>
    </row>
    <row r="863" spans="1:9" x14ac:dyDescent="0.15">
      <c r="A863" s="9">
        <v>862</v>
      </c>
      <c r="B863" s="10" t="s">
        <v>9</v>
      </c>
      <c r="C863" s="10" t="s">
        <v>363</v>
      </c>
      <c r="D863" s="10" t="s">
        <v>364</v>
      </c>
      <c r="E863" s="11" t="str">
        <f>+HYPERLINK("http://trademark.i-assist.jp/data/china/image_1902th/78960800.pdf", "78960800")</f>
        <v>78960800</v>
      </c>
      <c r="F863" s="10" t="s">
        <v>2772</v>
      </c>
      <c r="G863" s="10" t="s">
        <v>2773</v>
      </c>
      <c r="H863" s="10" t="s">
        <v>2774</v>
      </c>
      <c r="I863" s="10" t="s">
        <v>213</v>
      </c>
    </row>
    <row r="864" spans="1:9" x14ac:dyDescent="0.15">
      <c r="A864" s="9">
        <v>863</v>
      </c>
      <c r="B864" s="10" t="s">
        <v>9</v>
      </c>
      <c r="C864" s="10" t="s">
        <v>363</v>
      </c>
      <c r="D864" s="10" t="s">
        <v>364</v>
      </c>
      <c r="E864" s="11" t="str">
        <f>+HYPERLINK("http://trademark.i-assist.jp/data/china/image_1902th/78961068.pdf", "78961068")</f>
        <v>78961068</v>
      </c>
      <c r="F864" s="10" t="s">
        <v>2775</v>
      </c>
      <c r="G864" s="10" t="s">
        <v>2776</v>
      </c>
      <c r="H864" s="10" t="s">
        <v>2777</v>
      </c>
      <c r="I864" s="10" t="s">
        <v>213</v>
      </c>
    </row>
    <row r="865" spans="1:9" x14ac:dyDescent="0.15">
      <c r="A865" s="9">
        <v>864</v>
      </c>
      <c r="B865" s="10" t="s">
        <v>9</v>
      </c>
      <c r="C865" s="10" t="s">
        <v>363</v>
      </c>
      <c r="D865" s="10" t="s">
        <v>364</v>
      </c>
      <c r="E865" s="11" t="str">
        <f>+HYPERLINK("http://trademark.i-assist.jp/data/china/image_1902th/78961170.pdf", "78961170")</f>
        <v>78961170</v>
      </c>
      <c r="F865" s="10" t="s">
        <v>2778</v>
      </c>
      <c r="G865" s="10" t="s">
        <v>2680</v>
      </c>
      <c r="H865" s="10" t="s">
        <v>2779</v>
      </c>
      <c r="I865" s="10" t="s">
        <v>213</v>
      </c>
    </row>
    <row r="866" spans="1:9" x14ac:dyDescent="0.15">
      <c r="A866" s="9">
        <v>865</v>
      </c>
      <c r="B866" s="10" t="s">
        <v>9</v>
      </c>
      <c r="C866" s="10" t="s">
        <v>363</v>
      </c>
      <c r="D866" s="10" t="s">
        <v>364</v>
      </c>
      <c r="E866" s="11" t="str">
        <f>+HYPERLINK("http://trademark.i-assist.jp/data/china/image_1902th/78961302.pdf", "78961302")</f>
        <v>78961302</v>
      </c>
      <c r="F866" s="10" t="s">
        <v>2780</v>
      </c>
      <c r="G866" s="10" t="s">
        <v>2665</v>
      </c>
      <c r="H866" s="10" t="s">
        <v>2781</v>
      </c>
      <c r="I866" s="10" t="s">
        <v>213</v>
      </c>
    </row>
    <row r="867" spans="1:9" x14ac:dyDescent="0.15">
      <c r="A867" s="9">
        <v>866</v>
      </c>
      <c r="B867" s="10" t="s">
        <v>9</v>
      </c>
      <c r="C867" s="10" t="s">
        <v>363</v>
      </c>
      <c r="D867" s="10" t="s">
        <v>364</v>
      </c>
      <c r="E867" s="11" t="str">
        <f>+HYPERLINK("http://trademark.i-assist.jp/data/china/image_1902th/78961409.pdf", "78961409")</f>
        <v>78961409</v>
      </c>
      <c r="F867" s="10" t="s">
        <v>2782</v>
      </c>
      <c r="G867" s="10" t="s">
        <v>75</v>
      </c>
      <c r="H867" s="10" t="s">
        <v>2783</v>
      </c>
      <c r="I867" s="10" t="s">
        <v>213</v>
      </c>
    </row>
    <row r="868" spans="1:9" x14ac:dyDescent="0.15">
      <c r="A868" s="9">
        <v>867</v>
      </c>
      <c r="B868" s="10" t="s">
        <v>9</v>
      </c>
      <c r="C868" s="10" t="s">
        <v>363</v>
      </c>
      <c r="D868" s="10" t="s">
        <v>364</v>
      </c>
      <c r="E868" s="11" t="str">
        <f>+HYPERLINK("http://trademark.i-assist.jp/data/china/image_1902th/78961443.pdf", "78961443")</f>
        <v>78961443</v>
      </c>
      <c r="F868" s="10" t="s">
        <v>2784</v>
      </c>
      <c r="G868" s="10" t="s">
        <v>2785</v>
      </c>
      <c r="H868" s="10" t="s">
        <v>2786</v>
      </c>
      <c r="I868" s="10" t="s">
        <v>213</v>
      </c>
    </row>
    <row r="869" spans="1:9" x14ac:dyDescent="0.15">
      <c r="A869" s="9">
        <v>868</v>
      </c>
      <c r="B869" s="10" t="s">
        <v>9</v>
      </c>
      <c r="C869" s="10" t="s">
        <v>363</v>
      </c>
      <c r="D869" s="10" t="s">
        <v>364</v>
      </c>
      <c r="E869" s="11" t="str">
        <f>+HYPERLINK("http://trademark.i-assist.jp/data/china/image_1902th/78961551.pdf", "78961551")</f>
        <v>78961551</v>
      </c>
      <c r="F869" s="10" t="s">
        <v>2787</v>
      </c>
      <c r="G869" s="10" t="s">
        <v>2788</v>
      </c>
      <c r="H869" s="10" t="s">
        <v>2789</v>
      </c>
      <c r="I869" s="10" t="s">
        <v>213</v>
      </c>
    </row>
    <row r="870" spans="1:9" x14ac:dyDescent="0.15">
      <c r="A870" s="9">
        <v>869</v>
      </c>
      <c r="B870" s="10" t="s">
        <v>9</v>
      </c>
      <c r="C870" s="10" t="s">
        <v>363</v>
      </c>
      <c r="D870" s="10" t="s">
        <v>364</v>
      </c>
      <c r="E870" s="11" t="str">
        <f>+HYPERLINK("http://trademark.i-assist.jp/data/china/image_1902th/78961715.pdf", "78961715")</f>
        <v>78961715</v>
      </c>
      <c r="F870" s="10" t="s">
        <v>2790</v>
      </c>
      <c r="G870" s="10" t="s">
        <v>126</v>
      </c>
      <c r="H870" s="10" t="s">
        <v>2791</v>
      </c>
      <c r="I870" s="10" t="s">
        <v>213</v>
      </c>
    </row>
    <row r="871" spans="1:9" x14ac:dyDescent="0.15">
      <c r="A871" s="9">
        <v>870</v>
      </c>
      <c r="B871" s="10" t="s">
        <v>9</v>
      </c>
      <c r="C871" s="10" t="s">
        <v>363</v>
      </c>
      <c r="D871" s="10" t="s">
        <v>364</v>
      </c>
      <c r="E871" s="11" t="str">
        <f>+HYPERLINK("http://trademark.i-assist.jp/data/china/image_1902th/78962124.pdf", "78962124")</f>
        <v>78962124</v>
      </c>
      <c r="F871" s="10" t="s">
        <v>12</v>
      </c>
      <c r="G871" s="10" t="s">
        <v>2792</v>
      </c>
      <c r="H871" s="10" t="s">
        <v>2793</v>
      </c>
      <c r="I871" s="10" t="s">
        <v>213</v>
      </c>
    </row>
    <row r="872" spans="1:9" x14ac:dyDescent="0.15">
      <c r="A872" s="9">
        <v>871</v>
      </c>
      <c r="B872" s="10" t="s">
        <v>9</v>
      </c>
      <c r="C872" s="10" t="s">
        <v>363</v>
      </c>
      <c r="D872" s="10" t="s">
        <v>364</v>
      </c>
      <c r="E872" s="11" t="str">
        <f>+HYPERLINK("http://trademark.i-assist.jp/data/china/image_1902th/78962370.pdf", "78962370")</f>
        <v>78962370</v>
      </c>
      <c r="F872" s="10" t="s">
        <v>2794</v>
      </c>
      <c r="G872" s="10" t="s">
        <v>2795</v>
      </c>
      <c r="H872" s="10" t="s">
        <v>2796</v>
      </c>
      <c r="I872" s="10" t="s">
        <v>213</v>
      </c>
    </row>
    <row r="873" spans="1:9" x14ac:dyDescent="0.15">
      <c r="A873" s="9">
        <v>872</v>
      </c>
      <c r="B873" s="10" t="s">
        <v>9</v>
      </c>
      <c r="C873" s="10" t="s">
        <v>363</v>
      </c>
      <c r="D873" s="10" t="s">
        <v>364</v>
      </c>
      <c r="E873" s="11" t="str">
        <f>+HYPERLINK("http://trademark.i-assist.jp/data/china/image_1902th/78962460.pdf", "78962460")</f>
        <v>78962460</v>
      </c>
      <c r="F873" s="10" t="s">
        <v>2797</v>
      </c>
      <c r="G873" s="10" t="s">
        <v>2798</v>
      </c>
      <c r="H873" s="10" t="s">
        <v>2799</v>
      </c>
      <c r="I873" s="10" t="s">
        <v>213</v>
      </c>
    </row>
    <row r="874" spans="1:9" x14ac:dyDescent="0.15">
      <c r="A874" s="9">
        <v>873</v>
      </c>
      <c r="B874" s="10" t="s">
        <v>9</v>
      </c>
      <c r="C874" s="10" t="s">
        <v>363</v>
      </c>
      <c r="D874" s="10" t="s">
        <v>364</v>
      </c>
      <c r="E874" s="11" t="str">
        <f>+HYPERLINK("http://trademark.i-assist.jp/data/china/image_1902th/78962553.pdf", "78962553")</f>
        <v>78962553</v>
      </c>
      <c r="F874" s="10" t="s">
        <v>2800</v>
      </c>
      <c r="G874" s="10" t="s">
        <v>2801</v>
      </c>
      <c r="H874" s="10" t="s">
        <v>2802</v>
      </c>
      <c r="I874" s="10" t="s">
        <v>213</v>
      </c>
    </row>
    <row r="875" spans="1:9" x14ac:dyDescent="0.15">
      <c r="A875" s="9">
        <v>874</v>
      </c>
      <c r="B875" s="10" t="s">
        <v>9</v>
      </c>
      <c r="C875" s="10" t="s">
        <v>363</v>
      </c>
      <c r="D875" s="10" t="s">
        <v>364</v>
      </c>
      <c r="E875" s="11" t="str">
        <f>+HYPERLINK("http://trademark.i-assist.jp/data/china/image_1902th/78963148.pdf", "78963148")</f>
        <v>78963148</v>
      </c>
      <c r="F875" s="10" t="s">
        <v>2803</v>
      </c>
      <c r="G875" s="10" t="s">
        <v>2656</v>
      </c>
      <c r="H875" s="10" t="s">
        <v>2804</v>
      </c>
      <c r="I875" s="10" t="s">
        <v>213</v>
      </c>
    </row>
    <row r="876" spans="1:9" x14ac:dyDescent="0.15">
      <c r="A876" s="9">
        <v>875</v>
      </c>
      <c r="B876" s="10" t="s">
        <v>9</v>
      </c>
      <c r="C876" s="10" t="s">
        <v>363</v>
      </c>
      <c r="D876" s="10" t="s">
        <v>364</v>
      </c>
      <c r="E876" s="11" t="str">
        <f>+HYPERLINK("http://trademark.i-assist.jp/data/china/image_1902th/78963246.pdf", "78963246")</f>
        <v>78963246</v>
      </c>
      <c r="F876" s="10" t="s">
        <v>2805</v>
      </c>
      <c r="G876" s="10" t="s">
        <v>2806</v>
      </c>
      <c r="H876" s="10" t="s">
        <v>2807</v>
      </c>
      <c r="I876" s="10" t="s">
        <v>213</v>
      </c>
    </row>
    <row r="877" spans="1:9" x14ac:dyDescent="0.15">
      <c r="A877" s="9">
        <v>876</v>
      </c>
      <c r="B877" s="10" t="s">
        <v>9</v>
      </c>
      <c r="C877" s="10" t="s">
        <v>363</v>
      </c>
      <c r="D877" s="10" t="s">
        <v>364</v>
      </c>
      <c r="E877" s="11" t="str">
        <f>+HYPERLINK("http://trademark.i-assist.jp/data/china/image_1902th/78963274.pdf", "78963274")</f>
        <v>78963274</v>
      </c>
      <c r="F877" s="10" t="s">
        <v>2808</v>
      </c>
      <c r="G877" s="10" t="s">
        <v>2809</v>
      </c>
      <c r="H877" s="10" t="s">
        <v>2810</v>
      </c>
      <c r="I877" s="10" t="s">
        <v>213</v>
      </c>
    </row>
    <row r="878" spans="1:9" x14ac:dyDescent="0.15">
      <c r="A878" s="9">
        <v>877</v>
      </c>
      <c r="B878" s="10" t="s">
        <v>9</v>
      </c>
      <c r="C878" s="10" t="s">
        <v>363</v>
      </c>
      <c r="D878" s="10" t="s">
        <v>364</v>
      </c>
      <c r="E878" s="11" t="str">
        <f>+HYPERLINK("http://trademark.i-assist.jp/data/china/image_1902th/78963742.pdf", "78963742")</f>
        <v>78963742</v>
      </c>
      <c r="F878" s="10" t="s">
        <v>2811</v>
      </c>
      <c r="G878" s="10" t="s">
        <v>2812</v>
      </c>
      <c r="H878" s="10" t="s">
        <v>2813</v>
      </c>
      <c r="I878" s="10" t="s">
        <v>213</v>
      </c>
    </row>
    <row r="879" spans="1:9" x14ac:dyDescent="0.15">
      <c r="A879" s="9">
        <v>878</v>
      </c>
      <c r="B879" s="10" t="s">
        <v>9</v>
      </c>
      <c r="C879" s="10" t="s">
        <v>363</v>
      </c>
      <c r="D879" s="10" t="s">
        <v>364</v>
      </c>
      <c r="E879" s="11" t="str">
        <f>+HYPERLINK("http://trademark.i-assist.jp/data/china/image_1902th/78963747.pdf", "78963747")</f>
        <v>78963747</v>
      </c>
      <c r="F879" s="10" t="s">
        <v>2814</v>
      </c>
      <c r="G879" s="10" t="s">
        <v>2815</v>
      </c>
      <c r="H879" s="10" t="s">
        <v>2816</v>
      </c>
      <c r="I879" s="10" t="s">
        <v>213</v>
      </c>
    </row>
    <row r="880" spans="1:9" x14ac:dyDescent="0.15">
      <c r="A880" s="9">
        <v>879</v>
      </c>
      <c r="B880" s="10" t="s">
        <v>9</v>
      </c>
      <c r="C880" s="10" t="s">
        <v>363</v>
      </c>
      <c r="D880" s="10" t="s">
        <v>364</v>
      </c>
      <c r="E880" s="11" t="str">
        <f>+HYPERLINK("http://trademark.i-assist.jp/data/china/image_1902th/78964046.pdf", "78964046")</f>
        <v>78964046</v>
      </c>
      <c r="F880" s="10" t="s">
        <v>2817</v>
      </c>
      <c r="G880" s="10" t="s">
        <v>2650</v>
      </c>
      <c r="H880" s="10" t="s">
        <v>2818</v>
      </c>
      <c r="I880" s="10" t="s">
        <v>213</v>
      </c>
    </row>
    <row r="881" spans="1:9" x14ac:dyDescent="0.15">
      <c r="A881" s="9">
        <v>880</v>
      </c>
      <c r="B881" s="10" t="s">
        <v>9</v>
      </c>
      <c r="C881" s="10" t="s">
        <v>363</v>
      </c>
      <c r="D881" s="10" t="s">
        <v>364</v>
      </c>
      <c r="E881" s="11" t="str">
        <f>+HYPERLINK("http://trademark.i-assist.jp/data/china/image_1902th/78964108.pdf", "78964108")</f>
        <v>78964108</v>
      </c>
      <c r="F881" s="10" t="s">
        <v>2819</v>
      </c>
      <c r="G881" s="10" t="s">
        <v>2668</v>
      </c>
      <c r="H881" s="10" t="s">
        <v>2820</v>
      </c>
      <c r="I881" s="10" t="s">
        <v>213</v>
      </c>
    </row>
    <row r="882" spans="1:9" x14ac:dyDescent="0.15">
      <c r="A882" s="9">
        <v>881</v>
      </c>
      <c r="B882" s="10" t="s">
        <v>9</v>
      </c>
      <c r="C882" s="10" t="s">
        <v>363</v>
      </c>
      <c r="D882" s="10" t="s">
        <v>364</v>
      </c>
      <c r="E882" s="11" t="str">
        <f>+HYPERLINK("http://trademark.i-assist.jp/data/china/image_1902th/78964154.pdf", "78964154")</f>
        <v>78964154</v>
      </c>
      <c r="F882" s="10" t="s">
        <v>12</v>
      </c>
      <c r="G882" s="10" t="s">
        <v>2821</v>
      </c>
      <c r="H882" s="10" t="s">
        <v>2822</v>
      </c>
      <c r="I882" s="10" t="s">
        <v>213</v>
      </c>
    </row>
    <row r="883" spans="1:9" x14ac:dyDescent="0.15">
      <c r="A883" s="9">
        <v>882</v>
      </c>
      <c r="B883" s="10" t="s">
        <v>9</v>
      </c>
      <c r="C883" s="10" t="s">
        <v>363</v>
      </c>
      <c r="D883" s="10" t="s">
        <v>364</v>
      </c>
      <c r="E883" s="11" t="str">
        <f>+HYPERLINK("http://trademark.i-assist.jp/data/china/image_1902th/78964333.pdf", "78964333")</f>
        <v>78964333</v>
      </c>
      <c r="F883" s="10" t="s">
        <v>2823</v>
      </c>
      <c r="G883" s="10" t="s">
        <v>2824</v>
      </c>
      <c r="H883" s="10" t="s">
        <v>2825</v>
      </c>
      <c r="I883" s="10" t="s">
        <v>213</v>
      </c>
    </row>
    <row r="884" spans="1:9" x14ac:dyDescent="0.15">
      <c r="A884" s="9">
        <v>883</v>
      </c>
      <c r="B884" s="10" t="s">
        <v>9</v>
      </c>
      <c r="C884" s="10" t="s">
        <v>363</v>
      </c>
      <c r="D884" s="10" t="s">
        <v>364</v>
      </c>
      <c r="E884" s="11" t="str">
        <f>+HYPERLINK("http://trademark.i-assist.jp/data/china/image_1902th/78964714.pdf", "78964714")</f>
        <v>78964714</v>
      </c>
      <c r="F884" s="10" t="s">
        <v>2826</v>
      </c>
      <c r="G884" s="10" t="s">
        <v>2827</v>
      </c>
      <c r="H884" s="10" t="s">
        <v>2828</v>
      </c>
      <c r="I884" s="10" t="s">
        <v>213</v>
      </c>
    </row>
    <row r="885" spans="1:9" x14ac:dyDescent="0.15">
      <c r="A885" s="9">
        <v>884</v>
      </c>
      <c r="B885" s="10" t="s">
        <v>9</v>
      </c>
      <c r="C885" s="10" t="s">
        <v>363</v>
      </c>
      <c r="D885" s="10" t="s">
        <v>364</v>
      </c>
      <c r="E885" s="11" t="str">
        <f>+HYPERLINK("http://trademark.i-assist.jp/data/china/image_1902th/78965067.pdf", "78965067")</f>
        <v>78965067</v>
      </c>
      <c r="F885" s="10" t="s">
        <v>12</v>
      </c>
      <c r="G885" s="10" t="s">
        <v>2829</v>
      </c>
      <c r="H885" s="10" t="s">
        <v>2830</v>
      </c>
      <c r="I885" s="10" t="s">
        <v>213</v>
      </c>
    </row>
    <row r="886" spans="1:9" x14ac:dyDescent="0.15">
      <c r="A886" s="9">
        <v>885</v>
      </c>
      <c r="B886" s="10" t="s">
        <v>9</v>
      </c>
      <c r="C886" s="10" t="s">
        <v>363</v>
      </c>
      <c r="D886" s="10" t="s">
        <v>364</v>
      </c>
      <c r="E886" s="11" t="str">
        <f>+HYPERLINK("http://trademark.i-assist.jp/data/china/image_1902th/78965186.pdf", "78965186")</f>
        <v>78965186</v>
      </c>
      <c r="F886" s="10" t="s">
        <v>2831</v>
      </c>
      <c r="G886" s="10" t="s">
        <v>2680</v>
      </c>
      <c r="H886" s="10" t="s">
        <v>2832</v>
      </c>
      <c r="I886" s="10" t="s">
        <v>213</v>
      </c>
    </row>
    <row r="887" spans="1:9" x14ac:dyDescent="0.15">
      <c r="A887" s="9">
        <v>886</v>
      </c>
      <c r="B887" s="10" t="s">
        <v>9</v>
      </c>
      <c r="C887" s="10" t="s">
        <v>363</v>
      </c>
      <c r="D887" s="10" t="s">
        <v>364</v>
      </c>
      <c r="E887" s="11" t="str">
        <f>+HYPERLINK("http://trademark.i-assist.jp/data/china/image_1902th/78965684.pdf", "78965684")</f>
        <v>78965684</v>
      </c>
      <c r="F887" s="10" t="s">
        <v>2833</v>
      </c>
      <c r="G887" s="10" t="s">
        <v>2834</v>
      </c>
      <c r="H887" s="10" t="s">
        <v>2835</v>
      </c>
      <c r="I887" s="10" t="s">
        <v>213</v>
      </c>
    </row>
    <row r="888" spans="1:9" x14ac:dyDescent="0.15">
      <c r="A888" s="9">
        <v>887</v>
      </c>
      <c r="B888" s="10" t="s">
        <v>9</v>
      </c>
      <c r="C888" s="10" t="s">
        <v>363</v>
      </c>
      <c r="D888" s="10" t="s">
        <v>364</v>
      </c>
      <c r="E888" s="11" t="str">
        <f>+HYPERLINK("http://trademark.i-assist.jp/data/china/image_1902th/78965730.pdf", "78965730")</f>
        <v>78965730</v>
      </c>
      <c r="F888" s="10" t="s">
        <v>2836</v>
      </c>
      <c r="G888" s="10" t="s">
        <v>2837</v>
      </c>
      <c r="H888" s="10" t="s">
        <v>2838</v>
      </c>
      <c r="I888" s="10" t="s">
        <v>213</v>
      </c>
    </row>
    <row r="889" spans="1:9" x14ac:dyDescent="0.15">
      <c r="A889" s="9">
        <v>888</v>
      </c>
      <c r="B889" s="10" t="s">
        <v>9</v>
      </c>
      <c r="C889" s="10" t="s">
        <v>363</v>
      </c>
      <c r="D889" s="10" t="s">
        <v>364</v>
      </c>
      <c r="E889" s="11" t="str">
        <f>+HYPERLINK("http://trademark.i-assist.jp/data/china/image_1902th/78965937.pdf", "78965937")</f>
        <v>78965937</v>
      </c>
      <c r="F889" s="10" t="s">
        <v>2839</v>
      </c>
      <c r="G889" s="10" t="s">
        <v>2840</v>
      </c>
      <c r="H889" s="10" t="s">
        <v>2841</v>
      </c>
      <c r="I889" s="10" t="s">
        <v>213</v>
      </c>
    </row>
    <row r="890" spans="1:9" x14ac:dyDescent="0.15">
      <c r="A890" s="9">
        <v>889</v>
      </c>
      <c r="B890" s="10" t="s">
        <v>9</v>
      </c>
      <c r="C890" s="10" t="s">
        <v>363</v>
      </c>
      <c r="D890" s="10" t="s">
        <v>364</v>
      </c>
      <c r="E890" s="11" t="str">
        <f>+HYPERLINK("http://trademark.i-assist.jp/data/china/image_1902th/78966144.pdf", "78966144")</f>
        <v>78966144</v>
      </c>
      <c r="F890" s="10" t="s">
        <v>2842</v>
      </c>
      <c r="G890" s="10" t="s">
        <v>2843</v>
      </c>
      <c r="H890" s="10" t="s">
        <v>2844</v>
      </c>
      <c r="I890" s="10" t="s">
        <v>213</v>
      </c>
    </row>
    <row r="891" spans="1:9" x14ac:dyDescent="0.15">
      <c r="A891" s="9">
        <v>890</v>
      </c>
      <c r="B891" s="10" t="s">
        <v>9</v>
      </c>
      <c r="C891" s="10" t="s">
        <v>363</v>
      </c>
      <c r="D891" s="10" t="s">
        <v>364</v>
      </c>
      <c r="E891" s="11" t="str">
        <f>+HYPERLINK("http://trademark.i-assist.jp/data/china/image_1902th/78966678.pdf", "78966678")</f>
        <v>78966678</v>
      </c>
      <c r="F891" s="10" t="s">
        <v>2845</v>
      </c>
      <c r="G891" s="10" t="s">
        <v>2846</v>
      </c>
      <c r="H891" s="10" t="s">
        <v>2847</v>
      </c>
      <c r="I891" s="10" t="s">
        <v>213</v>
      </c>
    </row>
    <row r="892" spans="1:9" x14ac:dyDescent="0.15">
      <c r="A892" s="9">
        <v>891</v>
      </c>
      <c r="B892" s="10" t="s">
        <v>9</v>
      </c>
      <c r="C892" s="10" t="s">
        <v>363</v>
      </c>
      <c r="D892" s="10" t="s">
        <v>364</v>
      </c>
      <c r="E892" s="11" t="str">
        <f>+HYPERLINK("http://trademark.i-assist.jp/data/china/image_1902th/78966711.pdf", "78966711")</f>
        <v>78966711</v>
      </c>
      <c r="F892" s="10" t="s">
        <v>2848</v>
      </c>
      <c r="G892" s="10" t="s">
        <v>2849</v>
      </c>
      <c r="H892" s="10" t="s">
        <v>2850</v>
      </c>
      <c r="I892" s="10" t="s">
        <v>213</v>
      </c>
    </row>
    <row r="893" spans="1:9" x14ac:dyDescent="0.15">
      <c r="A893" s="9">
        <v>892</v>
      </c>
      <c r="B893" s="10" t="s">
        <v>9</v>
      </c>
      <c r="C893" s="10" t="s">
        <v>363</v>
      </c>
      <c r="D893" s="10" t="s">
        <v>364</v>
      </c>
      <c r="E893" s="11" t="str">
        <f>+HYPERLINK("http://trademark.i-assist.jp/data/china/image_1902th/78966917.pdf", "78966917")</f>
        <v>78966917</v>
      </c>
      <c r="F893" s="10" t="s">
        <v>2851</v>
      </c>
      <c r="G893" s="10" t="s">
        <v>2656</v>
      </c>
      <c r="H893" s="10" t="s">
        <v>2852</v>
      </c>
      <c r="I893" s="10" t="s">
        <v>213</v>
      </c>
    </row>
    <row r="894" spans="1:9" x14ac:dyDescent="0.15">
      <c r="A894" s="9">
        <v>893</v>
      </c>
      <c r="B894" s="10" t="s">
        <v>9</v>
      </c>
      <c r="C894" s="10" t="s">
        <v>363</v>
      </c>
      <c r="D894" s="10" t="s">
        <v>364</v>
      </c>
      <c r="E894" s="11" t="str">
        <f>+HYPERLINK("http://trademark.i-assist.jp/data/china/image_1902th/78967164.pdf", "78967164")</f>
        <v>78967164</v>
      </c>
      <c r="F894" s="10" t="s">
        <v>2853</v>
      </c>
      <c r="G894" s="10" t="s">
        <v>2854</v>
      </c>
      <c r="H894" s="10" t="s">
        <v>2855</v>
      </c>
      <c r="I894" s="10" t="s">
        <v>213</v>
      </c>
    </row>
    <row r="895" spans="1:9" x14ac:dyDescent="0.15">
      <c r="A895" s="9">
        <v>894</v>
      </c>
      <c r="B895" s="10" t="s">
        <v>9</v>
      </c>
      <c r="C895" s="10" t="s">
        <v>363</v>
      </c>
      <c r="D895" s="10" t="s">
        <v>364</v>
      </c>
      <c r="E895" s="11" t="str">
        <f>+HYPERLINK("http://trademark.i-assist.jp/data/china/image_1902th/78967316.pdf", "78967316")</f>
        <v>78967316</v>
      </c>
      <c r="F895" s="10" t="s">
        <v>2856</v>
      </c>
      <c r="G895" s="10" t="s">
        <v>2857</v>
      </c>
      <c r="H895" s="10" t="s">
        <v>2858</v>
      </c>
      <c r="I895" s="10" t="s">
        <v>213</v>
      </c>
    </row>
    <row r="896" spans="1:9" x14ac:dyDescent="0.15">
      <c r="A896" s="9">
        <v>895</v>
      </c>
      <c r="B896" s="10" t="s">
        <v>9</v>
      </c>
      <c r="C896" s="10" t="s">
        <v>363</v>
      </c>
      <c r="D896" s="10" t="s">
        <v>364</v>
      </c>
      <c r="E896" s="11" t="str">
        <f>+HYPERLINK("http://trademark.i-assist.jp/data/china/image_1902th/78967321.pdf", "78967321")</f>
        <v>78967321</v>
      </c>
      <c r="F896" s="10" t="s">
        <v>2859</v>
      </c>
      <c r="G896" s="10" t="s">
        <v>2860</v>
      </c>
      <c r="H896" s="10" t="s">
        <v>2861</v>
      </c>
      <c r="I896" s="10" t="s">
        <v>213</v>
      </c>
    </row>
    <row r="897" spans="1:9" x14ac:dyDescent="0.15">
      <c r="A897" s="9">
        <v>896</v>
      </c>
      <c r="B897" s="10" t="s">
        <v>9</v>
      </c>
      <c r="C897" s="10" t="s">
        <v>363</v>
      </c>
      <c r="D897" s="10" t="s">
        <v>364</v>
      </c>
      <c r="E897" s="11" t="str">
        <f>+HYPERLINK("http://trademark.i-assist.jp/data/china/image_1902th/78967473.pdf", "78967473")</f>
        <v>78967473</v>
      </c>
      <c r="F897" s="10" t="s">
        <v>2862</v>
      </c>
      <c r="G897" s="10" t="s">
        <v>2715</v>
      </c>
      <c r="H897" s="10" t="s">
        <v>2863</v>
      </c>
      <c r="I897" s="10" t="s">
        <v>213</v>
      </c>
    </row>
    <row r="898" spans="1:9" x14ac:dyDescent="0.15">
      <c r="A898" s="9">
        <v>897</v>
      </c>
      <c r="B898" s="10" t="s">
        <v>9</v>
      </c>
      <c r="C898" s="10" t="s">
        <v>363</v>
      </c>
      <c r="D898" s="10" t="s">
        <v>364</v>
      </c>
      <c r="E898" s="11" t="str">
        <f>+HYPERLINK("http://trademark.i-assist.jp/data/china/image_1902th/78967751.pdf", "78967751")</f>
        <v>78967751</v>
      </c>
      <c r="F898" s="10" t="s">
        <v>2864</v>
      </c>
      <c r="G898" s="10" t="s">
        <v>2865</v>
      </c>
      <c r="H898" s="10" t="s">
        <v>2866</v>
      </c>
      <c r="I898" s="10" t="s">
        <v>213</v>
      </c>
    </row>
    <row r="899" spans="1:9" x14ac:dyDescent="0.15">
      <c r="A899" s="9">
        <v>898</v>
      </c>
      <c r="B899" s="10" t="s">
        <v>9</v>
      </c>
      <c r="C899" s="10" t="s">
        <v>363</v>
      </c>
      <c r="D899" s="10" t="s">
        <v>364</v>
      </c>
      <c r="E899" s="11" t="str">
        <f>+HYPERLINK("http://trademark.i-assist.jp/data/china/image_1902th/78968018.pdf", "78968018")</f>
        <v>78968018</v>
      </c>
      <c r="F899" s="10" t="s">
        <v>2867</v>
      </c>
      <c r="G899" s="10" t="s">
        <v>2868</v>
      </c>
      <c r="H899" s="10" t="s">
        <v>2869</v>
      </c>
      <c r="I899" s="10" t="s">
        <v>213</v>
      </c>
    </row>
    <row r="900" spans="1:9" x14ac:dyDescent="0.15">
      <c r="A900" s="9">
        <v>899</v>
      </c>
      <c r="B900" s="10" t="s">
        <v>9</v>
      </c>
      <c r="C900" s="10" t="s">
        <v>363</v>
      </c>
      <c r="D900" s="10" t="s">
        <v>364</v>
      </c>
      <c r="E900" s="11" t="str">
        <f>+HYPERLINK("http://trademark.i-assist.jp/data/china/image_1902th/78968458.pdf", "78968458")</f>
        <v>78968458</v>
      </c>
      <c r="F900" s="10" t="s">
        <v>2870</v>
      </c>
      <c r="G900" s="10" t="s">
        <v>2871</v>
      </c>
      <c r="H900" s="10" t="s">
        <v>2872</v>
      </c>
      <c r="I900" s="10" t="s">
        <v>213</v>
      </c>
    </row>
    <row r="901" spans="1:9" x14ac:dyDescent="0.15">
      <c r="A901" s="9">
        <v>900</v>
      </c>
      <c r="B901" s="10" t="s">
        <v>9</v>
      </c>
      <c r="C901" s="10" t="s">
        <v>363</v>
      </c>
      <c r="D901" s="10" t="s">
        <v>364</v>
      </c>
      <c r="E901" s="11" t="str">
        <f>+HYPERLINK("http://trademark.i-assist.jp/data/china/image_1902th/78969089.pdf", "78969089")</f>
        <v>78969089</v>
      </c>
      <c r="F901" s="10" t="s">
        <v>2873</v>
      </c>
      <c r="G901" s="10" t="s">
        <v>217</v>
      </c>
      <c r="H901" s="10" t="s">
        <v>2874</v>
      </c>
      <c r="I901" s="10" t="s">
        <v>213</v>
      </c>
    </row>
    <row r="902" spans="1:9" x14ac:dyDescent="0.15">
      <c r="A902" s="9">
        <v>901</v>
      </c>
      <c r="B902" s="10" t="s">
        <v>9</v>
      </c>
      <c r="C902" s="10" t="s">
        <v>363</v>
      </c>
      <c r="D902" s="10" t="s">
        <v>364</v>
      </c>
      <c r="E902" s="11" t="str">
        <f>+HYPERLINK("http://trademark.i-assist.jp/data/china/image_1902th/78969268.pdf", "78969268")</f>
        <v>78969268</v>
      </c>
      <c r="F902" s="10" t="s">
        <v>2875</v>
      </c>
      <c r="G902" s="10" t="s">
        <v>2876</v>
      </c>
      <c r="H902" s="10" t="s">
        <v>2877</v>
      </c>
      <c r="I902" s="10" t="s">
        <v>213</v>
      </c>
    </row>
    <row r="903" spans="1:9" x14ac:dyDescent="0.15">
      <c r="A903" s="9">
        <v>902</v>
      </c>
      <c r="B903" s="10" t="s">
        <v>9</v>
      </c>
      <c r="C903" s="10" t="s">
        <v>363</v>
      </c>
      <c r="D903" s="10" t="s">
        <v>364</v>
      </c>
      <c r="E903" s="11" t="str">
        <f>+HYPERLINK("http://trademark.i-assist.jp/data/china/image_1902th/78969397.pdf", "78969397")</f>
        <v>78969397</v>
      </c>
      <c r="F903" s="10" t="s">
        <v>2878</v>
      </c>
      <c r="G903" s="10" t="s">
        <v>2879</v>
      </c>
      <c r="H903" s="10" t="s">
        <v>2880</v>
      </c>
      <c r="I903" s="10" t="s">
        <v>213</v>
      </c>
    </row>
    <row r="904" spans="1:9" x14ac:dyDescent="0.15">
      <c r="A904" s="9">
        <v>903</v>
      </c>
      <c r="B904" s="10" t="s">
        <v>9</v>
      </c>
      <c r="C904" s="10" t="s">
        <v>363</v>
      </c>
      <c r="D904" s="10" t="s">
        <v>364</v>
      </c>
      <c r="E904" s="11" t="str">
        <f>+HYPERLINK("http://trademark.i-assist.jp/data/china/image_1902th/78969459.pdf", "78969459")</f>
        <v>78969459</v>
      </c>
      <c r="F904" s="10" t="s">
        <v>2881</v>
      </c>
      <c r="G904" s="10" t="s">
        <v>2882</v>
      </c>
      <c r="H904" s="10" t="s">
        <v>2883</v>
      </c>
      <c r="I904" s="10" t="s">
        <v>213</v>
      </c>
    </row>
    <row r="905" spans="1:9" x14ac:dyDescent="0.15">
      <c r="A905" s="9">
        <v>904</v>
      </c>
      <c r="B905" s="10" t="s">
        <v>9</v>
      </c>
      <c r="C905" s="10" t="s">
        <v>363</v>
      </c>
      <c r="D905" s="10" t="s">
        <v>364</v>
      </c>
      <c r="E905" s="11" t="str">
        <f>+HYPERLINK("http://trademark.i-assist.jp/data/china/image_1902th/78969488.pdf", "78969488")</f>
        <v>78969488</v>
      </c>
      <c r="F905" s="10" t="s">
        <v>2884</v>
      </c>
      <c r="G905" s="10" t="s">
        <v>2785</v>
      </c>
      <c r="H905" s="10" t="s">
        <v>2885</v>
      </c>
      <c r="I905" s="10" t="s">
        <v>213</v>
      </c>
    </row>
    <row r="906" spans="1:9" x14ac:dyDescent="0.15">
      <c r="A906" s="9">
        <v>905</v>
      </c>
      <c r="B906" s="10" t="s">
        <v>9</v>
      </c>
      <c r="C906" s="10" t="s">
        <v>363</v>
      </c>
      <c r="D906" s="10" t="s">
        <v>364</v>
      </c>
      <c r="E906" s="11" t="str">
        <f>+HYPERLINK("http://trademark.i-assist.jp/data/china/image_1902th/78969775.pdf", "78969775")</f>
        <v>78969775</v>
      </c>
      <c r="F906" s="10" t="s">
        <v>2886</v>
      </c>
      <c r="G906" s="10" t="s">
        <v>2887</v>
      </c>
      <c r="H906" s="10" t="s">
        <v>2888</v>
      </c>
      <c r="I906" s="10" t="s">
        <v>213</v>
      </c>
    </row>
    <row r="907" spans="1:9" x14ac:dyDescent="0.15">
      <c r="A907" s="9">
        <v>906</v>
      </c>
      <c r="B907" s="10" t="s">
        <v>9</v>
      </c>
      <c r="C907" s="10" t="s">
        <v>363</v>
      </c>
      <c r="D907" s="10" t="s">
        <v>364</v>
      </c>
      <c r="E907" s="11" t="str">
        <f>+HYPERLINK("http://trademark.i-assist.jp/data/china/image_1902th/78970044.pdf", "78970044")</f>
        <v>78970044</v>
      </c>
      <c r="F907" s="10" t="s">
        <v>2889</v>
      </c>
      <c r="G907" s="10" t="s">
        <v>2890</v>
      </c>
      <c r="H907" s="10" t="s">
        <v>2891</v>
      </c>
      <c r="I907" s="10" t="s">
        <v>213</v>
      </c>
    </row>
    <row r="908" spans="1:9" x14ac:dyDescent="0.15">
      <c r="A908" s="9">
        <v>907</v>
      </c>
      <c r="B908" s="10" t="s">
        <v>9</v>
      </c>
      <c r="C908" s="10" t="s">
        <v>363</v>
      </c>
      <c r="D908" s="10" t="s">
        <v>364</v>
      </c>
      <c r="E908" s="11" t="str">
        <f>+HYPERLINK("http://trademark.i-assist.jp/data/china/image_1902th/78970064.pdf", "78970064")</f>
        <v>78970064</v>
      </c>
      <c r="F908" s="10" t="s">
        <v>2892</v>
      </c>
      <c r="G908" s="10" t="s">
        <v>220</v>
      </c>
      <c r="H908" s="10" t="s">
        <v>2893</v>
      </c>
      <c r="I908" s="10" t="s">
        <v>213</v>
      </c>
    </row>
    <row r="909" spans="1:9" x14ac:dyDescent="0.15">
      <c r="A909" s="9">
        <v>908</v>
      </c>
      <c r="B909" s="10" t="s">
        <v>9</v>
      </c>
      <c r="C909" s="10" t="s">
        <v>363</v>
      </c>
      <c r="D909" s="10" t="s">
        <v>364</v>
      </c>
      <c r="E909" s="11" t="str">
        <f>+HYPERLINK("http://trademark.i-assist.jp/data/china/image_1902th/78970127.pdf", "78970127")</f>
        <v>78970127</v>
      </c>
      <c r="F909" s="10" t="s">
        <v>2894</v>
      </c>
      <c r="G909" s="10" t="s">
        <v>2895</v>
      </c>
      <c r="H909" s="10" t="s">
        <v>2896</v>
      </c>
      <c r="I909" s="10" t="s">
        <v>213</v>
      </c>
    </row>
    <row r="910" spans="1:9" x14ac:dyDescent="0.15">
      <c r="A910" s="9">
        <v>909</v>
      </c>
      <c r="B910" s="10" t="s">
        <v>9</v>
      </c>
      <c r="C910" s="10" t="s">
        <v>363</v>
      </c>
      <c r="D910" s="10" t="s">
        <v>364</v>
      </c>
      <c r="E910" s="11" t="str">
        <f>+HYPERLINK("http://trademark.i-assist.jp/data/china/image_1902th/78970721.pdf", "78970721")</f>
        <v>78970721</v>
      </c>
      <c r="F910" s="10" t="s">
        <v>2897</v>
      </c>
      <c r="G910" s="10" t="s">
        <v>248</v>
      </c>
      <c r="H910" s="10" t="s">
        <v>2898</v>
      </c>
      <c r="I910" s="10" t="s">
        <v>213</v>
      </c>
    </row>
    <row r="911" spans="1:9" x14ac:dyDescent="0.15">
      <c r="A911" s="9">
        <v>910</v>
      </c>
      <c r="B911" s="10" t="s">
        <v>9</v>
      </c>
      <c r="C911" s="10" t="s">
        <v>363</v>
      </c>
      <c r="D911" s="10" t="s">
        <v>364</v>
      </c>
      <c r="E911" s="11" t="str">
        <f>+HYPERLINK("http://trademark.i-assist.jp/data/china/image_1902th/78970728.pdf", "78970728")</f>
        <v>78970728</v>
      </c>
      <c r="F911" s="10" t="s">
        <v>2899</v>
      </c>
      <c r="G911" s="10" t="s">
        <v>2680</v>
      </c>
      <c r="H911" s="10" t="s">
        <v>2900</v>
      </c>
      <c r="I911" s="10" t="s">
        <v>213</v>
      </c>
    </row>
    <row r="912" spans="1:9" x14ac:dyDescent="0.15">
      <c r="A912" s="9">
        <v>911</v>
      </c>
      <c r="B912" s="10" t="s">
        <v>9</v>
      </c>
      <c r="C912" s="10" t="s">
        <v>363</v>
      </c>
      <c r="D912" s="10" t="s">
        <v>364</v>
      </c>
      <c r="E912" s="11" t="str">
        <f>+HYPERLINK("http://trademark.i-assist.jp/data/china/image_1902th/78970742.pdf", "78970742")</f>
        <v>78970742</v>
      </c>
      <c r="F912" s="10" t="s">
        <v>2901</v>
      </c>
      <c r="G912" s="10" t="s">
        <v>2680</v>
      </c>
      <c r="H912" s="10" t="s">
        <v>2902</v>
      </c>
      <c r="I912" s="10" t="s">
        <v>213</v>
      </c>
    </row>
    <row r="913" spans="1:9" x14ac:dyDescent="0.15">
      <c r="A913" s="9">
        <v>912</v>
      </c>
      <c r="B913" s="10" t="s">
        <v>9</v>
      </c>
      <c r="C913" s="10" t="s">
        <v>363</v>
      </c>
      <c r="D913" s="10" t="s">
        <v>364</v>
      </c>
      <c r="E913" s="11" t="str">
        <f>+HYPERLINK("http://trademark.i-assist.jp/data/china/image_1902th/78971050.pdf", "78971050")</f>
        <v>78971050</v>
      </c>
      <c r="F913" s="10" t="s">
        <v>2903</v>
      </c>
      <c r="G913" s="10" t="s">
        <v>2715</v>
      </c>
      <c r="H913" s="10" t="s">
        <v>2904</v>
      </c>
      <c r="I913" s="10" t="s">
        <v>213</v>
      </c>
    </row>
    <row r="914" spans="1:9" x14ac:dyDescent="0.15">
      <c r="A914" s="9">
        <v>913</v>
      </c>
      <c r="B914" s="10" t="s">
        <v>9</v>
      </c>
      <c r="C914" s="10" t="s">
        <v>363</v>
      </c>
      <c r="D914" s="10" t="s">
        <v>364</v>
      </c>
      <c r="E914" s="11" t="str">
        <f>+HYPERLINK("http://trademark.i-assist.jp/data/china/image_1902th/78971212.pdf", "78971212")</f>
        <v>78971212</v>
      </c>
      <c r="F914" s="10" t="s">
        <v>2905</v>
      </c>
      <c r="G914" s="10" t="s">
        <v>2906</v>
      </c>
      <c r="H914" s="10" t="s">
        <v>2907</v>
      </c>
      <c r="I914" s="10" t="s">
        <v>213</v>
      </c>
    </row>
    <row r="915" spans="1:9" x14ac:dyDescent="0.15">
      <c r="A915" s="9">
        <v>914</v>
      </c>
      <c r="B915" s="10" t="s">
        <v>9</v>
      </c>
      <c r="C915" s="10" t="s">
        <v>363</v>
      </c>
      <c r="D915" s="10" t="s">
        <v>364</v>
      </c>
      <c r="E915" s="11" t="str">
        <f>+HYPERLINK("http://trademark.i-assist.jp/data/china/image_1902th/78971503.pdf", "78971503")</f>
        <v>78971503</v>
      </c>
      <c r="F915" s="10" t="s">
        <v>2908</v>
      </c>
      <c r="G915" s="10" t="s">
        <v>2909</v>
      </c>
      <c r="H915" s="10" t="s">
        <v>2910</v>
      </c>
      <c r="I915" s="10" t="s">
        <v>213</v>
      </c>
    </row>
    <row r="916" spans="1:9" x14ac:dyDescent="0.15">
      <c r="A916" s="9">
        <v>915</v>
      </c>
      <c r="B916" s="10" t="s">
        <v>9</v>
      </c>
      <c r="C916" s="10" t="s">
        <v>363</v>
      </c>
      <c r="D916" s="10" t="s">
        <v>364</v>
      </c>
      <c r="E916" s="11" t="str">
        <f>+HYPERLINK("http://trademark.i-assist.jp/data/china/image_1902th/78971880.pdf", "78971880")</f>
        <v>78971880</v>
      </c>
      <c r="F916" s="10" t="s">
        <v>2911</v>
      </c>
      <c r="G916" s="10" t="s">
        <v>2689</v>
      </c>
      <c r="H916" s="10" t="s">
        <v>2912</v>
      </c>
      <c r="I916" s="10" t="s">
        <v>213</v>
      </c>
    </row>
    <row r="917" spans="1:9" x14ac:dyDescent="0.15">
      <c r="A917" s="9">
        <v>916</v>
      </c>
      <c r="B917" s="10" t="s">
        <v>9</v>
      </c>
      <c r="C917" s="10" t="s">
        <v>363</v>
      </c>
      <c r="D917" s="10" t="s">
        <v>364</v>
      </c>
      <c r="E917" s="11" t="str">
        <f>+HYPERLINK("http://trademark.i-assist.jp/data/china/image_1902th/78972263.pdf", "78972263")</f>
        <v>78972263</v>
      </c>
      <c r="F917" s="10" t="s">
        <v>2913</v>
      </c>
      <c r="G917" s="10" t="s">
        <v>2914</v>
      </c>
      <c r="H917" s="10" t="s">
        <v>2915</v>
      </c>
      <c r="I917" s="10" t="s">
        <v>213</v>
      </c>
    </row>
    <row r="918" spans="1:9" x14ac:dyDescent="0.15">
      <c r="A918" s="9">
        <v>917</v>
      </c>
      <c r="B918" s="10" t="s">
        <v>9</v>
      </c>
      <c r="C918" s="10" t="s">
        <v>363</v>
      </c>
      <c r="D918" s="10" t="s">
        <v>364</v>
      </c>
      <c r="E918" s="11" t="str">
        <f>+HYPERLINK("http://trademark.i-assist.jp/data/china/image_1902th/78972406.pdf", "78972406")</f>
        <v>78972406</v>
      </c>
      <c r="F918" s="10" t="s">
        <v>2916</v>
      </c>
      <c r="G918" s="10" t="s">
        <v>2917</v>
      </c>
      <c r="H918" s="10" t="s">
        <v>2918</v>
      </c>
      <c r="I918" s="10" t="s">
        <v>213</v>
      </c>
    </row>
    <row r="919" spans="1:9" x14ac:dyDescent="0.15">
      <c r="A919" s="9">
        <v>918</v>
      </c>
      <c r="B919" s="10" t="s">
        <v>9</v>
      </c>
      <c r="C919" s="10" t="s">
        <v>363</v>
      </c>
      <c r="D919" s="10" t="s">
        <v>364</v>
      </c>
      <c r="E919" s="11" t="str">
        <f>+HYPERLINK("http://trademark.i-assist.jp/data/china/image_1902th/78972414.pdf", "78972414")</f>
        <v>78972414</v>
      </c>
      <c r="F919" s="10" t="s">
        <v>2919</v>
      </c>
      <c r="G919" s="10" t="s">
        <v>2920</v>
      </c>
      <c r="H919" s="10" t="s">
        <v>2921</v>
      </c>
      <c r="I919" s="10" t="s">
        <v>213</v>
      </c>
    </row>
    <row r="920" spans="1:9" x14ac:dyDescent="0.15">
      <c r="A920" s="9">
        <v>919</v>
      </c>
      <c r="B920" s="10" t="s">
        <v>9</v>
      </c>
      <c r="C920" s="10" t="s">
        <v>363</v>
      </c>
      <c r="D920" s="10" t="s">
        <v>364</v>
      </c>
      <c r="E920" s="11" t="str">
        <f>+HYPERLINK("http://trademark.i-assist.jp/data/china/image_1902th/78972501.pdf", "78972501")</f>
        <v>78972501</v>
      </c>
      <c r="F920" s="10" t="s">
        <v>2922</v>
      </c>
      <c r="G920" s="10" t="s">
        <v>2923</v>
      </c>
      <c r="H920" s="10" t="s">
        <v>2924</v>
      </c>
      <c r="I920" s="10" t="s">
        <v>213</v>
      </c>
    </row>
    <row r="921" spans="1:9" x14ac:dyDescent="0.15">
      <c r="A921" s="9">
        <v>920</v>
      </c>
      <c r="B921" s="10" t="s">
        <v>9</v>
      </c>
      <c r="C921" s="10" t="s">
        <v>363</v>
      </c>
      <c r="D921" s="10" t="s">
        <v>364</v>
      </c>
      <c r="E921" s="11" t="str">
        <f>+HYPERLINK("http://trademark.i-assist.jp/data/china/image_1902th/78973300.pdf", "78973300")</f>
        <v>78973300</v>
      </c>
      <c r="F921" s="10" t="s">
        <v>2925</v>
      </c>
      <c r="G921" s="10" t="s">
        <v>2926</v>
      </c>
      <c r="H921" s="10" t="s">
        <v>2927</v>
      </c>
      <c r="I921" s="10" t="s">
        <v>213</v>
      </c>
    </row>
    <row r="922" spans="1:9" x14ac:dyDescent="0.15">
      <c r="A922" s="9">
        <v>921</v>
      </c>
      <c r="B922" s="10" t="s">
        <v>9</v>
      </c>
      <c r="C922" s="10" t="s">
        <v>363</v>
      </c>
      <c r="D922" s="10" t="s">
        <v>364</v>
      </c>
      <c r="E922" s="11" t="str">
        <f>+HYPERLINK("http://trademark.i-assist.jp/data/china/image_1902th/78973373.pdf", "78973373")</f>
        <v>78973373</v>
      </c>
      <c r="F922" s="10" t="s">
        <v>2928</v>
      </c>
      <c r="G922" s="10" t="s">
        <v>272</v>
      </c>
      <c r="H922" s="10" t="s">
        <v>2929</v>
      </c>
      <c r="I922" s="10" t="s">
        <v>213</v>
      </c>
    </row>
    <row r="923" spans="1:9" x14ac:dyDescent="0.15">
      <c r="A923" s="9">
        <v>922</v>
      </c>
      <c r="B923" s="10" t="s">
        <v>9</v>
      </c>
      <c r="C923" s="10" t="s">
        <v>363</v>
      </c>
      <c r="D923" s="10" t="s">
        <v>364</v>
      </c>
      <c r="E923" s="11" t="str">
        <f>+HYPERLINK("http://trademark.i-assist.jp/data/china/image_1902th/78973430.pdf", "78973430")</f>
        <v>78973430</v>
      </c>
      <c r="F923" s="10" t="s">
        <v>2930</v>
      </c>
      <c r="G923" s="10" t="s">
        <v>124</v>
      </c>
      <c r="H923" s="10" t="s">
        <v>2931</v>
      </c>
      <c r="I923" s="10" t="s">
        <v>213</v>
      </c>
    </row>
    <row r="924" spans="1:9" x14ac:dyDescent="0.15">
      <c r="A924" s="9">
        <v>923</v>
      </c>
      <c r="B924" s="10" t="s">
        <v>9</v>
      </c>
      <c r="C924" s="10" t="s">
        <v>363</v>
      </c>
      <c r="D924" s="10" t="s">
        <v>364</v>
      </c>
      <c r="E924" s="11" t="str">
        <f>+HYPERLINK("http://trademark.i-assist.jp/data/china/image_1902th/78973535.pdf", "78973535")</f>
        <v>78973535</v>
      </c>
      <c r="F924" s="10" t="s">
        <v>2932</v>
      </c>
      <c r="G924" s="10" t="s">
        <v>2933</v>
      </c>
      <c r="H924" s="10" t="s">
        <v>2934</v>
      </c>
      <c r="I924" s="10" t="s">
        <v>213</v>
      </c>
    </row>
    <row r="925" spans="1:9" x14ac:dyDescent="0.15">
      <c r="A925" s="9">
        <v>924</v>
      </c>
      <c r="B925" s="10" t="s">
        <v>9</v>
      </c>
      <c r="C925" s="10" t="s">
        <v>363</v>
      </c>
      <c r="D925" s="10" t="s">
        <v>364</v>
      </c>
      <c r="E925" s="11" t="str">
        <f>+HYPERLINK("http://trademark.i-assist.jp/data/china/image_1902th/78973720.pdf", "78973720")</f>
        <v>78973720</v>
      </c>
      <c r="F925" s="10" t="s">
        <v>2935</v>
      </c>
      <c r="G925" s="10" t="s">
        <v>2656</v>
      </c>
      <c r="H925" s="10" t="s">
        <v>2936</v>
      </c>
      <c r="I925" s="10" t="s">
        <v>213</v>
      </c>
    </row>
    <row r="926" spans="1:9" x14ac:dyDescent="0.15">
      <c r="A926" s="9">
        <v>925</v>
      </c>
      <c r="B926" s="10" t="s">
        <v>9</v>
      </c>
      <c r="C926" s="10" t="s">
        <v>363</v>
      </c>
      <c r="D926" s="10" t="s">
        <v>364</v>
      </c>
      <c r="E926" s="11" t="str">
        <f>+HYPERLINK("http://trademark.i-assist.jp/data/china/image_1902th/78973747.pdf", "78973747")</f>
        <v>78973747</v>
      </c>
      <c r="F926" s="10" t="s">
        <v>2937</v>
      </c>
      <c r="G926" s="10" t="s">
        <v>2656</v>
      </c>
      <c r="H926" s="10" t="s">
        <v>2938</v>
      </c>
      <c r="I926" s="10" t="s">
        <v>213</v>
      </c>
    </row>
    <row r="927" spans="1:9" x14ac:dyDescent="0.15">
      <c r="A927" s="9">
        <v>926</v>
      </c>
      <c r="B927" s="10" t="s">
        <v>9</v>
      </c>
      <c r="C927" s="10" t="s">
        <v>363</v>
      </c>
      <c r="D927" s="10" t="s">
        <v>364</v>
      </c>
      <c r="E927" s="11" t="str">
        <f>+HYPERLINK("http://trademark.i-assist.jp/data/china/image_1902th/78973770.pdf", "78973770")</f>
        <v>78973770</v>
      </c>
      <c r="F927" s="10" t="s">
        <v>2939</v>
      </c>
      <c r="G927" s="10" t="s">
        <v>2940</v>
      </c>
      <c r="H927" s="10" t="s">
        <v>2941</v>
      </c>
      <c r="I927" s="10" t="s">
        <v>213</v>
      </c>
    </row>
    <row r="928" spans="1:9" x14ac:dyDescent="0.15">
      <c r="A928" s="9">
        <v>927</v>
      </c>
      <c r="B928" s="10" t="s">
        <v>9</v>
      </c>
      <c r="C928" s="10" t="s">
        <v>363</v>
      </c>
      <c r="D928" s="10" t="s">
        <v>364</v>
      </c>
      <c r="E928" s="11" t="str">
        <f>+HYPERLINK("http://trademark.i-assist.jp/data/china/image_1902th/78973952.pdf", "78973952")</f>
        <v>78973952</v>
      </c>
      <c r="F928" s="10" t="s">
        <v>2942</v>
      </c>
      <c r="G928" s="10" t="s">
        <v>2943</v>
      </c>
      <c r="H928" s="10" t="s">
        <v>2944</v>
      </c>
      <c r="I928" s="10" t="s">
        <v>213</v>
      </c>
    </row>
    <row r="929" spans="1:9" x14ac:dyDescent="0.15">
      <c r="A929" s="9">
        <v>928</v>
      </c>
      <c r="B929" s="10" t="s">
        <v>9</v>
      </c>
      <c r="C929" s="10" t="s">
        <v>363</v>
      </c>
      <c r="D929" s="10" t="s">
        <v>364</v>
      </c>
      <c r="E929" s="11" t="str">
        <f>+HYPERLINK("http://trademark.i-assist.jp/data/china/image_1902th/78974299.pdf", "78974299")</f>
        <v>78974299</v>
      </c>
      <c r="F929" s="10" t="s">
        <v>2945</v>
      </c>
      <c r="G929" s="10" t="s">
        <v>2946</v>
      </c>
      <c r="H929" s="10" t="s">
        <v>2947</v>
      </c>
      <c r="I929" s="10" t="s">
        <v>213</v>
      </c>
    </row>
    <row r="930" spans="1:9" x14ac:dyDescent="0.15">
      <c r="A930" s="9">
        <v>929</v>
      </c>
      <c r="B930" s="10" t="s">
        <v>9</v>
      </c>
      <c r="C930" s="10" t="s">
        <v>363</v>
      </c>
      <c r="D930" s="10" t="s">
        <v>364</v>
      </c>
      <c r="E930" s="11" t="str">
        <f>+HYPERLINK("http://trademark.i-assist.jp/data/china/image_1902th/78974401.pdf", "78974401")</f>
        <v>78974401</v>
      </c>
      <c r="F930" s="10" t="s">
        <v>2948</v>
      </c>
      <c r="G930" s="10" t="s">
        <v>2949</v>
      </c>
      <c r="H930" s="10" t="s">
        <v>2950</v>
      </c>
      <c r="I930" s="10" t="s">
        <v>213</v>
      </c>
    </row>
    <row r="931" spans="1:9" x14ac:dyDescent="0.15">
      <c r="A931" s="9">
        <v>930</v>
      </c>
      <c r="B931" s="10" t="s">
        <v>9</v>
      </c>
      <c r="C931" s="10" t="s">
        <v>363</v>
      </c>
      <c r="D931" s="10" t="s">
        <v>364</v>
      </c>
      <c r="E931" s="11" t="str">
        <f>+HYPERLINK("http://trademark.i-assist.jp/data/china/image_1902th/78974687.pdf", "78974687")</f>
        <v>78974687</v>
      </c>
      <c r="F931" s="10" t="s">
        <v>2951</v>
      </c>
      <c r="G931" s="10" t="s">
        <v>2952</v>
      </c>
      <c r="H931" s="10" t="s">
        <v>2953</v>
      </c>
      <c r="I931" s="10" t="s">
        <v>213</v>
      </c>
    </row>
    <row r="932" spans="1:9" x14ac:dyDescent="0.15">
      <c r="A932" s="9">
        <v>931</v>
      </c>
      <c r="B932" s="10" t="s">
        <v>9</v>
      </c>
      <c r="C932" s="10" t="s">
        <v>363</v>
      </c>
      <c r="D932" s="10" t="s">
        <v>364</v>
      </c>
      <c r="E932" s="11" t="str">
        <f>+HYPERLINK("http://trademark.i-assist.jp/data/china/image_1902th/78974890.pdf", "78974890")</f>
        <v>78974890</v>
      </c>
      <c r="F932" s="10" t="s">
        <v>2954</v>
      </c>
      <c r="G932" s="10" t="s">
        <v>222</v>
      </c>
      <c r="H932" s="10" t="s">
        <v>2955</v>
      </c>
      <c r="I932" s="10" t="s">
        <v>213</v>
      </c>
    </row>
    <row r="933" spans="1:9" x14ac:dyDescent="0.15">
      <c r="A933" s="9">
        <v>932</v>
      </c>
      <c r="B933" s="10" t="s">
        <v>9</v>
      </c>
      <c r="C933" s="10" t="s">
        <v>363</v>
      </c>
      <c r="D933" s="10" t="s">
        <v>364</v>
      </c>
      <c r="E933" s="11" t="str">
        <f>+HYPERLINK("http://trademark.i-assist.jp/data/china/image_1902th/78975374.pdf", "78975374")</f>
        <v>78975374</v>
      </c>
      <c r="F933" s="10" t="s">
        <v>2956</v>
      </c>
      <c r="G933" s="10" t="s">
        <v>2957</v>
      </c>
      <c r="H933" s="10" t="s">
        <v>2958</v>
      </c>
      <c r="I933" s="10" t="s">
        <v>213</v>
      </c>
    </row>
    <row r="934" spans="1:9" x14ac:dyDescent="0.15">
      <c r="A934" s="9">
        <v>933</v>
      </c>
      <c r="B934" s="10" t="s">
        <v>9</v>
      </c>
      <c r="C934" s="10" t="s">
        <v>363</v>
      </c>
      <c r="D934" s="10" t="s">
        <v>364</v>
      </c>
      <c r="E934" s="11" t="str">
        <f>+HYPERLINK("http://trademark.i-assist.jp/data/china/image_1902th/78975605.pdf", "78975605")</f>
        <v>78975605</v>
      </c>
      <c r="F934" s="10" t="s">
        <v>2959</v>
      </c>
      <c r="G934" s="10" t="s">
        <v>2960</v>
      </c>
      <c r="H934" s="10" t="s">
        <v>2961</v>
      </c>
      <c r="I934" s="10" t="s">
        <v>213</v>
      </c>
    </row>
    <row r="935" spans="1:9" x14ac:dyDescent="0.15">
      <c r="A935" s="9">
        <v>934</v>
      </c>
      <c r="B935" s="10" t="s">
        <v>9</v>
      </c>
      <c r="C935" s="10" t="s">
        <v>363</v>
      </c>
      <c r="D935" s="10" t="s">
        <v>364</v>
      </c>
      <c r="E935" s="11" t="str">
        <f>+HYPERLINK("http://trademark.i-assist.jp/data/china/image_1902th/78976462.pdf", "78976462")</f>
        <v>78976462</v>
      </c>
      <c r="F935" s="10" t="s">
        <v>2962</v>
      </c>
      <c r="G935" s="10" t="s">
        <v>2963</v>
      </c>
      <c r="H935" s="10" t="s">
        <v>2964</v>
      </c>
      <c r="I935" s="10" t="s">
        <v>213</v>
      </c>
    </row>
    <row r="936" spans="1:9" x14ac:dyDescent="0.15">
      <c r="A936" s="9">
        <v>935</v>
      </c>
      <c r="B936" s="10" t="s">
        <v>9</v>
      </c>
      <c r="C936" s="10" t="s">
        <v>363</v>
      </c>
      <c r="D936" s="10" t="s">
        <v>364</v>
      </c>
      <c r="E936" s="11" t="str">
        <f>+HYPERLINK("http://trademark.i-assist.jp/data/china/image_1902th/78976541.pdf", "78976541")</f>
        <v>78976541</v>
      </c>
      <c r="F936" s="10" t="s">
        <v>2965</v>
      </c>
      <c r="G936" s="10" t="s">
        <v>2966</v>
      </c>
      <c r="H936" s="10" t="s">
        <v>2967</v>
      </c>
      <c r="I936" s="10" t="s">
        <v>213</v>
      </c>
    </row>
    <row r="937" spans="1:9" x14ac:dyDescent="0.15">
      <c r="A937" s="9">
        <v>936</v>
      </c>
      <c r="B937" s="10" t="s">
        <v>9</v>
      </c>
      <c r="C937" s="10" t="s">
        <v>363</v>
      </c>
      <c r="D937" s="10" t="s">
        <v>364</v>
      </c>
      <c r="E937" s="11" t="str">
        <f>+HYPERLINK("http://trademark.i-assist.jp/data/china/image_1902th/78976820.pdf", "78976820")</f>
        <v>78976820</v>
      </c>
      <c r="F937" s="10" t="s">
        <v>2968</v>
      </c>
      <c r="G937" s="10" t="s">
        <v>2969</v>
      </c>
      <c r="H937" s="10" t="s">
        <v>2970</v>
      </c>
      <c r="I937" s="10" t="s">
        <v>213</v>
      </c>
    </row>
    <row r="938" spans="1:9" x14ac:dyDescent="0.15">
      <c r="A938" s="9">
        <v>937</v>
      </c>
      <c r="B938" s="10" t="s">
        <v>9</v>
      </c>
      <c r="C938" s="10" t="s">
        <v>363</v>
      </c>
      <c r="D938" s="10" t="s">
        <v>364</v>
      </c>
      <c r="E938" s="11" t="str">
        <f>+HYPERLINK("http://trademark.i-assist.jp/data/china/image_1902th/78976821.pdf", "78976821")</f>
        <v>78976821</v>
      </c>
      <c r="F938" s="10" t="s">
        <v>2971</v>
      </c>
      <c r="G938" s="10" t="s">
        <v>2972</v>
      </c>
      <c r="H938" s="10" t="s">
        <v>2973</v>
      </c>
      <c r="I938" s="10" t="s">
        <v>213</v>
      </c>
    </row>
    <row r="939" spans="1:9" x14ac:dyDescent="0.15">
      <c r="A939" s="9">
        <v>938</v>
      </c>
      <c r="B939" s="10" t="s">
        <v>9</v>
      </c>
      <c r="C939" s="10" t="s">
        <v>363</v>
      </c>
      <c r="D939" s="10" t="s">
        <v>364</v>
      </c>
      <c r="E939" s="11" t="str">
        <f>+HYPERLINK("http://trademark.i-assist.jp/data/china/image_1902th/78976985.pdf", "78976985")</f>
        <v>78976985</v>
      </c>
      <c r="F939" s="10" t="s">
        <v>2974</v>
      </c>
      <c r="G939" s="10" t="s">
        <v>2975</v>
      </c>
      <c r="H939" s="10" t="s">
        <v>2976</v>
      </c>
      <c r="I939" s="10" t="s">
        <v>213</v>
      </c>
    </row>
    <row r="940" spans="1:9" x14ac:dyDescent="0.15">
      <c r="A940" s="9">
        <v>939</v>
      </c>
      <c r="B940" s="10" t="s">
        <v>9</v>
      </c>
      <c r="C940" s="10" t="s">
        <v>363</v>
      </c>
      <c r="D940" s="10" t="s">
        <v>364</v>
      </c>
      <c r="E940" s="11" t="str">
        <f>+HYPERLINK("http://trademark.i-assist.jp/data/china/image_1902th/78977885.pdf", "78977885")</f>
        <v>78977885</v>
      </c>
      <c r="F940" s="10" t="s">
        <v>2977</v>
      </c>
      <c r="G940" s="10" t="s">
        <v>2978</v>
      </c>
      <c r="H940" s="10" t="s">
        <v>2979</v>
      </c>
      <c r="I940" s="10" t="s">
        <v>225</v>
      </c>
    </row>
    <row r="941" spans="1:9" x14ac:dyDescent="0.15">
      <c r="A941" s="9">
        <v>940</v>
      </c>
      <c r="B941" s="10" t="s">
        <v>9</v>
      </c>
      <c r="C941" s="10" t="s">
        <v>363</v>
      </c>
      <c r="D941" s="10" t="s">
        <v>364</v>
      </c>
      <c r="E941" s="11" t="str">
        <f>+HYPERLINK("http://trademark.i-assist.jp/data/china/image_1902th/78978120.pdf", "78978120")</f>
        <v>78978120</v>
      </c>
      <c r="F941" s="10" t="s">
        <v>2980</v>
      </c>
      <c r="G941" s="10" t="s">
        <v>2981</v>
      </c>
      <c r="H941" s="10" t="s">
        <v>2982</v>
      </c>
      <c r="I941" s="10" t="s">
        <v>225</v>
      </c>
    </row>
    <row r="942" spans="1:9" x14ac:dyDescent="0.15">
      <c r="A942" s="9">
        <v>941</v>
      </c>
      <c r="B942" s="10" t="s">
        <v>9</v>
      </c>
      <c r="C942" s="10" t="s">
        <v>363</v>
      </c>
      <c r="D942" s="10" t="s">
        <v>364</v>
      </c>
      <c r="E942" s="11" t="str">
        <f>+HYPERLINK("http://trademark.i-assist.jp/data/china/image_1902th/78978441.pdf", "78978441")</f>
        <v>78978441</v>
      </c>
      <c r="F942" s="10" t="s">
        <v>2983</v>
      </c>
      <c r="G942" s="10" t="s">
        <v>2984</v>
      </c>
      <c r="H942" s="10" t="s">
        <v>2985</v>
      </c>
      <c r="I942" s="10" t="s">
        <v>225</v>
      </c>
    </row>
    <row r="943" spans="1:9" x14ac:dyDescent="0.15">
      <c r="A943" s="9">
        <v>942</v>
      </c>
      <c r="B943" s="10" t="s">
        <v>9</v>
      </c>
      <c r="C943" s="10" t="s">
        <v>363</v>
      </c>
      <c r="D943" s="10" t="s">
        <v>364</v>
      </c>
      <c r="E943" s="11" t="str">
        <f>+HYPERLINK("http://trademark.i-assist.jp/data/china/image_1902th/78978521.pdf", "78978521")</f>
        <v>78978521</v>
      </c>
      <c r="F943" s="10" t="s">
        <v>2986</v>
      </c>
      <c r="G943" s="10" t="s">
        <v>2987</v>
      </c>
      <c r="H943" s="10" t="s">
        <v>2988</v>
      </c>
      <c r="I943" s="10" t="s">
        <v>225</v>
      </c>
    </row>
    <row r="944" spans="1:9" x14ac:dyDescent="0.15">
      <c r="A944" s="9">
        <v>943</v>
      </c>
      <c r="B944" s="10" t="s">
        <v>9</v>
      </c>
      <c r="C944" s="10" t="s">
        <v>363</v>
      </c>
      <c r="D944" s="10" t="s">
        <v>364</v>
      </c>
      <c r="E944" s="11" t="str">
        <f>+HYPERLINK("http://trademark.i-assist.jp/data/china/image_1902th/78978829.pdf", "78978829")</f>
        <v>78978829</v>
      </c>
      <c r="F944" s="10" t="s">
        <v>2989</v>
      </c>
      <c r="G944" s="10" t="s">
        <v>2981</v>
      </c>
      <c r="H944" s="10" t="s">
        <v>2990</v>
      </c>
      <c r="I944" s="10" t="s">
        <v>225</v>
      </c>
    </row>
    <row r="945" spans="1:9" x14ac:dyDescent="0.15">
      <c r="A945" s="9">
        <v>944</v>
      </c>
      <c r="B945" s="10" t="s">
        <v>9</v>
      </c>
      <c r="C945" s="10" t="s">
        <v>363</v>
      </c>
      <c r="D945" s="10" t="s">
        <v>364</v>
      </c>
      <c r="E945" s="11" t="str">
        <f>+HYPERLINK("http://trademark.i-assist.jp/data/china/image_1902th/78979039.pdf", "78979039")</f>
        <v>78979039</v>
      </c>
      <c r="F945" s="10" t="s">
        <v>2991</v>
      </c>
      <c r="G945" s="10" t="s">
        <v>2992</v>
      </c>
      <c r="H945" s="10" t="s">
        <v>2993</v>
      </c>
      <c r="I945" s="10" t="s">
        <v>225</v>
      </c>
    </row>
    <row r="946" spans="1:9" x14ac:dyDescent="0.15">
      <c r="A946" s="9">
        <v>945</v>
      </c>
      <c r="B946" s="10" t="s">
        <v>9</v>
      </c>
      <c r="C946" s="10" t="s">
        <v>363</v>
      </c>
      <c r="D946" s="10" t="s">
        <v>364</v>
      </c>
      <c r="E946" s="11" t="str">
        <f>+HYPERLINK("http://trademark.i-assist.jp/data/china/image_1902th/78979132.pdf", "78979132")</f>
        <v>78979132</v>
      </c>
      <c r="F946" s="10" t="s">
        <v>2994</v>
      </c>
      <c r="G946" s="10" t="s">
        <v>2995</v>
      </c>
      <c r="H946" s="10" t="s">
        <v>2996</v>
      </c>
      <c r="I946" s="10" t="s">
        <v>225</v>
      </c>
    </row>
    <row r="947" spans="1:9" x14ac:dyDescent="0.15">
      <c r="A947" s="9">
        <v>946</v>
      </c>
      <c r="B947" s="10" t="s">
        <v>9</v>
      </c>
      <c r="C947" s="10" t="s">
        <v>363</v>
      </c>
      <c r="D947" s="10" t="s">
        <v>364</v>
      </c>
      <c r="E947" s="11" t="str">
        <f>+HYPERLINK("http://trademark.i-assist.jp/data/china/image_1902th/78979846.pdf", "78979846")</f>
        <v>78979846</v>
      </c>
      <c r="F947" s="10" t="s">
        <v>2997</v>
      </c>
      <c r="G947" s="10" t="s">
        <v>2998</v>
      </c>
      <c r="H947" s="10" t="s">
        <v>2999</v>
      </c>
      <c r="I947" s="10" t="s">
        <v>225</v>
      </c>
    </row>
    <row r="948" spans="1:9" x14ac:dyDescent="0.15">
      <c r="A948" s="9">
        <v>947</v>
      </c>
      <c r="B948" s="10" t="s">
        <v>9</v>
      </c>
      <c r="C948" s="10" t="s">
        <v>363</v>
      </c>
      <c r="D948" s="10" t="s">
        <v>364</v>
      </c>
      <c r="E948" s="11" t="str">
        <f>+HYPERLINK("http://trademark.i-assist.jp/data/china/image_1902th/78980294.pdf", "78980294")</f>
        <v>78980294</v>
      </c>
      <c r="F948" s="10" t="s">
        <v>3000</v>
      </c>
      <c r="G948" s="10" t="s">
        <v>3001</v>
      </c>
      <c r="H948" s="10" t="s">
        <v>3002</v>
      </c>
      <c r="I948" s="10" t="s">
        <v>225</v>
      </c>
    </row>
    <row r="949" spans="1:9" x14ac:dyDescent="0.15">
      <c r="A949" s="9">
        <v>948</v>
      </c>
      <c r="B949" s="10" t="s">
        <v>9</v>
      </c>
      <c r="C949" s="10" t="s">
        <v>363</v>
      </c>
      <c r="D949" s="10" t="s">
        <v>364</v>
      </c>
      <c r="E949" s="11" t="str">
        <f>+HYPERLINK("http://trademark.i-assist.jp/data/china/image_1902th/78980358.pdf", "78980358")</f>
        <v>78980358</v>
      </c>
      <c r="F949" s="10" t="s">
        <v>3003</v>
      </c>
      <c r="G949" s="10" t="s">
        <v>3004</v>
      </c>
      <c r="H949" s="10" t="s">
        <v>3005</v>
      </c>
      <c r="I949" s="10" t="s">
        <v>225</v>
      </c>
    </row>
    <row r="950" spans="1:9" x14ac:dyDescent="0.15">
      <c r="A950" s="9">
        <v>949</v>
      </c>
      <c r="B950" s="10" t="s">
        <v>9</v>
      </c>
      <c r="C950" s="10" t="s">
        <v>363</v>
      </c>
      <c r="D950" s="10" t="s">
        <v>364</v>
      </c>
      <c r="E950" s="11" t="str">
        <f>+HYPERLINK("http://trademark.i-assist.jp/data/china/image_1902th/78980981.pdf", "78980981")</f>
        <v>78980981</v>
      </c>
      <c r="F950" s="10" t="s">
        <v>3006</v>
      </c>
      <c r="G950" s="10" t="s">
        <v>3007</v>
      </c>
      <c r="H950" s="10" t="s">
        <v>3008</v>
      </c>
      <c r="I950" s="10" t="s">
        <v>225</v>
      </c>
    </row>
    <row r="951" spans="1:9" x14ac:dyDescent="0.15">
      <c r="A951" s="9">
        <v>950</v>
      </c>
      <c r="B951" s="10" t="s">
        <v>9</v>
      </c>
      <c r="C951" s="10" t="s">
        <v>363</v>
      </c>
      <c r="D951" s="10" t="s">
        <v>364</v>
      </c>
      <c r="E951" s="11" t="str">
        <f>+HYPERLINK("http://trademark.i-assist.jp/data/china/image_1902th/78981031.pdf", "78981031")</f>
        <v>78981031</v>
      </c>
      <c r="F951" s="10" t="s">
        <v>3009</v>
      </c>
      <c r="G951" s="10" t="s">
        <v>3010</v>
      </c>
      <c r="H951" s="10" t="s">
        <v>3011</v>
      </c>
      <c r="I951" s="10" t="s">
        <v>225</v>
      </c>
    </row>
    <row r="952" spans="1:9" x14ac:dyDescent="0.15">
      <c r="A952" s="9">
        <v>951</v>
      </c>
      <c r="B952" s="10" t="s">
        <v>9</v>
      </c>
      <c r="C952" s="10" t="s">
        <v>363</v>
      </c>
      <c r="D952" s="10" t="s">
        <v>364</v>
      </c>
      <c r="E952" s="11" t="str">
        <f>+HYPERLINK("http://trademark.i-assist.jp/data/china/image_1902th/78981245.pdf", "78981245")</f>
        <v>78981245</v>
      </c>
      <c r="F952" s="10" t="s">
        <v>12</v>
      </c>
      <c r="G952" s="10" t="s">
        <v>3012</v>
      </c>
      <c r="H952" s="10" t="s">
        <v>3013</v>
      </c>
      <c r="I952" s="10" t="s">
        <v>225</v>
      </c>
    </row>
    <row r="953" spans="1:9" x14ac:dyDescent="0.15">
      <c r="A953" s="9">
        <v>952</v>
      </c>
      <c r="B953" s="10" t="s">
        <v>9</v>
      </c>
      <c r="C953" s="10" t="s">
        <v>363</v>
      </c>
      <c r="D953" s="10" t="s">
        <v>364</v>
      </c>
      <c r="E953" s="11" t="str">
        <f>+HYPERLINK("http://trademark.i-assist.jp/data/china/image_1902th/78981249.pdf", "78981249")</f>
        <v>78981249</v>
      </c>
      <c r="F953" s="10" t="s">
        <v>3014</v>
      </c>
      <c r="G953" s="10" t="s">
        <v>3015</v>
      </c>
      <c r="H953" s="10" t="s">
        <v>3016</v>
      </c>
      <c r="I953" s="10" t="s">
        <v>225</v>
      </c>
    </row>
    <row r="954" spans="1:9" x14ac:dyDescent="0.15">
      <c r="A954" s="9">
        <v>953</v>
      </c>
      <c r="B954" s="10" t="s">
        <v>9</v>
      </c>
      <c r="C954" s="10" t="s">
        <v>363</v>
      </c>
      <c r="D954" s="10" t="s">
        <v>364</v>
      </c>
      <c r="E954" s="11" t="str">
        <f>+HYPERLINK("http://trademark.i-assist.jp/data/china/image_1902th/78982145.pdf", "78982145")</f>
        <v>78982145</v>
      </c>
      <c r="F954" s="10" t="s">
        <v>3017</v>
      </c>
      <c r="G954" s="10" t="s">
        <v>3018</v>
      </c>
      <c r="H954" s="10" t="s">
        <v>3019</v>
      </c>
      <c r="I954" s="10" t="s">
        <v>225</v>
      </c>
    </row>
    <row r="955" spans="1:9" x14ac:dyDescent="0.15">
      <c r="A955" s="9">
        <v>954</v>
      </c>
      <c r="B955" s="10" t="s">
        <v>9</v>
      </c>
      <c r="C955" s="10" t="s">
        <v>363</v>
      </c>
      <c r="D955" s="10" t="s">
        <v>364</v>
      </c>
      <c r="E955" s="11" t="str">
        <f>+HYPERLINK("http://trademark.i-assist.jp/data/china/image_1902th/78982362.pdf", "78982362")</f>
        <v>78982362</v>
      </c>
      <c r="F955" s="10" t="s">
        <v>3020</v>
      </c>
      <c r="G955" s="10" t="s">
        <v>3021</v>
      </c>
      <c r="H955" s="10" t="s">
        <v>3022</v>
      </c>
      <c r="I955" s="10" t="s">
        <v>228</v>
      </c>
    </row>
    <row r="956" spans="1:9" x14ac:dyDescent="0.15">
      <c r="A956" s="9">
        <v>955</v>
      </c>
      <c r="B956" s="10" t="s">
        <v>9</v>
      </c>
      <c r="C956" s="10" t="s">
        <v>363</v>
      </c>
      <c r="D956" s="10" t="s">
        <v>364</v>
      </c>
      <c r="E956" s="11" t="str">
        <f>+HYPERLINK("http://trademark.i-assist.jp/data/china/image_1902th/78983115.pdf", "78983115")</f>
        <v>78983115</v>
      </c>
      <c r="F956" s="10" t="s">
        <v>3023</v>
      </c>
      <c r="G956" s="10" t="s">
        <v>3024</v>
      </c>
      <c r="H956" s="10" t="s">
        <v>3025</v>
      </c>
      <c r="I956" s="10" t="s">
        <v>228</v>
      </c>
    </row>
    <row r="957" spans="1:9" x14ac:dyDescent="0.15">
      <c r="A957" s="9">
        <v>956</v>
      </c>
      <c r="B957" s="10" t="s">
        <v>9</v>
      </c>
      <c r="C957" s="10" t="s">
        <v>363</v>
      </c>
      <c r="D957" s="10" t="s">
        <v>364</v>
      </c>
      <c r="E957" s="11" t="str">
        <f>+HYPERLINK("http://trademark.i-assist.jp/data/china/image_1902th/78983116.pdf", "78983116")</f>
        <v>78983116</v>
      </c>
      <c r="F957" s="10" t="s">
        <v>3026</v>
      </c>
      <c r="G957" s="10" t="s">
        <v>3024</v>
      </c>
      <c r="H957" s="10" t="s">
        <v>3027</v>
      </c>
      <c r="I957" s="10" t="s">
        <v>228</v>
      </c>
    </row>
    <row r="958" spans="1:9" x14ac:dyDescent="0.15">
      <c r="A958" s="9">
        <v>957</v>
      </c>
      <c r="B958" s="10" t="s">
        <v>9</v>
      </c>
      <c r="C958" s="10" t="s">
        <v>363</v>
      </c>
      <c r="D958" s="10" t="s">
        <v>364</v>
      </c>
      <c r="E958" s="11" t="str">
        <f>+HYPERLINK("http://trademark.i-assist.jp/data/china/image_1902th/78983444.pdf", "78983444")</f>
        <v>78983444</v>
      </c>
      <c r="F958" s="10" t="s">
        <v>3028</v>
      </c>
      <c r="G958" s="10" t="s">
        <v>3029</v>
      </c>
      <c r="H958" s="10" t="s">
        <v>3030</v>
      </c>
      <c r="I958" s="10" t="s">
        <v>228</v>
      </c>
    </row>
    <row r="959" spans="1:9" x14ac:dyDescent="0.15">
      <c r="A959" s="9">
        <v>958</v>
      </c>
      <c r="B959" s="10" t="s">
        <v>9</v>
      </c>
      <c r="C959" s="10" t="s">
        <v>363</v>
      </c>
      <c r="D959" s="10" t="s">
        <v>364</v>
      </c>
      <c r="E959" s="11" t="str">
        <f>+HYPERLINK("http://trademark.i-assist.jp/data/china/image_1902th/78983547.pdf", "78983547")</f>
        <v>78983547</v>
      </c>
      <c r="F959" s="10" t="s">
        <v>3031</v>
      </c>
      <c r="G959" s="10" t="s">
        <v>3032</v>
      </c>
      <c r="H959" s="10" t="s">
        <v>3033</v>
      </c>
      <c r="I959" s="10" t="s">
        <v>228</v>
      </c>
    </row>
    <row r="960" spans="1:9" x14ac:dyDescent="0.15">
      <c r="A960" s="9">
        <v>959</v>
      </c>
      <c r="B960" s="10" t="s">
        <v>9</v>
      </c>
      <c r="C960" s="10" t="s">
        <v>363</v>
      </c>
      <c r="D960" s="10" t="s">
        <v>364</v>
      </c>
      <c r="E960" s="11" t="str">
        <f>+HYPERLINK("http://trademark.i-assist.jp/data/china/image_1902th/78983618.pdf", "78983618")</f>
        <v>78983618</v>
      </c>
      <c r="F960" s="10" t="s">
        <v>3034</v>
      </c>
      <c r="G960" s="10" t="s">
        <v>3035</v>
      </c>
      <c r="H960" s="10" t="s">
        <v>3036</v>
      </c>
      <c r="I960" s="10" t="s">
        <v>228</v>
      </c>
    </row>
    <row r="961" spans="1:9" x14ac:dyDescent="0.15">
      <c r="A961" s="9">
        <v>960</v>
      </c>
      <c r="B961" s="10" t="s">
        <v>9</v>
      </c>
      <c r="C961" s="10" t="s">
        <v>363</v>
      </c>
      <c r="D961" s="10" t="s">
        <v>364</v>
      </c>
      <c r="E961" s="11" t="str">
        <f>+HYPERLINK("http://trademark.i-assist.jp/data/china/image_1902th/78984165.pdf", "78984165")</f>
        <v>78984165</v>
      </c>
      <c r="F961" s="10" t="s">
        <v>12</v>
      </c>
      <c r="G961" s="10" t="s">
        <v>3037</v>
      </c>
      <c r="H961" s="10" t="s">
        <v>3038</v>
      </c>
      <c r="I961" s="10" t="s">
        <v>228</v>
      </c>
    </row>
    <row r="962" spans="1:9" x14ac:dyDescent="0.15">
      <c r="A962" s="9">
        <v>961</v>
      </c>
      <c r="B962" s="10" t="s">
        <v>9</v>
      </c>
      <c r="C962" s="10" t="s">
        <v>363</v>
      </c>
      <c r="D962" s="10" t="s">
        <v>364</v>
      </c>
      <c r="E962" s="11" t="str">
        <f>+HYPERLINK("http://trademark.i-assist.jp/data/china/image_1902th/78984430.pdf", "78984430")</f>
        <v>78984430</v>
      </c>
      <c r="F962" s="10" t="s">
        <v>3039</v>
      </c>
      <c r="G962" s="10" t="s">
        <v>3040</v>
      </c>
      <c r="H962" s="10" t="s">
        <v>3041</v>
      </c>
      <c r="I962" s="10" t="s">
        <v>228</v>
      </c>
    </row>
    <row r="963" spans="1:9" x14ac:dyDescent="0.15">
      <c r="A963" s="9">
        <v>962</v>
      </c>
      <c r="B963" s="10" t="s">
        <v>9</v>
      </c>
      <c r="C963" s="10" t="s">
        <v>363</v>
      </c>
      <c r="D963" s="10" t="s">
        <v>364</v>
      </c>
      <c r="E963" s="11" t="str">
        <f>+HYPERLINK("http://trademark.i-assist.jp/data/china/image_1902th/78984452.pdf", "78984452")</f>
        <v>78984452</v>
      </c>
      <c r="F963" s="10" t="s">
        <v>3042</v>
      </c>
      <c r="G963" s="10" t="s">
        <v>3043</v>
      </c>
      <c r="H963" s="10" t="s">
        <v>3044</v>
      </c>
      <c r="I963" s="10" t="s">
        <v>228</v>
      </c>
    </row>
    <row r="964" spans="1:9" x14ac:dyDescent="0.15">
      <c r="A964" s="9">
        <v>963</v>
      </c>
      <c r="B964" s="10" t="s">
        <v>9</v>
      </c>
      <c r="C964" s="10" t="s">
        <v>363</v>
      </c>
      <c r="D964" s="10" t="s">
        <v>364</v>
      </c>
      <c r="E964" s="11" t="str">
        <f>+HYPERLINK("http://trademark.i-assist.jp/data/china/image_1902th/78985624.pdf", "78985624")</f>
        <v>78985624</v>
      </c>
      <c r="F964" s="10" t="s">
        <v>3045</v>
      </c>
      <c r="G964" s="10" t="s">
        <v>3046</v>
      </c>
      <c r="H964" s="10" t="s">
        <v>3047</v>
      </c>
      <c r="I964" s="10" t="s">
        <v>229</v>
      </c>
    </row>
    <row r="965" spans="1:9" x14ac:dyDescent="0.15">
      <c r="A965" s="9">
        <v>964</v>
      </c>
      <c r="B965" s="10" t="s">
        <v>9</v>
      </c>
      <c r="C965" s="10" t="s">
        <v>363</v>
      </c>
      <c r="D965" s="10" t="s">
        <v>364</v>
      </c>
      <c r="E965" s="11" t="str">
        <f>+HYPERLINK("http://trademark.i-assist.jp/data/china/image_1902th/78985727.pdf", "78985727")</f>
        <v>78985727</v>
      </c>
      <c r="F965" s="10" t="s">
        <v>3048</v>
      </c>
      <c r="G965" s="10" t="s">
        <v>236</v>
      </c>
      <c r="H965" s="10" t="s">
        <v>3049</v>
      </c>
      <c r="I965" s="10" t="s">
        <v>229</v>
      </c>
    </row>
    <row r="966" spans="1:9" x14ac:dyDescent="0.15">
      <c r="A966" s="9">
        <v>965</v>
      </c>
      <c r="B966" s="10" t="s">
        <v>9</v>
      </c>
      <c r="C966" s="10" t="s">
        <v>363</v>
      </c>
      <c r="D966" s="10" t="s">
        <v>364</v>
      </c>
      <c r="E966" s="11" t="str">
        <f>+HYPERLINK("http://trademark.i-assist.jp/data/china/image_1902th/78986033.pdf", "78986033")</f>
        <v>78986033</v>
      </c>
      <c r="F966" s="10" t="s">
        <v>3050</v>
      </c>
      <c r="G966" s="10" t="s">
        <v>3051</v>
      </c>
      <c r="H966" s="10" t="s">
        <v>3052</v>
      </c>
      <c r="I966" s="10" t="s">
        <v>229</v>
      </c>
    </row>
    <row r="967" spans="1:9" x14ac:dyDescent="0.15">
      <c r="A967" s="9">
        <v>966</v>
      </c>
      <c r="B967" s="10" t="s">
        <v>9</v>
      </c>
      <c r="C967" s="10" t="s">
        <v>363</v>
      </c>
      <c r="D967" s="10" t="s">
        <v>364</v>
      </c>
      <c r="E967" s="11" t="str">
        <f>+HYPERLINK("http://trademark.i-assist.jp/data/china/image_1902th/78986132.pdf", "78986132")</f>
        <v>78986132</v>
      </c>
      <c r="F967" s="10" t="s">
        <v>3053</v>
      </c>
      <c r="G967" s="10" t="s">
        <v>3054</v>
      </c>
      <c r="H967" s="10" t="s">
        <v>3055</v>
      </c>
      <c r="I967" s="10" t="s">
        <v>229</v>
      </c>
    </row>
    <row r="968" spans="1:9" x14ac:dyDescent="0.15">
      <c r="A968" s="9">
        <v>967</v>
      </c>
      <c r="B968" s="10" t="s">
        <v>9</v>
      </c>
      <c r="C968" s="10" t="s">
        <v>363</v>
      </c>
      <c r="D968" s="10" t="s">
        <v>364</v>
      </c>
      <c r="E968" s="11" t="str">
        <f>+HYPERLINK("http://trademark.i-assist.jp/data/china/image_1902th/78986471.pdf", "78986471")</f>
        <v>78986471</v>
      </c>
      <c r="F968" s="10" t="s">
        <v>3056</v>
      </c>
      <c r="G968" s="10" t="s">
        <v>3057</v>
      </c>
      <c r="H968" s="10" t="s">
        <v>3058</v>
      </c>
      <c r="I968" s="10" t="s">
        <v>229</v>
      </c>
    </row>
    <row r="969" spans="1:9" x14ac:dyDescent="0.15">
      <c r="A969" s="9">
        <v>968</v>
      </c>
      <c r="B969" s="10" t="s">
        <v>9</v>
      </c>
      <c r="C969" s="10" t="s">
        <v>363</v>
      </c>
      <c r="D969" s="10" t="s">
        <v>364</v>
      </c>
      <c r="E969" s="11" t="str">
        <f>+HYPERLINK("http://trademark.i-assist.jp/data/china/image_1902th/78986490.pdf", "78986490")</f>
        <v>78986490</v>
      </c>
      <c r="F969" s="10" t="s">
        <v>3059</v>
      </c>
      <c r="G969" s="10" t="s">
        <v>3060</v>
      </c>
      <c r="H969" s="10" t="s">
        <v>3061</v>
      </c>
      <c r="I969" s="10" t="s">
        <v>229</v>
      </c>
    </row>
    <row r="970" spans="1:9" x14ac:dyDescent="0.15">
      <c r="A970" s="9">
        <v>969</v>
      </c>
      <c r="B970" s="10" t="s">
        <v>9</v>
      </c>
      <c r="C970" s="10" t="s">
        <v>363</v>
      </c>
      <c r="D970" s="10" t="s">
        <v>364</v>
      </c>
      <c r="E970" s="11" t="str">
        <f>+HYPERLINK("http://trademark.i-assist.jp/data/china/image_1902th/78986728.pdf", "78986728")</f>
        <v>78986728</v>
      </c>
      <c r="F970" s="10" t="s">
        <v>3062</v>
      </c>
      <c r="G970" s="10" t="s">
        <v>3063</v>
      </c>
      <c r="H970" s="10" t="s">
        <v>3064</v>
      </c>
      <c r="I970" s="10" t="s">
        <v>229</v>
      </c>
    </row>
    <row r="971" spans="1:9" x14ac:dyDescent="0.15">
      <c r="A971" s="9">
        <v>970</v>
      </c>
      <c r="B971" s="10" t="s">
        <v>9</v>
      </c>
      <c r="C971" s="10" t="s">
        <v>363</v>
      </c>
      <c r="D971" s="10" t="s">
        <v>364</v>
      </c>
      <c r="E971" s="11" t="str">
        <f>+HYPERLINK("http://trademark.i-assist.jp/data/china/image_1902th/78987104.pdf", "78987104")</f>
        <v>78987104</v>
      </c>
      <c r="F971" s="10" t="s">
        <v>3065</v>
      </c>
      <c r="G971" s="10" t="s">
        <v>3066</v>
      </c>
      <c r="H971" s="10" t="s">
        <v>3067</v>
      </c>
      <c r="I971" s="10" t="s">
        <v>229</v>
      </c>
    </row>
    <row r="972" spans="1:9" x14ac:dyDescent="0.15">
      <c r="A972" s="9">
        <v>971</v>
      </c>
      <c r="B972" s="10" t="s">
        <v>9</v>
      </c>
      <c r="C972" s="10" t="s">
        <v>363</v>
      </c>
      <c r="D972" s="10" t="s">
        <v>364</v>
      </c>
      <c r="E972" s="11" t="str">
        <f>+HYPERLINK("http://trademark.i-assist.jp/data/china/image_1902th/78987142.pdf", "78987142")</f>
        <v>78987142</v>
      </c>
      <c r="F972" s="10" t="s">
        <v>3068</v>
      </c>
      <c r="G972" s="10" t="s">
        <v>3069</v>
      </c>
      <c r="H972" s="10" t="s">
        <v>3070</v>
      </c>
      <c r="I972" s="10" t="s">
        <v>229</v>
      </c>
    </row>
    <row r="973" spans="1:9" x14ac:dyDescent="0.15">
      <c r="A973" s="9">
        <v>972</v>
      </c>
      <c r="B973" s="10" t="s">
        <v>9</v>
      </c>
      <c r="C973" s="10" t="s">
        <v>363</v>
      </c>
      <c r="D973" s="10" t="s">
        <v>364</v>
      </c>
      <c r="E973" s="11" t="str">
        <f>+HYPERLINK("http://trademark.i-assist.jp/data/china/image_1902th/78987158.pdf", "78987158")</f>
        <v>78987158</v>
      </c>
      <c r="F973" s="10" t="s">
        <v>3071</v>
      </c>
      <c r="G973" s="10" t="s">
        <v>3072</v>
      </c>
      <c r="H973" s="10" t="s">
        <v>3073</v>
      </c>
      <c r="I973" s="10" t="s">
        <v>229</v>
      </c>
    </row>
    <row r="974" spans="1:9" x14ac:dyDescent="0.15">
      <c r="A974" s="9">
        <v>973</v>
      </c>
      <c r="B974" s="10" t="s">
        <v>9</v>
      </c>
      <c r="C974" s="10" t="s">
        <v>363</v>
      </c>
      <c r="D974" s="10" t="s">
        <v>364</v>
      </c>
      <c r="E974" s="11" t="str">
        <f>+HYPERLINK("http://trademark.i-assist.jp/data/china/image_1902th/78988204.pdf", "78988204")</f>
        <v>78988204</v>
      </c>
      <c r="F974" s="10" t="s">
        <v>3074</v>
      </c>
      <c r="G974" s="10" t="s">
        <v>3075</v>
      </c>
      <c r="H974" s="10" t="s">
        <v>3076</v>
      </c>
      <c r="I974" s="10" t="s">
        <v>229</v>
      </c>
    </row>
    <row r="975" spans="1:9" x14ac:dyDescent="0.15">
      <c r="A975" s="9">
        <v>974</v>
      </c>
      <c r="B975" s="10" t="s">
        <v>9</v>
      </c>
      <c r="C975" s="10" t="s">
        <v>363</v>
      </c>
      <c r="D975" s="10" t="s">
        <v>364</v>
      </c>
      <c r="E975" s="11" t="str">
        <f>+HYPERLINK("http://trademark.i-assist.jp/data/china/image_1902th/78988243.pdf", "78988243")</f>
        <v>78988243</v>
      </c>
      <c r="F975" s="10" t="s">
        <v>3077</v>
      </c>
      <c r="G975" s="10" t="s">
        <v>3078</v>
      </c>
      <c r="H975" s="10" t="s">
        <v>3079</v>
      </c>
      <c r="I975" s="10" t="s">
        <v>229</v>
      </c>
    </row>
    <row r="976" spans="1:9" x14ac:dyDescent="0.15">
      <c r="A976" s="9">
        <v>975</v>
      </c>
      <c r="B976" s="10" t="s">
        <v>9</v>
      </c>
      <c r="C976" s="10" t="s">
        <v>363</v>
      </c>
      <c r="D976" s="10" t="s">
        <v>364</v>
      </c>
      <c r="E976" s="11" t="str">
        <f>+HYPERLINK("http://trademark.i-assist.jp/data/china/image_1902th/78988770.pdf", "78988770")</f>
        <v>78988770</v>
      </c>
      <c r="F976" s="10" t="s">
        <v>3080</v>
      </c>
      <c r="G976" s="10" t="s">
        <v>3081</v>
      </c>
      <c r="H976" s="10" t="s">
        <v>3082</v>
      </c>
      <c r="I976" s="10" t="s">
        <v>229</v>
      </c>
    </row>
    <row r="977" spans="1:9" x14ac:dyDescent="0.15">
      <c r="A977" s="9">
        <v>976</v>
      </c>
      <c r="B977" s="10" t="s">
        <v>9</v>
      </c>
      <c r="C977" s="10" t="s">
        <v>363</v>
      </c>
      <c r="D977" s="10" t="s">
        <v>364</v>
      </c>
      <c r="E977" s="11" t="str">
        <f>+HYPERLINK("http://trademark.i-assist.jp/data/china/image_1902th/78988871.pdf", "78988871")</f>
        <v>78988871</v>
      </c>
      <c r="F977" s="10" t="s">
        <v>3083</v>
      </c>
      <c r="G977" s="10" t="s">
        <v>3084</v>
      </c>
      <c r="H977" s="10" t="s">
        <v>3085</v>
      </c>
      <c r="I977" s="10" t="s">
        <v>229</v>
      </c>
    </row>
    <row r="978" spans="1:9" x14ac:dyDescent="0.15">
      <c r="A978" s="9">
        <v>977</v>
      </c>
      <c r="B978" s="10" t="s">
        <v>9</v>
      </c>
      <c r="C978" s="10" t="s">
        <v>363</v>
      </c>
      <c r="D978" s="10" t="s">
        <v>364</v>
      </c>
      <c r="E978" s="11" t="str">
        <f>+HYPERLINK("http://trademark.i-assist.jp/data/china/image_1902th/78989606.pdf", "78989606")</f>
        <v>78989606</v>
      </c>
      <c r="F978" s="10" t="s">
        <v>3086</v>
      </c>
      <c r="G978" s="10" t="s">
        <v>3087</v>
      </c>
      <c r="H978" s="10" t="s">
        <v>3088</v>
      </c>
      <c r="I978" s="10" t="s">
        <v>229</v>
      </c>
    </row>
    <row r="979" spans="1:9" x14ac:dyDescent="0.15">
      <c r="A979" s="9">
        <v>978</v>
      </c>
      <c r="B979" s="10" t="s">
        <v>9</v>
      </c>
      <c r="C979" s="10" t="s">
        <v>363</v>
      </c>
      <c r="D979" s="10" t="s">
        <v>364</v>
      </c>
      <c r="E979" s="11" t="str">
        <f>+HYPERLINK("http://trademark.i-assist.jp/data/china/image_1902th/78989895.pdf", "78989895")</f>
        <v>78989895</v>
      </c>
      <c r="F979" s="10" t="s">
        <v>3089</v>
      </c>
      <c r="G979" s="10" t="s">
        <v>3090</v>
      </c>
      <c r="H979" s="10" t="s">
        <v>3091</v>
      </c>
      <c r="I979" s="10" t="s">
        <v>229</v>
      </c>
    </row>
    <row r="980" spans="1:9" x14ac:dyDescent="0.15">
      <c r="A980" s="9">
        <v>979</v>
      </c>
      <c r="B980" s="10" t="s">
        <v>9</v>
      </c>
      <c r="C980" s="10" t="s">
        <v>363</v>
      </c>
      <c r="D980" s="10" t="s">
        <v>364</v>
      </c>
      <c r="E980" s="11" t="str">
        <f>+HYPERLINK("http://trademark.i-assist.jp/data/china/image_1902th/78990048.pdf", "78990048")</f>
        <v>78990048</v>
      </c>
      <c r="F980" s="10" t="s">
        <v>3092</v>
      </c>
      <c r="G980" s="10" t="s">
        <v>3093</v>
      </c>
      <c r="H980" s="10" t="s">
        <v>3094</v>
      </c>
      <c r="I980" s="10" t="s">
        <v>229</v>
      </c>
    </row>
    <row r="981" spans="1:9" x14ac:dyDescent="0.15">
      <c r="A981" s="9">
        <v>980</v>
      </c>
      <c r="B981" s="10" t="s">
        <v>9</v>
      </c>
      <c r="C981" s="10" t="s">
        <v>363</v>
      </c>
      <c r="D981" s="10" t="s">
        <v>364</v>
      </c>
      <c r="E981" s="11" t="str">
        <f>+HYPERLINK("http://trademark.i-assist.jp/data/china/image_1902th/78990108.pdf", "78990108")</f>
        <v>78990108</v>
      </c>
      <c r="F981" s="10" t="s">
        <v>3095</v>
      </c>
      <c r="G981" s="10" t="s">
        <v>3096</v>
      </c>
      <c r="H981" s="10" t="s">
        <v>3097</v>
      </c>
      <c r="I981" s="10" t="s">
        <v>229</v>
      </c>
    </row>
    <row r="982" spans="1:9" x14ac:dyDescent="0.15">
      <c r="A982" s="9">
        <v>981</v>
      </c>
      <c r="B982" s="10" t="s">
        <v>9</v>
      </c>
      <c r="C982" s="10" t="s">
        <v>363</v>
      </c>
      <c r="D982" s="10" t="s">
        <v>364</v>
      </c>
      <c r="E982" s="11" t="str">
        <f>+HYPERLINK("http://trademark.i-assist.jp/data/china/image_1902th/78990994.pdf", "78990994")</f>
        <v>78990994</v>
      </c>
      <c r="F982" s="10" t="s">
        <v>3098</v>
      </c>
      <c r="G982" s="10" t="s">
        <v>3099</v>
      </c>
      <c r="H982" s="10" t="s">
        <v>3100</v>
      </c>
      <c r="I982" s="10" t="s">
        <v>229</v>
      </c>
    </row>
    <row r="983" spans="1:9" x14ac:dyDescent="0.15">
      <c r="A983" s="9">
        <v>982</v>
      </c>
      <c r="B983" s="10" t="s">
        <v>9</v>
      </c>
      <c r="C983" s="10" t="s">
        <v>363</v>
      </c>
      <c r="D983" s="10" t="s">
        <v>364</v>
      </c>
      <c r="E983" s="11" t="str">
        <f>+HYPERLINK("http://trademark.i-assist.jp/data/china/image_1902th/78991220.pdf", "78991220")</f>
        <v>78991220</v>
      </c>
      <c r="F983" s="10" t="s">
        <v>3101</v>
      </c>
      <c r="G983" s="10" t="s">
        <v>3102</v>
      </c>
      <c r="H983" s="10" t="s">
        <v>3103</v>
      </c>
      <c r="I983" s="10" t="s">
        <v>229</v>
      </c>
    </row>
    <row r="984" spans="1:9" x14ac:dyDescent="0.15">
      <c r="A984" s="9">
        <v>983</v>
      </c>
      <c r="B984" s="10" t="s">
        <v>9</v>
      </c>
      <c r="C984" s="10" t="s">
        <v>363</v>
      </c>
      <c r="D984" s="10" t="s">
        <v>364</v>
      </c>
      <c r="E984" s="11" t="str">
        <f>+HYPERLINK("http://trademark.i-assist.jp/data/china/image_1902th/78991808.pdf", "78991808")</f>
        <v>78991808</v>
      </c>
      <c r="F984" s="10" t="s">
        <v>3104</v>
      </c>
      <c r="G984" s="10" t="s">
        <v>127</v>
      </c>
      <c r="H984" s="10" t="s">
        <v>3105</v>
      </c>
      <c r="I984" s="10" t="s">
        <v>229</v>
      </c>
    </row>
    <row r="985" spans="1:9" x14ac:dyDescent="0.15">
      <c r="A985" s="9">
        <v>984</v>
      </c>
      <c r="B985" s="10" t="s">
        <v>9</v>
      </c>
      <c r="C985" s="10" t="s">
        <v>363</v>
      </c>
      <c r="D985" s="10" t="s">
        <v>364</v>
      </c>
      <c r="E985" s="11" t="str">
        <f>+HYPERLINK("http://trademark.i-assist.jp/data/china/image_1902th/78991900.pdf", "78991900")</f>
        <v>78991900</v>
      </c>
      <c r="F985" s="10" t="s">
        <v>3106</v>
      </c>
      <c r="G985" s="10" t="s">
        <v>3107</v>
      </c>
      <c r="H985" s="10" t="s">
        <v>3108</v>
      </c>
      <c r="I985" s="10" t="s">
        <v>229</v>
      </c>
    </row>
    <row r="986" spans="1:9" x14ac:dyDescent="0.15">
      <c r="A986" s="9">
        <v>985</v>
      </c>
      <c r="B986" s="10" t="s">
        <v>9</v>
      </c>
      <c r="C986" s="10" t="s">
        <v>363</v>
      </c>
      <c r="D986" s="10" t="s">
        <v>364</v>
      </c>
      <c r="E986" s="11" t="str">
        <f>+HYPERLINK("http://trademark.i-assist.jp/data/china/image_1902th/78991943.pdf", "78991943")</f>
        <v>78991943</v>
      </c>
      <c r="F986" s="10" t="s">
        <v>3109</v>
      </c>
      <c r="G986" s="10" t="s">
        <v>3110</v>
      </c>
      <c r="H986" s="10" t="s">
        <v>3111</v>
      </c>
      <c r="I986" s="10" t="s">
        <v>229</v>
      </c>
    </row>
    <row r="987" spans="1:9" x14ac:dyDescent="0.15">
      <c r="A987" s="9">
        <v>986</v>
      </c>
      <c r="B987" s="10" t="s">
        <v>9</v>
      </c>
      <c r="C987" s="10" t="s">
        <v>363</v>
      </c>
      <c r="D987" s="10" t="s">
        <v>364</v>
      </c>
      <c r="E987" s="11" t="str">
        <f>+HYPERLINK("http://trademark.i-assist.jp/data/china/image_1902th/78992052.pdf", "78992052")</f>
        <v>78992052</v>
      </c>
      <c r="F987" s="10" t="s">
        <v>3112</v>
      </c>
      <c r="G987" s="10" t="s">
        <v>3113</v>
      </c>
      <c r="H987" s="10" t="s">
        <v>3114</v>
      </c>
      <c r="I987" s="10" t="s">
        <v>229</v>
      </c>
    </row>
    <row r="988" spans="1:9" x14ac:dyDescent="0.15">
      <c r="A988" s="9">
        <v>987</v>
      </c>
      <c r="B988" s="10" t="s">
        <v>9</v>
      </c>
      <c r="C988" s="10" t="s">
        <v>363</v>
      </c>
      <c r="D988" s="10" t="s">
        <v>364</v>
      </c>
      <c r="E988" s="11" t="str">
        <f>+HYPERLINK("http://trademark.i-assist.jp/data/china/image_1902th/78992099.pdf", "78992099")</f>
        <v>78992099</v>
      </c>
      <c r="F988" s="10" t="s">
        <v>3115</v>
      </c>
      <c r="G988" s="10" t="s">
        <v>3116</v>
      </c>
      <c r="H988" s="10" t="s">
        <v>3117</v>
      </c>
      <c r="I988" s="10" t="s">
        <v>229</v>
      </c>
    </row>
    <row r="989" spans="1:9" x14ac:dyDescent="0.15">
      <c r="A989" s="9">
        <v>988</v>
      </c>
      <c r="B989" s="10" t="s">
        <v>9</v>
      </c>
      <c r="C989" s="10" t="s">
        <v>363</v>
      </c>
      <c r="D989" s="10" t="s">
        <v>364</v>
      </c>
      <c r="E989" s="11" t="str">
        <f>+HYPERLINK("http://trademark.i-assist.jp/data/china/image_1902th/78992823.pdf", "78992823")</f>
        <v>78992823</v>
      </c>
      <c r="F989" s="10" t="s">
        <v>3118</v>
      </c>
      <c r="G989" s="10" t="s">
        <v>3119</v>
      </c>
      <c r="H989" s="10" t="s">
        <v>3120</v>
      </c>
      <c r="I989" s="10" t="s">
        <v>229</v>
      </c>
    </row>
    <row r="990" spans="1:9" x14ac:dyDescent="0.15">
      <c r="A990" s="9">
        <v>989</v>
      </c>
      <c r="B990" s="10" t="s">
        <v>9</v>
      </c>
      <c r="C990" s="10" t="s">
        <v>363</v>
      </c>
      <c r="D990" s="10" t="s">
        <v>364</v>
      </c>
      <c r="E990" s="11" t="str">
        <f>+HYPERLINK("http://trademark.i-assist.jp/data/china/image_1902th/78992986.pdf", "78992986")</f>
        <v>78992986</v>
      </c>
      <c r="F990" s="10" t="s">
        <v>3121</v>
      </c>
      <c r="G990" s="10" t="s">
        <v>3051</v>
      </c>
      <c r="H990" s="10" t="s">
        <v>3122</v>
      </c>
      <c r="I990" s="10" t="s">
        <v>229</v>
      </c>
    </row>
    <row r="991" spans="1:9" x14ac:dyDescent="0.15">
      <c r="A991" s="9">
        <v>990</v>
      </c>
      <c r="B991" s="10" t="s">
        <v>9</v>
      </c>
      <c r="C991" s="10" t="s">
        <v>363</v>
      </c>
      <c r="D991" s="10" t="s">
        <v>364</v>
      </c>
      <c r="E991" s="11" t="str">
        <f>+HYPERLINK("http://trademark.i-assist.jp/data/china/image_1902th/78993176.pdf", "78993176")</f>
        <v>78993176</v>
      </c>
      <c r="F991" s="10" t="s">
        <v>3123</v>
      </c>
      <c r="G991" s="10" t="s">
        <v>227</v>
      </c>
      <c r="H991" s="10" t="s">
        <v>3124</v>
      </c>
      <c r="I991" s="10" t="s">
        <v>229</v>
      </c>
    </row>
    <row r="992" spans="1:9" x14ac:dyDescent="0.15">
      <c r="A992" s="9">
        <v>991</v>
      </c>
      <c r="B992" s="10" t="s">
        <v>9</v>
      </c>
      <c r="C992" s="10" t="s">
        <v>363</v>
      </c>
      <c r="D992" s="10" t="s">
        <v>364</v>
      </c>
      <c r="E992" s="11" t="str">
        <f>+HYPERLINK("http://trademark.i-assist.jp/data/china/image_1902th/78993237.pdf", "78993237")</f>
        <v>78993237</v>
      </c>
      <c r="F992" s="10" t="s">
        <v>3125</v>
      </c>
      <c r="G992" s="10" t="s">
        <v>3126</v>
      </c>
      <c r="H992" s="10" t="s">
        <v>3127</v>
      </c>
      <c r="I992" s="10" t="s">
        <v>229</v>
      </c>
    </row>
    <row r="993" spans="1:9" x14ac:dyDescent="0.15">
      <c r="A993" s="9">
        <v>992</v>
      </c>
      <c r="B993" s="10" t="s">
        <v>9</v>
      </c>
      <c r="C993" s="10" t="s">
        <v>363</v>
      </c>
      <c r="D993" s="10" t="s">
        <v>364</v>
      </c>
      <c r="E993" s="11" t="str">
        <f>+HYPERLINK("http://trademark.i-assist.jp/data/china/image_1902th/78993280.pdf", "78993280")</f>
        <v>78993280</v>
      </c>
      <c r="F993" s="10" t="s">
        <v>3128</v>
      </c>
      <c r="G993" s="10" t="s">
        <v>3129</v>
      </c>
      <c r="H993" s="10" t="s">
        <v>3130</v>
      </c>
      <c r="I993" s="10" t="s">
        <v>229</v>
      </c>
    </row>
    <row r="994" spans="1:9" x14ac:dyDescent="0.15">
      <c r="A994" s="9">
        <v>993</v>
      </c>
      <c r="B994" s="10" t="s">
        <v>9</v>
      </c>
      <c r="C994" s="10" t="s">
        <v>363</v>
      </c>
      <c r="D994" s="10" t="s">
        <v>364</v>
      </c>
      <c r="E994" s="11" t="str">
        <f>+HYPERLINK("http://trademark.i-assist.jp/data/china/image_1902th/78993284.pdf", "78993284")</f>
        <v>78993284</v>
      </c>
      <c r="F994" s="10" t="s">
        <v>3131</v>
      </c>
      <c r="G994" s="10" t="s">
        <v>3132</v>
      </c>
      <c r="H994" s="10" t="s">
        <v>3133</v>
      </c>
      <c r="I994" s="10" t="s">
        <v>229</v>
      </c>
    </row>
    <row r="995" spans="1:9" x14ac:dyDescent="0.15">
      <c r="A995" s="9">
        <v>994</v>
      </c>
      <c r="B995" s="10" t="s">
        <v>9</v>
      </c>
      <c r="C995" s="10" t="s">
        <v>363</v>
      </c>
      <c r="D995" s="10" t="s">
        <v>364</v>
      </c>
      <c r="E995" s="11" t="str">
        <f>+HYPERLINK("http://trademark.i-assist.jp/data/china/image_1902th/78993408.pdf", "78993408")</f>
        <v>78993408</v>
      </c>
      <c r="F995" s="10" t="s">
        <v>3134</v>
      </c>
      <c r="G995" s="10" t="s">
        <v>3135</v>
      </c>
      <c r="H995" s="10" t="s">
        <v>3136</v>
      </c>
      <c r="I995" s="10" t="s">
        <v>229</v>
      </c>
    </row>
    <row r="996" spans="1:9" x14ac:dyDescent="0.15">
      <c r="A996" s="9">
        <v>995</v>
      </c>
      <c r="B996" s="10" t="s">
        <v>9</v>
      </c>
      <c r="C996" s="10" t="s">
        <v>363</v>
      </c>
      <c r="D996" s="10" t="s">
        <v>364</v>
      </c>
      <c r="E996" s="11" t="str">
        <f>+HYPERLINK("http://trademark.i-assist.jp/data/china/image_1902th/78993428.pdf", "78993428")</f>
        <v>78993428</v>
      </c>
      <c r="F996" s="10" t="s">
        <v>3134</v>
      </c>
      <c r="G996" s="10" t="s">
        <v>3135</v>
      </c>
      <c r="H996" s="10" t="s">
        <v>3137</v>
      </c>
      <c r="I996" s="10" t="s">
        <v>229</v>
      </c>
    </row>
    <row r="997" spans="1:9" x14ac:dyDescent="0.15">
      <c r="A997" s="9">
        <v>996</v>
      </c>
      <c r="B997" s="10" t="s">
        <v>9</v>
      </c>
      <c r="C997" s="10" t="s">
        <v>363</v>
      </c>
      <c r="D997" s="10" t="s">
        <v>364</v>
      </c>
      <c r="E997" s="11" t="str">
        <f>+HYPERLINK("http://trademark.i-assist.jp/data/china/image_1902th/78993568.pdf", "78993568")</f>
        <v>78993568</v>
      </c>
      <c r="F997" s="10" t="s">
        <v>3138</v>
      </c>
      <c r="G997" s="10" t="s">
        <v>3139</v>
      </c>
      <c r="H997" s="10" t="s">
        <v>3140</v>
      </c>
      <c r="I997" s="10" t="s">
        <v>229</v>
      </c>
    </row>
    <row r="998" spans="1:9" x14ac:dyDescent="0.15">
      <c r="A998" s="9">
        <v>997</v>
      </c>
      <c r="B998" s="10" t="s">
        <v>9</v>
      </c>
      <c r="C998" s="10" t="s">
        <v>363</v>
      </c>
      <c r="D998" s="10" t="s">
        <v>364</v>
      </c>
      <c r="E998" s="11" t="str">
        <f>+HYPERLINK("http://trademark.i-assist.jp/data/china/image_1902th/78993578.pdf", "78993578")</f>
        <v>78993578</v>
      </c>
      <c r="F998" s="10" t="s">
        <v>3141</v>
      </c>
      <c r="G998" s="10" t="s">
        <v>3142</v>
      </c>
      <c r="H998" s="10" t="s">
        <v>3143</v>
      </c>
      <c r="I998" s="10" t="s">
        <v>229</v>
      </c>
    </row>
    <row r="999" spans="1:9" x14ac:dyDescent="0.15">
      <c r="A999" s="9">
        <v>998</v>
      </c>
      <c r="B999" s="10" t="s">
        <v>9</v>
      </c>
      <c r="C999" s="10" t="s">
        <v>363</v>
      </c>
      <c r="D999" s="10" t="s">
        <v>364</v>
      </c>
      <c r="E999" s="11" t="str">
        <f>+HYPERLINK("http://trademark.i-assist.jp/data/china/image_1902th/78993669.pdf", "78993669")</f>
        <v>78993669</v>
      </c>
      <c r="F999" s="10" t="s">
        <v>3144</v>
      </c>
      <c r="G999" s="10" t="s">
        <v>3145</v>
      </c>
      <c r="H999" s="10" t="s">
        <v>3146</v>
      </c>
      <c r="I999" s="10" t="s">
        <v>229</v>
      </c>
    </row>
    <row r="1000" spans="1:9" x14ac:dyDescent="0.15">
      <c r="A1000" s="9">
        <v>999</v>
      </c>
      <c r="B1000" s="10" t="s">
        <v>9</v>
      </c>
      <c r="C1000" s="10" t="s">
        <v>363</v>
      </c>
      <c r="D1000" s="10" t="s">
        <v>364</v>
      </c>
      <c r="E1000" s="11" t="str">
        <f>+HYPERLINK("http://trademark.i-assist.jp/data/china/image_1902th/78994196.pdf", "78994196")</f>
        <v>78994196</v>
      </c>
      <c r="F1000" s="10" t="s">
        <v>3147</v>
      </c>
      <c r="G1000" s="10" t="s">
        <v>3148</v>
      </c>
      <c r="H1000" s="10" t="s">
        <v>3149</v>
      </c>
      <c r="I1000" s="10" t="s">
        <v>229</v>
      </c>
    </row>
    <row r="1001" spans="1:9" x14ac:dyDescent="0.15">
      <c r="A1001" s="9">
        <v>1000</v>
      </c>
      <c r="B1001" s="10" t="s">
        <v>9</v>
      </c>
      <c r="C1001" s="10" t="s">
        <v>363</v>
      </c>
      <c r="D1001" s="10" t="s">
        <v>364</v>
      </c>
      <c r="E1001" s="11" t="str">
        <f>+HYPERLINK("http://trademark.i-assist.jp/data/china/image_1902th/78994311.pdf", "78994311")</f>
        <v>78994311</v>
      </c>
      <c r="F1001" s="10" t="s">
        <v>3150</v>
      </c>
      <c r="G1001" s="10" t="s">
        <v>33</v>
      </c>
      <c r="H1001" s="10" t="s">
        <v>3151</v>
      </c>
      <c r="I1001" s="10" t="s">
        <v>229</v>
      </c>
    </row>
    <row r="1002" spans="1:9" x14ac:dyDescent="0.15">
      <c r="A1002" s="9">
        <v>1001</v>
      </c>
      <c r="B1002" s="10" t="s">
        <v>9</v>
      </c>
      <c r="C1002" s="10" t="s">
        <v>363</v>
      </c>
      <c r="D1002" s="10" t="s">
        <v>364</v>
      </c>
      <c r="E1002" s="11" t="str">
        <f>+HYPERLINK("http://trademark.i-assist.jp/data/china/image_1902th/78994631.pdf", "78994631")</f>
        <v>78994631</v>
      </c>
      <c r="F1002" s="10" t="s">
        <v>3152</v>
      </c>
      <c r="G1002" s="10" t="s">
        <v>3153</v>
      </c>
      <c r="H1002" s="10" t="s">
        <v>3154</v>
      </c>
      <c r="I1002" s="10" t="s">
        <v>229</v>
      </c>
    </row>
    <row r="1003" spans="1:9" x14ac:dyDescent="0.15">
      <c r="A1003" s="9">
        <v>1002</v>
      </c>
      <c r="B1003" s="10" t="s">
        <v>9</v>
      </c>
      <c r="C1003" s="10" t="s">
        <v>363</v>
      </c>
      <c r="D1003" s="10" t="s">
        <v>364</v>
      </c>
      <c r="E1003" s="11" t="str">
        <f>+HYPERLINK("http://trademark.i-assist.jp/data/china/image_1902th/78994770.pdf", "78994770")</f>
        <v>78994770</v>
      </c>
      <c r="F1003" s="10" t="s">
        <v>3155</v>
      </c>
      <c r="G1003" s="10" t="s">
        <v>3156</v>
      </c>
      <c r="H1003" s="10" t="s">
        <v>3157</v>
      </c>
      <c r="I1003" s="10" t="s">
        <v>229</v>
      </c>
    </row>
    <row r="1004" spans="1:9" x14ac:dyDescent="0.15">
      <c r="A1004" s="9">
        <v>1003</v>
      </c>
      <c r="B1004" s="10" t="s">
        <v>9</v>
      </c>
      <c r="C1004" s="10" t="s">
        <v>363</v>
      </c>
      <c r="D1004" s="10" t="s">
        <v>364</v>
      </c>
      <c r="E1004" s="11" t="str">
        <f>+HYPERLINK("http://trademark.i-assist.jp/data/china/image_1902th/78995161.pdf", "78995161")</f>
        <v>78995161</v>
      </c>
      <c r="F1004" s="10" t="s">
        <v>3158</v>
      </c>
      <c r="G1004" s="10" t="s">
        <v>3159</v>
      </c>
      <c r="H1004" s="10" t="s">
        <v>3160</v>
      </c>
      <c r="I1004" s="10" t="s">
        <v>229</v>
      </c>
    </row>
    <row r="1005" spans="1:9" x14ac:dyDescent="0.15">
      <c r="A1005" s="9">
        <v>1004</v>
      </c>
      <c r="B1005" s="10" t="s">
        <v>9</v>
      </c>
      <c r="C1005" s="10" t="s">
        <v>363</v>
      </c>
      <c r="D1005" s="10" t="s">
        <v>364</v>
      </c>
      <c r="E1005" s="11" t="str">
        <f>+HYPERLINK("http://trademark.i-assist.jp/data/china/image_1902th/78995202.pdf", "78995202")</f>
        <v>78995202</v>
      </c>
      <c r="F1005" s="10" t="s">
        <v>3161</v>
      </c>
      <c r="G1005" s="10" t="s">
        <v>3162</v>
      </c>
      <c r="H1005" s="10" t="s">
        <v>3163</v>
      </c>
      <c r="I1005" s="10" t="s">
        <v>229</v>
      </c>
    </row>
    <row r="1006" spans="1:9" x14ac:dyDescent="0.15">
      <c r="A1006" s="9">
        <v>1005</v>
      </c>
      <c r="B1006" s="10" t="s">
        <v>9</v>
      </c>
      <c r="C1006" s="10" t="s">
        <v>363</v>
      </c>
      <c r="D1006" s="10" t="s">
        <v>364</v>
      </c>
      <c r="E1006" s="11" t="str">
        <f>+HYPERLINK("http://trademark.i-assist.jp/data/china/image_1902th/78995417.pdf", "78995417")</f>
        <v>78995417</v>
      </c>
      <c r="F1006" s="10" t="s">
        <v>3164</v>
      </c>
      <c r="G1006" s="10" t="s">
        <v>3165</v>
      </c>
      <c r="H1006" s="10" t="s">
        <v>3166</v>
      </c>
      <c r="I1006" s="10" t="s">
        <v>229</v>
      </c>
    </row>
    <row r="1007" spans="1:9" x14ac:dyDescent="0.15">
      <c r="A1007" s="9">
        <v>1006</v>
      </c>
      <c r="B1007" s="10" t="s">
        <v>9</v>
      </c>
      <c r="C1007" s="10" t="s">
        <v>363</v>
      </c>
      <c r="D1007" s="10" t="s">
        <v>364</v>
      </c>
      <c r="E1007" s="11" t="str">
        <f>+HYPERLINK("http://trademark.i-assist.jp/data/china/image_1902th/78996025.pdf", "78996025")</f>
        <v>78996025</v>
      </c>
      <c r="F1007" s="10" t="s">
        <v>3167</v>
      </c>
      <c r="G1007" s="10" t="s">
        <v>3168</v>
      </c>
      <c r="H1007" s="10" t="s">
        <v>3169</v>
      </c>
      <c r="I1007" s="10" t="s">
        <v>229</v>
      </c>
    </row>
    <row r="1008" spans="1:9" x14ac:dyDescent="0.15">
      <c r="A1008" s="9">
        <v>1007</v>
      </c>
      <c r="B1008" s="10" t="s">
        <v>9</v>
      </c>
      <c r="C1008" s="10" t="s">
        <v>363</v>
      </c>
      <c r="D1008" s="10" t="s">
        <v>364</v>
      </c>
      <c r="E1008" s="11" t="str">
        <f>+HYPERLINK("http://trademark.i-assist.jp/data/china/image_1902th/78996034.pdf", "78996034")</f>
        <v>78996034</v>
      </c>
      <c r="F1008" s="10" t="s">
        <v>3170</v>
      </c>
      <c r="G1008" s="10" t="s">
        <v>240</v>
      </c>
      <c r="H1008" s="10" t="s">
        <v>3171</v>
      </c>
      <c r="I1008" s="10" t="s">
        <v>229</v>
      </c>
    </row>
    <row r="1009" spans="1:9" x14ac:dyDescent="0.15">
      <c r="A1009" s="9">
        <v>1008</v>
      </c>
      <c r="B1009" s="10" t="s">
        <v>9</v>
      </c>
      <c r="C1009" s="10" t="s">
        <v>363</v>
      </c>
      <c r="D1009" s="10" t="s">
        <v>364</v>
      </c>
      <c r="E1009" s="11" t="str">
        <f>+HYPERLINK("http://trademark.i-assist.jp/data/china/image_1902th/78996291.pdf", "78996291")</f>
        <v>78996291</v>
      </c>
      <c r="F1009" s="10" t="s">
        <v>3172</v>
      </c>
      <c r="G1009" s="10" t="s">
        <v>3173</v>
      </c>
      <c r="H1009" s="10" t="s">
        <v>3174</v>
      </c>
      <c r="I1009" s="10" t="s">
        <v>229</v>
      </c>
    </row>
    <row r="1010" spans="1:9" x14ac:dyDescent="0.15">
      <c r="A1010" s="9">
        <v>1009</v>
      </c>
      <c r="B1010" s="10" t="s">
        <v>9</v>
      </c>
      <c r="C1010" s="10" t="s">
        <v>363</v>
      </c>
      <c r="D1010" s="10" t="s">
        <v>364</v>
      </c>
      <c r="E1010" s="11" t="str">
        <f>+HYPERLINK("http://trademark.i-assist.jp/data/china/image_1902th/78996297.pdf", "78996297")</f>
        <v>78996297</v>
      </c>
      <c r="F1010" s="10" t="s">
        <v>3109</v>
      </c>
      <c r="G1010" s="10" t="s">
        <v>3110</v>
      </c>
      <c r="H1010" s="10" t="s">
        <v>3175</v>
      </c>
      <c r="I1010" s="10" t="s">
        <v>229</v>
      </c>
    </row>
    <row r="1011" spans="1:9" x14ac:dyDescent="0.15">
      <c r="A1011" s="9">
        <v>1010</v>
      </c>
      <c r="B1011" s="10" t="s">
        <v>9</v>
      </c>
      <c r="C1011" s="10" t="s">
        <v>363</v>
      </c>
      <c r="D1011" s="10" t="s">
        <v>364</v>
      </c>
      <c r="E1011" s="11" t="str">
        <f>+HYPERLINK("http://trademark.i-assist.jp/data/china/image_1902th/78996680.pdf", "78996680")</f>
        <v>78996680</v>
      </c>
      <c r="F1011" s="10" t="s">
        <v>3176</v>
      </c>
      <c r="G1011" s="10" t="s">
        <v>3177</v>
      </c>
      <c r="H1011" s="10" t="s">
        <v>3178</v>
      </c>
      <c r="I1011" s="10" t="s">
        <v>229</v>
      </c>
    </row>
    <row r="1012" spans="1:9" x14ac:dyDescent="0.15">
      <c r="A1012" s="9">
        <v>1011</v>
      </c>
      <c r="B1012" s="10" t="s">
        <v>9</v>
      </c>
      <c r="C1012" s="10" t="s">
        <v>363</v>
      </c>
      <c r="D1012" s="10" t="s">
        <v>364</v>
      </c>
      <c r="E1012" s="11" t="str">
        <f>+HYPERLINK("http://trademark.i-assist.jp/data/china/image_1902th/78996710.pdf", "78996710")</f>
        <v>78996710</v>
      </c>
      <c r="F1012" s="10" t="s">
        <v>3179</v>
      </c>
      <c r="G1012" s="10" t="s">
        <v>3180</v>
      </c>
      <c r="H1012" s="10" t="s">
        <v>3181</v>
      </c>
      <c r="I1012" s="10" t="s">
        <v>229</v>
      </c>
    </row>
    <row r="1013" spans="1:9" x14ac:dyDescent="0.15">
      <c r="A1013" s="9">
        <v>1012</v>
      </c>
      <c r="B1013" s="10" t="s">
        <v>9</v>
      </c>
      <c r="C1013" s="10" t="s">
        <v>363</v>
      </c>
      <c r="D1013" s="10" t="s">
        <v>364</v>
      </c>
      <c r="E1013" s="11" t="str">
        <f>+HYPERLINK("http://trademark.i-assist.jp/data/china/image_1902th/78996739.pdf", "78996739")</f>
        <v>78996739</v>
      </c>
      <c r="F1013" s="10" t="s">
        <v>3182</v>
      </c>
      <c r="G1013" s="10" t="s">
        <v>3183</v>
      </c>
      <c r="H1013" s="10" t="s">
        <v>3184</v>
      </c>
      <c r="I1013" s="10" t="s">
        <v>229</v>
      </c>
    </row>
    <row r="1014" spans="1:9" x14ac:dyDescent="0.15">
      <c r="A1014" s="9">
        <v>1013</v>
      </c>
      <c r="B1014" s="10" t="s">
        <v>9</v>
      </c>
      <c r="C1014" s="10" t="s">
        <v>363</v>
      </c>
      <c r="D1014" s="10" t="s">
        <v>364</v>
      </c>
      <c r="E1014" s="11" t="str">
        <f>+HYPERLINK("http://trademark.i-assist.jp/data/china/image_1902th/78997064.pdf", "78997064")</f>
        <v>78997064</v>
      </c>
      <c r="F1014" s="10" t="s">
        <v>3185</v>
      </c>
      <c r="G1014" s="10" t="s">
        <v>3186</v>
      </c>
      <c r="H1014" s="10" t="s">
        <v>3187</v>
      </c>
      <c r="I1014" s="10" t="s">
        <v>229</v>
      </c>
    </row>
    <row r="1015" spans="1:9" x14ac:dyDescent="0.15">
      <c r="A1015" s="9">
        <v>1014</v>
      </c>
      <c r="B1015" s="10" t="s">
        <v>9</v>
      </c>
      <c r="C1015" s="10" t="s">
        <v>363</v>
      </c>
      <c r="D1015" s="10" t="s">
        <v>364</v>
      </c>
      <c r="E1015" s="11" t="str">
        <f>+HYPERLINK("http://trademark.i-assist.jp/data/china/image_1902th/78997334.pdf", "78997334")</f>
        <v>78997334</v>
      </c>
      <c r="F1015" s="10" t="s">
        <v>12</v>
      </c>
      <c r="G1015" s="10" t="s">
        <v>3188</v>
      </c>
      <c r="H1015" s="10" t="s">
        <v>3189</v>
      </c>
      <c r="I1015" s="10" t="s">
        <v>229</v>
      </c>
    </row>
    <row r="1016" spans="1:9" x14ac:dyDescent="0.15">
      <c r="A1016" s="9">
        <v>1015</v>
      </c>
      <c r="B1016" s="10" t="s">
        <v>9</v>
      </c>
      <c r="C1016" s="10" t="s">
        <v>363</v>
      </c>
      <c r="D1016" s="10" t="s">
        <v>364</v>
      </c>
      <c r="E1016" s="11" t="str">
        <f>+HYPERLINK("http://trademark.i-assist.jp/data/china/image_1902th/78997414.pdf", "78997414")</f>
        <v>78997414</v>
      </c>
      <c r="F1016" s="10" t="s">
        <v>3190</v>
      </c>
      <c r="G1016" s="10" t="s">
        <v>3191</v>
      </c>
      <c r="H1016" s="10" t="s">
        <v>3192</v>
      </c>
      <c r="I1016" s="10" t="s">
        <v>229</v>
      </c>
    </row>
    <row r="1017" spans="1:9" x14ac:dyDescent="0.15">
      <c r="A1017" s="9">
        <v>1016</v>
      </c>
      <c r="B1017" s="10" t="s">
        <v>9</v>
      </c>
      <c r="C1017" s="10" t="s">
        <v>363</v>
      </c>
      <c r="D1017" s="10" t="s">
        <v>364</v>
      </c>
      <c r="E1017" s="11" t="str">
        <f>+HYPERLINK("http://trademark.i-assist.jp/data/china/image_1902th/78997484.pdf", "78997484")</f>
        <v>78997484</v>
      </c>
      <c r="F1017" s="10" t="s">
        <v>3193</v>
      </c>
      <c r="G1017" s="10" t="s">
        <v>3194</v>
      </c>
      <c r="H1017" s="10" t="s">
        <v>3195</v>
      </c>
      <c r="I1017" s="10" t="s">
        <v>229</v>
      </c>
    </row>
    <row r="1018" spans="1:9" x14ac:dyDescent="0.15">
      <c r="A1018" s="9">
        <v>1017</v>
      </c>
      <c r="B1018" s="10" t="s">
        <v>9</v>
      </c>
      <c r="C1018" s="10" t="s">
        <v>363</v>
      </c>
      <c r="D1018" s="10" t="s">
        <v>364</v>
      </c>
      <c r="E1018" s="11" t="str">
        <f>+HYPERLINK("http://trademark.i-assist.jp/data/china/image_1902th/78997657.pdf", "78997657")</f>
        <v>78997657</v>
      </c>
      <c r="F1018" s="10" t="s">
        <v>3196</v>
      </c>
      <c r="G1018" s="10" t="s">
        <v>3197</v>
      </c>
      <c r="H1018" s="10" t="s">
        <v>3198</v>
      </c>
      <c r="I1018" s="10" t="s">
        <v>229</v>
      </c>
    </row>
    <row r="1019" spans="1:9" x14ac:dyDescent="0.15">
      <c r="A1019" s="9">
        <v>1018</v>
      </c>
      <c r="B1019" s="10" t="s">
        <v>9</v>
      </c>
      <c r="C1019" s="10" t="s">
        <v>363</v>
      </c>
      <c r="D1019" s="10" t="s">
        <v>364</v>
      </c>
      <c r="E1019" s="11" t="str">
        <f>+HYPERLINK("http://trademark.i-assist.jp/data/china/image_1902th/78997694.pdf", "78997694")</f>
        <v>78997694</v>
      </c>
      <c r="F1019" s="10" t="s">
        <v>3199</v>
      </c>
      <c r="G1019" s="10" t="s">
        <v>233</v>
      </c>
      <c r="H1019" s="10" t="s">
        <v>3200</v>
      </c>
      <c r="I1019" s="10" t="s">
        <v>229</v>
      </c>
    </row>
    <row r="1020" spans="1:9" x14ac:dyDescent="0.15">
      <c r="A1020" s="9">
        <v>1019</v>
      </c>
      <c r="B1020" s="10" t="s">
        <v>9</v>
      </c>
      <c r="C1020" s="10" t="s">
        <v>363</v>
      </c>
      <c r="D1020" s="10" t="s">
        <v>364</v>
      </c>
      <c r="E1020" s="11" t="str">
        <f>+HYPERLINK("http://trademark.i-assist.jp/data/china/image_1902th/78998178.pdf", "78998178")</f>
        <v>78998178</v>
      </c>
      <c r="F1020" s="10" t="s">
        <v>3201</v>
      </c>
      <c r="G1020" s="10" t="s">
        <v>3202</v>
      </c>
      <c r="H1020" s="10" t="s">
        <v>3203</v>
      </c>
      <c r="I1020" s="10" t="s">
        <v>229</v>
      </c>
    </row>
    <row r="1021" spans="1:9" x14ac:dyDescent="0.15">
      <c r="A1021" s="9">
        <v>1020</v>
      </c>
      <c r="B1021" s="10" t="s">
        <v>9</v>
      </c>
      <c r="C1021" s="10" t="s">
        <v>363</v>
      </c>
      <c r="D1021" s="10" t="s">
        <v>364</v>
      </c>
      <c r="E1021" s="11" t="str">
        <f>+HYPERLINK("http://trademark.i-assist.jp/data/china/image_1902th/78998254.pdf", "78998254")</f>
        <v>78998254</v>
      </c>
      <c r="F1021" s="10" t="s">
        <v>3204</v>
      </c>
      <c r="G1021" s="10" t="s">
        <v>3205</v>
      </c>
      <c r="H1021" s="10" t="s">
        <v>3206</v>
      </c>
      <c r="I1021" s="10" t="s">
        <v>229</v>
      </c>
    </row>
    <row r="1022" spans="1:9" x14ac:dyDescent="0.15">
      <c r="A1022" s="9">
        <v>1021</v>
      </c>
      <c r="B1022" s="10" t="s">
        <v>9</v>
      </c>
      <c r="C1022" s="10" t="s">
        <v>363</v>
      </c>
      <c r="D1022" s="10" t="s">
        <v>364</v>
      </c>
      <c r="E1022" s="11" t="str">
        <f>+HYPERLINK("http://trademark.i-assist.jp/data/china/image_1902th/78998748.pdf", "78998748")</f>
        <v>78998748</v>
      </c>
      <c r="F1022" s="10" t="s">
        <v>3207</v>
      </c>
      <c r="G1022" s="10" t="s">
        <v>3208</v>
      </c>
      <c r="H1022" s="10" t="s">
        <v>3209</v>
      </c>
      <c r="I1022" s="10" t="s">
        <v>229</v>
      </c>
    </row>
    <row r="1023" spans="1:9" x14ac:dyDescent="0.15">
      <c r="A1023" s="9">
        <v>1022</v>
      </c>
      <c r="B1023" s="10" t="s">
        <v>9</v>
      </c>
      <c r="C1023" s="10" t="s">
        <v>363</v>
      </c>
      <c r="D1023" s="10" t="s">
        <v>364</v>
      </c>
      <c r="E1023" s="11" t="str">
        <f>+HYPERLINK("http://trademark.i-assist.jp/data/china/image_1902th/78998758.pdf", "78998758")</f>
        <v>78998758</v>
      </c>
      <c r="F1023" s="10" t="s">
        <v>3210</v>
      </c>
      <c r="G1023" s="10" t="s">
        <v>3211</v>
      </c>
      <c r="H1023" s="10" t="s">
        <v>3212</v>
      </c>
      <c r="I1023" s="10" t="s">
        <v>229</v>
      </c>
    </row>
    <row r="1024" spans="1:9" x14ac:dyDescent="0.15">
      <c r="A1024" s="9">
        <v>1023</v>
      </c>
      <c r="B1024" s="10" t="s">
        <v>9</v>
      </c>
      <c r="C1024" s="10" t="s">
        <v>363</v>
      </c>
      <c r="D1024" s="10" t="s">
        <v>364</v>
      </c>
      <c r="E1024" s="11" t="str">
        <f>+HYPERLINK("http://trademark.i-assist.jp/data/china/image_1902th/78998886.pdf", "78998886")</f>
        <v>78998886</v>
      </c>
      <c r="F1024" s="10" t="s">
        <v>3213</v>
      </c>
      <c r="G1024" s="10" t="s">
        <v>3214</v>
      </c>
      <c r="H1024" s="10" t="s">
        <v>3215</v>
      </c>
      <c r="I1024" s="10" t="s">
        <v>229</v>
      </c>
    </row>
    <row r="1025" spans="1:9" x14ac:dyDescent="0.15">
      <c r="A1025" s="9">
        <v>1024</v>
      </c>
      <c r="B1025" s="10" t="s">
        <v>9</v>
      </c>
      <c r="C1025" s="10" t="s">
        <v>363</v>
      </c>
      <c r="D1025" s="10" t="s">
        <v>364</v>
      </c>
      <c r="E1025" s="11" t="str">
        <f>+HYPERLINK("http://trademark.i-assist.jp/data/china/image_1902th/78999036.pdf", "78999036")</f>
        <v>78999036</v>
      </c>
      <c r="F1025" s="10" t="s">
        <v>3216</v>
      </c>
      <c r="G1025" s="10" t="s">
        <v>166</v>
      </c>
      <c r="H1025" s="10" t="s">
        <v>3217</v>
      </c>
      <c r="I1025" s="10" t="s">
        <v>229</v>
      </c>
    </row>
    <row r="1026" spans="1:9" x14ac:dyDescent="0.15">
      <c r="A1026" s="9">
        <v>1025</v>
      </c>
      <c r="B1026" s="10" t="s">
        <v>9</v>
      </c>
      <c r="C1026" s="10" t="s">
        <v>363</v>
      </c>
      <c r="D1026" s="10" t="s">
        <v>364</v>
      </c>
      <c r="E1026" s="11" t="str">
        <f>+HYPERLINK("http://trademark.i-assist.jp/data/china/image_1902th/78999165.pdf", "78999165")</f>
        <v>78999165</v>
      </c>
      <c r="F1026" s="10" t="s">
        <v>3218</v>
      </c>
      <c r="G1026" s="10" t="s">
        <v>35</v>
      </c>
      <c r="H1026" s="10" t="s">
        <v>3219</v>
      </c>
      <c r="I1026" s="10" t="s">
        <v>229</v>
      </c>
    </row>
    <row r="1027" spans="1:9" x14ac:dyDescent="0.15">
      <c r="A1027" s="9">
        <v>1026</v>
      </c>
      <c r="B1027" s="10" t="s">
        <v>9</v>
      </c>
      <c r="C1027" s="10" t="s">
        <v>363</v>
      </c>
      <c r="D1027" s="10" t="s">
        <v>364</v>
      </c>
      <c r="E1027" s="11" t="str">
        <f>+HYPERLINK("http://trademark.i-assist.jp/data/china/image_1902th/78999246.pdf", "78999246")</f>
        <v>78999246</v>
      </c>
      <c r="F1027" s="10" t="s">
        <v>3220</v>
      </c>
      <c r="G1027" s="10" t="s">
        <v>3221</v>
      </c>
      <c r="H1027" s="10" t="s">
        <v>3222</v>
      </c>
      <c r="I1027" s="10" t="s">
        <v>229</v>
      </c>
    </row>
    <row r="1028" spans="1:9" x14ac:dyDescent="0.15">
      <c r="A1028" s="9">
        <v>1027</v>
      </c>
      <c r="B1028" s="10" t="s">
        <v>9</v>
      </c>
      <c r="C1028" s="10" t="s">
        <v>363</v>
      </c>
      <c r="D1028" s="10" t="s">
        <v>364</v>
      </c>
      <c r="E1028" s="11" t="str">
        <f>+HYPERLINK("http://trademark.i-assist.jp/data/china/image_1902th/78999346.pdf", "78999346")</f>
        <v>78999346</v>
      </c>
      <c r="F1028" s="10" t="s">
        <v>3223</v>
      </c>
      <c r="G1028" s="10" t="s">
        <v>233</v>
      </c>
      <c r="H1028" s="10" t="s">
        <v>3224</v>
      </c>
      <c r="I1028" s="10" t="s">
        <v>229</v>
      </c>
    </row>
    <row r="1029" spans="1:9" x14ac:dyDescent="0.15">
      <c r="A1029" s="9">
        <v>1028</v>
      </c>
      <c r="B1029" s="10" t="s">
        <v>9</v>
      </c>
      <c r="C1029" s="10" t="s">
        <v>363</v>
      </c>
      <c r="D1029" s="10" t="s">
        <v>364</v>
      </c>
      <c r="E1029" s="11" t="str">
        <f>+HYPERLINK("http://trademark.i-assist.jp/data/china/image_1902th/78999369.pdf", "78999369")</f>
        <v>78999369</v>
      </c>
      <c r="F1029" s="10" t="s">
        <v>3225</v>
      </c>
      <c r="G1029" s="10" t="s">
        <v>48</v>
      </c>
      <c r="H1029" s="10" t="s">
        <v>3226</v>
      </c>
      <c r="I1029" s="10" t="s">
        <v>229</v>
      </c>
    </row>
    <row r="1030" spans="1:9" x14ac:dyDescent="0.15">
      <c r="A1030" s="9">
        <v>1029</v>
      </c>
      <c r="B1030" s="10" t="s">
        <v>9</v>
      </c>
      <c r="C1030" s="10" t="s">
        <v>363</v>
      </c>
      <c r="D1030" s="10" t="s">
        <v>364</v>
      </c>
      <c r="E1030" s="11" t="str">
        <f>+HYPERLINK("http://trademark.i-assist.jp/data/china/image_1902th/78999417.pdf", "78999417")</f>
        <v>78999417</v>
      </c>
      <c r="F1030" s="10" t="s">
        <v>3227</v>
      </c>
      <c r="G1030" s="10" t="s">
        <v>3228</v>
      </c>
      <c r="H1030" s="10" t="s">
        <v>3229</v>
      </c>
      <c r="I1030" s="10" t="s">
        <v>229</v>
      </c>
    </row>
    <row r="1031" spans="1:9" x14ac:dyDescent="0.15">
      <c r="A1031" s="9">
        <v>1030</v>
      </c>
      <c r="B1031" s="10" t="s">
        <v>9</v>
      </c>
      <c r="C1031" s="10" t="s">
        <v>363</v>
      </c>
      <c r="D1031" s="10" t="s">
        <v>364</v>
      </c>
      <c r="E1031" s="11" t="str">
        <f>+HYPERLINK("http://trademark.i-assist.jp/data/china/image_1902th/78999582.pdf", "78999582")</f>
        <v>78999582</v>
      </c>
      <c r="F1031" s="10" t="s">
        <v>3230</v>
      </c>
      <c r="G1031" s="10" t="s">
        <v>3231</v>
      </c>
      <c r="H1031" s="10" t="s">
        <v>3232</v>
      </c>
      <c r="I1031" s="10" t="s">
        <v>229</v>
      </c>
    </row>
    <row r="1032" spans="1:9" x14ac:dyDescent="0.15">
      <c r="A1032" s="9">
        <v>1031</v>
      </c>
      <c r="B1032" s="10" t="s">
        <v>9</v>
      </c>
      <c r="C1032" s="10" t="s">
        <v>363</v>
      </c>
      <c r="D1032" s="10" t="s">
        <v>364</v>
      </c>
      <c r="E1032" s="11" t="str">
        <f>+HYPERLINK("http://trademark.i-assist.jp/data/china/image_1902th/78999989.pdf", "78999989")</f>
        <v>78999989</v>
      </c>
      <c r="F1032" s="10" t="s">
        <v>3233</v>
      </c>
      <c r="G1032" s="10" t="s">
        <v>3234</v>
      </c>
      <c r="H1032" s="10" t="s">
        <v>3235</v>
      </c>
      <c r="I1032" s="10" t="s">
        <v>229</v>
      </c>
    </row>
    <row r="1033" spans="1:9" x14ac:dyDescent="0.15">
      <c r="A1033" s="9">
        <v>1032</v>
      </c>
      <c r="B1033" s="10" t="s">
        <v>9</v>
      </c>
      <c r="C1033" s="10" t="s">
        <v>363</v>
      </c>
      <c r="D1033" s="10" t="s">
        <v>364</v>
      </c>
      <c r="E1033" s="11" t="str">
        <f>+HYPERLINK("http://trademark.i-assist.jp/data/china/image_1902th/79000386.pdf", "79000386")</f>
        <v>79000386</v>
      </c>
      <c r="F1033" s="10" t="s">
        <v>3236</v>
      </c>
      <c r="G1033" s="10" t="s">
        <v>3237</v>
      </c>
      <c r="H1033" s="10" t="s">
        <v>3238</v>
      </c>
      <c r="I1033" s="10" t="s">
        <v>229</v>
      </c>
    </row>
    <row r="1034" spans="1:9" x14ac:dyDescent="0.15">
      <c r="A1034" s="9">
        <v>1033</v>
      </c>
      <c r="B1034" s="10" t="s">
        <v>9</v>
      </c>
      <c r="C1034" s="10" t="s">
        <v>363</v>
      </c>
      <c r="D1034" s="10" t="s">
        <v>364</v>
      </c>
      <c r="E1034" s="11" t="str">
        <f>+HYPERLINK("http://trademark.i-assist.jp/data/china/image_1902th/79000480.pdf", "79000480")</f>
        <v>79000480</v>
      </c>
      <c r="F1034" s="10" t="s">
        <v>3239</v>
      </c>
      <c r="G1034" s="10" t="s">
        <v>3240</v>
      </c>
      <c r="H1034" s="10" t="s">
        <v>3241</v>
      </c>
      <c r="I1034" s="10" t="s">
        <v>229</v>
      </c>
    </row>
    <row r="1035" spans="1:9" x14ac:dyDescent="0.15">
      <c r="A1035" s="9">
        <v>1034</v>
      </c>
      <c r="B1035" s="10" t="s">
        <v>9</v>
      </c>
      <c r="C1035" s="10" t="s">
        <v>363</v>
      </c>
      <c r="D1035" s="10" t="s">
        <v>364</v>
      </c>
      <c r="E1035" s="11" t="str">
        <f>+HYPERLINK("http://trademark.i-assist.jp/data/china/image_1902th/79000516.pdf", "79000516")</f>
        <v>79000516</v>
      </c>
      <c r="F1035" s="10" t="s">
        <v>3242</v>
      </c>
      <c r="G1035" s="10" t="s">
        <v>3243</v>
      </c>
      <c r="H1035" s="10" t="s">
        <v>3244</v>
      </c>
      <c r="I1035" s="10" t="s">
        <v>229</v>
      </c>
    </row>
    <row r="1036" spans="1:9" x14ac:dyDescent="0.15">
      <c r="A1036" s="9">
        <v>1035</v>
      </c>
      <c r="B1036" s="10" t="s">
        <v>9</v>
      </c>
      <c r="C1036" s="10" t="s">
        <v>363</v>
      </c>
      <c r="D1036" s="10" t="s">
        <v>364</v>
      </c>
      <c r="E1036" s="11" t="str">
        <f>+HYPERLINK("http://trademark.i-assist.jp/data/china/image_1902th/79000764.pdf", "79000764")</f>
        <v>79000764</v>
      </c>
      <c r="F1036" s="10" t="s">
        <v>12</v>
      </c>
      <c r="G1036" s="10" t="s">
        <v>3245</v>
      </c>
      <c r="H1036" s="10" t="s">
        <v>3246</v>
      </c>
      <c r="I1036" s="10" t="s">
        <v>229</v>
      </c>
    </row>
    <row r="1037" spans="1:9" x14ac:dyDescent="0.15">
      <c r="A1037" s="9">
        <v>1036</v>
      </c>
      <c r="B1037" s="10" t="s">
        <v>9</v>
      </c>
      <c r="C1037" s="10" t="s">
        <v>363</v>
      </c>
      <c r="D1037" s="10" t="s">
        <v>364</v>
      </c>
      <c r="E1037" s="11" t="str">
        <f>+HYPERLINK("http://trademark.i-assist.jp/data/china/image_1902th/79000791.pdf", "79000791")</f>
        <v>79000791</v>
      </c>
      <c r="F1037" s="10" t="s">
        <v>3247</v>
      </c>
      <c r="G1037" s="10" t="s">
        <v>3248</v>
      </c>
      <c r="H1037" s="10" t="s">
        <v>3249</v>
      </c>
      <c r="I1037" s="10" t="s">
        <v>229</v>
      </c>
    </row>
    <row r="1038" spans="1:9" x14ac:dyDescent="0.15">
      <c r="A1038" s="9">
        <v>1037</v>
      </c>
      <c r="B1038" s="10" t="s">
        <v>9</v>
      </c>
      <c r="C1038" s="10" t="s">
        <v>363</v>
      </c>
      <c r="D1038" s="10" t="s">
        <v>364</v>
      </c>
      <c r="E1038" s="11" t="str">
        <f>+HYPERLINK("http://trademark.i-assist.jp/data/china/image_1902th/79001049.pdf", "79001049")</f>
        <v>79001049</v>
      </c>
      <c r="F1038" s="10" t="s">
        <v>3250</v>
      </c>
      <c r="G1038" s="10" t="s">
        <v>237</v>
      </c>
      <c r="H1038" s="10" t="s">
        <v>3251</v>
      </c>
      <c r="I1038" s="10" t="s">
        <v>229</v>
      </c>
    </row>
    <row r="1039" spans="1:9" x14ac:dyDescent="0.15">
      <c r="A1039" s="9">
        <v>1038</v>
      </c>
      <c r="B1039" s="10" t="s">
        <v>9</v>
      </c>
      <c r="C1039" s="10" t="s">
        <v>363</v>
      </c>
      <c r="D1039" s="10" t="s">
        <v>364</v>
      </c>
      <c r="E1039" s="11" t="str">
        <f>+HYPERLINK("http://trademark.i-assist.jp/data/china/image_1902th/79001070.pdf", "79001070")</f>
        <v>79001070</v>
      </c>
      <c r="F1039" s="10" t="s">
        <v>3252</v>
      </c>
      <c r="G1039" s="10" t="s">
        <v>3197</v>
      </c>
      <c r="H1039" s="10" t="s">
        <v>3253</v>
      </c>
      <c r="I1039" s="10" t="s">
        <v>229</v>
      </c>
    </row>
    <row r="1040" spans="1:9" x14ac:dyDescent="0.15">
      <c r="A1040" s="9">
        <v>1039</v>
      </c>
      <c r="B1040" s="10" t="s">
        <v>9</v>
      </c>
      <c r="C1040" s="10" t="s">
        <v>363</v>
      </c>
      <c r="D1040" s="10" t="s">
        <v>364</v>
      </c>
      <c r="E1040" s="11" t="str">
        <f>+HYPERLINK("http://trademark.i-assist.jp/data/china/image_1902th/79001454.pdf", "79001454")</f>
        <v>79001454</v>
      </c>
      <c r="F1040" s="10" t="s">
        <v>3254</v>
      </c>
      <c r="G1040" s="10" t="s">
        <v>3255</v>
      </c>
      <c r="H1040" s="10" t="s">
        <v>3256</v>
      </c>
      <c r="I1040" s="10" t="s">
        <v>229</v>
      </c>
    </row>
    <row r="1041" spans="1:9" x14ac:dyDescent="0.15">
      <c r="A1041" s="9">
        <v>1040</v>
      </c>
      <c r="B1041" s="10" t="s">
        <v>9</v>
      </c>
      <c r="C1041" s="10" t="s">
        <v>363</v>
      </c>
      <c r="D1041" s="10" t="s">
        <v>364</v>
      </c>
      <c r="E1041" s="11" t="str">
        <f>+HYPERLINK("http://trademark.i-assist.jp/data/china/image_1902th/79002151.pdf", "79002151")</f>
        <v>79002151</v>
      </c>
      <c r="F1041" s="10" t="s">
        <v>3257</v>
      </c>
      <c r="G1041" s="10" t="s">
        <v>3258</v>
      </c>
      <c r="H1041" s="10" t="s">
        <v>3259</v>
      </c>
      <c r="I1041" s="10" t="s">
        <v>229</v>
      </c>
    </row>
    <row r="1042" spans="1:9" x14ac:dyDescent="0.15">
      <c r="A1042" s="9">
        <v>1041</v>
      </c>
      <c r="B1042" s="10" t="s">
        <v>9</v>
      </c>
      <c r="C1042" s="10" t="s">
        <v>363</v>
      </c>
      <c r="D1042" s="10" t="s">
        <v>364</v>
      </c>
      <c r="E1042" s="11" t="str">
        <f>+HYPERLINK("http://trademark.i-assist.jp/data/china/image_1902th/79002721.pdf", "79002721")</f>
        <v>79002721</v>
      </c>
      <c r="F1042" s="10" t="s">
        <v>3260</v>
      </c>
      <c r="G1042" s="10" t="s">
        <v>3261</v>
      </c>
      <c r="H1042" s="10" t="s">
        <v>3262</v>
      </c>
      <c r="I1042" s="10" t="s">
        <v>229</v>
      </c>
    </row>
    <row r="1043" spans="1:9" x14ac:dyDescent="0.15">
      <c r="A1043" s="9">
        <v>1042</v>
      </c>
      <c r="B1043" s="10" t="s">
        <v>9</v>
      </c>
      <c r="C1043" s="10" t="s">
        <v>363</v>
      </c>
      <c r="D1043" s="10" t="s">
        <v>364</v>
      </c>
      <c r="E1043" s="11" t="str">
        <f>+HYPERLINK("http://trademark.i-assist.jp/data/china/image_1902th/79002935.pdf", "79002935")</f>
        <v>79002935</v>
      </c>
      <c r="F1043" s="10" t="s">
        <v>3263</v>
      </c>
      <c r="G1043" s="10" t="s">
        <v>35</v>
      </c>
      <c r="H1043" s="10" t="s">
        <v>3264</v>
      </c>
      <c r="I1043" s="10" t="s">
        <v>229</v>
      </c>
    </row>
    <row r="1044" spans="1:9" x14ac:dyDescent="0.15">
      <c r="A1044" s="9">
        <v>1043</v>
      </c>
      <c r="B1044" s="10" t="s">
        <v>9</v>
      </c>
      <c r="C1044" s="10" t="s">
        <v>363</v>
      </c>
      <c r="D1044" s="10" t="s">
        <v>364</v>
      </c>
      <c r="E1044" s="11" t="str">
        <f>+HYPERLINK("http://trademark.i-assist.jp/data/china/image_1902th/79003443.pdf", "79003443")</f>
        <v>79003443</v>
      </c>
      <c r="F1044" s="10" t="s">
        <v>3265</v>
      </c>
      <c r="G1044" s="10" t="s">
        <v>3266</v>
      </c>
      <c r="H1044" s="10" t="s">
        <v>3267</v>
      </c>
      <c r="I1044" s="10" t="s">
        <v>229</v>
      </c>
    </row>
    <row r="1045" spans="1:9" x14ac:dyDescent="0.15">
      <c r="A1045" s="9">
        <v>1044</v>
      </c>
      <c r="B1045" s="10" t="s">
        <v>9</v>
      </c>
      <c r="C1045" s="10" t="s">
        <v>363</v>
      </c>
      <c r="D1045" s="10" t="s">
        <v>364</v>
      </c>
      <c r="E1045" s="11" t="str">
        <f>+HYPERLINK("http://trademark.i-assist.jp/data/china/image_1902th/79003685.pdf", "79003685")</f>
        <v>79003685</v>
      </c>
      <c r="F1045" s="10" t="s">
        <v>3268</v>
      </c>
      <c r="G1045" s="10" t="s">
        <v>236</v>
      </c>
      <c r="H1045" s="10" t="s">
        <v>3269</v>
      </c>
      <c r="I1045" s="10" t="s">
        <v>229</v>
      </c>
    </row>
    <row r="1046" spans="1:9" x14ac:dyDescent="0.15">
      <c r="A1046" s="9">
        <v>1045</v>
      </c>
      <c r="B1046" s="10" t="s">
        <v>9</v>
      </c>
      <c r="C1046" s="10" t="s">
        <v>363</v>
      </c>
      <c r="D1046" s="10" t="s">
        <v>364</v>
      </c>
      <c r="E1046" s="11" t="str">
        <f>+HYPERLINK("http://trademark.i-assist.jp/data/china/image_1902th/79003820.pdf", "79003820")</f>
        <v>79003820</v>
      </c>
      <c r="F1046" s="10" t="s">
        <v>12</v>
      </c>
      <c r="G1046" s="10" t="s">
        <v>3270</v>
      </c>
      <c r="H1046" s="10" t="s">
        <v>3271</v>
      </c>
      <c r="I1046" s="10" t="s">
        <v>229</v>
      </c>
    </row>
    <row r="1047" spans="1:9" x14ac:dyDescent="0.15">
      <c r="A1047" s="9">
        <v>1046</v>
      </c>
      <c r="B1047" s="10" t="s">
        <v>9</v>
      </c>
      <c r="C1047" s="10" t="s">
        <v>363</v>
      </c>
      <c r="D1047" s="10" t="s">
        <v>364</v>
      </c>
      <c r="E1047" s="11" t="str">
        <f>+HYPERLINK("http://trademark.i-assist.jp/data/china/image_1902th/79003854.pdf", "79003854")</f>
        <v>79003854</v>
      </c>
      <c r="F1047" s="10" t="s">
        <v>3272</v>
      </c>
      <c r="G1047" s="10" t="s">
        <v>3273</v>
      </c>
      <c r="H1047" s="10" t="s">
        <v>3274</v>
      </c>
      <c r="I1047" s="10" t="s">
        <v>229</v>
      </c>
    </row>
    <row r="1048" spans="1:9" x14ac:dyDescent="0.15">
      <c r="A1048" s="9">
        <v>1047</v>
      </c>
      <c r="B1048" s="10" t="s">
        <v>9</v>
      </c>
      <c r="C1048" s="10" t="s">
        <v>363</v>
      </c>
      <c r="D1048" s="10" t="s">
        <v>364</v>
      </c>
      <c r="E1048" s="11" t="str">
        <f>+HYPERLINK("http://trademark.i-assist.jp/data/china/image_1902th/79003940.pdf", "79003940")</f>
        <v>79003940</v>
      </c>
      <c r="F1048" s="10" t="s">
        <v>3275</v>
      </c>
      <c r="G1048" s="10" t="s">
        <v>3276</v>
      </c>
      <c r="H1048" s="10" t="s">
        <v>3277</v>
      </c>
      <c r="I1048" s="10" t="s">
        <v>229</v>
      </c>
    </row>
    <row r="1049" spans="1:9" x14ac:dyDescent="0.15">
      <c r="A1049" s="9">
        <v>1048</v>
      </c>
      <c r="B1049" s="10" t="s">
        <v>9</v>
      </c>
      <c r="C1049" s="10" t="s">
        <v>363</v>
      </c>
      <c r="D1049" s="10" t="s">
        <v>364</v>
      </c>
      <c r="E1049" s="11" t="str">
        <f>+HYPERLINK("http://trademark.i-assist.jp/data/china/image_1902th/79004352.pdf", "79004352")</f>
        <v>79004352</v>
      </c>
      <c r="F1049" s="10" t="s">
        <v>3278</v>
      </c>
      <c r="G1049" s="10" t="s">
        <v>3279</v>
      </c>
      <c r="H1049" s="10" t="s">
        <v>3280</v>
      </c>
      <c r="I1049" s="10" t="s">
        <v>229</v>
      </c>
    </row>
    <row r="1050" spans="1:9" x14ac:dyDescent="0.15">
      <c r="A1050" s="9">
        <v>1049</v>
      </c>
      <c r="B1050" s="10" t="s">
        <v>9</v>
      </c>
      <c r="C1050" s="10" t="s">
        <v>363</v>
      </c>
      <c r="D1050" s="10" t="s">
        <v>364</v>
      </c>
      <c r="E1050" s="11" t="str">
        <f>+HYPERLINK("http://trademark.i-assist.jp/data/china/image_1902th/79004355.pdf", "79004355")</f>
        <v>79004355</v>
      </c>
      <c r="F1050" s="10" t="s">
        <v>3281</v>
      </c>
      <c r="G1050" s="10" t="s">
        <v>3282</v>
      </c>
      <c r="H1050" s="10" t="s">
        <v>3283</v>
      </c>
      <c r="I1050" s="10" t="s">
        <v>229</v>
      </c>
    </row>
    <row r="1051" spans="1:9" x14ac:dyDescent="0.15">
      <c r="A1051" s="9">
        <v>1050</v>
      </c>
      <c r="B1051" s="10" t="s">
        <v>9</v>
      </c>
      <c r="C1051" s="10" t="s">
        <v>363</v>
      </c>
      <c r="D1051" s="10" t="s">
        <v>364</v>
      </c>
      <c r="E1051" s="11" t="str">
        <f>+HYPERLINK("http://trademark.i-assist.jp/data/china/image_1902th/79004417.pdf", "79004417")</f>
        <v>79004417</v>
      </c>
      <c r="F1051" s="10" t="s">
        <v>3284</v>
      </c>
      <c r="G1051" s="10" t="s">
        <v>3119</v>
      </c>
      <c r="H1051" s="10" t="s">
        <v>3285</v>
      </c>
      <c r="I1051" s="10" t="s">
        <v>229</v>
      </c>
    </row>
    <row r="1052" spans="1:9" x14ac:dyDescent="0.15">
      <c r="A1052" s="9">
        <v>1051</v>
      </c>
      <c r="B1052" s="10" t="s">
        <v>9</v>
      </c>
      <c r="C1052" s="10" t="s">
        <v>363</v>
      </c>
      <c r="D1052" s="10" t="s">
        <v>364</v>
      </c>
      <c r="E1052" s="11" t="str">
        <f>+HYPERLINK("http://trademark.i-assist.jp/data/china/image_1902th/79004464.pdf", "79004464")</f>
        <v>79004464</v>
      </c>
      <c r="F1052" s="10" t="s">
        <v>3286</v>
      </c>
      <c r="G1052" s="10" t="s">
        <v>3287</v>
      </c>
      <c r="H1052" s="10" t="s">
        <v>3288</v>
      </c>
      <c r="I1052" s="10" t="s">
        <v>229</v>
      </c>
    </row>
    <row r="1053" spans="1:9" x14ac:dyDescent="0.15">
      <c r="A1053" s="9">
        <v>1052</v>
      </c>
      <c r="B1053" s="10" t="s">
        <v>9</v>
      </c>
      <c r="C1053" s="10" t="s">
        <v>363</v>
      </c>
      <c r="D1053" s="10" t="s">
        <v>364</v>
      </c>
      <c r="E1053" s="11" t="str">
        <f>+HYPERLINK("http://trademark.i-assist.jp/data/china/image_1902th/79004571.pdf", "79004571")</f>
        <v>79004571</v>
      </c>
      <c r="F1053" s="10" t="s">
        <v>3289</v>
      </c>
      <c r="G1053" s="10" t="s">
        <v>3046</v>
      </c>
      <c r="H1053" s="10" t="s">
        <v>3290</v>
      </c>
      <c r="I1053" s="10" t="s">
        <v>229</v>
      </c>
    </row>
    <row r="1054" spans="1:9" x14ac:dyDescent="0.15">
      <c r="A1054" s="9">
        <v>1053</v>
      </c>
      <c r="B1054" s="10" t="s">
        <v>9</v>
      </c>
      <c r="C1054" s="10" t="s">
        <v>363</v>
      </c>
      <c r="D1054" s="10" t="s">
        <v>364</v>
      </c>
      <c r="E1054" s="11" t="str">
        <f>+HYPERLINK("http://trademark.i-assist.jp/data/china/image_1902th/79004819.pdf", "79004819")</f>
        <v>79004819</v>
      </c>
      <c r="F1054" s="10" t="s">
        <v>3291</v>
      </c>
      <c r="G1054" s="10" t="s">
        <v>3292</v>
      </c>
      <c r="H1054" s="10" t="s">
        <v>3293</v>
      </c>
      <c r="I1054" s="10" t="s">
        <v>229</v>
      </c>
    </row>
    <row r="1055" spans="1:9" x14ac:dyDescent="0.15">
      <c r="A1055" s="9">
        <v>1054</v>
      </c>
      <c r="B1055" s="10" t="s">
        <v>9</v>
      </c>
      <c r="C1055" s="10" t="s">
        <v>363</v>
      </c>
      <c r="D1055" s="10" t="s">
        <v>364</v>
      </c>
      <c r="E1055" s="11" t="str">
        <f>+HYPERLINK("http://trademark.i-assist.jp/data/china/image_1902th/79004941.pdf", "79004941")</f>
        <v>79004941</v>
      </c>
      <c r="F1055" s="10" t="s">
        <v>3294</v>
      </c>
      <c r="G1055" s="10" t="s">
        <v>236</v>
      </c>
      <c r="H1055" s="10" t="s">
        <v>3295</v>
      </c>
      <c r="I1055" s="10" t="s">
        <v>229</v>
      </c>
    </row>
    <row r="1056" spans="1:9" x14ac:dyDescent="0.15">
      <c r="A1056" s="9">
        <v>1055</v>
      </c>
      <c r="B1056" s="10" t="s">
        <v>9</v>
      </c>
      <c r="C1056" s="10" t="s">
        <v>363</v>
      </c>
      <c r="D1056" s="10" t="s">
        <v>364</v>
      </c>
      <c r="E1056" s="11" t="str">
        <f>+HYPERLINK("http://trademark.i-assist.jp/data/china/image_1902th/79004965.pdf", "79004965")</f>
        <v>79004965</v>
      </c>
      <c r="F1056" s="10" t="s">
        <v>3296</v>
      </c>
      <c r="G1056" s="10" t="s">
        <v>3297</v>
      </c>
      <c r="H1056" s="10" t="s">
        <v>3298</v>
      </c>
      <c r="I1056" s="10" t="s">
        <v>229</v>
      </c>
    </row>
    <row r="1057" spans="1:9" x14ac:dyDescent="0.15">
      <c r="A1057" s="9">
        <v>1056</v>
      </c>
      <c r="B1057" s="10" t="s">
        <v>9</v>
      </c>
      <c r="C1057" s="10" t="s">
        <v>363</v>
      </c>
      <c r="D1057" s="10" t="s">
        <v>364</v>
      </c>
      <c r="E1057" s="11" t="str">
        <f>+HYPERLINK("http://trademark.i-assist.jp/data/china/image_1902th/79004986.pdf", "79004986")</f>
        <v>79004986</v>
      </c>
      <c r="F1057" s="10" t="s">
        <v>3299</v>
      </c>
      <c r="G1057" s="10" t="s">
        <v>241</v>
      </c>
      <c r="H1057" s="10" t="s">
        <v>3300</v>
      </c>
      <c r="I1057" s="10" t="s">
        <v>229</v>
      </c>
    </row>
    <row r="1058" spans="1:9" x14ac:dyDescent="0.15">
      <c r="A1058" s="9">
        <v>1057</v>
      </c>
      <c r="B1058" s="10" t="s">
        <v>9</v>
      </c>
      <c r="C1058" s="10" t="s">
        <v>363</v>
      </c>
      <c r="D1058" s="10" t="s">
        <v>364</v>
      </c>
      <c r="E1058" s="11" t="str">
        <f>+HYPERLINK("http://trademark.i-assist.jp/data/china/image_1902th/79004988.pdf", "79004988")</f>
        <v>79004988</v>
      </c>
      <c r="F1058" s="10" t="s">
        <v>3301</v>
      </c>
      <c r="G1058" s="10" t="s">
        <v>241</v>
      </c>
      <c r="H1058" s="10" t="s">
        <v>3302</v>
      </c>
      <c r="I1058" s="10" t="s">
        <v>229</v>
      </c>
    </row>
    <row r="1059" spans="1:9" x14ac:dyDescent="0.15">
      <c r="A1059" s="9">
        <v>1058</v>
      </c>
      <c r="B1059" s="10" t="s">
        <v>9</v>
      </c>
      <c r="C1059" s="10" t="s">
        <v>363</v>
      </c>
      <c r="D1059" s="10" t="s">
        <v>364</v>
      </c>
      <c r="E1059" s="11" t="str">
        <f>+HYPERLINK("http://trademark.i-assist.jp/data/china/image_1902th/79005457.pdf", "79005457")</f>
        <v>79005457</v>
      </c>
      <c r="F1059" s="10" t="s">
        <v>3303</v>
      </c>
      <c r="G1059" s="10" t="s">
        <v>3304</v>
      </c>
      <c r="H1059" s="10" t="s">
        <v>3305</v>
      </c>
      <c r="I1059" s="10" t="s">
        <v>229</v>
      </c>
    </row>
    <row r="1060" spans="1:9" x14ac:dyDescent="0.15">
      <c r="A1060" s="9">
        <v>1059</v>
      </c>
      <c r="B1060" s="10" t="s">
        <v>9</v>
      </c>
      <c r="C1060" s="10" t="s">
        <v>363</v>
      </c>
      <c r="D1060" s="10" t="s">
        <v>364</v>
      </c>
      <c r="E1060" s="11" t="str">
        <f>+HYPERLINK("http://trademark.i-assist.jp/data/china/image_1902th/79006253.pdf", "79006253")</f>
        <v>79006253</v>
      </c>
      <c r="F1060" s="10" t="s">
        <v>3306</v>
      </c>
      <c r="G1060" s="10" t="s">
        <v>3307</v>
      </c>
      <c r="H1060" s="10" t="s">
        <v>3308</v>
      </c>
      <c r="I1060" s="10" t="s">
        <v>229</v>
      </c>
    </row>
    <row r="1061" spans="1:9" x14ac:dyDescent="0.15">
      <c r="A1061" s="9">
        <v>1060</v>
      </c>
      <c r="B1061" s="10" t="s">
        <v>9</v>
      </c>
      <c r="C1061" s="10" t="s">
        <v>363</v>
      </c>
      <c r="D1061" s="10" t="s">
        <v>364</v>
      </c>
      <c r="E1061" s="11" t="str">
        <f>+HYPERLINK("http://trademark.i-assist.jp/data/china/image_1902th/79006497.pdf", "79006497")</f>
        <v>79006497</v>
      </c>
      <c r="F1061" s="10" t="s">
        <v>3309</v>
      </c>
      <c r="G1061" s="10" t="s">
        <v>241</v>
      </c>
      <c r="H1061" s="10" t="s">
        <v>3310</v>
      </c>
      <c r="I1061" s="10" t="s">
        <v>229</v>
      </c>
    </row>
    <row r="1062" spans="1:9" x14ac:dyDescent="0.15">
      <c r="A1062" s="9">
        <v>1061</v>
      </c>
      <c r="B1062" s="10" t="s">
        <v>9</v>
      </c>
      <c r="C1062" s="10" t="s">
        <v>363</v>
      </c>
      <c r="D1062" s="10" t="s">
        <v>364</v>
      </c>
      <c r="E1062" s="11" t="str">
        <f>+HYPERLINK("http://trademark.i-assist.jp/data/china/image_1902th/79006550.pdf", "79006550")</f>
        <v>79006550</v>
      </c>
      <c r="F1062" s="10" t="s">
        <v>3311</v>
      </c>
      <c r="G1062" s="10" t="s">
        <v>3312</v>
      </c>
      <c r="H1062" s="10" t="s">
        <v>3313</v>
      </c>
      <c r="I1062" s="10" t="s">
        <v>229</v>
      </c>
    </row>
    <row r="1063" spans="1:9" x14ac:dyDescent="0.15">
      <c r="A1063" s="9">
        <v>1062</v>
      </c>
      <c r="B1063" s="10" t="s">
        <v>9</v>
      </c>
      <c r="C1063" s="10" t="s">
        <v>363</v>
      </c>
      <c r="D1063" s="10" t="s">
        <v>364</v>
      </c>
      <c r="E1063" s="11" t="str">
        <f>+HYPERLINK("http://trademark.i-assist.jp/data/china/image_1902th/79006604.pdf", "79006604")</f>
        <v>79006604</v>
      </c>
      <c r="F1063" s="10" t="s">
        <v>3314</v>
      </c>
      <c r="G1063" s="10" t="s">
        <v>3315</v>
      </c>
      <c r="H1063" s="10" t="s">
        <v>3316</v>
      </c>
      <c r="I1063" s="10" t="s">
        <v>229</v>
      </c>
    </row>
    <row r="1064" spans="1:9" x14ac:dyDescent="0.15">
      <c r="A1064" s="9">
        <v>1063</v>
      </c>
      <c r="B1064" s="10" t="s">
        <v>9</v>
      </c>
      <c r="C1064" s="10" t="s">
        <v>363</v>
      </c>
      <c r="D1064" s="10" t="s">
        <v>364</v>
      </c>
      <c r="E1064" s="11" t="str">
        <f>+HYPERLINK("http://trademark.i-assist.jp/data/china/image_1902th/79006911.pdf", "79006911")</f>
        <v>79006911</v>
      </c>
      <c r="F1064" s="10" t="s">
        <v>3317</v>
      </c>
      <c r="G1064" s="10" t="s">
        <v>3318</v>
      </c>
      <c r="H1064" s="10" t="s">
        <v>3319</v>
      </c>
      <c r="I1064" s="10" t="s">
        <v>229</v>
      </c>
    </row>
    <row r="1065" spans="1:9" x14ac:dyDescent="0.15">
      <c r="A1065" s="9">
        <v>1064</v>
      </c>
      <c r="B1065" s="10" t="s">
        <v>9</v>
      </c>
      <c r="C1065" s="10" t="s">
        <v>363</v>
      </c>
      <c r="D1065" s="10" t="s">
        <v>364</v>
      </c>
      <c r="E1065" s="11" t="str">
        <f>+HYPERLINK("http://trademark.i-assist.jp/data/china/image_1902th/79008474.pdf", "79008474")</f>
        <v>79008474</v>
      </c>
      <c r="F1065" s="10" t="s">
        <v>3320</v>
      </c>
      <c r="G1065" s="10" t="s">
        <v>231</v>
      </c>
      <c r="H1065" s="10" t="s">
        <v>3321</v>
      </c>
      <c r="I1065" s="10" t="s">
        <v>229</v>
      </c>
    </row>
    <row r="1066" spans="1:9" x14ac:dyDescent="0.15">
      <c r="A1066" s="9">
        <v>1065</v>
      </c>
      <c r="B1066" s="10" t="s">
        <v>9</v>
      </c>
      <c r="C1066" s="10" t="s">
        <v>363</v>
      </c>
      <c r="D1066" s="10" t="s">
        <v>364</v>
      </c>
      <c r="E1066" s="11" t="str">
        <f>+HYPERLINK("http://trademark.i-assist.jp/data/china/image_1902th/79008600.pdf", "79008600")</f>
        <v>79008600</v>
      </c>
      <c r="F1066" s="10" t="s">
        <v>3322</v>
      </c>
      <c r="G1066" s="10" t="s">
        <v>3323</v>
      </c>
      <c r="H1066" s="10" t="s">
        <v>3324</v>
      </c>
      <c r="I1066" s="10" t="s">
        <v>229</v>
      </c>
    </row>
    <row r="1067" spans="1:9" x14ac:dyDescent="0.15">
      <c r="A1067" s="9">
        <v>1066</v>
      </c>
      <c r="B1067" s="10" t="s">
        <v>9</v>
      </c>
      <c r="C1067" s="10" t="s">
        <v>363</v>
      </c>
      <c r="D1067" s="10" t="s">
        <v>364</v>
      </c>
      <c r="E1067" s="11" t="str">
        <f>+HYPERLINK("http://trademark.i-assist.jp/data/china/image_1902th/79008658.pdf", "79008658")</f>
        <v>79008658</v>
      </c>
      <c r="F1067" s="10" t="s">
        <v>3325</v>
      </c>
      <c r="G1067" s="10" t="s">
        <v>3326</v>
      </c>
      <c r="H1067" s="10" t="s">
        <v>3327</v>
      </c>
      <c r="I1067" s="10" t="s">
        <v>229</v>
      </c>
    </row>
    <row r="1068" spans="1:9" x14ac:dyDescent="0.15">
      <c r="A1068" s="9">
        <v>1067</v>
      </c>
      <c r="B1068" s="10" t="s">
        <v>9</v>
      </c>
      <c r="C1068" s="10" t="s">
        <v>363</v>
      </c>
      <c r="D1068" s="10" t="s">
        <v>364</v>
      </c>
      <c r="E1068" s="11" t="str">
        <f>+HYPERLINK("http://trademark.i-assist.jp/data/china/image_1902th/79009056.pdf", "79009056")</f>
        <v>79009056</v>
      </c>
      <c r="F1068" s="10" t="s">
        <v>3328</v>
      </c>
      <c r="G1068" s="10" t="s">
        <v>3329</v>
      </c>
      <c r="H1068" s="10" t="s">
        <v>3330</v>
      </c>
      <c r="I1068" s="10" t="s">
        <v>229</v>
      </c>
    </row>
    <row r="1069" spans="1:9" x14ac:dyDescent="0.15">
      <c r="A1069" s="9">
        <v>1068</v>
      </c>
      <c r="B1069" s="10" t="s">
        <v>9</v>
      </c>
      <c r="C1069" s="10" t="s">
        <v>363</v>
      </c>
      <c r="D1069" s="10" t="s">
        <v>364</v>
      </c>
      <c r="E1069" s="11" t="str">
        <f>+HYPERLINK("http://trademark.i-assist.jp/data/china/image_1902th/79009595.pdf", "79009595")</f>
        <v>79009595</v>
      </c>
      <c r="F1069" s="10" t="s">
        <v>3331</v>
      </c>
      <c r="G1069" s="10" t="s">
        <v>3159</v>
      </c>
      <c r="H1069" s="10" t="s">
        <v>3332</v>
      </c>
      <c r="I1069" s="10" t="s">
        <v>229</v>
      </c>
    </row>
    <row r="1070" spans="1:9" x14ac:dyDescent="0.15">
      <c r="A1070" s="9">
        <v>1069</v>
      </c>
      <c r="B1070" s="10" t="s">
        <v>9</v>
      </c>
      <c r="C1070" s="10" t="s">
        <v>363</v>
      </c>
      <c r="D1070" s="10" t="s">
        <v>364</v>
      </c>
      <c r="E1070" s="11" t="str">
        <f>+HYPERLINK("http://trademark.i-assist.jp/data/china/image_1902th/79009742.pdf", "79009742")</f>
        <v>79009742</v>
      </c>
      <c r="F1070" s="10" t="s">
        <v>3333</v>
      </c>
      <c r="G1070" s="10" t="s">
        <v>3334</v>
      </c>
      <c r="H1070" s="10" t="s">
        <v>3335</v>
      </c>
      <c r="I1070" s="10" t="s">
        <v>229</v>
      </c>
    </row>
    <row r="1071" spans="1:9" x14ac:dyDescent="0.15">
      <c r="A1071" s="9">
        <v>1070</v>
      </c>
      <c r="B1071" s="10" t="s">
        <v>9</v>
      </c>
      <c r="C1071" s="10" t="s">
        <v>363</v>
      </c>
      <c r="D1071" s="10" t="s">
        <v>364</v>
      </c>
      <c r="E1071" s="11" t="str">
        <f>+HYPERLINK("http://trademark.i-assist.jp/data/china/image_1902th/79010127.pdf", "79010127")</f>
        <v>79010127</v>
      </c>
      <c r="F1071" s="10" t="s">
        <v>3336</v>
      </c>
      <c r="G1071" s="10" t="s">
        <v>3337</v>
      </c>
      <c r="H1071" s="10" t="s">
        <v>3338</v>
      </c>
      <c r="I1071" s="10" t="s">
        <v>229</v>
      </c>
    </row>
    <row r="1072" spans="1:9" x14ac:dyDescent="0.15">
      <c r="A1072" s="9">
        <v>1071</v>
      </c>
      <c r="B1072" s="10" t="s">
        <v>9</v>
      </c>
      <c r="C1072" s="10" t="s">
        <v>363</v>
      </c>
      <c r="D1072" s="10" t="s">
        <v>364</v>
      </c>
      <c r="E1072" s="11" t="str">
        <f>+HYPERLINK("http://trademark.i-assist.jp/data/china/image_1902th/79010145.pdf", "79010145")</f>
        <v>79010145</v>
      </c>
      <c r="F1072" s="10" t="s">
        <v>12</v>
      </c>
      <c r="G1072" s="10" t="s">
        <v>3339</v>
      </c>
      <c r="H1072" s="10" t="s">
        <v>3340</v>
      </c>
      <c r="I1072" s="10" t="s">
        <v>229</v>
      </c>
    </row>
    <row r="1073" spans="1:9" x14ac:dyDescent="0.15">
      <c r="A1073" s="9">
        <v>1072</v>
      </c>
      <c r="B1073" s="10" t="s">
        <v>9</v>
      </c>
      <c r="C1073" s="10" t="s">
        <v>363</v>
      </c>
      <c r="D1073" s="10" t="s">
        <v>364</v>
      </c>
      <c r="E1073" s="11" t="str">
        <f>+HYPERLINK("http://trademark.i-assist.jp/data/china/image_1902th/79010439.pdf", "79010439")</f>
        <v>79010439</v>
      </c>
      <c r="F1073" s="10" t="s">
        <v>3341</v>
      </c>
      <c r="G1073" s="10" t="s">
        <v>3342</v>
      </c>
      <c r="H1073" s="10" t="s">
        <v>3343</v>
      </c>
      <c r="I1073" s="10" t="s">
        <v>229</v>
      </c>
    </row>
    <row r="1074" spans="1:9" x14ac:dyDescent="0.15">
      <c r="A1074" s="9">
        <v>1073</v>
      </c>
      <c r="B1074" s="10" t="s">
        <v>9</v>
      </c>
      <c r="C1074" s="10" t="s">
        <v>363</v>
      </c>
      <c r="D1074" s="10" t="s">
        <v>364</v>
      </c>
      <c r="E1074" s="11" t="str">
        <f>+HYPERLINK("http://trademark.i-assist.jp/data/china/image_1902th/79010704.pdf", "79010704")</f>
        <v>79010704</v>
      </c>
      <c r="F1074" s="10" t="s">
        <v>3344</v>
      </c>
      <c r="G1074" s="10" t="s">
        <v>3345</v>
      </c>
      <c r="H1074" s="10" t="s">
        <v>3346</v>
      </c>
      <c r="I1074" s="10" t="s">
        <v>229</v>
      </c>
    </row>
    <row r="1075" spans="1:9" x14ac:dyDescent="0.15">
      <c r="A1075" s="9">
        <v>1074</v>
      </c>
      <c r="B1075" s="10" t="s">
        <v>9</v>
      </c>
      <c r="C1075" s="10" t="s">
        <v>363</v>
      </c>
      <c r="D1075" s="10" t="s">
        <v>364</v>
      </c>
      <c r="E1075" s="11" t="str">
        <f>+HYPERLINK("http://trademark.i-assist.jp/data/china/image_1902th/79010729.pdf", "79010729")</f>
        <v>79010729</v>
      </c>
      <c r="F1075" s="10" t="s">
        <v>3347</v>
      </c>
      <c r="G1075" s="10" t="s">
        <v>3194</v>
      </c>
      <c r="H1075" s="10" t="s">
        <v>3348</v>
      </c>
      <c r="I1075" s="10" t="s">
        <v>229</v>
      </c>
    </row>
    <row r="1076" spans="1:9" x14ac:dyDescent="0.15">
      <c r="A1076" s="9">
        <v>1075</v>
      </c>
      <c r="B1076" s="10" t="s">
        <v>9</v>
      </c>
      <c r="C1076" s="10" t="s">
        <v>363</v>
      </c>
      <c r="D1076" s="10" t="s">
        <v>364</v>
      </c>
      <c r="E1076" s="11" t="str">
        <f>+HYPERLINK("http://trademark.i-assist.jp/data/china/image_1902th/79010825.pdf", "79010825")</f>
        <v>79010825</v>
      </c>
      <c r="F1076" s="10" t="s">
        <v>3349</v>
      </c>
      <c r="G1076" s="10" t="s">
        <v>3350</v>
      </c>
      <c r="H1076" s="10" t="s">
        <v>3351</v>
      </c>
      <c r="I1076" s="10" t="s">
        <v>229</v>
      </c>
    </row>
    <row r="1077" spans="1:9" x14ac:dyDescent="0.15">
      <c r="A1077" s="9">
        <v>1076</v>
      </c>
      <c r="B1077" s="10" t="s">
        <v>9</v>
      </c>
      <c r="C1077" s="10" t="s">
        <v>363</v>
      </c>
      <c r="D1077" s="10" t="s">
        <v>364</v>
      </c>
      <c r="E1077" s="11" t="str">
        <f>+HYPERLINK("http://trademark.i-assist.jp/data/china/image_1902th/79011178.pdf", "79011178")</f>
        <v>79011178</v>
      </c>
      <c r="F1077" s="10" t="s">
        <v>3352</v>
      </c>
      <c r="G1077" s="10" t="s">
        <v>3353</v>
      </c>
      <c r="H1077" s="10" t="s">
        <v>3354</v>
      </c>
      <c r="I1077" s="10" t="s">
        <v>229</v>
      </c>
    </row>
    <row r="1078" spans="1:9" x14ac:dyDescent="0.15">
      <c r="A1078" s="9">
        <v>1077</v>
      </c>
      <c r="B1078" s="10" t="s">
        <v>9</v>
      </c>
      <c r="C1078" s="10" t="s">
        <v>363</v>
      </c>
      <c r="D1078" s="10" t="s">
        <v>364</v>
      </c>
      <c r="E1078" s="11" t="str">
        <f>+HYPERLINK("http://trademark.i-assist.jp/data/china/image_1902th/79011332.pdf", "79011332")</f>
        <v>79011332</v>
      </c>
      <c r="F1078" s="10" t="s">
        <v>3355</v>
      </c>
      <c r="G1078" s="10" t="s">
        <v>3356</v>
      </c>
      <c r="H1078" s="10" t="s">
        <v>3357</v>
      </c>
      <c r="I1078" s="10" t="s">
        <v>229</v>
      </c>
    </row>
    <row r="1079" spans="1:9" x14ac:dyDescent="0.15">
      <c r="A1079" s="9">
        <v>1078</v>
      </c>
      <c r="B1079" s="10" t="s">
        <v>9</v>
      </c>
      <c r="C1079" s="10" t="s">
        <v>363</v>
      </c>
      <c r="D1079" s="10" t="s">
        <v>364</v>
      </c>
      <c r="E1079" s="11" t="str">
        <f>+HYPERLINK("http://trademark.i-assist.jp/data/china/image_1902th/79011378.pdf", "79011378")</f>
        <v>79011378</v>
      </c>
      <c r="F1079" s="10" t="s">
        <v>3358</v>
      </c>
      <c r="G1079" s="10" t="s">
        <v>3359</v>
      </c>
      <c r="H1079" s="10" t="s">
        <v>3360</v>
      </c>
      <c r="I1079" s="10" t="s">
        <v>229</v>
      </c>
    </row>
    <row r="1080" spans="1:9" x14ac:dyDescent="0.15">
      <c r="A1080" s="9">
        <v>1079</v>
      </c>
      <c r="B1080" s="10" t="s">
        <v>9</v>
      </c>
      <c r="C1080" s="10" t="s">
        <v>363</v>
      </c>
      <c r="D1080" s="10" t="s">
        <v>364</v>
      </c>
      <c r="E1080" s="11" t="str">
        <f>+HYPERLINK("http://trademark.i-assist.jp/data/china/image_1902th/79011674.pdf", "79011674")</f>
        <v>79011674</v>
      </c>
      <c r="F1080" s="10" t="s">
        <v>3361</v>
      </c>
      <c r="G1080" s="10" t="s">
        <v>3362</v>
      </c>
      <c r="H1080" s="10" t="s">
        <v>3363</v>
      </c>
      <c r="I1080" s="10" t="s">
        <v>243</v>
      </c>
    </row>
    <row r="1081" spans="1:9" x14ac:dyDescent="0.15">
      <c r="A1081" s="9">
        <v>1080</v>
      </c>
      <c r="B1081" s="10" t="s">
        <v>9</v>
      </c>
      <c r="C1081" s="10" t="s">
        <v>363</v>
      </c>
      <c r="D1081" s="10" t="s">
        <v>364</v>
      </c>
      <c r="E1081" s="11" t="str">
        <f>+HYPERLINK("http://trademark.i-assist.jp/data/china/image_1902th/79012521.pdf", "79012521")</f>
        <v>79012521</v>
      </c>
      <c r="F1081" s="10" t="s">
        <v>3364</v>
      </c>
      <c r="G1081" s="10" t="s">
        <v>3365</v>
      </c>
      <c r="H1081" s="10" t="s">
        <v>3366</v>
      </c>
      <c r="I1081" s="10" t="s">
        <v>243</v>
      </c>
    </row>
    <row r="1082" spans="1:9" x14ac:dyDescent="0.15">
      <c r="A1082" s="9">
        <v>1081</v>
      </c>
      <c r="B1082" s="10" t="s">
        <v>9</v>
      </c>
      <c r="C1082" s="10" t="s">
        <v>363</v>
      </c>
      <c r="D1082" s="10" t="s">
        <v>364</v>
      </c>
      <c r="E1082" s="11" t="str">
        <f>+HYPERLINK("http://trademark.i-assist.jp/data/china/image_1902th/79012583.pdf", "79012583")</f>
        <v>79012583</v>
      </c>
      <c r="F1082" s="10" t="s">
        <v>3367</v>
      </c>
      <c r="G1082" s="10" t="s">
        <v>244</v>
      </c>
      <c r="H1082" s="10" t="s">
        <v>3368</v>
      </c>
      <c r="I1082" s="10" t="s">
        <v>243</v>
      </c>
    </row>
    <row r="1083" spans="1:9" x14ac:dyDescent="0.15">
      <c r="A1083" s="9">
        <v>1082</v>
      </c>
      <c r="B1083" s="10" t="s">
        <v>9</v>
      </c>
      <c r="C1083" s="10" t="s">
        <v>363</v>
      </c>
      <c r="D1083" s="10" t="s">
        <v>364</v>
      </c>
      <c r="E1083" s="11" t="str">
        <f>+HYPERLINK("http://trademark.i-assist.jp/data/china/image_1902th/79012648.pdf", "79012648")</f>
        <v>79012648</v>
      </c>
      <c r="F1083" s="10" t="s">
        <v>3369</v>
      </c>
      <c r="G1083" s="10" t="s">
        <v>3370</v>
      </c>
      <c r="H1083" s="10" t="s">
        <v>3371</v>
      </c>
      <c r="I1083" s="10" t="s">
        <v>243</v>
      </c>
    </row>
    <row r="1084" spans="1:9" x14ac:dyDescent="0.15">
      <c r="A1084" s="9">
        <v>1083</v>
      </c>
      <c r="B1084" s="10" t="s">
        <v>9</v>
      </c>
      <c r="C1084" s="10" t="s">
        <v>363</v>
      </c>
      <c r="D1084" s="10" t="s">
        <v>364</v>
      </c>
      <c r="E1084" s="11" t="str">
        <f>+HYPERLINK("http://trademark.i-assist.jp/data/china/image_1902th/79012687.pdf", "79012687")</f>
        <v>79012687</v>
      </c>
      <c r="F1084" s="10" t="s">
        <v>3372</v>
      </c>
      <c r="G1084" s="10" t="s">
        <v>3373</v>
      </c>
      <c r="H1084" s="10" t="s">
        <v>3374</v>
      </c>
      <c r="I1084" s="10" t="s">
        <v>243</v>
      </c>
    </row>
    <row r="1085" spans="1:9" x14ac:dyDescent="0.15">
      <c r="A1085" s="9">
        <v>1084</v>
      </c>
      <c r="B1085" s="10" t="s">
        <v>9</v>
      </c>
      <c r="C1085" s="10" t="s">
        <v>363</v>
      </c>
      <c r="D1085" s="10" t="s">
        <v>364</v>
      </c>
      <c r="E1085" s="11" t="str">
        <f>+HYPERLINK("http://trademark.i-assist.jp/data/china/image_1902th/79012690.pdf", "79012690")</f>
        <v>79012690</v>
      </c>
      <c r="F1085" s="10" t="s">
        <v>3375</v>
      </c>
      <c r="G1085" s="10" t="s">
        <v>3376</v>
      </c>
      <c r="H1085" s="10" t="s">
        <v>3377</v>
      </c>
      <c r="I1085" s="10" t="s">
        <v>243</v>
      </c>
    </row>
    <row r="1086" spans="1:9" x14ac:dyDescent="0.15">
      <c r="A1086" s="9">
        <v>1085</v>
      </c>
      <c r="B1086" s="10" t="s">
        <v>9</v>
      </c>
      <c r="C1086" s="10" t="s">
        <v>363</v>
      </c>
      <c r="D1086" s="10" t="s">
        <v>364</v>
      </c>
      <c r="E1086" s="11" t="str">
        <f>+HYPERLINK("http://trademark.i-assist.jp/data/china/image_1902th/79012703.pdf", "79012703")</f>
        <v>79012703</v>
      </c>
      <c r="F1086" s="10" t="s">
        <v>3378</v>
      </c>
      <c r="G1086" s="10" t="s">
        <v>3373</v>
      </c>
      <c r="H1086" s="10" t="s">
        <v>3379</v>
      </c>
      <c r="I1086" s="10" t="s">
        <v>243</v>
      </c>
    </row>
    <row r="1087" spans="1:9" x14ac:dyDescent="0.15">
      <c r="A1087" s="9">
        <v>1086</v>
      </c>
      <c r="B1087" s="10" t="s">
        <v>9</v>
      </c>
      <c r="C1087" s="10" t="s">
        <v>363</v>
      </c>
      <c r="D1087" s="10" t="s">
        <v>364</v>
      </c>
      <c r="E1087" s="11" t="str">
        <f>+HYPERLINK("http://trademark.i-assist.jp/data/china/image_1902th/79012788.pdf", "79012788")</f>
        <v>79012788</v>
      </c>
      <c r="F1087" s="10" t="s">
        <v>3380</v>
      </c>
      <c r="G1087" s="10" t="s">
        <v>3381</v>
      </c>
      <c r="H1087" s="10" t="s">
        <v>3382</v>
      </c>
      <c r="I1087" s="10" t="s">
        <v>243</v>
      </c>
    </row>
    <row r="1088" spans="1:9" x14ac:dyDescent="0.15">
      <c r="A1088" s="9">
        <v>1087</v>
      </c>
      <c r="B1088" s="10" t="s">
        <v>9</v>
      </c>
      <c r="C1088" s="10" t="s">
        <v>363</v>
      </c>
      <c r="D1088" s="10" t="s">
        <v>364</v>
      </c>
      <c r="E1088" s="11" t="str">
        <f>+HYPERLINK("http://trademark.i-assist.jp/data/china/image_1902th/79012949.pdf", "79012949")</f>
        <v>79012949</v>
      </c>
      <c r="F1088" s="10" t="s">
        <v>3383</v>
      </c>
      <c r="G1088" s="10" t="s">
        <v>3384</v>
      </c>
      <c r="H1088" s="10" t="s">
        <v>3385</v>
      </c>
      <c r="I1088" s="10" t="s">
        <v>243</v>
      </c>
    </row>
    <row r="1089" spans="1:9" x14ac:dyDescent="0.15">
      <c r="A1089" s="9">
        <v>1088</v>
      </c>
      <c r="B1089" s="10" t="s">
        <v>9</v>
      </c>
      <c r="C1089" s="10" t="s">
        <v>363</v>
      </c>
      <c r="D1089" s="10" t="s">
        <v>364</v>
      </c>
      <c r="E1089" s="11" t="str">
        <f>+HYPERLINK("http://trademark.i-assist.jp/data/china/image_1902th/79013338.pdf", "79013338")</f>
        <v>79013338</v>
      </c>
      <c r="F1089" s="10" t="s">
        <v>3386</v>
      </c>
      <c r="G1089" s="10" t="s">
        <v>3387</v>
      </c>
      <c r="H1089" s="10" t="s">
        <v>3388</v>
      </c>
      <c r="I1089" s="10" t="s">
        <v>243</v>
      </c>
    </row>
    <row r="1090" spans="1:9" x14ac:dyDescent="0.15">
      <c r="A1090" s="9">
        <v>1089</v>
      </c>
      <c r="B1090" s="10" t="s">
        <v>9</v>
      </c>
      <c r="C1090" s="10" t="s">
        <v>363</v>
      </c>
      <c r="D1090" s="10" t="s">
        <v>364</v>
      </c>
      <c r="E1090" s="11" t="str">
        <f>+HYPERLINK("http://trademark.i-assist.jp/data/china/image_1902th/79013966.pdf", "79013966")</f>
        <v>79013966</v>
      </c>
      <c r="F1090" s="10" t="s">
        <v>3389</v>
      </c>
      <c r="G1090" s="10" t="s">
        <v>3390</v>
      </c>
      <c r="H1090" s="10" t="s">
        <v>3391</v>
      </c>
      <c r="I1090" s="10" t="s">
        <v>243</v>
      </c>
    </row>
    <row r="1091" spans="1:9" x14ac:dyDescent="0.15">
      <c r="A1091" s="9">
        <v>1090</v>
      </c>
      <c r="B1091" s="10" t="s">
        <v>9</v>
      </c>
      <c r="C1091" s="10" t="s">
        <v>363</v>
      </c>
      <c r="D1091" s="10" t="s">
        <v>364</v>
      </c>
      <c r="E1091" s="11" t="str">
        <f>+HYPERLINK("http://trademark.i-assist.jp/data/china/image_1902th/79014456.pdf", "79014456")</f>
        <v>79014456</v>
      </c>
      <c r="F1091" s="10" t="s">
        <v>12</v>
      </c>
      <c r="G1091" s="10" t="s">
        <v>3392</v>
      </c>
      <c r="H1091" s="10" t="s">
        <v>3393</v>
      </c>
      <c r="I1091" s="10" t="s">
        <v>243</v>
      </c>
    </row>
    <row r="1092" spans="1:9" x14ac:dyDescent="0.15">
      <c r="A1092" s="9">
        <v>1091</v>
      </c>
      <c r="B1092" s="10" t="s">
        <v>9</v>
      </c>
      <c r="C1092" s="10" t="s">
        <v>363</v>
      </c>
      <c r="D1092" s="10" t="s">
        <v>364</v>
      </c>
      <c r="E1092" s="11" t="str">
        <f>+HYPERLINK("http://trademark.i-assist.jp/data/china/image_1902th/79014724.pdf", "79014724")</f>
        <v>79014724</v>
      </c>
      <c r="F1092" s="10" t="s">
        <v>3394</v>
      </c>
      <c r="G1092" s="10" t="s">
        <v>3395</v>
      </c>
      <c r="H1092" s="10" t="s">
        <v>3396</v>
      </c>
      <c r="I1092" s="10" t="s">
        <v>243</v>
      </c>
    </row>
    <row r="1093" spans="1:9" x14ac:dyDescent="0.15">
      <c r="A1093" s="9">
        <v>1092</v>
      </c>
      <c r="B1093" s="10" t="s">
        <v>9</v>
      </c>
      <c r="C1093" s="10" t="s">
        <v>363</v>
      </c>
      <c r="D1093" s="10" t="s">
        <v>364</v>
      </c>
      <c r="E1093" s="11" t="str">
        <f>+HYPERLINK("http://trademark.i-assist.jp/data/china/image_1902th/79014973.pdf", "79014973")</f>
        <v>79014973</v>
      </c>
      <c r="F1093" s="10" t="s">
        <v>3397</v>
      </c>
      <c r="G1093" s="10" t="s">
        <v>3398</v>
      </c>
      <c r="H1093" s="10" t="s">
        <v>3399</v>
      </c>
      <c r="I1093" s="10" t="s">
        <v>243</v>
      </c>
    </row>
    <row r="1094" spans="1:9" x14ac:dyDescent="0.15">
      <c r="A1094" s="9">
        <v>1093</v>
      </c>
      <c r="B1094" s="10" t="s">
        <v>9</v>
      </c>
      <c r="C1094" s="10" t="s">
        <v>363</v>
      </c>
      <c r="D1094" s="10" t="s">
        <v>364</v>
      </c>
      <c r="E1094" s="11" t="str">
        <f>+HYPERLINK("http://trademark.i-assist.jp/data/china/image_1902th/79014987.pdf", "79014987")</f>
        <v>79014987</v>
      </c>
      <c r="F1094" s="10" t="s">
        <v>3400</v>
      </c>
      <c r="G1094" s="10" t="s">
        <v>3398</v>
      </c>
      <c r="H1094" s="10" t="s">
        <v>3401</v>
      </c>
      <c r="I1094" s="10" t="s">
        <v>243</v>
      </c>
    </row>
    <row r="1095" spans="1:9" x14ac:dyDescent="0.15">
      <c r="A1095" s="9">
        <v>1094</v>
      </c>
      <c r="B1095" s="10" t="s">
        <v>9</v>
      </c>
      <c r="C1095" s="10" t="s">
        <v>363</v>
      </c>
      <c r="D1095" s="10" t="s">
        <v>364</v>
      </c>
      <c r="E1095" s="11" t="str">
        <f>+HYPERLINK("http://trademark.i-assist.jp/data/china/image_1902th/79015177.pdf", "79015177")</f>
        <v>79015177</v>
      </c>
      <c r="F1095" s="10" t="s">
        <v>3402</v>
      </c>
      <c r="G1095" s="10" t="s">
        <v>3403</v>
      </c>
      <c r="H1095" s="10" t="s">
        <v>3404</v>
      </c>
      <c r="I1095" s="10" t="s">
        <v>243</v>
      </c>
    </row>
    <row r="1096" spans="1:9" x14ac:dyDescent="0.15">
      <c r="A1096" s="9">
        <v>1095</v>
      </c>
      <c r="B1096" s="10" t="s">
        <v>9</v>
      </c>
      <c r="C1096" s="10" t="s">
        <v>363</v>
      </c>
      <c r="D1096" s="10" t="s">
        <v>364</v>
      </c>
      <c r="E1096" s="11" t="str">
        <f>+HYPERLINK("http://trademark.i-assist.jp/data/china/image_1902th/79015185.pdf", "79015185")</f>
        <v>79015185</v>
      </c>
      <c r="F1096" s="10" t="s">
        <v>3405</v>
      </c>
      <c r="G1096" s="10" t="s">
        <v>3406</v>
      </c>
      <c r="H1096" s="10" t="s">
        <v>3407</v>
      </c>
      <c r="I1096" s="10" t="s">
        <v>243</v>
      </c>
    </row>
    <row r="1097" spans="1:9" x14ac:dyDescent="0.15">
      <c r="A1097" s="9">
        <v>1096</v>
      </c>
      <c r="B1097" s="10" t="s">
        <v>9</v>
      </c>
      <c r="C1097" s="10" t="s">
        <v>363</v>
      </c>
      <c r="D1097" s="10" t="s">
        <v>364</v>
      </c>
      <c r="E1097" s="11" t="str">
        <f>+HYPERLINK("http://trademark.i-assist.jp/data/china/image_1902th/79015359.pdf", "79015359")</f>
        <v>79015359</v>
      </c>
      <c r="F1097" s="10" t="s">
        <v>3408</v>
      </c>
      <c r="G1097" s="10" t="s">
        <v>253</v>
      </c>
      <c r="H1097" s="10" t="s">
        <v>3409</v>
      </c>
      <c r="I1097" s="10" t="s">
        <v>243</v>
      </c>
    </row>
    <row r="1098" spans="1:9" x14ac:dyDescent="0.15">
      <c r="A1098" s="9">
        <v>1097</v>
      </c>
      <c r="B1098" s="10" t="s">
        <v>9</v>
      </c>
      <c r="C1098" s="10" t="s">
        <v>363</v>
      </c>
      <c r="D1098" s="10" t="s">
        <v>364</v>
      </c>
      <c r="E1098" s="11" t="str">
        <f>+HYPERLINK("http://trademark.i-assist.jp/data/china/image_1902th/79015364.pdf", "79015364")</f>
        <v>79015364</v>
      </c>
      <c r="F1098" s="10" t="s">
        <v>3410</v>
      </c>
      <c r="G1098" s="10" t="s">
        <v>3411</v>
      </c>
      <c r="H1098" s="10" t="s">
        <v>3412</v>
      </c>
      <c r="I1098" s="10" t="s">
        <v>243</v>
      </c>
    </row>
    <row r="1099" spans="1:9" x14ac:dyDescent="0.15">
      <c r="A1099" s="9">
        <v>1098</v>
      </c>
      <c r="B1099" s="10" t="s">
        <v>9</v>
      </c>
      <c r="C1099" s="10" t="s">
        <v>363</v>
      </c>
      <c r="D1099" s="10" t="s">
        <v>364</v>
      </c>
      <c r="E1099" s="11" t="str">
        <f>+HYPERLINK("http://trademark.i-assist.jp/data/china/image_1902th/79015876.pdf", "79015876")</f>
        <v>79015876</v>
      </c>
      <c r="F1099" s="10" t="s">
        <v>3413</v>
      </c>
      <c r="G1099" s="10" t="s">
        <v>3414</v>
      </c>
      <c r="H1099" s="10" t="s">
        <v>3415</v>
      </c>
      <c r="I1099" s="10" t="s">
        <v>243</v>
      </c>
    </row>
    <row r="1100" spans="1:9" x14ac:dyDescent="0.15">
      <c r="A1100" s="9">
        <v>1099</v>
      </c>
      <c r="B1100" s="10" t="s">
        <v>9</v>
      </c>
      <c r="C1100" s="10" t="s">
        <v>363</v>
      </c>
      <c r="D1100" s="10" t="s">
        <v>364</v>
      </c>
      <c r="E1100" s="11" t="str">
        <f>+HYPERLINK("http://trademark.i-assist.jp/data/china/image_1902th/79015970.pdf", "79015970")</f>
        <v>79015970</v>
      </c>
      <c r="F1100" s="10" t="s">
        <v>3416</v>
      </c>
      <c r="G1100" s="10" t="s">
        <v>3417</v>
      </c>
      <c r="H1100" s="10" t="s">
        <v>3418</v>
      </c>
      <c r="I1100" s="10" t="s">
        <v>243</v>
      </c>
    </row>
    <row r="1101" spans="1:9" x14ac:dyDescent="0.15">
      <c r="A1101" s="9">
        <v>1100</v>
      </c>
      <c r="B1101" s="10" t="s">
        <v>9</v>
      </c>
      <c r="C1101" s="10" t="s">
        <v>363</v>
      </c>
      <c r="D1101" s="10" t="s">
        <v>364</v>
      </c>
      <c r="E1101" s="11" t="str">
        <f>+HYPERLINK("http://trademark.i-assist.jp/data/china/image_1902th/79016342.pdf", "79016342")</f>
        <v>79016342</v>
      </c>
      <c r="F1101" s="10" t="s">
        <v>3419</v>
      </c>
      <c r="G1101" s="10" t="s">
        <v>3420</v>
      </c>
      <c r="H1101" s="10" t="s">
        <v>3421</v>
      </c>
      <c r="I1101" s="10" t="s">
        <v>243</v>
      </c>
    </row>
    <row r="1102" spans="1:9" x14ac:dyDescent="0.15">
      <c r="A1102" s="9">
        <v>1101</v>
      </c>
      <c r="B1102" s="10" t="s">
        <v>9</v>
      </c>
      <c r="C1102" s="10" t="s">
        <v>363</v>
      </c>
      <c r="D1102" s="10" t="s">
        <v>364</v>
      </c>
      <c r="E1102" s="11" t="str">
        <f>+HYPERLINK("http://trademark.i-assist.jp/data/china/image_1902th/79016534.pdf", "79016534")</f>
        <v>79016534</v>
      </c>
      <c r="F1102" s="10" t="s">
        <v>3422</v>
      </c>
      <c r="G1102" s="10" t="s">
        <v>3423</v>
      </c>
      <c r="H1102" s="10" t="s">
        <v>3424</v>
      </c>
      <c r="I1102" s="10" t="s">
        <v>243</v>
      </c>
    </row>
    <row r="1103" spans="1:9" x14ac:dyDescent="0.15">
      <c r="A1103" s="9">
        <v>1102</v>
      </c>
      <c r="B1103" s="10" t="s">
        <v>9</v>
      </c>
      <c r="C1103" s="10" t="s">
        <v>363</v>
      </c>
      <c r="D1103" s="10" t="s">
        <v>364</v>
      </c>
      <c r="E1103" s="11" t="str">
        <f>+HYPERLINK("http://trademark.i-assist.jp/data/china/image_1902th/79016667.pdf", "79016667")</f>
        <v>79016667</v>
      </c>
      <c r="F1103" s="10" t="s">
        <v>3425</v>
      </c>
      <c r="G1103" s="10" t="s">
        <v>3426</v>
      </c>
      <c r="H1103" s="10" t="s">
        <v>3427</v>
      </c>
      <c r="I1103" s="10" t="s">
        <v>243</v>
      </c>
    </row>
    <row r="1104" spans="1:9" x14ac:dyDescent="0.15">
      <c r="A1104" s="9">
        <v>1103</v>
      </c>
      <c r="B1104" s="10" t="s">
        <v>9</v>
      </c>
      <c r="C1104" s="10" t="s">
        <v>363</v>
      </c>
      <c r="D1104" s="10" t="s">
        <v>364</v>
      </c>
      <c r="E1104" s="11" t="str">
        <f>+HYPERLINK("http://trademark.i-assist.jp/data/china/image_1902th/79017600.pdf", "79017600")</f>
        <v>79017600</v>
      </c>
      <c r="F1104" s="10" t="s">
        <v>3428</v>
      </c>
      <c r="G1104" s="10" t="s">
        <v>3429</v>
      </c>
      <c r="H1104" s="10" t="s">
        <v>3430</v>
      </c>
      <c r="I1104" s="10" t="s">
        <v>243</v>
      </c>
    </row>
    <row r="1105" spans="1:9" x14ac:dyDescent="0.15">
      <c r="A1105" s="9">
        <v>1104</v>
      </c>
      <c r="B1105" s="10" t="s">
        <v>9</v>
      </c>
      <c r="C1105" s="10" t="s">
        <v>363</v>
      </c>
      <c r="D1105" s="10" t="s">
        <v>364</v>
      </c>
      <c r="E1105" s="11" t="str">
        <f>+HYPERLINK("http://trademark.i-assist.jp/data/china/image_1902th/79017905.pdf", "79017905")</f>
        <v>79017905</v>
      </c>
      <c r="F1105" s="10" t="s">
        <v>3431</v>
      </c>
      <c r="G1105" s="10" t="s">
        <v>3432</v>
      </c>
      <c r="H1105" s="10" t="s">
        <v>3433</v>
      </c>
      <c r="I1105" s="10" t="s">
        <v>243</v>
      </c>
    </row>
    <row r="1106" spans="1:9" x14ac:dyDescent="0.15">
      <c r="A1106" s="9">
        <v>1105</v>
      </c>
      <c r="B1106" s="10" t="s">
        <v>9</v>
      </c>
      <c r="C1106" s="10" t="s">
        <v>363</v>
      </c>
      <c r="D1106" s="10" t="s">
        <v>364</v>
      </c>
      <c r="E1106" s="11" t="str">
        <f>+HYPERLINK("http://trademark.i-assist.jp/data/china/image_1902th/79018102.pdf", "79018102")</f>
        <v>79018102</v>
      </c>
      <c r="F1106" s="10" t="s">
        <v>3434</v>
      </c>
      <c r="G1106" s="10" t="s">
        <v>274</v>
      </c>
      <c r="H1106" s="10" t="s">
        <v>3435</v>
      </c>
      <c r="I1106" s="10" t="s">
        <v>243</v>
      </c>
    </row>
    <row r="1107" spans="1:9" x14ac:dyDescent="0.15">
      <c r="A1107" s="9">
        <v>1106</v>
      </c>
      <c r="B1107" s="10" t="s">
        <v>9</v>
      </c>
      <c r="C1107" s="10" t="s">
        <v>363</v>
      </c>
      <c r="D1107" s="10" t="s">
        <v>364</v>
      </c>
      <c r="E1107" s="11" t="str">
        <f>+HYPERLINK("http://trademark.i-assist.jp/data/china/image_1902th/79018239.pdf", "79018239")</f>
        <v>79018239</v>
      </c>
      <c r="F1107" s="10" t="s">
        <v>3436</v>
      </c>
      <c r="G1107" s="10" t="s">
        <v>3370</v>
      </c>
      <c r="H1107" s="10" t="s">
        <v>3437</v>
      </c>
      <c r="I1107" s="10" t="s">
        <v>243</v>
      </c>
    </row>
    <row r="1108" spans="1:9" x14ac:dyDescent="0.15">
      <c r="A1108" s="9">
        <v>1107</v>
      </c>
      <c r="B1108" s="10" t="s">
        <v>9</v>
      </c>
      <c r="C1108" s="10" t="s">
        <v>363</v>
      </c>
      <c r="D1108" s="10" t="s">
        <v>364</v>
      </c>
      <c r="E1108" s="11" t="str">
        <f>+HYPERLINK("http://trademark.i-assist.jp/data/china/image_1902th/79019019.pdf", "79019019")</f>
        <v>79019019</v>
      </c>
      <c r="F1108" s="10" t="s">
        <v>12</v>
      </c>
      <c r="G1108" s="10" t="s">
        <v>3438</v>
      </c>
      <c r="H1108" s="10" t="s">
        <v>3439</v>
      </c>
      <c r="I1108" s="10" t="s">
        <v>243</v>
      </c>
    </row>
    <row r="1109" spans="1:9" x14ac:dyDescent="0.15">
      <c r="A1109" s="9">
        <v>1108</v>
      </c>
      <c r="B1109" s="10" t="s">
        <v>9</v>
      </c>
      <c r="C1109" s="10" t="s">
        <v>363</v>
      </c>
      <c r="D1109" s="10" t="s">
        <v>364</v>
      </c>
      <c r="E1109" s="11" t="str">
        <f>+HYPERLINK("http://trademark.i-assist.jp/data/china/image_1902th/79019193.pdf", "79019193")</f>
        <v>79019193</v>
      </c>
      <c r="F1109" s="10" t="s">
        <v>3440</v>
      </c>
      <c r="G1109" s="10" t="s">
        <v>3441</v>
      </c>
      <c r="H1109" s="10" t="s">
        <v>3442</v>
      </c>
      <c r="I1109" s="10" t="s">
        <v>243</v>
      </c>
    </row>
    <row r="1110" spans="1:9" x14ac:dyDescent="0.15">
      <c r="A1110" s="9">
        <v>1109</v>
      </c>
      <c r="B1110" s="10" t="s">
        <v>9</v>
      </c>
      <c r="C1110" s="10" t="s">
        <v>363</v>
      </c>
      <c r="D1110" s="10" t="s">
        <v>364</v>
      </c>
      <c r="E1110" s="11" t="str">
        <f>+HYPERLINK("http://trademark.i-assist.jp/data/china/image_1902th/79019321.pdf", "79019321")</f>
        <v>79019321</v>
      </c>
      <c r="F1110" s="10" t="s">
        <v>3443</v>
      </c>
      <c r="G1110" s="10" t="s">
        <v>3444</v>
      </c>
      <c r="H1110" s="10" t="s">
        <v>3445</v>
      </c>
      <c r="I1110" s="10" t="s">
        <v>243</v>
      </c>
    </row>
    <row r="1111" spans="1:9" x14ac:dyDescent="0.15">
      <c r="A1111" s="9">
        <v>1110</v>
      </c>
      <c r="B1111" s="10" t="s">
        <v>9</v>
      </c>
      <c r="C1111" s="10" t="s">
        <v>363</v>
      </c>
      <c r="D1111" s="10" t="s">
        <v>364</v>
      </c>
      <c r="E1111" s="11" t="str">
        <f>+HYPERLINK("http://trademark.i-assist.jp/data/china/image_1902th/79019344.pdf", "79019344")</f>
        <v>79019344</v>
      </c>
      <c r="F1111" s="10" t="s">
        <v>3446</v>
      </c>
      <c r="G1111" s="10" t="s">
        <v>3447</v>
      </c>
      <c r="H1111" s="10" t="s">
        <v>3448</v>
      </c>
      <c r="I1111" s="10" t="s">
        <v>243</v>
      </c>
    </row>
    <row r="1112" spans="1:9" x14ac:dyDescent="0.15">
      <c r="A1112" s="9">
        <v>1111</v>
      </c>
      <c r="B1112" s="10" t="s">
        <v>9</v>
      </c>
      <c r="C1112" s="10" t="s">
        <v>363</v>
      </c>
      <c r="D1112" s="10" t="s">
        <v>364</v>
      </c>
      <c r="E1112" s="11" t="str">
        <f>+HYPERLINK("http://trademark.i-assist.jp/data/china/image_1902th/79019553.pdf", "79019553")</f>
        <v>79019553</v>
      </c>
      <c r="F1112" s="10" t="s">
        <v>3449</v>
      </c>
      <c r="G1112" s="10" t="s">
        <v>249</v>
      </c>
      <c r="H1112" s="10" t="s">
        <v>3450</v>
      </c>
      <c r="I1112" s="10" t="s">
        <v>243</v>
      </c>
    </row>
    <row r="1113" spans="1:9" x14ac:dyDescent="0.15">
      <c r="A1113" s="9">
        <v>1112</v>
      </c>
      <c r="B1113" s="10" t="s">
        <v>9</v>
      </c>
      <c r="C1113" s="10" t="s">
        <v>363</v>
      </c>
      <c r="D1113" s="10" t="s">
        <v>364</v>
      </c>
      <c r="E1113" s="11" t="str">
        <f>+HYPERLINK("http://trademark.i-assist.jp/data/china/image_1902th/79019749.pdf", "79019749")</f>
        <v>79019749</v>
      </c>
      <c r="F1113" s="10" t="s">
        <v>3451</v>
      </c>
      <c r="G1113" s="10" t="s">
        <v>1201</v>
      </c>
      <c r="H1113" s="10" t="s">
        <v>3452</v>
      </c>
      <c r="I1113" s="10" t="s">
        <v>243</v>
      </c>
    </row>
    <row r="1114" spans="1:9" x14ac:dyDescent="0.15">
      <c r="A1114" s="9">
        <v>1113</v>
      </c>
      <c r="B1114" s="10" t="s">
        <v>9</v>
      </c>
      <c r="C1114" s="10" t="s">
        <v>363</v>
      </c>
      <c r="D1114" s="10" t="s">
        <v>364</v>
      </c>
      <c r="E1114" s="11" t="str">
        <f>+HYPERLINK("http://trademark.i-assist.jp/data/china/image_1902th/79019867.pdf", "79019867")</f>
        <v>79019867</v>
      </c>
      <c r="F1114" s="10" t="s">
        <v>3453</v>
      </c>
      <c r="G1114" s="10" t="s">
        <v>3454</v>
      </c>
      <c r="H1114" s="10" t="s">
        <v>3455</v>
      </c>
      <c r="I1114" s="10" t="s">
        <v>243</v>
      </c>
    </row>
    <row r="1115" spans="1:9" x14ac:dyDescent="0.15">
      <c r="A1115" s="9">
        <v>1114</v>
      </c>
      <c r="B1115" s="10" t="s">
        <v>9</v>
      </c>
      <c r="C1115" s="10" t="s">
        <v>363</v>
      </c>
      <c r="D1115" s="10" t="s">
        <v>364</v>
      </c>
      <c r="E1115" s="11" t="str">
        <f>+HYPERLINK("http://trademark.i-assist.jp/data/china/image_1902th/79019984.pdf", "79019984")</f>
        <v>79019984</v>
      </c>
      <c r="F1115" s="10" t="s">
        <v>3456</v>
      </c>
      <c r="G1115" s="10" t="s">
        <v>3457</v>
      </c>
      <c r="H1115" s="10" t="s">
        <v>3458</v>
      </c>
      <c r="I1115" s="10" t="s">
        <v>243</v>
      </c>
    </row>
    <row r="1116" spans="1:9" x14ac:dyDescent="0.15">
      <c r="A1116" s="9">
        <v>1115</v>
      </c>
      <c r="B1116" s="10" t="s">
        <v>9</v>
      </c>
      <c r="C1116" s="10" t="s">
        <v>363</v>
      </c>
      <c r="D1116" s="10" t="s">
        <v>364</v>
      </c>
      <c r="E1116" s="11" t="str">
        <f>+HYPERLINK("http://trademark.i-assist.jp/data/china/image_1902th/79020430.pdf", "79020430")</f>
        <v>79020430</v>
      </c>
      <c r="F1116" s="10" t="s">
        <v>3459</v>
      </c>
      <c r="G1116" s="10" t="s">
        <v>3460</v>
      </c>
      <c r="H1116" s="10" t="s">
        <v>3461</v>
      </c>
      <c r="I1116" s="10" t="s">
        <v>243</v>
      </c>
    </row>
    <row r="1117" spans="1:9" x14ac:dyDescent="0.15">
      <c r="A1117" s="9">
        <v>1116</v>
      </c>
      <c r="B1117" s="10" t="s">
        <v>9</v>
      </c>
      <c r="C1117" s="10" t="s">
        <v>363</v>
      </c>
      <c r="D1117" s="10" t="s">
        <v>364</v>
      </c>
      <c r="E1117" s="11" t="str">
        <f>+HYPERLINK("http://trademark.i-assist.jp/data/china/image_1902th/79020802.pdf", "79020802")</f>
        <v>79020802</v>
      </c>
      <c r="F1117" s="10" t="s">
        <v>3462</v>
      </c>
      <c r="G1117" s="10" t="s">
        <v>3463</v>
      </c>
      <c r="H1117" s="10" t="s">
        <v>3464</v>
      </c>
      <c r="I1117" s="10" t="s">
        <v>243</v>
      </c>
    </row>
    <row r="1118" spans="1:9" x14ac:dyDescent="0.15">
      <c r="A1118" s="9">
        <v>1117</v>
      </c>
      <c r="B1118" s="10" t="s">
        <v>9</v>
      </c>
      <c r="C1118" s="10" t="s">
        <v>363</v>
      </c>
      <c r="D1118" s="10" t="s">
        <v>364</v>
      </c>
      <c r="E1118" s="11" t="str">
        <f>+HYPERLINK("http://trademark.i-assist.jp/data/china/image_1902th/79020834.pdf", "79020834")</f>
        <v>79020834</v>
      </c>
      <c r="F1118" s="10" t="s">
        <v>3465</v>
      </c>
      <c r="G1118" s="10" t="s">
        <v>3466</v>
      </c>
      <c r="H1118" s="10" t="s">
        <v>3467</v>
      </c>
      <c r="I1118" s="10" t="s">
        <v>243</v>
      </c>
    </row>
    <row r="1119" spans="1:9" x14ac:dyDescent="0.15">
      <c r="A1119" s="9">
        <v>1118</v>
      </c>
      <c r="B1119" s="10" t="s">
        <v>9</v>
      </c>
      <c r="C1119" s="10" t="s">
        <v>363</v>
      </c>
      <c r="D1119" s="10" t="s">
        <v>364</v>
      </c>
      <c r="E1119" s="11" t="str">
        <f>+HYPERLINK("http://trademark.i-assist.jp/data/china/image_1902th/79020947.pdf", "79020947")</f>
        <v>79020947</v>
      </c>
      <c r="F1119" s="10" t="s">
        <v>3468</v>
      </c>
      <c r="G1119" s="10" t="s">
        <v>3469</v>
      </c>
      <c r="H1119" s="10" t="s">
        <v>3470</v>
      </c>
      <c r="I1119" s="10" t="s">
        <v>243</v>
      </c>
    </row>
    <row r="1120" spans="1:9" x14ac:dyDescent="0.15">
      <c r="A1120" s="9">
        <v>1119</v>
      </c>
      <c r="B1120" s="10" t="s">
        <v>9</v>
      </c>
      <c r="C1120" s="10" t="s">
        <v>363</v>
      </c>
      <c r="D1120" s="10" t="s">
        <v>364</v>
      </c>
      <c r="E1120" s="11" t="str">
        <f>+HYPERLINK("http://trademark.i-assist.jp/data/china/image_1902th/79021514.pdf", "79021514")</f>
        <v>79021514</v>
      </c>
      <c r="F1120" s="10" t="s">
        <v>3471</v>
      </c>
      <c r="G1120" s="10" t="s">
        <v>3472</v>
      </c>
      <c r="H1120" s="10" t="s">
        <v>3473</v>
      </c>
      <c r="I1120" s="10" t="s">
        <v>243</v>
      </c>
    </row>
    <row r="1121" spans="1:9" x14ac:dyDescent="0.15">
      <c r="A1121" s="9">
        <v>1120</v>
      </c>
      <c r="B1121" s="10" t="s">
        <v>9</v>
      </c>
      <c r="C1121" s="10" t="s">
        <v>363</v>
      </c>
      <c r="D1121" s="10" t="s">
        <v>364</v>
      </c>
      <c r="E1121" s="11" t="str">
        <f>+HYPERLINK("http://trademark.i-assist.jp/data/china/image_1902th/79021537.pdf", "79021537")</f>
        <v>79021537</v>
      </c>
      <c r="F1121" s="10" t="s">
        <v>12</v>
      </c>
      <c r="G1121" s="10" t="s">
        <v>3398</v>
      </c>
      <c r="H1121" s="10" t="s">
        <v>3474</v>
      </c>
      <c r="I1121" s="10" t="s">
        <v>243</v>
      </c>
    </row>
    <row r="1122" spans="1:9" x14ac:dyDescent="0.15">
      <c r="A1122" s="9">
        <v>1121</v>
      </c>
      <c r="B1122" s="10" t="s">
        <v>9</v>
      </c>
      <c r="C1122" s="10" t="s">
        <v>363</v>
      </c>
      <c r="D1122" s="10" t="s">
        <v>364</v>
      </c>
      <c r="E1122" s="11" t="str">
        <f>+HYPERLINK("http://trademark.i-assist.jp/data/china/image_1902th/79021643.pdf", "79021643")</f>
        <v>79021643</v>
      </c>
      <c r="F1122" s="10" t="s">
        <v>3475</v>
      </c>
      <c r="G1122" s="10" t="s">
        <v>256</v>
      </c>
      <c r="H1122" s="10" t="s">
        <v>3476</v>
      </c>
      <c r="I1122" s="10" t="s">
        <v>243</v>
      </c>
    </row>
    <row r="1123" spans="1:9" x14ac:dyDescent="0.15">
      <c r="A1123" s="9">
        <v>1122</v>
      </c>
      <c r="B1123" s="10" t="s">
        <v>9</v>
      </c>
      <c r="C1123" s="10" t="s">
        <v>363</v>
      </c>
      <c r="D1123" s="10" t="s">
        <v>364</v>
      </c>
      <c r="E1123" s="11" t="str">
        <f>+HYPERLINK("http://trademark.i-assist.jp/data/china/image_1902th/79021674.pdf", "79021674")</f>
        <v>79021674</v>
      </c>
      <c r="F1123" s="10" t="s">
        <v>3477</v>
      </c>
      <c r="G1123" s="10" t="s">
        <v>3478</v>
      </c>
      <c r="H1123" s="10" t="s">
        <v>3479</v>
      </c>
      <c r="I1123" s="10" t="s">
        <v>243</v>
      </c>
    </row>
    <row r="1124" spans="1:9" x14ac:dyDescent="0.15">
      <c r="A1124" s="9">
        <v>1123</v>
      </c>
      <c r="B1124" s="10" t="s">
        <v>9</v>
      </c>
      <c r="C1124" s="10" t="s">
        <v>363</v>
      </c>
      <c r="D1124" s="10" t="s">
        <v>364</v>
      </c>
      <c r="E1124" s="11" t="str">
        <f>+HYPERLINK("http://trademark.i-assist.jp/data/china/image_1902th/79021733.pdf", "79021733")</f>
        <v>79021733</v>
      </c>
      <c r="F1124" s="10" t="s">
        <v>3480</v>
      </c>
      <c r="G1124" s="10" t="s">
        <v>3481</v>
      </c>
      <c r="H1124" s="10" t="s">
        <v>3482</v>
      </c>
      <c r="I1124" s="10" t="s">
        <v>243</v>
      </c>
    </row>
    <row r="1125" spans="1:9" x14ac:dyDescent="0.15">
      <c r="A1125" s="9">
        <v>1124</v>
      </c>
      <c r="B1125" s="10" t="s">
        <v>9</v>
      </c>
      <c r="C1125" s="10" t="s">
        <v>363</v>
      </c>
      <c r="D1125" s="10" t="s">
        <v>364</v>
      </c>
      <c r="E1125" s="11" t="str">
        <f>+HYPERLINK("http://trademark.i-assist.jp/data/china/image_1902th/79022342.pdf", "79022342")</f>
        <v>79022342</v>
      </c>
      <c r="F1125" s="10" t="s">
        <v>3483</v>
      </c>
      <c r="G1125" s="10" t="s">
        <v>3484</v>
      </c>
      <c r="H1125" s="10" t="s">
        <v>3485</v>
      </c>
      <c r="I1125" s="10" t="s">
        <v>243</v>
      </c>
    </row>
    <row r="1126" spans="1:9" x14ac:dyDescent="0.15">
      <c r="A1126" s="9">
        <v>1125</v>
      </c>
      <c r="B1126" s="10" t="s">
        <v>9</v>
      </c>
      <c r="C1126" s="10" t="s">
        <v>363</v>
      </c>
      <c r="D1126" s="10" t="s">
        <v>364</v>
      </c>
      <c r="E1126" s="11" t="str">
        <f>+HYPERLINK("http://trademark.i-assist.jp/data/china/image_1902th/79022598.pdf", "79022598")</f>
        <v>79022598</v>
      </c>
      <c r="F1126" s="10" t="s">
        <v>3486</v>
      </c>
      <c r="G1126" s="10" t="s">
        <v>3441</v>
      </c>
      <c r="H1126" s="10" t="s">
        <v>3487</v>
      </c>
      <c r="I1126" s="10" t="s">
        <v>243</v>
      </c>
    </row>
    <row r="1127" spans="1:9" x14ac:dyDescent="0.15">
      <c r="A1127" s="9">
        <v>1126</v>
      </c>
      <c r="B1127" s="10" t="s">
        <v>9</v>
      </c>
      <c r="C1127" s="10" t="s">
        <v>363</v>
      </c>
      <c r="D1127" s="10" t="s">
        <v>364</v>
      </c>
      <c r="E1127" s="11" t="str">
        <f>+HYPERLINK("http://trademark.i-assist.jp/data/china/image_1902th/79022680.pdf", "79022680")</f>
        <v>79022680</v>
      </c>
      <c r="F1127" s="10" t="s">
        <v>3488</v>
      </c>
      <c r="G1127" s="10" t="s">
        <v>254</v>
      </c>
      <c r="H1127" s="10" t="s">
        <v>3489</v>
      </c>
      <c r="I1127" s="10" t="s">
        <v>243</v>
      </c>
    </row>
    <row r="1128" spans="1:9" x14ac:dyDescent="0.15">
      <c r="A1128" s="9">
        <v>1127</v>
      </c>
      <c r="B1128" s="10" t="s">
        <v>9</v>
      </c>
      <c r="C1128" s="10" t="s">
        <v>363</v>
      </c>
      <c r="D1128" s="10" t="s">
        <v>364</v>
      </c>
      <c r="E1128" s="11" t="str">
        <f>+HYPERLINK("http://trademark.i-assist.jp/data/china/image_1902th/79022723.pdf", "79022723")</f>
        <v>79022723</v>
      </c>
      <c r="F1128" s="10" t="s">
        <v>3490</v>
      </c>
      <c r="G1128" s="10" t="s">
        <v>3491</v>
      </c>
      <c r="H1128" s="10" t="s">
        <v>3492</v>
      </c>
      <c r="I1128" s="10" t="s">
        <v>243</v>
      </c>
    </row>
    <row r="1129" spans="1:9" x14ac:dyDescent="0.15">
      <c r="A1129" s="9">
        <v>1128</v>
      </c>
      <c r="B1129" s="10" t="s">
        <v>9</v>
      </c>
      <c r="C1129" s="10" t="s">
        <v>363</v>
      </c>
      <c r="D1129" s="10" t="s">
        <v>364</v>
      </c>
      <c r="E1129" s="11" t="str">
        <f>+HYPERLINK("http://trademark.i-assist.jp/data/china/image_1902th/79022730.pdf", "79022730")</f>
        <v>79022730</v>
      </c>
      <c r="F1129" s="10" t="s">
        <v>3493</v>
      </c>
      <c r="G1129" s="10" t="s">
        <v>3494</v>
      </c>
      <c r="H1129" s="10" t="s">
        <v>3495</v>
      </c>
      <c r="I1129" s="10" t="s">
        <v>243</v>
      </c>
    </row>
    <row r="1130" spans="1:9" x14ac:dyDescent="0.15">
      <c r="A1130" s="9">
        <v>1129</v>
      </c>
      <c r="B1130" s="10" t="s">
        <v>9</v>
      </c>
      <c r="C1130" s="10" t="s">
        <v>363</v>
      </c>
      <c r="D1130" s="10" t="s">
        <v>364</v>
      </c>
      <c r="E1130" s="11" t="str">
        <f>+HYPERLINK("http://trademark.i-assist.jp/data/china/image_1902th/79022810.pdf", "79022810")</f>
        <v>79022810</v>
      </c>
      <c r="F1130" s="10" t="s">
        <v>3496</v>
      </c>
      <c r="G1130" s="10" t="s">
        <v>3497</v>
      </c>
      <c r="H1130" s="10" t="s">
        <v>3498</v>
      </c>
      <c r="I1130" s="10" t="s">
        <v>243</v>
      </c>
    </row>
    <row r="1131" spans="1:9" x14ac:dyDescent="0.15">
      <c r="A1131" s="9">
        <v>1130</v>
      </c>
      <c r="B1131" s="10" t="s">
        <v>9</v>
      </c>
      <c r="C1131" s="10" t="s">
        <v>363</v>
      </c>
      <c r="D1131" s="10" t="s">
        <v>364</v>
      </c>
      <c r="E1131" s="11" t="str">
        <f>+HYPERLINK("http://trademark.i-assist.jp/data/china/image_1902th/79022857.pdf", "79022857")</f>
        <v>79022857</v>
      </c>
      <c r="F1131" s="10" t="s">
        <v>3499</v>
      </c>
      <c r="G1131" s="10" t="s">
        <v>3500</v>
      </c>
      <c r="H1131" s="10" t="s">
        <v>3501</v>
      </c>
      <c r="I1131" s="10" t="s">
        <v>243</v>
      </c>
    </row>
    <row r="1132" spans="1:9" x14ac:dyDescent="0.15">
      <c r="A1132" s="9">
        <v>1131</v>
      </c>
      <c r="B1132" s="10" t="s">
        <v>9</v>
      </c>
      <c r="C1132" s="10" t="s">
        <v>363</v>
      </c>
      <c r="D1132" s="10" t="s">
        <v>364</v>
      </c>
      <c r="E1132" s="11" t="str">
        <f>+HYPERLINK("http://trademark.i-assist.jp/data/china/image_1902th/79023063.pdf", "79023063")</f>
        <v>79023063</v>
      </c>
      <c r="F1132" s="10" t="s">
        <v>12</v>
      </c>
      <c r="G1132" s="10" t="s">
        <v>3502</v>
      </c>
      <c r="H1132" s="10" t="s">
        <v>3503</v>
      </c>
      <c r="I1132" s="10" t="s">
        <v>243</v>
      </c>
    </row>
    <row r="1133" spans="1:9" x14ac:dyDescent="0.15">
      <c r="A1133" s="9">
        <v>1132</v>
      </c>
      <c r="B1133" s="10" t="s">
        <v>9</v>
      </c>
      <c r="C1133" s="10" t="s">
        <v>363</v>
      </c>
      <c r="D1133" s="10" t="s">
        <v>364</v>
      </c>
      <c r="E1133" s="11" t="str">
        <f>+HYPERLINK("http://trademark.i-assist.jp/data/china/image_1902th/79023238.pdf", "79023238")</f>
        <v>79023238</v>
      </c>
      <c r="F1133" s="10" t="s">
        <v>3504</v>
      </c>
      <c r="G1133" s="10" t="s">
        <v>3505</v>
      </c>
      <c r="H1133" s="10" t="s">
        <v>3506</v>
      </c>
      <c r="I1133" s="10" t="s">
        <v>243</v>
      </c>
    </row>
    <row r="1134" spans="1:9" x14ac:dyDescent="0.15">
      <c r="A1134" s="9">
        <v>1133</v>
      </c>
      <c r="B1134" s="10" t="s">
        <v>9</v>
      </c>
      <c r="C1134" s="10" t="s">
        <v>363</v>
      </c>
      <c r="D1134" s="10" t="s">
        <v>364</v>
      </c>
      <c r="E1134" s="11" t="str">
        <f>+HYPERLINK("http://trademark.i-assist.jp/data/china/image_1902th/79023250.pdf", "79023250")</f>
        <v>79023250</v>
      </c>
      <c r="F1134" s="10" t="s">
        <v>3507</v>
      </c>
      <c r="G1134" s="10" t="s">
        <v>3505</v>
      </c>
      <c r="H1134" s="10" t="s">
        <v>3508</v>
      </c>
      <c r="I1134" s="10" t="s">
        <v>243</v>
      </c>
    </row>
    <row r="1135" spans="1:9" x14ac:dyDescent="0.15">
      <c r="A1135" s="9">
        <v>1134</v>
      </c>
      <c r="B1135" s="10" t="s">
        <v>9</v>
      </c>
      <c r="C1135" s="10" t="s">
        <v>363</v>
      </c>
      <c r="D1135" s="10" t="s">
        <v>364</v>
      </c>
      <c r="E1135" s="11" t="str">
        <f>+HYPERLINK("http://trademark.i-assist.jp/data/china/image_1902th/79023574.pdf", "79023574")</f>
        <v>79023574</v>
      </c>
      <c r="F1135" s="10" t="s">
        <v>3509</v>
      </c>
      <c r="G1135" s="10" t="s">
        <v>212</v>
      </c>
      <c r="H1135" s="10" t="s">
        <v>3510</v>
      </c>
      <c r="I1135" s="10" t="s">
        <v>243</v>
      </c>
    </row>
    <row r="1136" spans="1:9" x14ac:dyDescent="0.15">
      <c r="A1136" s="9">
        <v>1135</v>
      </c>
      <c r="B1136" s="10" t="s">
        <v>9</v>
      </c>
      <c r="C1136" s="10" t="s">
        <v>363</v>
      </c>
      <c r="D1136" s="10" t="s">
        <v>364</v>
      </c>
      <c r="E1136" s="11" t="str">
        <f>+HYPERLINK("http://trademark.i-assist.jp/data/china/image_1902th/79023810.pdf", "79023810")</f>
        <v>79023810</v>
      </c>
      <c r="F1136" s="10" t="s">
        <v>3511</v>
      </c>
      <c r="G1136" s="10" t="s">
        <v>255</v>
      </c>
      <c r="H1136" s="10" t="s">
        <v>3512</v>
      </c>
      <c r="I1136" s="10" t="s">
        <v>243</v>
      </c>
    </row>
    <row r="1137" spans="1:9" x14ac:dyDescent="0.15">
      <c r="A1137" s="9">
        <v>1136</v>
      </c>
      <c r="B1137" s="10" t="s">
        <v>9</v>
      </c>
      <c r="C1137" s="10" t="s">
        <v>363</v>
      </c>
      <c r="D1137" s="10" t="s">
        <v>364</v>
      </c>
      <c r="E1137" s="11" t="str">
        <f>+HYPERLINK("http://trademark.i-assist.jp/data/china/image_1902th/79023831.pdf", "79023831")</f>
        <v>79023831</v>
      </c>
      <c r="F1137" s="10" t="s">
        <v>3513</v>
      </c>
      <c r="G1137" s="10" t="s">
        <v>255</v>
      </c>
      <c r="H1137" s="10" t="s">
        <v>3514</v>
      </c>
      <c r="I1137" s="10" t="s">
        <v>243</v>
      </c>
    </row>
    <row r="1138" spans="1:9" x14ac:dyDescent="0.15">
      <c r="A1138" s="9">
        <v>1137</v>
      </c>
      <c r="B1138" s="10" t="s">
        <v>9</v>
      </c>
      <c r="C1138" s="10" t="s">
        <v>363</v>
      </c>
      <c r="D1138" s="10" t="s">
        <v>364</v>
      </c>
      <c r="E1138" s="11" t="str">
        <f>+HYPERLINK("http://trademark.i-assist.jp/data/china/image_1902th/79023896.pdf", "79023896")</f>
        <v>79023896</v>
      </c>
      <c r="F1138" s="10" t="s">
        <v>3515</v>
      </c>
      <c r="G1138" s="10" t="s">
        <v>64</v>
      </c>
      <c r="H1138" s="10" t="s">
        <v>3516</v>
      </c>
      <c r="I1138" s="10" t="s">
        <v>243</v>
      </c>
    </row>
    <row r="1139" spans="1:9" x14ac:dyDescent="0.15">
      <c r="A1139" s="9">
        <v>1138</v>
      </c>
      <c r="B1139" s="10" t="s">
        <v>9</v>
      </c>
      <c r="C1139" s="10" t="s">
        <v>363</v>
      </c>
      <c r="D1139" s="10" t="s">
        <v>364</v>
      </c>
      <c r="E1139" s="11" t="str">
        <f>+HYPERLINK("http://trademark.i-assist.jp/data/china/image_1902th/79023979.pdf", "79023979")</f>
        <v>79023979</v>
      </c>
      <c r="F1139" s="10" t="s">
        <v>3517</v>
      </c>
      <c r="G1139" s="10" t="s">
        <v>251</v>
      </c>
      <c r="H1139" s="10" t="s">
        <v>3518</v>
      </c>
      <c r="I1139" s="10" t="s">
        <v>243</v>
      </c>
    </row>
    <row r="1140" spans="1:9" x14ac:dyDescent="0.15">
      <c r="A1140" s="9">
        <v>1139</v>
      </c>
      <c r="B1140" s="10" t="s">
        <v>9</v>
      </c>
      <c r="C1140" s="10" t="s">
        <v>363</v>
      </c>
      <c r="D1140" s="10" t="s">
        <v>364</v>
      </c>
      <c r="E1140" s="11" t="str">
        <f>+HYPERLINK("http://trademark.i-assist.jp/data/china/image_1902th/79024017.pdf", "79024017")</f>
        <v>79024017</v>
      </c>
      <c r="F1140" s="10" t="s">
        <v>3519</v>
      </c>
      <c r="G1140" s="10" t="s">
        <v>67</v>
      </c>
      <c r="H1140" s="10" t="s">
        <v>3520</v>
      </c>
      <c r="I1140" s="10" t="s">
        <v>243</v>
      </c>
    </row>
    <row r="1141" spans="1:9" x14ac:dyDescent="0.15">
      <c r="A1141" s="9">
        <v>1140</v>
      </c>
      <c r="B1141" s="10" t="s">
        <v>9</v>
      </c>
      <c r="C1141" s="10" t="s">
        <v>363</v>
      </c>
      <c r="D1141" s="10" t="s">
        <v>364</v>
      </c>
      <c r="E1141" s="11" t="str">
        <f>+HYPERLINK("http://trademark.i-assist.jp/data/china/image_1902th/79024139.pdf", "79024139")</f>
        <v>79024139</v>
      </c>
      <c r="F1141" s="10" t="s">
        <v>3521</v>
      </c>
      <c r="G1141" s="10" t="s">
        <v>54</v>
      </c>
      <c r="H1141" s="10" t="s">
        <v>3522</v>
      </c>
      <c r="I1141" s="10" t="s">
        <v>243</v>
      </c>
    </row>
    <row r="1142" spans="1:9" x14ac:dyDescent="0.15">
      <c r="A1142" s="9">
        <v>1141</v>
      </c>
      <c r="B1142" s="10" t="s">
        <v>9</v>
      </c>
      <c r="C1142" s="10" t="s">
        <v>363</v>
      </c>
      <c r="D1142" s="10" t="s">
        <v>364</v>
      </c>
      <c r="E1142" s="11" t="str">
        <f>+HYPERLINK("http://trademark.i-assist.jp/data/china/image_1902th/79024171.pdf", "79024171")</f>
        <v>79024171</v>
      </c>
      <c r="F1142" s="10" t="s">
        <v>3523</v>
      </c>
      <c r="G1142" s="10" t="s">
        <v>3524</v>
      </c>
      <c r="H1142" s="10" t="s">
        <v>3525</v>
      </c>
      <c r="I1142" s="10" t="s">
        <v>243</v>
      </c>
    </row>
    <row r="1143" spans="1:9" x14ac:dyDescent="0.15">
      <c r="A1143" s="9">
        <v>1142</v>
      </c>
      <c r="B1143" s="10" t="s">
        <v>9</v>
      </c>
      <c r="C1143" s="10" t="s">
        <v>363</v>
      </c>
      <c r="D1143" s="10" t="s">
        <v>364</v>
      </c>
      <c r="E1143" s="11" t="str">
        <f>+HYPERLINK("http://trademark.i-assist.jp/data/china/image_1902th/79024987.pdf", "79024987")</f>
        <v>79024987</v>
      </c>
      <c r="F1143" s="10" t="s">
        <v>3526</v>
      </c>
      <c r="G1143" s="10" t="s">
        <v>3527</v>
      </c>
      <c r="H1143" s="10" t="s">
        <v>3528</v>
      </c>
      <c r="I1143" s="10" t="s">
        <v>243</v>
      </c>
    </row>
    <row r="1144" spans="1:9" x14ac:dyDescent="0.15">
      <c r="A1144" s="9">
        <v>1143</v>
      </c>
      <c r="B1144" s="10" t="s">
        <v>9</v>
      </c>
      <c r="C1144" s="10" t="s">
        <v>363</v>
      </c>
      <c r="D1144" s="10" t="s">
        <v>364</v>
      </c>
      <c r="E1144" s="11" t="str">
        <f>+HYPERLINK("http://trademark.i-assist.jp/data/china/image_1902th/79025047.pdf", "79025047")</f>
        <v>79025047</v>
      </c>
      <c r="F1144" s="10" t="s">
        <v>3529</v>
      </c>
      <c r="G1144" s="10" t="s">
        <v>3530</v>
      </c>
      <c r="H1144" s="10" t="s">
        <v>3531</v>
      </c>
      <c r="I1144" s="10" t="s">
        <v>243</v>
      </c>
    </row>
    <row r="1145" spans="1:9" x14ac:dyDescent="0.15">
      <c r="A1145" s="9">
        <v>1144</v>
      </c>
      <c r="B1145" s="10" t="s">
        <v>9</v>
      </c>
      <c r="C1145" s="10" t="s">
        <v>363</v>
      </c>
      <c r="D1145" s="10" t="s">
        <v>364</v>
      </c>
      <c r="E1145" s="11" t="str">
        <f>+HYPERLINK("http://trademark.i-assist.jp/data/china/image_1902th/79025099.pdf", "79025099")</f>
        <v>79025099</v>
      </c>
      <c r="F1145" s="10" t="s">
        <v>12</v>
      </c>
      <c r="G1145" s="10" t="s">
        <v>3532</v>
      </c>
      <c r="H1145" s="10" t="s">
        <v>3533</v>
      </c>
      <c r="I1145" s="10" t="s">
        <v>243</v>
      </c>
    </row>
    <row r="1146" spans="1:9" x14ac:dyDescent="0.15">
      <c r="A1146" s="9">
        <v>1145</v>
      </c>
      <c r="B1146" s="10" t="s">
        <v>9</v>
      </c>
      <c r="C1146" s="10" t="s">
        <v>363</v>
      </c>
      <c r="D1146" s="10" t="s">
        <v>364</v>
      </c>
      <c r="E1146" s="11" t="str">
        <f>+HYPERLINK("http://trademark.i-assist.jp/data/china/image_1902th/79025497.pdf", "79025497")</f>
        <v>79025497</v>
      </c>
      <c r="F1146" s="10" t="s">
        <v>3534</v>
      </c>
      <c r="G1146" s="10" t="s">
        <v>3535</v>
      </c>
      <c r="H1146" s="10" t="s">
        <v>3536</v>
      </c>
      <c r="I1146" s="10" t="s">
        <v>243</v>
      </c>
    </row>
    <row r="1147" spans="1:9" x14ac:dyDescent="0.15">
      <c r="A1147" s="9">
        <v>1146</v>
      </c>
      <c r="B1147" s="10" t="s">
        <v>9</v>
      </c>
      <c r="C1147" s="10" t="s">
        <v>363</v>
      </c>
      <c r="D1147" s="10" t="s">
        <v>364</v>
      </c>
      <c r="E1147" s="11" t="str">
        <f>+HYPERLINK("http://trademark.i-assist.jp/data/china/image_1902th/79025846.pdf", "79025846")</f>
        <v>79025846</v>
      </c>
      <c r="F1147" s="10" t="s">
        <v>3537</v>
      </c>
      <c r="G1147" s="10" t="s">
        <v>255</v>
      </c>
      <c r="H1147" s="10" t="s">
        <v>3538</v>
      </c>
      <c r="I1147" s="10" t="s">
        <v>243</v>
      </c>
    </row>
    <row r="1148" spans="1:9" x14ac:dyDescent="0.15">
      <c r="A1148" s="9">
        <v>1147</v>
      </c>
      <c r="B1148" s="10" t="s">
        <v>9</v>
      </c>
      <c r="C1148" s="10" t="s">
        <v>363</v>
      </c>
      <c r="D1148" s="10" t="s">
        <v>364</v>
      </c>
      <c r="E1148" s="11" t="str">
        <f>+HYPERLINK("http://trademark.i-assist.jp/data/china/image_1902th/79025858.pdf", "79025858")</f>
        <v>79025858</v>
      </c>
      <c r="F1148" s="10" t="s">
        <v>3539</v>
      </c>
      <c r="G1148" s="10" t="s">
        <v>64</v>
      </c>
      <c r="H1148" s="10" t="s">
        <v>3540</v>
      </c>
      <c r="I1148" s="10" t="s">
        <v>243</v>
      </c>
    </row>
    <row r="1149" spans="1:9" x14ac:dyDescent="0.15">
      <c r="A1149" s="9">
        <v>1148</v>
      </c>
      <c r="B1149" s="10" t="s">
        <v>9</v>
      </c>
      <c r="C1149" s="10" t="s">
        <v>363</v>
      </c>
      <c r="D1149" s="10" t="s">
        <v>364</v>
      </c>
      <c r="E1149" s="11" t="str">
        <f>+HYPERLINK("http://trademark.i-assist.jp/data/china/image_1902th/79025867.pdf", "79025867")</f>
        <v>79025867</v>
      </c>
      <c r="F1149" s="10" t="s">
        <v>3541</v>
      </c>
      <c r="G1149" s="10" t="s">
        <v>3542</v>
      </c>
      <c r="H1149" s="10" t="s">
        <v>3543</v>
      </c>
      <c r="I1149" s="10" t="s">
        <v>243</v>
      </c>
    </row>
    <row r="1150" spans="1:9" x14ac:dyDescent="0.15">
      <c r="A1150" s="9">
        <v>1149</v>
      </c>
      <c r="B1150" s="10" t="s">
        <v>9</v>
      </c>
      <c r="C1150" s="10" t="s">
        <v>363</v>
      </c>
      <c r="D1150" s="10" t="s">
        <v>364</v>
      </c>
      <c r="E1150" s="11" t="str">
        <f>+HYPERLINK("http://trademark.i-assist.jp/data/china/image_1902th/79026071.pdf", "79026071")</f>
        <v>79026071</v>
      </c>
      <c r="F1150" s="10" t="s">
        <v>3544</v>
      </c>
      <c r="G1150" s="10" t="s">
        <v>3545</v>
      </c>
      <c r="H1150" s="10" t="s">
        <v>3546</v>
      </c>
      <c r="I1150" s="10" t="s">
        <v>243</v>
      </c>
    </row>
    <row r="1151" spans="1:9" x14ac:dyDescent="0.15">
      <c r="A1151" s="9">
        <v>1150</v>
      </c>
      <c r="B1151" s="10" t="s">
        <v>9</v>
      </c>
      <c r="C1151" s="10" t="s">
        <v>363</v>
      </c>
      <c r="D1151" s="10" t="s">
        <v>364</v>
      </c>
      <c r="E1151" s="11" t="str">
        <f>+HYPERLINK("http://trademark.i-assist.jp/data/china/image_1902th/79026669.pdf", "79026669")</f>
        <v>79026669</v>
      </c>
      <c r="F1151" s="10" t="s">
        <v>3547</v>
      </c>
      <c r="G1151" s="10" t="s">
        <v>3548</v>
      </c>
      <c r="H1151" s="10" t="s">
        <v>3549</v>
      </c>
      <c r="I1151" s="10" t="s">
        <v>243</v>
      </c>
    </row>
    <row r="1152" spans="1:9" x14ac:dyDescent="0.15">
      <c r="A1152" s="9">
        <v>1151</v>
      </c>
      <c r="B1152" s="10" t="s">
        <v>9</v>
      </c>
      <c r="C1152" s="10" t="s">
        <v>363</v>
      </c>
      <c r="D1152" s="10" t="s">
        <v>364</v>
      </c>
      <c r="E1152" s="11" t="str">
        <f>+HYPERLINK("http://trademark.i-assist.jp/data/china/image_1902th/79026919.pdf", "79026919")</f>
        <v>79026919</v>
      </c>
      <c r="F1152" s="10" t="s">
        <v>3550</v>
      </c>
      <c r="G1152" s="10" t="s">
        <v>3505</v>
      </c>
      <c r="H1152" s="10" t="s">
        <v>3551</v>
      </c>
      <c r="I1152" s="10" t="s">
        <v>243</v>
      </c>
    </row>
    <row r="1153" spans="1:9" x14ac:dyDescent="0.15">
      <c r="A1153" s="9">
        <v>1152</v>
      </c>
      <c r="B1153" s="10" t="s">
        <v>9</v>
      </c>
      <c r="C1153" s="10" t="s">
        <v>363</v>
      </c>
      <c r="D1153" s="10" t="s">
        <v>364</v>
      </c>
      <c r="E1153" s="11" t="str">
        <f>+HYPERLINK("http://trademark.i-assist.jp/data/china/image_1902th/79027034.pdf", "79027034")</f>
        <v>79027034</v>
      </c>
      <c r="F1153" s="10" t="s">
        <v>12</v>
      </c>
      <c r="G1153" s="10" t="s">
        <v>3552</v>
      </c>
      <c r="H1153" s="10" t="s">
        <v>3553</v>
      </c>
      <c r="I1153" s="10" t="s">
        <v>243</v>
      </c>
    </row>
    <row r="1154" spans="1:9" x14ac:dyDescent="0.15">
      <c r="A1154" s="9">
        <v>1153</v>
      </c>
      <c r="B1154" s="10" t="s">
        <v>9</v>
      </c>
      <c r="C1154" s="10" t="s">
        <v>363</v>
      </c>
      <c r="D1154" s="10" t="s">
        <v>364</v>
      </c>
      <c r="E1154" s="11" t="str">
        <f>+HYPERLINK("http://trademark.i-assist.jp/data/china/image_1902th/79027406.pdf", "79027406")</f>
        <v>79027406</v>
      </c>
      <c r="F1154" s="10" t="s">
        <v>3554</v>
      </c>
      <c r="G1154" s="10" t="s">
        <v>3555</v>
      </c>
      <c r="H1154" s="10" t="s">
        <v>3556</v>
      </c>
      <c r="I1154" s="10" t="s">
        <v>243</v>
      </c>
    </row>
    <row r="1155" spans="1:9" x14ac:dyDescent="0.15">
      <c r="A1155" s="9">
        <v>1154</v>
      </c>
      <c r="B1155" s="10" t="s">
        <v>9</v>
      </c>
      <c r="C1155" s="10" t="s">
        <v>363</v>
      </c>
      <c r="D1155" s="10" t="s">
        <v>364</v>
      </c>
      <c r="E1155" s="11" t="str">
        <f>+HYPERLINK("http://trademark.i-assist.jp/data/china/image_1902th/79027804.pdf", "79027804")</f>
        <v>79027804</v>
      </c>
      <c r="F1155" s="10" t="s">
        <v>3557</v>
      </c>
      <c r="G1155" s="10" t="s">
        <v>3558</v>
      </c>
      <c r="H1155" s="10" t="s">
        <v>3559</v>
      </c>
      <c r="I1155" s="10" t="s">
        <v>243</v>
      </c>
    </row>
    <row r="1156" spans="1:9" x14ac:dyDescent="0.15">
      <c r="A1156" s="9">
        <v>1155</v>
      </c>
      <c r="B1156" s="10" t="s">
        <v>9</v>
      </c>
      <c r="C1156" s="10" t="s">
        <v>363</v>
      </c>
      <c r="D1156" s="10" t="s">
        <v>364</v>
      </c>
      <c r="E1156" s="11" t="str">
        <f>+HYPERLINK("http://trademark.i-assist.jp/data/china/image_1902th/79028051.pdf", "79028051")</f>
        <v>79028051</v>
      </c>
      <c r="F1156" s="10" t="s">
        <v>3560</v>
      </c>
      <c r="G1156" s="10" t="s">
        <v>3561</v>
      </c>
      <c r="H1156" s="10" t="s">
        <v>3562</v>
      </c>
      <c r="I1156" s="10" t="s">
        <v>243</v>
      </c>
    </row>
    <row r="1157" spans="1:9" x14ac:dyDescent="0.15">
      <c r="A1157" s="9">
        <v>1156</v>
      </c>
      <c r="B1157" s="10" t="s">
        <v>9</v>
      </c>
      <c r="C1157" s="10" t="s">
        <v>363</v>
      </c>
      <c r="D1157" s="10" t="s">
        <v>364</v>
      </c>
      <c r="E1157" s="11" t="str">
        <f>+HYPERLINK("http://trademark.i-assist.jp/data/china/image_1902th/79028062.pdf", "79028062")</f>
        <v>79028062</v>
      </c>
      <c r="F1157" s="10" t="s">
        <v>3563</v>
      </c>
      <c r="G1157" s="10" t="s">
        <v>3564</v>
      </c>
      <c r="H1157" s="10" t="s">
        <v>3565</v>
      </c>
      <c r="I1157" s="10" t="s">
        <v>243</v>
      </c>
    </row>
    <row r="1158" spans="1:9" x14ac:dyDescent="0.15">
      <c r="A1158" s="9">
        <v>1157</v>
      </c>
      <c r="B1158" s="10" t="s">
        <v>9</v>
      </c>
      <c r="C1158" s="10" t="s">
        <v>363</v>
      </c>
      <c r="D1158" s="10" t="s">
        <v>364</v>
      </c>
      <c r="E1158" s="11" t="str">
        <f>+HYPERLINK("http://trademark.i-assist.jp/data/china/image_1902th/79028197.pdf", "79028197")</f>
        <v>79028197</v>
      </c>
      <c r="F1158" s="10" t="s">
        <v>3566</v>
      </c>
      <c r="G1158" s="10" t="s">
        <v>3567</v>
      </c>
      <c r="H1158" s="10" t="s">
        <v>3568</v>
      </c>
      <c r="I1158" s="10" t="s">
        <v>243</v>
      </c>
    </row>
    <row r="1159" spans="1:9" x14ac:dyDescent="0.15">
      <c r="A1159" s="9">
        <v>1158</v>
      </c>
      <c r="B1159" s="10" t="s">
        <v>9</v>
      </c>
      <c r="C1159" s="10" t="s">
        <v>363</v>
      </c>
      <c r="D1159" s="10" t="s">
        <v>364</v>
      </c>
      <c r="E1159" s="11" t="str">
        <f>+HYPERLINK("http://trademark.i-assist.jp/data/china/image_1902th/79028295.pdf", "79028295")</f>
        <v>79028295</v>
      </c>
      <c r="F1159" s="10" t="s">
        <v>3569</v>
      </c>
      <c r="G1159" s="10" t="s">
        <v>3570</v>
      </c>
      <c r="H1159" s="10" t="s">
        <v>3571</v>
      </c>
      <c r="I1159" s="10" t="s">
        <v>243</v>
      </c>
    </row>
    <row r="1160" spans="1:9" x14ac:dyDescent="0.15">
      <c r="A1160" s="9">
        <v>1159</v>
      </c>
      <c r="B1160" s="10" t="s">
        <v>9</v>
      </c>
      <c r="C1160" s="10" t="s">
        <v>363</v>
      </c>
      <c r="D1160" s="10" t="s">
        <v>364</v>
      </c>
      <c r="E1160" s="11" t="str">
        <f>+HYPERLINK("http://trademark.i-assist.jp/data/china/image_1902th/79028312.pdf", "79028312")</f>
        <v>79028312</v>
      </c>
      <c r="F1160" s="10" t="s">
        <v>3572</v>
      </c>
      <c r="G1160" s="10" t="s">
        <v>3573</v>
      </c>
      <c r="H1160" s="10" t="s">
        <v>3574</v>
      </c>
      <c r="I1160" s="10" t="s">
        <v>243</v>
      </c>
    </row>
    <row r="1161" spans="1:9" x14ac:dyDescent="0.15">
      <c r="A1161" s="9">
        <v>1160</v>
      </c>
      <c r="B1161" s="10" t="s">
        <v>9</v>
      </c>
      <c r="C1161" s="10" t="s">
        <v>363</v>
      </c>
      <c r="D1161" s="10" t="s">
        <v>364</v>
      </c>
      <c r="E1161" s="11" t="str">
        <f>+HYPERLINK("http://trademark.i-assist.jp/data/china/image_1902th/79028768.pdf", "79028768")</f>
        <v>79028768</v>
      </c>
      <c r="F1161" s="10" t="s">
        <v>3575</v>
      </c>
      <c r="G1161" s="10" t="s">
        <v>3576</v>
      </c>
      <c r="H1161" s="10" t="s">
        <v>3577</v>
      </c>
      <c r="I1161" s="10" t="s">
        <v>243</v>
      </c>
    </row>
    <row r="1162" spans="1:9" x14ac:dyDescent="0.15">
      <c r="A1162" s="9">
        <v>1161</v>
      </c>
      <c r="B1162" s="10" t="s">
        <v>9</v>
      </c>
      <c r="C1162" s="10" t="s">
        <v>363</v>
      </c>
      <c r="D1162" s="10" t="s">
        <v>364</v>
      </c>
      <c r="E1162" s="11" t="str">
        <f>+HYPERLINK("http://trademark.i-assist.jp/data/china/image_1902th/79029199.pdf", "79029199")</f>
        <v>79029199</v>
      </c>
      <c r="F1162" s="10" t="s">
        <v>3578</v>
      </c>
      <c r="G1162" s="10" t="s">
        <v>3579</v>
      </c>
      <c r="H1162" s="10" t="s">
        <v>3580</v>
      </c>
      <c r="I1162" s="10" t="s">
        <v>243</v>
      </c>
    </row>
    <row r="1163" spans="1:9" x14ac:dyDescent="0.15">
      <c r="A1163" s="9">
        <v>1162</v>
      </c>
      <c r="B1163" s="10" t="s">
        <v>9</v>
      </c>
      <c r="C1163" s="10" t="s">
        <v>363</v>
      </c>
      <c r="D1163" s="10" t="s">
        <v>364</v>
      </c>
      <c r="E1163" s="11" t="str">
        <f>+HYPERLINK("http://trademark.i-assist.jp/data/china/image_1902th/79029267.pdf", "79029267")</f>
        <v>79029267</v>
      </c>
      <c r="F1163" s="10" t="s">
        <v>3581</v>
      </c>
      <c r="G1163" s="10" t="s">
        <v>3582</v>
      </c>
      <c r="H1163" s="10" t="s">
        <v>3583</v>
      </c>
      <c r="I1163" s="10" t="s">
        <v>243</v>
      </c>
    </row>
    <row r="1164" spans="1:9" x14ac:dyDescent="0.15">
      <c r="A1164" s="9">
        <v>1163</v>
      </c>
      <c r="B1164" s="10" t="s">
        <v>9</v>
      </c>
      <c r="C1164" s="10" t="s">
        <v>363</v>
      </c>
      <c r="D1164" s="10" t="s">
        <v>364</v>
      </c>
      <c r="E1164" s="11" t="str">
        <f>+HYPERLINK("http://trademark.i-assist.jp/data/china/image_1902th/79029795.pdf", "79029795")</f>
        <v>79029795</v>
      </c>
      <c r="F1164" s="10" t="s">
        <v>3584</v>
      </c>
      <c r="G1164" s="10" t="s">
        <v>3441</v>
      </c>
      <c r="H1164" s="10" t="s">
        <v>3585</v>
      </c>
      <c r="I1164" s="10" t="s">
        <v>243</v>
      </c>
    </row>
    <row r="1165" spans="1:9" x14ac:dyDescent="0.15">
      <c r="A1165" s="9">
        <v>1164</v>
      </c>
      <c r="B1165" s="10" t="s">
        <v>9</v>
      </c>
      <c r="C1165" s="10" t="s">
        <v>363</v>
      </c>
      <c r="D1165" s="10" t="s">
        <v>364</v>
      </c>
      <c r="E1165" s="11" t="str">
        <f>+HYPERLINK("http://trademark.i-assist.jp/data/china/image_1902th/79030428.pdf", "79030428")</f>
        <v>79030428</v>
      </c>
      <c r="F1165" s="10" t="s">
        <v>3586</v>
      </c>
      <c r="G1165" s="10" t="s">
        <v>3587</v>
      </c>
      <c r="H1165" s="10" t="s">
        <v>3585</v>
      </c>
      <c r="I1165" s="10" t="s">
        <v>243</v>
      </c>
    </row>
    <row r="1166" spans="1:9" x14ac:dyDescent="0.15">
      <c r="A1166" s="9">
        <v>1165</v>
      </c>
      <c r="B1166" s="10" t="s">
        <v>9</v>
      </c>
      <c r="C1166" s="10" t="s">
        <v>363</v>
      </c>
      <c r="D1166" s="10" t="s">
        <v>364</v>
      </c>
      <c r="E1166" s="11" t="str">
        <f>+HYPERLINK("http://trademark.i-assist.jp/data/china/image_1902th/79030461.pdf", "79030461")</f>
        <v>79030461</v>
      </c>
      <c r="F1166" s="10" t="s">
        <v>3588</v>
      </c>
      <c r="G1166" s="10" t="s">
        <v>3469</v>
      </c>
      <c r="H1166" s="10" t="s">
        <v>3589</v>
      </c>
      <c r="I1166" s="10" t="s">
        <v>243</v>
      </c>
    </row>
    <row r="1167" spans="1:9" x14ac:dyDescent="0.15">
      <c r="A1167" s="9">
        <v>1166</v>
      </c>
      <c r="B1167" s="10" t="s">
        <v>9</v>
      </c>
      <c r="C1167" s="10" t="s">
        <v>363</v>
      </c>
      <c r="D1167" s="10" t="s">
        <v>364</v>
      </c>
      <c r="E1167" s="11" t="str">
        <f>+HYPERLINK("http://trademark.i-assist.jp/data/china/image_1902th/79030758.pdf", "79030758")</f>
        <v>79030758</v>
      </c>
      <c r="F1167" s="10" t="s">
        <v>3590</v>
      </c>
      <c r="G1167" s="10" t="s">
        <v>246</v>
      </c>
      <c r="H1167" s="10" t="s">
        <v>3591</v>
      </c>
      <c r="I1167" s="10" t="s">
        <v>243</v>
      </c>
    </row>
    <row r="1168" spans="1:9" x14ac:dyDescent="0.15">
      <c r="A1168" s="9">
        <v>1167</v>
      </c>
      <c r="B1168" s="10" t="s">
        <v>9</v>
      </c>
      <c r="C1168" s="10" t="s">
        <v>363</v>
      </c>
      <c r="D1168" s="10" t="s">
        <v>364</v>
      </c>
      <c r="E1168" s="11" t="str">
        <f>+HYPERLINK("http://trademark.i-assist.jp/data/china/image_1902th/79030808.pdf", "79030808")</f>
        <v>79030808</v>
      </c>
      <c r="F1168" s="10" t="s">
        <v>3592</v>
      </c>
      <c r="G1168" s="10" t="s">
        <v>3593</v>
      </c>
      <c r="H1168" s="10" t="s">
        <v>3594</v>
      </c>
      <c r="I1168" s="10" t="s">
        <v>243</v>
      </c>
    </row>
    <row r="1169" spans="1:9" x14ac:dyDescent="0.15">
      <c r="A1169" s="9">
        <v>1168</v>
      </c>
      <c r="B1169" s="10" t="s">
        <v>9</v>
      </c>
      <c r="C1169" s="10" t="s">
        <v>363</v>
      </c>
      <c r="D1169" s="10" t="s">
        <v>364</v>
      </c>
      <c r="E1169" s="11" t="str">
        <f>+HYPERLINK("http://trademark.i-assist.jp/data/china/image_1902th/79030990.pdf", "79030990")</f>
        <v>79030990</v>
      </c>
      <c r="F1169" s="10" t="s">
        <v>3595</v>
      </c>
      <c r="G1169" s="10" t="s">
        <v>3596</v>
      </c>
      <c r="H1169" s="10" t="s">
        <v>3597</v>
      </c>
      <c r="I1169" s="10" t="s">
        <v>243</v>
      </c>
    </row>
    <row r="1170" spans="1:9" x14ac:dyDescent="0.15">
      <c r="A1170" s="9">
        <v>1169</v>
      </c>
      <c r="B1170" s="10" t="s">
        <v>9</v>
      </c>
      <c r="C1170" s="10" t="s">
        <v>363</v>
      </c>
      <c r="D1170" s="10" t="s">
        <v>364</v>
      </c>
      <c r="E1170" s="11" t="str">
        <f>+HYPERLINK("http://trademark.i-assist.jp/data/china/image_1902th/79031347.pdf", "79031347")</f>
        <v>79031347</v>
      </c>
      <c r="F1170" s="10" t="s">
        <v>3598</v>
      </c>
      <c r="G1170" s="10" t="s">
        <v>3599</v>
      </c>
      <c r="H1170" s="10" t="s">
        <v>3600</v>
      </c>
      <c r="I1170" s="10" t="s">
        <v>243</v>
      </c>
    </row>
    <row r="1171" spans="1:9" x14ac:dyDescent="0.15">
      <c r="A1171" s="9">
        <v>1170</v>
      </c>
      <c r="B1171" s="10" t="s">
        <v>9</v>
      </c>
      <c r="C1171" s="10" t="s">
        <v>363</v>
      </c>
      <c r="D1171" s="10" t="s">
        <v>364</v>
      </c>
      <c r="E1171" s="11" t="str">
        <f>+HYPERLINK("http://trademark.i-assist.jp/data/china/image_1902th/79031354.pdf", "79031354")</f>
        <v>79031354</v>
      </c>
      <c r="F1171" s="10" t="s">
        <v>3601</v>
      </c>
      <c r="G1171" s="10" t="s">
        <v>3505</v>
      </c>
      <c r="H1171" s="10" t="s">
        <v>3602</v>
      </c>
      <c r="I1171" s="10" t="s">
        <v>243</v>
      </c>
    </row>
    <row r="1172" spans="1:9" x14ac:dyDescent="0.15">
      <c r="A1172" s="9">
        <v>1171</v>
      </c>
      <c r="B1172" s="10" t="s">
        <v>9</v>
      </c>
      <c r="C1172" s="10" t="s">
        <v>363</v>
      </c>
      <c r="D1172" s="10" t="s">
        <v>364</v>
      </c>
      <c r="E1172" s="11" t="str">
        <f>+HYPERLINK("http://trademark.i-assist.jp/data/china/image_1902th/79032303.pdf", "79032303")</f>
        <v>79032303</v>
      </c>
      <c r="F1172" s="10" t="s">
        <v>3603</v>
      </c>
      <c r="G1172" s="10" t="s">
        <v>3604</v>
      </c>
      <c r="H1172" s="10" t="s">
        <v>3605</v>
      </c>
      <c r="I1172" s="10" t="s">
        <v>243</v>
      </c>
    </row>
    <row r="1173" spans="1:9" x14ac:dyDescent="0.15">
      <c r="A1173" s="9">
        <v>1172</v>
      </c>
      <c r="B1173" s="10" t="s">
        <v>9</v>
      </c>
      <c r="C1173" s="10" t="s">
        <v>363</v>
      </c>
      <c r="D1173" s="10" t="s">
        <v>364</v>
      </c>
      <c r="E1173" s="11" t="str">
        <f>+HYPERLINK("http://trademark.i-assist.jp/data/china/image_1902th/79032324.pdf", "79032324")</f>
        <v>79032324</v>
      </c>
      <c r="F1173" s="10" t="s">
        <v>3606</v>
      </c>
      <c r="G1173" s="10" t="s">
        <v>3398</v>
      </c>
      <c r="H1173" s="10" t="s">
        <v>3607</v>
      </c>
      <c r="I1173" s="10" t="s">
        <v>243</v>
      </c>
    </row>
    <row r="1174" spans="1:9" x14ac:dyDescent="0.15">
      <c r="A1174" s="9">
        <v>1173</v>
      </c>
      <c r="B1174" s="10" t="s">
        <v>9</v>
      </c>
      <c r="C1174" s="10" t="s">
        <v>363</v>
      </c>
      <c r="D1174" s="10" t="s">
        <v>364</v>
      </c>
      <c r="E1174" s="11" t="str">
        <f>+HYPERLINK("http://trademark.i-assist.jp/data/china/image_1902th/79032504.pdf", "79032504")</f>
        <v>79032504</v>
      </c>
      <c r="F1174" s="10" t="s">
        <v>3608</v>
      </c>
      <c r="G1174" s="10" t="s">
        <v>3609</v>
      </c>
      <c r="H1174" s="10" t="s">
        <v>3610</v>
      </c>
      <c r="I1174" s="10" t="s">
        <v>243</v>
      </c>
    </row>
    <row r="1175" spans="1:9" x14ac:dyDescent="0.15">
      <c r="A1175" s="9">
        <v>1174</v>
      </c>
      <c r="B1175" s="10" t="s">
        <v>9</v>
      </c>
      <c r="C1175" s="10" t="s">
        <v>363</v>
      </c>
      <c r="D1175" s="10" t="s">
        <v>364</v>
      </c>
      <c r="E1175" s="11" t="str">
        <f>+HYPERLINK("http://trademark.i-assist.jp/data/china/image_1902th/79032600.pdf", "79032600")</f>
        <v>79032600</v>
      </c>
      <c r="F1175" s="10" t="s">
        <v>3611</v>
      </c>
      <c r="G1175" s="10" t="s">
        <v>3612</v>
      </c>
      <c r="H1175" s="10" t="s">
        <v>3613</v>
      </c>
      <c r="I1175" s="10" t="s">
        <v>243</v>
      </c>
    </row>
    <row r="1176" spans="1:9" x14ac:dyDescent="0.15">
      <c r="A1176" s="9">
        <v>1175</v>
      </c>
      <c r="B1176" s="10" t="s">
        <v>9</v>
      </c>
      <c r="C1176" s="10" t="s">
        <v>363</v>
      </c>
      <c r="D1176" s="10" t="s">
        <v>364</v>
      </c>
      <c r="E1176" s="11" t="str">
        <f>+HYPERLINK("http://trademark.i-assist.jp/data/china/image_1902th/79032858.pdf", "79032858")</f>
        <v>79032858</v>
      </c>
      <c r="F1176" s="10" t="s">
        <v>3614</v>
      </c>
      <c r="G1176" s="10" t="s">
        <v>3615</v>
      </c>
      <c r="H1176" s="10" t="s">
        <v>3616</v>
      </c>
      <c r="I1176" s="10" t="s">
        <v>243</v>
      </c>
    </row>
    <row r="1177" spans="1:9" x14ac:dyDescent="0.15">
      <c r="A1177" s="9">
        <v>1176</v>
      </c>
      <c r="B1177" s="10" t="s">
        <v>9</v>
      </c>
      <c r="C1177" s="10" t="s">
        <v>363</v>
      </c>
      <c r="D1177" s="10" t="s">
        <v>364</v>
      </c>
      <c r="E1177" s="11" t="str">
        <f>+HYPERLINK("http://trademark.i-assist.jp/data/china/image_1902th/79032958.pdf", "79032958")</f>
        <v>79032958</v>
      </c>
      <c r="F1177" s="10" t="s">
        <v>3617</v>
      </c>
      <c r="G1177" s="10" t="s">
        <v>3618</v>
      </c>
      <c r="H1177" s="10" t="s">
        <v>3619</v>
      </c>
      <c r="I1177" s="10" t="s">
        <v>243</v>
      </c>
    </row>
    <row r="1178" spans="1:9" x14ac:dyDescent="0.15">
      <c r="A1178" s="9">
        <v>1177</v>
      </c>
      <c r="B1178" s="10" t="s">
        <v>9</v>
      </c>
      <c r="C1178" s="10" t="s">
        <v>363</v>
      </c>
      <c r="D1178" s="10" t="s">
        <v>364</v>
      </c>
      <c r="E1178" s="11" t="str">
        <f>+HYPERLINK("http://trademark.i-assist.jp/data/china/image_1902th/79033670.pdf", "79033670")</f>
        <v>79033670</v>
      </c>
      <c r="F1178" s="10" t="s">
        <v>3620</v>
      </c>
      <c r="G1178" s="10" t="s">
        <v>255</v>
      </c>
      <c r="H1178" s="10" t="s">
        <v>3621</v>
      </c>
      <c r="I1178" s="10" t="s">
        <v>243</v>
      </c>
    </row>
    <row r="1179" spans="1:9" x14ac:dyDescent="0.15">
      <c r="A1179" s="9">
        <v>1178</v>
      </c>
      <c r="B1179" s="10" t="s">
        <v>9</v>
      </c>
      <c r="C1179" s="10" t="s">
        <v>363</v>
      </c>
      <c r="D1179" s="10" t="s">
        <v>364</v>
      </c>
      <c r="E1179" s="11" t="str">
        <f>+HYPERLINK("http://trademark.i-assist.jp/data/china/image_1902th/79033705.pdf", "79033705")</f>
        <v>79033705</v>
      </c>
      <c r="F1179" s="10" t="s">
        <v>3622</v>
      </c>
      <c r="G1179" s="10" t="s">
        <v>3484</v>
      </c>
      <c r="H1179" s="10" t="s">
        <v>3623</v>
      </c>
      <c r="I1179" s="10" t="s">
        <v>243</v>
      </c>
    </row>
    <row r="1180" spans="1:9" x14ac:dyDescent="0.15">
      <c r="A1180" s="9">
        <v>1179</v>
      </c>
      <c r="B1180" s="10" t="s">
        <v>9</v>
      </c>
      <c r="C1180" s="10" t="s">
        <v>363</v>
      </c>
      <c r="D1180" s="10" t="s">
        <v>364</v>
      </c>
      <c r="E1180" s="11" t="str">
        <f>+HYPERLINK("http://trademark.i-assist.jp/data/china/image_1902th/79033718.pdf", "79033718")</f>
        <v>79033718</v>
      </c>
      <c r="F1180" s="10" t="s">
        <v>3624</v>
      </c>
      <c r="G1180" s="10" t="s">
        <v>3625</v>
      </c>
      <c r="H1180" s="10" t="s">
        <v>3626</v>
      </c>
      <c r="I1180" s="10" t="s">
        <v>243</v>
      </c>
    </row>
    <row r="1181" spans="1:9" x14ac:dyDescent="0.15">
      <c r="A1181" s="9">
        <v>1180</v>
      </c>
      <c r="B1181" s="10" t="s">
        <v>9</v>
      </c>
      <c r="C1181" s="10" t="s">
        <v>363</v>
      </c>
      <c r="D1181" s="10" t="s">
        <v>364</v>
      </c>
      <c r="E1181" s="11" t="str">
        <f>+HYPERLINK("http://trademark.i-assist.jp/data/china/image_1902th/79033850.pdf", "79033850")</f>
        <v>79033850</v>
      </c>
      <c r="F1181" s="10" t="s">
        <v>3627</v>
      </c>
      <c r="G1181" s="10" t="s">
        <v>3432</v>
      </c>
      <c r="H1181" s="10" t="s">
        <v>3628</v>
      </c>
      <c r="I1181" s="10" t="s">
        <v>243</v>
      </c>
    </row>
    <row r="1182" spans="1:9" x14ac:dyDescent="0.15">
      <c r="A1182" s="9">
        <v>1181</v>
      </c>
      <c r="B1182" s="10" t="s">
        <v>9</v>
      </c>
      <c r="C1182" s="10" t="s">
        <v>363</v>
      </c>
      <c r="D1182" s="10" t="s">
        <v>364</v>
      </c>
      <c r="E1182" s="11" t="str">
        <f>+HYPERLINK("http://trademark.i-assist.jp/data/china/image_1902th/79034021.pdf", "79034021")</f>
        <v>79034021</v>
      </c>
      <c r="F1182" s="10" t="s">
        <v>3629</v>
      </c>
      <c r="G1182" s="10" t="s">
        <v>3630</v>
      </c>
      <c r="H1182" s="10" t="s">
        <v>3631</v>
      </c>
      <c r="I1182" s="10" t="s">
        <v>243</v>
      </c>
    </row>
    <row r="1183" spans="1:9" x14ac:dyDescent="0.15">
      <c r="A1183" s="9">
        <v>1182</v>
      </c>
      <c r="B1183" s="10" t="s">
        <v>9</v>
      </c>
      <c r="C1183" s="10" t="s">
        <v>363</v>
      </c>
      <c r="D1183" s="10" t="s">
        <v>364</v>
      </c>
      <c r="E1183" s="11" t="str">
        <f>+HYPERLINK("http://trademark.i-assist.jp/data/china/image_1902th/79034060.pdf", "79034060")</f>
        <v>79034060</v>
      </c>
      <c r="F1183" s="10" t="s">
        <v>3632</v>
      </c>
      <c r="G1183" s="10" t="s">
        <v>3633</v>
      </c>
      <c r="H1183" s="10" t="s">
        <v>3634</v>
      </c>
      <c r="I1183" s="10" t="s">
        <v>243</v>
      </c>
    </row>
    <row r="1184" spans="1:9" x14ac:dyDescent="0.15">
      <c r="A1184" s="9">
        <v>1183</v>
      </c>
      <c r="B1184" s="10" t="s">
        <v>9</v>
      </c>
      <c r="C1184" s="10" t="s">
        <v>363</v>
      </c>
      <c r="D1184" s="10" t="s">
        <v>364</v>
      </c>
      <c r="E1184" s="11" t="str">
        <f>+HYPERLINK("http://trademark.i-assist.jp/data/china/image_1902th/79034202.pdf", "79034202")</f>
        <v>79034202</v>
      </c>
      <c r="F1184" s="10" t="s">
        <v>3635</v>
      </c>
      <c r="G1184" s="10" t="s">
        <v>3636</v>
      </c>
      <c r="H1184" s="10" t="s">
        <v>3637</v>
      </c>
      <c r="I1184" s="10" t="s">
        <v>243</v>
      </c>
    </row>
    <row r="1185" spans="1:9" x14ac:dyDescent="0.15">
      <c r="A1185" s="9">
        <v>1184</v>
      </c>
      <c r="B1185" s="10" t="s">
        <v>9</v>
      </c>
      <c r="C1185" s="10" t="s">
        <v>363</v>
      </c>
      <c r="D1185" s="10" t="s">
        <v>364</v>
      </c>
      <c r="E1185" s="11" t="str">
        <f>+HYPERLINK("http://trademark.i-assist.jp/data/china/image_1902th/79034219.pdf", "79034219")</f>
        <v>79034219</v>
      </c>
      <c r="F1185" s="10" t="s">
        <v>3638</v>
      </c>
      <c r="G1185" s="10" t="s">
        <v>3639</v>
      </c>
      <c r="H1185" s="10" t="s">
        <v>3640</v>
      </c>
      <c r="I1185" s="10" t="s">
        <v>243</v>
      </c>
    </row>
    <row r="1186" spans="1:9" x14ac:dyDescent="0.15">
      <c r="A1186" s="9">
        <v>1185</v>
      </c>
      <c r="B1186" s="10" t="s">
        <v>9</v>
      </c>
      <c r="C1186" s="10" t="s">
        <v>363</v>
      </c>
      <c r="D1186" s="10" t="s">
        <v>364</v>
      </c>
      <c r="E1186" s="11" t="str">
        <f>+HYPERLINK("http://trademark.i-assist.jp/data/china/image_1902th/79034233.pdf", "79034233")</f>
        <v>79034233</v>
      </c>
      <c r="F1186" s="10" t="s">
        <v>3641</v>
      </c>
      <c r="G1186" s="10" t="s">
        <v>108</v>
      </c>
      <c r="H1186" s="10" t="s">
        <v>3642</v>
      </c>
      <c r="I1186" s="10" t="s">
        <v>243</v>
      </c>
    </row>
    <row r="1187" spans="1:9" x14ac:dyDescent="0.15">
      <c r="A1187" s="9">
        <v>1186</v>
      </c>
      <c r="B1187" s="10" t="s">
        <v>9</v>
      </c>
      <c r="C1187" s="10" t="s">
        <v>363</v>
      </c>
      <c r="D1187" s="10" t="s">
        <v>364</v>
      </c>
      <c r="E1187" s="11" t="str">
        <f>+HYPERLINK("http://trademark.i-assist.jp/data/china/image_1902th/79034315.pdf", "79034315")</f>
        <v>79034315</v>
      </c>
      <c r="F1187" s="10" t="s">
        <v>3643</v>
      </c>
      <c r="G1187" s="10" t="s">
        <v>212</v>
      </c>
      <c r="H1187" s="10" t="s">
        <v>3644</v>
      </c>
      <c r="I1187" s="10" t="s">
        <v>243</v>
      </c>
    </row>
    <row r="1188" spans="1:9" x14ac:dyDescent="0.15">
      <c r="A1188" s="9">
        <v>1187</v>
      </c>
      <c r="B1188" s="10" t="s">
        <v>9</v>
      </c>
      <c r="C1188" s="10" t="s">
        <v>363</v>
      </c>
      <c r="D1188" s="10" t="s">
        <v>364</v>
      </c>
      <c r="E1188" s="11" t="str">
        <f>+HYPERLINK("http://trademark.i-assist.jp/data/china/image_1902th/79034331.pdf", "79034331")</f>
        <v>79034331</v>
      </c>
      <c r="F1188" s="10" t="s">
        <v>3645</v>
      </c>
      <c r="G1188" s="10" t="s">
        <v>3646</v>
      </c>
      <c r="H1188" s="10" t="s">
        <v>3647</v>
      </c>
      <c r="I1188" s="10" t="s">
        <v>243</v>
      </c>
    </row>
    <row r="1189" spans="1:9" x14ac:dyDescent="0.15">
      <c r="A1189" s="9">
        <v>1188</v>
      </c>
      <c r="B1189" s="10" t="s">
        <v>9</v>
      </c>
      <c r="C1189" s="10" t="s">
        <v>363</v>
      </c>
      <c r="D1189" s="10" t="s">
        <v>364</v>
      </c>
      <c r="E1189" s="11" t="str">
        <f>+HYPERLINK("http://trademark.i-assist.jp/data/china/image_1902th/79034393.pdf", "79034393")</f>
        <v>79034393</v>
      </c>
      <c r="F1189" s="10" t="s">
        <v>3648</v>
      </c>
      <c r="G1189" s="10" t="s">
        <v>3497</v>
      </c>
      <c r="H1189" s="10" t="s">
        <v>3649</v>
      </c>
      <c r="I1189" s="10" t="s">
        <v>243</v>
      </c>
    </row>
    <row r="1190" spans="1:9" x14ac:dyDescent="0.15">
      <c r="A1190" s="9">
        <v>1189</v>
      </c>
      <c r="B1190" s="10" t="s">
        <v>9</v>
      </c>
      <c r="C1190" s="10" t="s">
        <v>363</v>
      </c>
      <c r="D1190" s="10" t="s">
        <v>364</v>
      </c>
      <c r="E1190" s="11" t="str">
        <f>+HYPERLINK("http://trademark.i-assist.jp/data/china/image_1902th/79034420.pdf", "79034420")</f>
        <v>79034420</v>
      </c>
      <c r="F1190" s="10" t="s">
        <v>3650</v>
      </c>
      <c r="G1190" s="10" t="s">
        <v>3651</v>
      </c>
      <c r="H1190" s="10" t="s">
        <v>3652</v>
      </c>
      <c r="I1190" s="10" t="s">
        <v>243</v>
      </c>
    </row>
    <row r="1191" spans="1:9" x14ac:dyDescent="0.15">
      <c r="A1191" s="9">
        <v>1190</v>
      </c>
      <c r="B1191" s="10" t="s">
        <v>9</v>
      </c>
      <c r="C1191" s="10" t="s">
        <v>363</v>
      </c>
      <c r="D1191" s="10" t="s">
        <v>364</v>
      </c>
      <c r="E1191" s="11" t="str">
        <f>+HYPERLINK("http://trademark.i-assist.jp/data/china/image_1902th/79034520.pdf", "79034520")</f>
        <v>79034520</v>
      </c>
      <c r="F1191" s="10" t="s">
        <v>3653</v>
      </c>
      <c r="G1191" s="10" t="s">
        <v>3654</v>
      </c>
      <c r="H1191" s="10" t="s">
        <v>3655</v>
      </c>
      <c r="I1191" s="10" t="s">
        <v>243</v>
      </c>
    </row>
    <row r="1192" spans="1:9" x14ac:dyDescent="0.15">
      <c r="A1192" s="9">
        <v>1191</v>
      </c>
      <c r="B1192" s="10" t="s">
        <v>9</v>
      </c>
      <c r="C1192" s="10" t="s">
        <v>363</v>
      </c>
      <c r="D1192" s="10" t="s">
        <v>364</v>
      </c>
      <c r="E1192" s="11" t="str">
        <f>+HYPERLINK("http://trademark.i-assist.jp/data/china/image_1902th/79034743.pdf", "79034743")</f>
        <v>79034743</v>
      </c>
      <c r="F1192" s="10" t="s">
        <v>3656</v>
      </c>
      <c r="G1192" s="10" t="s">
        <v>3657</v>
      </c>
      <c r="H1192" s="10" t="s">
        <v>3658</v>
      </c>
      <c r="I1192" s="10" t="s">
        <v>243</v>
      </c>
    </row>
    <row r="1193" spans="1:9" x14ac:dyDescent="0.15">
      <c r="A1193" s="9">
        <v>1192</v>
      </c>
      <c r="B1193" s="10" t="s">
        <v>9</v>
      </c>
      <c r="C1193" s="10" t="s">
        <v>363</v>
      </c>
      <c r="D1193" s="10" t="s">
        <v>364</v>
      </c>
      <c r="E1193" s="11" t="str">
        <f>+HYPERLINK("http://trademark.i-assist.jp/data/china/image_1902th/79034767.pdf", "79034767")</f>
        <v>79034767</v>
      </c>
      <c r="F1193" s="10" t="s">
        <v>3659</v>
      </c>
      <c r="G1193" s="10" t="s">
        <v>3469</v>
      </c>
      <c r="H1193" s="10" t="s">
        <v>3660</v>
      </c>
      <c r="I1193" s="10" t="s">
        <v>243</v>
      </c>
    </row>
    <row r="1194" spans="1:9" x14ac:dyDescent="0.15">
      <c r="A1194" s="9">
        <v>1193</v>
      </c>
      <c r="B1194" s="10" t="s">
        <v>9</v>
      </c>
      <c r="C1194" s="10" t="s">
        <v>363</v>
      </c>
      <c r="D1194" s="10" t="s">
        <v>364</v>
      </c>
      <c r="E1194" s="11" t="str">
        <f>+HYPERLINK("http://trademark.i-assist.jp/data/china/image_1902th/79034811.pdf", "79034811")</f>
        <v>79034811</v>
      </c>
      <c r="F1194" s="10" t="s">
        <v>12</v>
      </c>
      <c r="G1194" s="10" t="s">
        <v>3441</v>
      </c>
      <c r="H1194" s="10" t="s">
        <v>3661</v>
      </c>
      <c r="I1194" s="10" t="s">
        <v>243</v>
      </c>
    </row>
    <row r="1195" spans="1:9" x14ac:dyDescent="0.15">
      <c r="A1195" s="9">
        <v>1194</v>
      </c>
      <c r="B1195" s="10" t="s">
        <v>9</v>
      </c>
      <c r="C1195" s="10" t="s">
        <v>363</v>
      </c>
      <c r="D1195" s="10" t="s">
        <v>364</v>
      </c>
      <c r="E1195" s="11" t="str">
        <f>+HYPERLINK("http://trademark.i-assist.jp/data/china/image_1902th/79034906.pdf", "79034906")</f>
        <v>79034906</v>
      </c>
      <c r="F1195" s="10" t="s">
        <v>3662</v>
      </c>
      <c r="G1195" s="10" t="s">
        <v>3663</v>
      </c>
      <c r="H1195" s="10" t="s">
        <v>3664</v>
      </c>
      <c r="I1195" s="10" t="s">
        <v>243</v>
      </c>
    </row>
    <row r="1196" spans="1:9" x14ac:dyDescent="0.15">
      <c r="A1196" s="9">
        <v>1195</v>
      </c>
      <c r="B1196" s="10" t="s">
        <v>9</v>
      </c>
      <c r="C1196" s="10" t="s">
        <v>363</v>
      </c>
      <c r="D1196" s="10" t="s">
        <v>364</v>
      </c>
      <c r="E1196" s="11" t="str">
        <f>+HYPERLINK("http://trademark.i-assist.jp/data/china/image_1902th/79035051.pdf", "79035051")</f>
        <v>79035051</v>
      </c>
      <c r="F1196" s="10" t="s">
        <v>3665</v>
      </c>
      <c r="G1196" s="10" t="s">
        <v>3666</v>
      </c>
      <c r="H1196" s="10" t="s">
        <v>3667</v>
      </c>
      <c r="I1196" s="10" t="s">
        <v>243</v>
      </c>
    </row>
    <row r="1197" spans="1:9" x14ac:dyDescent="0.15">
      <c r="A1197" s="9">
        <v>1196</v>
      </c>
      <c r="B1197" s="10" t="s">
        <v>9</v>
      </c>
      <c r="C1197" s="10" t="s">
        <v>363</v>
      </c>
      <c r="D1197" s="10" t="s">
        <v>364</v>
      </c>
      <c r="E1197" s="11" t="str">
        <f>+HYPERLINK("http://trademark.i-assist.jp/data/china/image_1902th/79035104.pdf", "79035104")</f>
        <v>79035104</v>
      </c>
      <c r="F1197" s="10" t="s">
        <v>3668</v>
      </c>
      <c r="G1197" s="10" t="s">
        <v>3669</v>
      </c>
      <c r="H1197" s="10" t="s">
        <v>3670</v>
      </c>
      <c r="I1197" s="10" t="s">
        <v>243</v>
      </c>
    </row>
    <row r="1198" spans="1:9" x14ac:dyDescent="0.15">
      <c r="A1198" s="9">
        <v>1197</v>
      </c>
      <c r="B1198" s="10" t="s">
        <v>9</v>
      </c>
      <c r="C1198" s="10" t="s">
        <v>363</v>
      </c>
      <c r="D1198" s="10" t="s">
        <v>364</v>
      </c>
      <c r="E1198" s="11" t="str">
        <f>+HYPERLINK("http://trademark.i-assist.jp/data/china/image_1902th/79035409.pdf", "79035409")</f>
        <v>79035409</v>
      </c>
      <c r="F1198" s="10" t="s">
        <v>3671</v>
      </c>
      <c r="G1198" s="10" t="s">
        <v>117</v>
      </c>
      <c r="H1198" s="10" t="s">
        <v>3672</v>
      </c>
      <c r="I1198" s="10" t="s">
        <v>243</v>
      </c>
    </row>
    <row r="1199" spans="1:9" x14ac:dyDescent="0.15">
      <c r="A1199" s="9">
        <v>1198</v>
      </c>
      <c r="B1199" s="10" t="s">
        <v>9</v>
      </c>
      <c r="C1199" s="10" t="s">
        <v>363</v>
      </c>
      <c r="D1199" s="10" t="s">
        <v>364</v>
      </c>
      <c r="E1199" s="11" t="str">
        <f>+HYPERLINK("http://trademark.i-assist.jp/data/china/image_1902th/79035639.pdf", "79035639")</f>
        <v>79035639</v>
      </c>
      <c r="F1199" s="10" t="s">
        <v>3673</v>
      </c>
      <c r="G1199" s="10" t="s">
        <v>3674</v>
      </c>
      <c r="H1199" s="10" t="s">
        <v>3675</v>
      </c>
      <c r="I1199" s="10" t="s">
        <v>243</v>
      </c>
    </row>
    <row r="1200" spans="1:9" x14ac:dyDescent="0.15">
      <c r="A1200" s="9">
        <v>1199</v>
      </c>
      <c r="B1200" s="10" t="s">
        <v>9</v>
      </c>
      <c r="C1200" s="10" t="s">
        <v>363</v>
      </c>
      <c r="D1200" s="10" t="s">
        <v>364</v>
      </c>
      <c r="E1200" s="11" t="str">
        <f>+HYPERLINK("http://trademark.i-assist.jp/data/china/image_1902th/79035713.pdf", "79035713")</f>
        <v>79035713</v>
      </c>
      <c r="F1200" s="10" t="s">
        <v>3676</v>
      </c>
      <c r="G1200" s="10" t="s">
        <v>3677</v>
      </c>
      <c r="H1200" s="10" t="s">
        <v>3678</v>
      </c>
      <c r="I1200" s="10" t="s">
        <v>243</v>
      </c>
    </row>
    <row r="1201" spans="1:9" x14ac:dyDescent="0.15">
      <c r="A1201" s="9">
        <v>1200</v>
      </c>
      <c r="B1201" s="10" t="s">
        <v>9</v>
      </c>
      <c r="C1201" s="10" t="s">
        <v>363</v>
      </c>
      <c r="D1201" s="10" t="s">
        <v>364</v>
      </c>
      <c r="E1201" s="11" t="str">
        <f>+HYPERLINK("http://trademark.i-assist.jp/data/china/image_1902th/79035748.pdf", "79035748")</f>
        <v>79035748</v>
      </c>
      <c r="F1201" s="10" t="s">
        <v>3679</v>
      </c>
      <c r="G1201" s="10" t="s">
        <v>3680</v>
      </c>
      <c r="H1201" s="10" t="s">
        <v>3681</v>
      </c>
      <c r="I1201" s="10" t="s">
        <v>243</v>
      </c>
    </row>
    <row r="1202" spans="1:9" x14ac:dyDescent="0.15">
      <c r="A1202" s="9">
        <v>1201</v>
      </c>
      <c r="B1202" s="10" t="s">
        <v>9</v>
      </c>
      <c r="C1202" s="10" t="s">
        <v>363</v>
      </c>
      <c r="D1202" s="10" t="s">
        <v>364</v>
      </c>
      <c r="E1202" s="11" t="str">
        <f>+HYPERLINK("http://trademark.i-assist.jp/data/china/image_1902th/79036096.pdf", "79036096")</f>
        <v>79036096</v>
      </c>
      <c r="F1202" s="10" t="s">
        <v>3682</v>
      </c>
      <c r="G1202" s="10" t="s">
        <v>3683</v>
      </c>
      <c r="H1202" s="10" t="s">
        <v>3684</v>
      </c>
      <c r="I1202" s="10" t="s">
        <v>243</v>
      </c>
    </row>
    <row r="1203" spans="1:9" x14ac:dyDescent="0.15">
      <c r="A1203" s="9">
        <v>1202</v>
      </c>
      <c r="B1203" s="10" t="s">
        <v>9</v>
      </c>
      <c r="C1203" s="10" t="s">
        <v>363</v>
      </c>
      <c r="D1203" s="10" t="s">
        <v>364</v>
      </c>
      <c r="E1203" s="11" t="str">
        <f>+HYPERLINK("http://trademark.i-assist.jp/data/china/image_1902th/79036413.pdf", "79036413")</f>
        <v>79036413</v>
      </c>
      <c r="F1203" s="10" t="s">
        <v>3685</v>
      </c>
      <c r="G1203" s="10" t="s">
        <v>3484</v>
      </c>
      <c r="H1203" s="10" t="s">
        <v>3686</v>
      </c>
      <c r="I1203" s="10" t="s">
        <v>243</v>
      </c>
    </row>
    <row r="1204" spans="1:9" x14ac:dyDescent="0.15">
      <c r="A1204" s="9">
        <v>1203</v>
      </c>
      <c r="B1204" s="10" t="s">
        <v>9</v>
      </c>
      <c r="C1204" s="10" t="s">
        <v>363</v>
      </c>
      <c r="D1204" s="10" t="s">
        <v>364</v>
      </c>
      <c r="E1204" s="11" t="str">
        <f>+HYPERLINK("http://trademark.i-assist.jp/data/china/image_1902th/79036455.pdf", "79036455")</f>
        <v>79036455</v>
      </c>
      <c r="F1204" s="10" t="s">
        <v>145</v>
      </c>
      <c r="G1204" s="10" t="s">
        <v>146</v>
      </c>
      <c r="H1204" s="10" t="s">
        <v>3687</v>
      </c>
      <c r="I1204" s="10" t="s">
        <v>243</v>
      </c>
    </row>
    <row r="1205" spans="1:9" x14ac:dyDescent="0.15">
      <c r="A1205" s="9">
        <v>1204</v>
      </c>
      <c r="B1205" s="10" t="s">
        <v>9</v>
      </c>
      <c r="C1205" s="10" t="s">
        <v>363</v>
      </c>
      <c r="D1205" s="10" t="s">
        <v>364</v>
      </c>
      <c r="E1205" s="11" t="str">
        <f>+HYPERLINK("http://trademark.i-assist.jp/data/china/image_1902th/79036538.pdf", "79036538")</f>
        <v>79036538</v>
      </c>
      <c r="F1205" s="10" t="s">
        <v>3688</v>
      </c>
      <c r="G1205" s="10" t="s">
        <v>3689</v>
      </c>
      <c r="H1205" s="10" t="s">
        <v>3690</v>
      </c>
      <c r="I1205" s="10" t="s">
        <v>243</v>
      </c>
    </row>
    <row r="1206" spans="1:9" x14ac:dyDescent="0.15">
      <c r="A1206" s="9">
        <v>1205</v>
      </c>
      <c r="B1206" s="10" t="s">
        <v>9</v>
      </c>
      <c r="C1206" s="10" t="s">
        <v>363</v>
      </c>
      <c r="D1206" s="10" t="s">
        <v>364</v>
      </c>
      <c r="E1206" s="11" t="str">
        <f>+HYPERLINK("http://trademark.i-assist.jp/data/china/image_1902th/79036751.pdf", "79036751")</f>
        <v>79036751</v>
      </c>
      <c r="F1206" s="10" t="s">
        <v>3691</v>
      </c>
      <c r="G1206" s="10" t="s">
        <v>3692</v>
      </c>
      <c r="H1206" s="10" t="s">
        <v>3693</v>
      </c>
      <c r="I1206" s="10" t="s">
        <v>243</v>
      </c>
    </row>
    <row r="1207" spans="1:9" x14ac:dyDescent="0.15">
      <c r="A1207" s="9">
        <v>1206</v>
      </c>
      <c r="B1207" s="10" t="s">
        <v>9</v>
      </c>
      <c r="C1207" s="10" t="s">
        <v>363</v>
      </c>
      <c r="D1207" s="10" t="s">
        <v>364</v>
      </c>
      <c r="E1207" s="11" t="str">
        <f>+HYPERLINK("http://trademark.i-assist.jp/data/china/image_1902th/79036800.pdf", "79036800")</f>
        <v>79036800</v>
      </c>
      <c r="F1207" s="10" t="s">
        <v>3694</v>
      </c>
      <c r="G1207" s="10" t="s">
        <v>3497</v>
      </c>
      <c r="H1207" s="10" t="s">
        <v>3695</v>
      </c>
      <c r="I1207" s="10" t="s">
        <v>243</v>
      </c>
    </row>
    <row r="1208" spans="1:9" x14ac:dyDescent="0.15">
      <c r="A1208" s="9">
        <v>1207</v>
      </c>
      <c r="B1208" s="10" t="s">
        <v>9</v>
      </c>
      <c r="C1208" s="10" t="s">
        <v>363</v>
      </c>
      <c r="D1208" s="10" t="s">
        <v>364</v>
      </c>
      <c r="E1208" s="11" t="str">
        <f>+HYPERLINK("http://trademark.i-assist.jp/data/china/image_1902th/79036802.pdf", "79036802")</f>
        <v>79036802</v>
      </c>
      <c r="F1208" s="10" t="s">
        <v>3696</v>
      </c>
      <c r="G1208" s="10" t="s">
        <v>3697</v>
      </c>
      <c r="H1208" s="10" t="s">
        <v>3698</v>
      </c>
      <c r="I1208" s="10" t="s">
        <v>243</v>
      </c>
    </row>
    <row r="1209" spans="1:9" x14ac:dyDescent="0.15">
      <c r="A1209" s="9">
        <v>1208</v>
      </c>
      <c r="B1209" s="10" t="s">
        <v>9</v>
      </c>
      <c r="C1209" s="10" t="s">
        <v>363</v>
      </c>
      <c r="D1209" s="10" t="s">
        <v>364</v>
      </c>
      <c r="E1209" s="11" t="str">
        <f>+HYPERLINK("http://trademark.i-assist.jp/data/china/image_1902th/79036930.pdf", "79036930")</f>
        <v>79036930</v>
      </c>
      <c r="F1209" s="10" t="s">
        <v>3699</v>
      </c>
      <c r="G1209" s="10" t="s">
        <v>3700</v>
      </c>
      <c r="H1209" s="10" t="s">
        <v>3701</v>
      </c>
      <c r="I1209" s="10" t="s">
        <v>243</v>
      </c>
    </row>
    <row r="1210" spans="1:9" x14ac:dyDescent="0.15">
      <c r="A1210" s="9">
        <v>1209</v>
      </c>
      <c r="B1210" s="10" t="s">
        <v>9</v>
      </c>
      <c r="C1210" s="10" t="s">
        <v>363</v>
      </c>
      <c r="D1210" s="10" t="s">
        <v>364</v>
      </c>
      <c r="E1210" s="11" t="str">
        <f>+HYPERLINK("http://trademark.i-assist.jp/data/china/image_1902th/79036967.pdf", "79036967")</f>
        <v>79036967</v>
      </c>
      <c r="F1210" s="10" t="s">
        <v>3702</v>
      </c>
      <c r="G1210" s="10" t="s">
        <v>3398</v>
      </c>
      <c r="H1210" s="10" t="s">
        <v>3703</v>
      </c>
      <c r="I1210" s="10" t="s">
        <v>243</v>
      </c>
    </row>
    <row r="1211" spans="1:9" x14ac:dyDescent="0.15">
      <c r="A1211" s="9">
        <v>1210</v>
      </c>
      <c r="B1211" s="10" t="s">
        <v>9</v>
      </c>
      <c r="C1211" s="10" t="s">
        <v>363</v>
      </c>
      <c r="D1211" s="10" t="s">
        <v>364</v>
      </c>
      <c r="E1211" s="11" t="str">
        <f>+HYPERLINK("http://trademark.i-assist.jp/data/china/image_1902th/79037038.pdf", "79037038")</f>
        <v>79037038</v>
      </c>
      <c r="F1211" s="10" t="s">
        <v>3704</v>
      </c>
      <c r="G1211" s="10" t="s">
        <v>3705</v>
      </c>
      <c r="H1211" s="10" t="s">
        <v>3706</v>
      </c>
      <c r="I1211" s="10" t="s">
        <v>243</v>
      </c>
    </row>
    <row r="1212" spans="1:9" x14ac:dyDescent="0.15">
      <c r="A1212" s="9">
        <v>1211</v>
      </c>
      <c r="B1212" s="10" t="s">
        <v>9</v>
      </c>
      <c r="C1212" s="10" t="s">
        <v>363</v>
      </c>
      <c r="D1212" s="10" t="s">
        <v>364</v>
      </c>
      <c r="E1212" s="11" t="str">
        <f>+HYPERLINK("http://trademark.i-assist.jp/data/china/image_1902th/79037082.pdf", "79037082")</f>
        <v>79037082</v>
      </c>
      <c r="F1212" s="10" t="s">
        <v>3707</v>
      </c>
      <c r="G1212" s="10" t="s">
        <v>3708</v>
      </c>
      <c r="H1212" s="10" t="s">
        <v>3709</v>
      </c>
      <c r="I1212" s="10" t="s">
        <v>243</v>
      </c>
    </row>
    <row r="1213" spans="1:9" x14ac:dyDescent="0.15">
      <c r="A1213" s="9">
        <v>1212</v>
      </c>
      <c r="B1213" s="10" t="s">
        <v>9</v>
      </c>
      <c r="C1213" s="10" t="s">
        <v>363</v>
      </c>
      <c r="D1213" s="10" t="s">
        <v>364</v>
      </c>
      <c r="E1213" s="11" t="str">
        <f>+HYPERLINK("http://trademark.i-assist.jp/data/china/image_1902th/79037151.pdf", "79037151")</f>
        <v>79037151</v>
      </c>
      <c r="F1213" s="10" t="s">
        <v>3710</v>
      </c>
      <c r="G1213" s="10" t="s">
        <v>3711</v>
      </c>
      <c r="H1213" s="10" t="s">
        <v>3712</v>
      </c>
      <c r="I1213" s="10" t="s">
        <v>243</v>
      </c>
    </row>
    <row r="1214" spans="1:9" x14ac:dyDescent="0.15">
      <c r="A1214" s="9">
        <v>1213</v>
      </c>
      <c r="B1214" s="10" t="s">
        <v>9</v>
      </c>
      <c r="C1214" s="10" t="s">
        <v>363</v>
      </c>
      <c r="D1214" s="10" t="s">
        <v>364</v>
      </c>
      <c r="E1214" s="11" t="str">
        <f>+HYPERLINK("http://trademark.i-assist.jp/data/china/image_1902th/79037710.pdf", "79037710")</f>
        <v>79037710</v>
      </c>
      <c r="F1214" s="10" t="s">
        <v>3713</v>
      </c>
      <c r="G1214" s="10" t="s">
        <v>2323</v>
      </c>
      <c r="H1214" s="10" t="s">
        <v>3714</v>
      </c>
      <c r="I1214" s="10" t="s">
        <v>243</v>
      </c>
    </row>
    <row r="1215" spans="1:9" x14ac:dyDescent="0.15">
      <c r="A1215" s="9">
        <v>1214</v>
      </c>
      <c r="B1215" s="10" t="s">
        <v>9</v>
      </c>
      <c r="C1215" s="10" t="s">
        <v>363</v>
      </c>
      <c r="D1215" s="10" t="s">
        <v>364</v>
      </c>
      <c r="E1215" s="11" t="str">
        <f>+HYPERLINK("http://trademark.i-assist.jp/data/china/image_1902th/79037820.pdf", "79037820")</f>
        <v>79037820</v>
      </c>
      <c r="F1215" s="10" t="s">
        <v>3715</v>
      </c>
      <c r="G1215" s="10" t="s">
        <v>252</v>
      </c>
      <c r="H1215" s="10" t="s">
        <v>3716</v>
      </c>
      <c r="I1215" s="10" t="s">
        <v>243</v>
      </c>
    </row>
    <row r="1216" spans="1:9" x14ac:dyDescent="0.15">
      <c r="A1216" s="9">
        <v>1215</v>
      </c>
      <c r="B1216" s="10" t="s">
        <v>9</v>
      </c>
      <c r="C1216" s="10" t="s">
        <v>363</v>
      </c>
      <c r="D1216" s="10" t="s">
        <v>364</v>
      </c>
      <c r="E1216" s="11" t="str">
        <f>+HYPERLINK("http://trademark.i-assist.jp/data/china/image_1902th/79038228.pdf", "79038228")</f>
        <v>79038228</v>
      </c>
      <c r="F1216" s="10" t="s">
        <v>3440</v>
      </c>
      <c r="G1216" s="10" t="s">
        <v>3441</v>
      </c>
      <c r="H1216" s="10" t="s">
        <v>3717</v>
      </c>
      <c r="I1216" s="10" t="s">
        <v>243</v>
      </c>
    </row>
    <row r="1217" spans="1:9" x14ac:dyDescent="0.15">
      <c r="A1217" s="9">
        <v>1216</v>
      </c>
      <c r="B1217" s="10" t="s">
        <v>9</v>
      </c>
      <c r="C1217" s="10" t="s">
        <v>363</v>
      </c>
      <c r="D1217" s="10" t="s">
        <v>364</v>
      </c>
      <c r="E1217" s="11" t="str">
        <f>+HYPERLINK("http://trademark.i-assist.jp/data/china/image_1902th/79038231.pdf", "79038231")</f>
        <v>79038231</v>
      </c>
      <c r="F1217" s="10" t="s">
        <v>3718</v>
      </c>
      <c r="G1217" s="10" t="s">
        <v>3406</v>
      </c>
      <c r="H1217" s="10" t="s">
        <v>3719</v>
      </c>
      <c r="I1217" s="10" t="s">
        <v>243</v>
      </c>
    </row>
    <row r="1218" spans="1:9" x14ac:dyDescent="0.15">
      <c r="A1218" s="9">
        <v>1217</v>
      </c>
      <c r="B1218" s="10" t="s">
        <v>9</v>
      </c>
      <c r="C1218" s="10" t="s">
        <v>363</v>
      </c>
      <c r="D1218" s="10" t="s">
        <v>364</v>
      </c>
      <c r="E1218" s="11" t="str">
        <f>+HYPERLINK("http://trademark.i-assist.jp/data/china/image_1902th/79039039.pdf", "79039039")</f>
        <v>79039039</v>
      </c>
      <c r="F1218" s="10" t="s">
        <v>3720</v>
      </c>
      <c r="G1218" s="10" t="s">
        <v>3721</v>
      </c>
      <c r="H1218" s="10" t="s">
        <v>3722</v>
      </c>
      <c r="I1218" s="10" t="s">
        <v>243</v>
      </c>
    </row>
    <row r="1219" spans="1:9" x14ac:dyDescent="0.15">
      <c r="A1219" s="9">
        <v>1218</v>
      </c>
      <c r="B1219" s="10" t="s">
        <v>9</v>
      </c>
      <c r="C1219" s="10" t="s">
        <v>363</v>
      </c>
      <c r="D1219" s="10" t="s">
        <v>364</v>
      </c>
      <c r="E1219" s="11" t="str">
        <f>+HYPERLINK("http://trademark.i-assist.jp/data/china/image_1902th/79039245.pdf", "79039245")</f>
        <v>79039245</v>
      </c>
      <c r="F1219" s="10" t="s">
        <v>3723</v>
      </c>
      <c r="G1219" s="10" t="s">
        <v>3724</v>
      </c>
      <c r="H1219" s="10" t="s">
        <v>3725</v>
      </c>
      <c r="I1219" s="10" t="s">
        <v>257</v>
      </c>
    </row>
    <row r="1220" spans="1:9" x14ac:dyDescent="0.15">
      <c r="A1220" s="9">
        <v>1219</v>
      </c>
      <c r="B1220" s="10" t="s">
        <v>9</v>
      </c>
      <c r="C1220" s="10" t="s">
        <v>363</v>
      </c>
      <c r="D1220" s="10" t="s">
        <v>364</v>
      </c>
      <c r="E1220" s="11" t="str">
        <f>+HYPERLINK("http://trademark.i-assist.jp/data/china/image_1902th/79039264.pdf", "79039264")</f>
        <v>79039264</v>
      </c>
      <c r="F1220" s="10" t="s">
        <v>3726</v>
      </c>
      <c r="G1220" s="10" t="s">
        <v>276</v>
      </c>
      <c r="H1220" s="10" t="s">
        <v>3727</v>
      </c>
      <c r="I1220" s="10" t="s">
        <v>257</v>
      </c>
    </row>
    <row r="1221" spans="1:9" x14ac:dyDescent="0.15">
      <c r="A1221" s="9">
        <v>1220</v>
      </c>
      <c r="B1221" s="10" t="s">
        <v>9</v>
      </c>
      <c r="C1221" s="10" t="s">
        <v>363</v>
      </c>
      <c r="D1221" s="10" t="s">
        <v>364</v>
      </c>
      <c r="E1221" s="11" t="str">
        <f>+HYPERLINK("http://trademark.i-assist.jp/data/china/image_1902th/79039304.pdf", "79039304")</f>
        <v>79039304</v>
      </c>
      <c r="F1221" s="10" t="s">
        <v>3728</v>
      </c>
      <c r="G1221" s="10" t="s">
        <v>276</v>
      </c>
      <c r="H1221" s="10" t="s">
        <v>3729</v>
      </c>
      <c r="I1221" s="10" t="s">
        <v>257</v>
      </c>
    </row>
    <row r="1222" spans="1:9" x14ac:dyDescent="0.15">
      <c r="A1222" s="9">
        <v>1221</v>
      </c>
      <c r="B1222" s="10" t="s">
        <v>9</v>
      </c>
      <c r="C1222" s="10" t="s">
        <v>363</v>
      </c>
      <c r="D1222" s="10" t="s">
        <v>364</v>
      </c>
      <c r="E1222" s="11" t="str">
        <f>+HYPERLINK("http://trademark.i-assist.jp/data/china/image_1902th/79040053.pdf", "79040053")</f>
        <v>79040053</v>
      </c>
      <c r="F1222" s="10" t="s">
        <v>3730</v>
      </c>
      <c r="G1222" s="10" t="s">
        <v>3731</v>
      </c>
      <c r="H1222" s="10" t="s">
        <v>3732</v>
      </c>
      <c r="I1222" s="10" t="s">
        <v>257</v>
      </c>
    </row>
    <row r="1223" spans="1:9" x14ac:dyDescent="0.15">
      <c r="A1223" s="9">
        <v>1222</v>
      </c>
      <c r="B1223" s="10" t="s">
        <v>9</v>
      </c>
      <c r="C1223" s="10" t="s">
        <v>363</v>
      </c>
      <c r="D1223" s="10" t="s">
        <v>364</v>
      </c>
      <c r="E1223" s="11" t="str">
        <f>+HYPERLINK("http://trademark.i-assist.jp/data/china/image_1902th/79040363.pdf", "79040363")</f>
        <v>79040363</v>
      </c>
      <c r="F1223" s="10" t="s">
        <v>3733</v>
      </c>
      <c r="G1223" s="10" t="s">
        <v>3734</v>
      </c>
      <c r="H1223" s="10" t="s">
        <v>3735</v>
      </c>
      <c r="I1223" s="10" t="s">
        <v>257</v>
      </c>
    </row>
    <row r="1224" spans="1:9" x14ac:dyDescent="0.15">
      <c r="A1224" s="9">
        <v>1223</v>
      </c>
      <c r="B1224" s="10" t="s">
        <v>9</v>
      </c>
      <c r="C1224" s="10" t="s">
        <v>363</v>
      </c>
      <c r="D1224" s="10" t="s">
        <v>364</v>
      </c>
      <c r="E1224" s="11" t="str">
        <f>+HYPERLINK("http://trademark.i-assist.jp/data/china/image_1902th/79041208.pdf", "79041208")</f>
        <v>79041208</v>
      </c>
      <c r="F1224" s="10" t="s">
        <v>3736</v>
      </c>
      <c r="G1224" s="10" t="s">
        <v>3737</v>
      </c>
      <c r="H1224" s="10" t="s">
        <v>3738</v>
      </c>
      <c r="I1224" s="10" t="s">
        <v>257</v>
      </c>
    </row>
    <row r="1225" spans="1:9" x14ac:dyDescent="0.15">
      <c r="A1225" s="9">
        <v>1224</v>
      </c>
      <c r="B1225" s="10" t="s">
        <v>9</v>
      </c>
      <c r="C1225" s="10" t="s">
        <v>363</v>
      </c>
      <c r="D1225" s="10" t="s">
        <v>364</v>
      </c>
      <c r="E1225" s="11" t="str">
        <f>+HYPERLINK("http://trademark.i-assist.jp/data/china/image_1902th/79041779.pdf", "79041779")</f>
        <v>79041779</v>
      </c>
      <c r="F1225" s="10" t="s">
        <v>3739</v>
      </c>
      <c r="G1225" s="10" t="s">
        <v>3740</v>
      </c>
      <c r="H1225" s="10" t="s">
        <v>3741</v>
      </c>
      <c r="I1225" s="10" t="s">
        <v>257</v>
      </c>
    </row>
    <row r="1226" spans="1:9" x14ac:dyDescent="0.15">
      <c r="A1226" s="9">
        <v>1225</v>
      </c>
      <c r="B1226" s="10" t="s">
        <v>9</v>
      </c>
      <c r="C1226" s="10" t="s">
        <v>363</v>
      </c>
      <c r="D1226" s="10" t="s">
        <v>364</v>
      </c>
      <c r="E1226" s="11" t="str">
        <f>+HYPERLINK("http://trademark.i-assist.jp/data/china/image_1902th/79041813.pdf", "79041813")</f>
        <v>79041813</v>
      </c>
      <c r="F1226" s="10" t="s">
        <v>12</v>
      </c>
      <c r="G1226" s="10" t="s">
        <v>3742</v>
      </c>
      <c r="H1226" s="10" t="s">
        <v>3743</v>
      </c>
      <c r="I1226" s="10" t="s">
        <v>257</v>
      </c>
    </row>
    <row r="1227" spans="1:9" x14ac:dyDescent="0.15">
      <c r="A1227" s="9">
        <v>1226</v>
      </c>
      <c r="B1227" s="10" t="s">
        <v>9</v>
      </c>
      <c r="C1227" s="10" t="s">
        <v>363</v>
      </c>
      <c r="D1227" s="10" t="s">
        <v>364</v>
      </c>
      <c r="E1227" s="11" t="str">
        <f>+HYPERLINK("http://trademark.i-assist.jp/data/china/image_1902th/79041926.pdf", "79041926")</f>
        <v>79041926</v>
      </c>
      <c r="F1227" s="10" t="s">
        <v>3744</v>
      </c>
      <c r="G1227" s="10" t="s">
        <v>3745</v>
      </c>
      <c r="H1227" s="10" t="s">
        <v>3746</v>
      </c>
      <c r="I1227" s="10" t="s">
        <v>257</v>
      </c>
    </row>
    <row r="1228" spans="1:9" x14ac:dyDescent="0.15">
      <c r="A1228" s="9">
        <v>1227</v>
      </c>
      <c r="B1228" s="10" t="s">
        <v>9</v>
      </c>
      <c r="C1228" s="10" t="s">
        <v>363</v>
      </c>
      <c r="D1228" s="10" t="s">
        <v>364</v>
      </c>
      <c r="E1228" s="11" t="str">
        <f>+HYPERLINK("http://trademark.i-assist.jp/data/china/image_1902th/79042063.pdf", "79042063")</f>
        <v>79042063</v>
      </c>
      <c r="F1228" s="10" t="s">
        <v>3747</v>
      </c>
      <c r="G1228" s="10" t="s">
        <v>3748</v>
      </c>
      <c r="H1228" s="10" t="s">
        <v>3749</v>
      </c>
      <c r="I1228" s="10" t="s">
        <v>257</v>
      </c>
    </row>
    <row r="1229" spans="1:9" x14ac:dyDescent="0.15">
      <c r="A1229" s="9">
        <v>1228</v>
      </c>
      <c r="B1229" s="10" t="s">
        <v>9</v>
      </c>
      <c r="C1229" s="10" t="s">
        <v>363</v>
      </c>
      <c r="D1229" s="10" t="s">
        <v>364</v>
      </c>
      <c r="E1229" s="11" t="str">
        <f>+HYPERLINK("http://trademark.i-assist.jp/data/china/image_1902th/79042271.pdf", "79042271")</f>
        <v>79042271</v>
      </c>
      <c r="F1229" s="10" t="s">
        <v>3750</v>
      </c>
      <c r="G1229" s="10" t="s">
        <v>3751</v>
      </c>
      <c r="H1229" s="10" t="s">
        <v>3752</v>
      </c>
      <c r="I1229" s="10" t="s">
        <v>257</v>
      </c>
    </row>
    <row r="1230" spans="1:9" x14ac:dyDescent="0.15">
      <c r="A1230" s="9">
        <v>1229</v>
      </c>
      <c r="B1230" s="10" t="s">
        <v>9</v>
      </c>
      <c r="C1230" s="10" t="s">
        <v>363</v>
      </c>
      <c r="D1230" s="10" t="s">
        <v>364</v>
      </c>
      <c r="E1230" s="11" t="str">
        <f>+HYPERLINK("http://trademark.i-assist.jp/data/china/image_1902th/79042431.pdf", "79042431")</f>
        <v>79042431</v>
      </c>
      <c r="F1230" s="10" t="s">
        <v>3753</v>
      </c>
      <c r="G1230" s="10" t="s">
        <v>3754</v>
      </c>
      <c r="H1230" s="10" t="s">
        <v>3755</v>
      </c>
      <c r="I1230" s="10" t="s">
        <v>257</v>
      </c>
    </row>
    <row r="1231" spans="1:9" x14ac:dyDescent="0.15">
      <c r="A1231" s="9">
        <v>1230</v>
      </c>
      <c r="B1231" s="10" t="s">
        <v>9</v>
      </c>
      <c r="C1231" s="10" t="s">
        <v>363</v>
      </c>
      <c r="D1231" s="10" t="s">
        <v>364</v>
      </c>
      <c r="E1231" s="11" t="str">
        <f>+HYPERLINK("http://trademark.i-assist.jp/data/china/image_1902th/79042493.pdf", "79042493")</f>
        <v>79042493</v>
      </c>
      <c r="F1231" s="10" t="s">
        <v>3756</v>
      </c>
      <c r="G1231" s="10" t="s">
        <v>3757</v>
      </c>
      <c r="H1231" s="10" t="s">
        <v>3758</v>
      </c>
      <c r="I1231" s="10" t="s">
        <v>257</v>
      </c>
    </row>
    <row r="1232" spans="1:9" x14ac:dyDescent="0.15">
      <c r="A1232" s="9">
        <v>1231</v>
      </c>
      <c r="B1232" s="10" t="s">
        <v>9</v>
      </c>
      <c r="C1232" s="10" t="s">
        <v>363</v>
      </c>
      <c r="D1232" s="10" t="s">
        <v>364</v>
      </c>
      <c r="E1232" s="11" t="str">
        <f>+HYPERLINK("http://trademark.i-assist.jp/data/china/image_1902th/79042604.pdf", "79042604")</f>
        <v>79042604</v>
      </c>
      <c r="F1232" s="10" t="s">
        <v>3759</v>
      </c>
      <c r="G1232" s="10" t="s">
        <v>80</v>
      </c>
      <c r="H1232" s="10" t="s">
        <v>3760</v>
      </c>
      <c r="I1232" s="10" t="s">
        <v>257</v>
      </c>
    </row>
    <row r="1233" spans="1:9" x14ac:dyDescent="0.15">
      <c r="A1233" s="9">
        <v>1232</v>
      </c>
      <c r="B1233" s="10" t="s">
        <v>9</v>
      </c>
      <c r="C1233" s="10" t="s">
        <v>363</v>
      </c>
      <c r="D1233" s="10" t="s">
        <v>364</v>
      </c>
      <c r="E1233" s="11" t="str">
        <f>+HYPERLINK("http://trademark.i-assist.jp/data/china/image_1902th/79043158.pdf", "79043158")</f>
        <v>79043158</v>
      </c>
      <c r="F1233" s="10" t="s">
        <v>3761</v>
      </c>
      <c r="G1233" s="10" t="s">
        <v>3762</v>
      </c>
      <c r="H1233" s="10" t="s">
        <v>3763</v>
      </c>
      <c r="I1233" s="10" t="s">
        <v>257</v>
      </c>
    </row>
    <row r="1234" spans="1:9" x14ac:dyDescent="0.15">
      <c r="A1234" s="9">
        <v>1233</v>
      </c>
      <c r="B1234" s="10" t="s">
        <v>9</v>
      </c>
      <c r="C1234" s="10" t="s">
        <v>363</v>
      </c>
      <c r="D1234" s="10" t="s">
        <v>364</v>
      </c>
      <c r="E1234" s="11" t="str">
        <f>+HYPERLINK("http://trademark.i-assist.jp/data/china/image_1902th/79043350.pdf", "79043350")</f>
        <v>79043350</v>
      </c>
      <c r="F1234" s="10" t="s">
        <v>3764</v>
      </c>
      <c r="G1234" s="10" t="s">
        <v>3765</v>
      </c>
      <c r="H1234" s="10" t="s">
        <v>3766</v>
      </c>
      <c r="I1234" s="10" t="s">
        <v>257</v>
      </c>
    </row>
    <row r="1235" spans="1:9" x14ac:dyDescent="0.15">
      <c r="A1235" s="9">
        <v>1234</v>
      </c>
      <c r="B1235" s="10" t="s">
        <v>9</v>
      </c>
      <c r="C1235" s="10" t="s">
        <v>363</v>
      </c>
      <c r="D1235" s="10" t="s">
        <v>364</v>
      </c>
      <c r="E1235" s="11" t="str">
        <f>+HYPERLINK("http://trademark.i-assist.jp/data/china/image_1902th/79043378.pdf", "79043378")</f>
        <v>79043378</v>
      </c>
      <c r="F1235" s="10" t="s">
        <v>3767</v>
      </c>
      <c r="G1235" s="10" t="s">
        <v>3768</v>
      </c>
      <c r="H1235" s="10" t="s">
        <v>3769</v>
      </c>
      <c r="I1235" s="10" t="s">
        <v>257</v>
      </c>
    </row>
    <row r="1236" spans="1:9" x14ac:dyDescent="0.15">
      <c r="A1236" s="9">
        <v>1235</v>
      </c>
      <c r="B1236" s="10" t="s">
        <v>9</v>
      </c>
      <c r="C1236" s="10" t="s">
        <v>363</v>
      </c>
      <c r="D1236" s="10" t="s">
        <v>364</v>
      </c>
      <c r="E1236" s="11" t="str">
        <f>+HYPERLINK("http://trademark.i-assist.jp/data/china/image_1902th/79043599.pdf", "79043599")</f>
        <v>79043599</v>
      </c>
      <c r="F1236" s="10" t="s">
        <v>3770</v>
      </c>
      <c r="G1236" s="10" t="s">
        <v>3771</v>
      </c>
      <c r="H1236" s="10" t="s">
        <v>3772</v>
      </c>
      <c r="I1236" s="10" t="s">
        <v>257</v>
      </c>
    </row>
    <row r="1237" spans="1:9" x14ac:dyDescent="0.15">
      <c r="A1237" s="9">
        <v>1236</v>
      </c>
      <c r="B1237" s="10" t="s">
        <v>9</v>
      </c>
      <c r="C1237" s="10" t="s">
        <v>363</v>
      </c>
      <c r="D1237" s="10" t="s">
        <v>364</v>
      </c>
      <c r="E1237" s="11" t="str">
        <f>+HYPERLINK("http://trademark.i-assist.jp/data/china/image_1902th/79043622.pdf", "79043622")</f>
        <v>79043622</v>
      </c>
      <c r="F1237" s="10" t="s">
        <v>12</v>
      </c>
      <c r="G1237" s="10" t="s">
        <v>3773</v>
      </c>
      <c r="H1237" s="10" t="s">
        <v>3774</v>
      </c>
      <c r="I1237" s="10" t="s">
        <v>257</v>
      </c>
    </row>
    <row r="1238" spans="1:9" x14ac:dyDescent="0.15">
      <c r="A1238" s="9">
        <v>1237</v>
      </c>
      <c r="B1238" s="10" t="s">
        <v>9</v>
      </c>
      <c r="C1238" s="10" t="s">
        <v>363</v>
      </c>
      <c r="D1238" s="10" t="s">
        <v>364</v>
      </c>
      <c r="E1238" s="11" t="str">
        <f>+HYPERLINK("http://trademark.i-assist.jp/data/china/image_1902th/79043757.pdf", "79043757")</f>
        <v>79043757</v>
      </c>
      <c r="F1238" s="10" t="s">
        <v>3775</v>
      </c>
      <c r="G1238" s="10" t="s">
        <v>3776</v>
      </c>
      <c r="H1238" s="10" t="s">
        <v>3777</v>
      </c>
      <c r="I1238" s="10" t="s">
        <v>257</v>
      </c>
    </row>
    <row r="1239" spans="1:9" x14ac:dyDescent="0.15">
      <c r="A1239" s="9">
        <v>1238</v>
      </c>
      <c r="B1239" s="10" t="s">
        <v>9</v>
      </c>
      <c r="C1239" s="10" t="s">
        <v>363</v>
      </c>
      <c r="D1239" s="10" t="s">
        <v>364</v>
      </c>
      <c r="E1239" s="11" t="str">
        <f>+HYPERLINK("http://trademark.i-assist.jp/data/china/image_1902th/79043820.pdf", "79043820")</f>
        <v>79043820</v>
      </c>
      <c r="F1239" s="10" t="s">
        <v>12</v>
      </c>
      <c r="G1239" s="10" t="s">
        <v>3778</v>
      </c>
      <c r="H1239" s="10" t="s">
        <v>3779</v>
      </c>
      <c r="I1239" s="10" t="s">
        <v>257</v>
      </c>
    </row>
    <row r="1240" spans="1:9" x14ac:dyDescent="0.15">
      <c r="A1240" s="9">
        <v>1239</v>
      </c>
      <c r="B1240" s="10" t="s">
        <v>9</v>
      </c>
      <c r="C1240" s="10" t="s">
        <v>363</v>
      </c>
      <c r="D1240" s="10" t="s">
        <v>364</v>
      </c>
      <c r="E1240" s="11" t="str">
        <f>+HYPERLINK("http://trademark.i-assist.jp/data/china/image_1902th/79043856.pdf", "79043856")</f>
        <v>79043856</v>
      </c>
      <c r="F1240" s="10" t="s">
        <v>3780</v>
      </c>
      <c r="G1240" s="10" t="s">
        <v>3781</v>
      </c>
      <c r="H1240" s="10" t="s">
        <v>3782</v>
      </c>
      <c r="I1240" s="10" t="s">
        <v>257</v>
      </c>
    </row>
    <row r="1241" spans="1:9" x14ac:dyDescent="0.15">
      <c r="A1241" s="9">
        <v>1240</v>
      </c>
      <c r="B1241" s="10" t="s">
        <v>9</v>
      </c>
      <c r="C1241" s="10" t="s">
        <v>363</v>
      </c>
      <c r="D1241" s="10" t="s">
        <v>364</v>
      </c>
      <c r="E1241" s="11" t="str">
        <f>+HYPERLINK("http://trademark.i-assist.jp/data/china/image_1902th/79043996.pdf", "79043996")</f>
        <v>79043996</v>
      </c>
      <c r="F1241" s="10" t="s">
        <v>3783</v>
      </c>
      <c r="G1241" s="10" t="s">
        <v>271</v>
      </c>
      <c r="H1241" s="10" t="s">
        <v>3784</v>
      </c>
      <c r="I1241" s="10" t="s">
        <v>257</v>
      </c>
    </row>
    <row r="1242" spans="1:9" x14ac:dyDescent="0.15">
      <c r="A1242" s="9">
        <v>1241</v>
      </c>
      <c r="B1242" s="10" t="s">
        <v>9</v>
      </c>
      <c r="C1242" s="10" t="s">
        <v>363</v>
      </c>
      <c r="D1242" s="10" t="s">
        <v>364</v>
      </c>
      <c r="E1242" s="11" t="str">
        <f>+HYPERLINK("http://trademark.i-assist.jp/data/china/image_1902th/79044222.pdf", "79044222")</f>
        <v>79044222</v>
      </c>
      <c r="F1242" s="10" t="s">
        <v>3785</v>
      </c>
      <c r="G1242" s="10" t="s">
        <v>3786</v>
      </c>
      <c r="H1242" s="10" t="s">
        <v>3787</v>
      </c>
      <c r="I1242" s="10" t="s">
        <v>257</v>
      </c>
    </row>
    <row r="1243" spans="1:9" x14ac:dyDescent="0.15">
      <c r="A1243" s="9">
        <v>1242</v>
      </c>
      <c r="B1243" s="10" t="s">
        <v>9</v>
      </c>
      <c r="C1243" s="10" t="s">
        <v>363</v>
      </c>
      <c r="D1243" s="10" t="s">
        <v>364</v>
      </c>
      <c r="E1243" s="11" t="str">
        <f>+HYPERLINK("http://trademark.i-assist.jp/data/china/image_1902th/79044431.pdf", "79044431")</f>
        <v>79044431</v>
      </c>
      <c r="F1243" s="10" t="s">
        <v>3788</v>
      </c>
      <c r="G1243" s="10" t="s">
        <v>3789</v>
      </c>
      <c r="H1243" s="10" t="s">
        <v>3790</v>
      </c>
      <c r="I1243" s="10" t="s">
        <v>257</v>
      </c>
    </row>
    <row r="1244" spans="1:9" x14ac:dyDescent="0.15">
      <c r="A1244" s="9">
        <v>1243</v>
      </c>
      <c r="B1244" s="10" t="s">
        <v>9</v>
      </c>
      <c r="C1244" s="10" t="s">
        <v>363</v>
      </c>
      <c r="D1244" s="10" t="s">
        <v>364</v>
      </c>
      <c r="E1244" s="11" t="str">
        <f>+HYPERLINK("http://trademark.i-assist.jp/data/china/image_1902th/79044438.pdf", "79044438")</f>
        <v>79044438</v>
      </c>
      <c r="F1244" s="10" t="s">
        <v>3791</v>
      </c>
      <c r="G1244" s="10" t="s">
        <v>3792</v>
      </c>
      <c r="H1244" s="10" t="s">
        <v>3793</v>
      </c>
      <c r="I1244" s="10" t="s">
        <v>257</v>
      </c>
    </row>
    <row r="1245" spans="1:9" x14ac:dyDescent="0.15">
      <c r="A1245" s="9">
        <v>1244</v>
      </c>
      <c r="B1245" s="10" t="s">
        <v>9</v>
      </c>
      <c r="C1245" s="10" t="s">
        <v>363</v>
      </c>
      <c r="D1245" s="10" t="s">
        <v>364</v>
      </c>
      <c r="E1245" s="11" t="str">
        <f>+HYPERLINK("http://trademark.i-assist.jp/data/china/image_1902th/79044588.pdf", "79044588")</f>
        <v>79044588</v>
      </c>
      <c r="F1245" s="10" t="s">
        <v>3794</v>
      </c>
      <c r="G1245" s="10" t="s">
        <v>3795</v>
      </c>
      <c r="H1245" s="10" t="s">
        <v>3796</v>
      </c>
      <c r="I1245" s="10" t="s">
        <v>257</v>
      </c>
    </row>
    <row r="1246" spans="1:9" x14ac:dyDescent="0.15">
      <c r="A1246" s="9">
        <v>1245</v>
      </c>
      <c r="B1246" s="10" t="s">
        <v>9</v>
      </c>
      <c r="C1246" s="10" t="s">
        <v>363</v>
      </c>
      <c r="D1246" s="10" t="s">
        <v>364</v>
      </c>
      <c r="E1246" s="11" t="str">
        <f>+HYPERLINK("http://trademark.i-assist.jp/data/china/image_1902th/79045434.pdf", "79045434")</f>
        <v>79045434</v>
      </c>
      <c r="F1246" s="10" t="s">
        <v>3797</v>
      </c>
      <c r="G1246" s="10" t="s">
        <v>3798</v>
      </c>
      <c r="H1246" s="10" t="s">
        <v>3799</v>
      </c>
      <c r="I1246" s="10" t="s">
        <v>257</v>
      </c>
    </row>
    <row r="1247" spans="1:9" x14ac:dyDescent="0.15">
      <c r="A1247" s="9">
        <v>1246</v>
      </c>
      <c r="B1247" s="10" t="s">
        <v>9</v>
      </c>
      <c r="C1247" s="10" t="s">
        <v>363</v>
      </c>
      <c r="D1247" s="10" t="s">
        <v>364</v>
      </c>
      <c r="E1247" s="11" t="str">
        <f>+HYPERLINK("http://trademark.i-assist.jp/data/china/image_1902th/79045543.pdf", "79045543")</f>
        <v>79045543</v>
      </c>
      <c r="F1247" s="10" t="s">
        <v>3800</v>
      </c>
      <c r="G1247" s="10" t="s">
        <v>3801</v>
      </c>
      <c r="H1247" s="10" t="s">
        <v>3802</v>
      </c>
      <c r="I1247" s="10" t="s">
        <v>257</v>
      </c>
    </row>
    <row r="1248" spans="1:9" x14ac:dyDescent="0.15">
      <c r="A1248" s="9">
        <v>1247</v>
      </c>
      <c r="B1248" s="10" t="s">
        <v>9</v>
      </c>
      <c r="C1248" s="10" t="s">
        <v>363</v>
      </c>
      <c r="D1248" s="10" t="s">
        <v>364</v>
      </c>
      <c r="E1248" s="11" t="str">
        <f>+HYPERLINK("http://trademark.i-assist.jp/data/china/image_1902th/79045561.pdf", "79045561")</f>
        <v>79045561</v>
      </c>
      <c r="F1248" s="10" t="s">
        <v>12</v>
      </c>
      <c r="G1248" s="10" t="s">
        <v>3773</v>
      </c>
      <c r="H1248" s="10" t="s">
        <v>3803</v>
      </c>
      <c r="I1248" s="10" t="s">
        <v>257</v>
      </c>
    </row>
    <row r="1249" spans="1:9" x14ac:dyDescent="0.15">
      <c r="A1249" s="9">
        <v>1248</v>
      </c>
      <c r="B1249" s="10" t="s">
        <v>9</v>
      </c>
      <c r="C1249" s="10" t="s">
        <v>363</v>
      </c>
      <c r="D1249" s="10" t="s">
        <v>364</v>
      </c>
      <c r="E1249" s="11" t="str">
        <f>+HYPERLINK("http://trademark.i-assist.jp/data/china/image_1902th/79045700.pdf", "79045700")</f>
        <v>79045700</v>
      </c>
      <c r="F1249" s="10" t="s">
        <v>12</v>
      </c>
      <c r="G1249" s="10" t="s">
        <v>3804</v>
      </c>
      <c r="H1249" s="10" t="s">
        <v>3805</v>
      </c>
      <c r="I1249" s="10" t="s">
        <v>257</v>
      </c>
    </row>
    <row r="1250" spans="1:9" x14ac:dyDescent="0.15">
      <c r="A1250" s="9">
        <v>1249</v>
      </c>
      <c r="B1250" s="10" t="s">
        <v>9</v>
      </c>
      <c r="C1250" s="10" t="s">
        <v>363</v>
      </c>
      <c r="D1250" s="10" t="s">
        <v>364</v>
      </c>
      <c r="E1250" s="11" t="str">
        <f>+HYPERLINK("http://trademark.i-assist.jp/data/china/image_1902th/79045874.pdf", "79045874")</f>
        <v>79045874</v>
      </c>
      <c r="F1250" s="10" t="s">
        <v>3806</v>
      </c>
      <c r="G1250" s="10" t="s">
        <v>3807</v>
      </c>
      <c r="H1250" s="10" t="s">
        <v>3808</v>
      </c>
      <c r="I1250" s="10" t="s">
        <v>257</v>
      </c>
    </row>
    <row r="1251" spans="1:9" x14ac:dyDescent="0.15">
      <c r="A1251" s="9">
        <v>1250</v>
      </c>
      <c r="B1251" s="10" t="s">
        <v>9</v>
      </c>
      <c r="C1251" s="10" t="s">
        <v>363</v>
      </c>
      <c r="D1251" s="10" t="s">
        <v>364</v>
      </c>
      <c r="E1251" s="11" t="str">
        <f>+HYPERLINK("http://trademark.i-assist.jp/data/china/image_1902th/79046047.pdf", "79046047")</f>
        <v>79046047</v>
      </c>
      <c r="F1251" s="10" t="s">
        <v>3809</v>
      </c>
      <c r="G1251" s="10" t="s">
        <v>3810</v>
      </c>
      <c r="H1251" s="10" t="s">
        <v>3811</v>
      </c>
      <c r="I1251" s="10" t="s">
        <v>257</v>
      </c>
    </row>
    <row r="1252" spans="1:9" x14ac:dyDescent="0.15">
      <c r="A1252" s="9">
        <v>1251</v>
      </c>
      <c r="B1252" s="10" t="s">
        <v>9</v>
      </c>
      <c r="C1252" s="10" t="s">
        <v>363</v>
      </c>
      <c r="D1252" s="10" t="s">
        <v>364</v>
      </c>
      <c r="E1252" s="11" t="str">
        <f>+HYPERLINK("http://trademark.i-assist.jp/data/china/image_1902th/79046232.pdf", "79046232")</f>
        <v>79046232</v>
      </c>
      <c r="F1252" s="10" t="s">
        <v>3812</v>
      </c>
      <c r="G1252" s="10" t="s">
        <v>3813</v>
      </c>
      <c r="H1252" s="10" t="s">
        <v>3814</v>
      </c>
      <c r="I1252" s="10" t="s">
        <v>257</v>
      </c>
    </row>
    <row r="1253" spans="1:9" x14ac:dyDescent="0.15">
      <c r="A1253" s="9">
        <v>1252</v>
      </c>
      <c r="B1253" s="10" t="s">
        <v>9</v>
      </c>
      <c r="C1253" s="10" t="s">
        <v>363</v>
      </c>
      <c r="D1253" s="10" t="s">
        <v>364</v>
      </c>
      <c r="E1253" s="11" t="str">
        <f>+HYPERLINK("http://trademark.i-assist.jp/data/china/image_1902th/79046415.pdf", "79046415")</f>
        <v>79046415</v>
      </c>
      <c r="F1253" s="10" t="s">
        <v>3815</v>
      </c>
      <c r="G1253" s="10" t="s">
        <v>266</v>
      </c>
      <c r="H1253" s="10" t="s">
        <v>3816</v>
      </c>
      <c r="I1253" s="10" t="s">
        <v>257</v>
      </c>
    </row>
    <row r="1254" spans="1:9" x14ac:dyDescent="0.15">
      <c r="A1254" s="9">
        <v>1253</v>
      </c>
      <c r="B1254" s="10" t="s">
        <v>9</v>
      </c>
      <c r="C1254" s="10" t="s">
        <v>363</v>
      </c>
      <c r="D1254" s="10" t="s">
        <v>364</v>
      </c>
      <c r="E1254" s="11" t="str">
        <f>+HYPERLINK("http://trademark.i-assist.jp/data/china/image_1902th/79046522.pdf", "79046522")</f>
        <v>79046522</v>
      </c>
      <c r="F1254" s="10" t="s">
        <v>3817</v>
      </c>
      <c r="G1254" s="10" t="s">
        <v>3818</v>
      </c>
      <c r="H1254" s="10" t="s">
        <v>3819</v>
      </c>
      <c r="I1254" s="10" t="s">
        <v>257</v>
      </c>
    </row>
    <row r="1255" spans="1:9" x14ac:dyDescent="0.15">
      <c r="A1255" s="9">
        <v>1254</v>
      </c>
      <c r="B1255" s="10" t="s">
        <v>9</v>
      </c>
      <c r="C1255" s="10" t="s">
        <v>363</v>
      </c>
      <c r="D1255" s="10" t="s">
        <v>364</v>
      </c>
      <c r="E1255" s="11" t="str">
        <f>+HYPERLINK("http://trademark.i-assist.jp/data/china/image_1902th/79047378.pdf", "79047378")</f>
        <v>79047378</v>
      </c>
      <c r="F1255" s="10" t="s">
        <v>3820</v>
      </c>
      <c r="G1255" s="10" t="s">
        <v>250</v>
      </c>
      <c r="H1255" s="10" t="s">
        <v>3821</v>
      </c>
      <c r="I1255" s="10" t="s">
        <v>257</v>
      </c>
    </row>
    <row r="1256" spans="1:9" x14ac:dyDescent="0.15">
      <c r="A1256" s="9">
        <v>1255</v>
      </c>
      <c r="B1256" s="10" t="s">
        <v>9</v>
      </c>
      <c r="C1256" s="10" t="s">
        <v>363</v>
      </c>
      <c r="D1256" s="10" t="s">
        <v>364</v>
      </c>
      <c r="E1256" s="11" t="str">
        <f>+HYPERLINK("http://trademark.i-assist.jp/data/china/image_1902th/79047415.pdf", "79047415")</f>
        <v>79047415</v>
      </c>
      <c r="F1256" s="10" t="s">
        <v>3822</v>
      </c>
      <c r="G1256" s="10" t="s">
        <v>3751</v>
      </c>
      <c r="H1256" s="10" t="s">
        <v>3823</v>
      </c>
      <c r="I1256" s="10" t="s">
        <v>257</v>
      </c>
    </row>
    <row r="1257" spans="1:9" x14ac:dyDescent="0.15">
      <c r="A1257" s="9">
        <v>1256</v>
      </c>
      <c r="B1257" s="10" t="s">
        <v>9</v>
      </c>
      <c r="C1257" s="10" t="s">
        <v>363</v>
      </c>
      <c r="D1257" s="10" t="s">
        <v>364</v>
      </c>
      <c r="E1257" s="11" t="str">
        <f>+HYPERLINK("http://trademark.i-assist.jp/data/china/image_1902th/79047487.pdf", "79047487")</f>
        <v>79047487</v>
      </c>
      <c r="F1257" s="10" t="s">
        <v>3824</v>
      </c>
      <c r="G1257" s="10" t="s">
        <v>3825</v>
      </c>
      <c r="H1257" s="10" t="s">
        <v>3826</v>
      </c>
      <c r="I1257" s="10" t="s">
        <v>257</v>
      </c>
    </row>
    <row r="1258" spans="1:9" x14ac:dyDescent="0.15">
      <c r="A1258" s="9">
        <v>1257</v>
      </c>
      <c r="B1258" s="10" t="s">
        <v>9</v>
      </c>
      <c r="C1258" s="10" t="s">
        <v>363</v>
      </c>
      <c r="D1258" s="10" t="s">
        <v>364</v>
      </c>
      <c r="E1258" s="11" t="str">
        <f>+HYPERLINK("http://trademark.i-assist.jp/data/china/image_1902th/79047511.pdf", "79047511")</f>
        <v>79047511</v>
      </c>
      <c r="F1258" s="10" t="s">
        <v>3827</v>
      </c>
      <c r="G1258" s="10" t="s">
        <v>3807</v>
      </c>
      <c r="H1258" s="10" t="s">
        <v>3828</v>
      </c>
      <c r="I1258" s="10" t="s">
        <v>257</v>
      </c>
    </row>
    <row r="1259" spans="1:9" x14ac:dyDescent="0.15">
      <c r="A1259" s="9">
        <v>1258</v>
      </c>
      <c r="B1259" s="10" t="s">
        <v>9</v>
      </c>
      <c r="C1259" s="10" t="s">
        <v>363</v>
      </c>
      <c r="D1259" s="10" t="s">
        <v>364</v>
      </c>
      <c r="E1259" s="11" t="str">
        <f>+HYPERLINK("http://trademark.i-assist.jp/data/china/image_1902th/79047649.pdf", "79047649")</f>
        <v>79047649</v>
      </c>
      <c r="F1259" s="10" t="s">
        <v>3829</v>
      </c>
      <c r="G1259" s="10" t="s">
        <v>3830</v>
      </c>
      <c r="H1259" s="10" t="s">
        <v>3831</v>
      </c>
      <c r="I1259" s="10" t="s">
        <v>257</v>
      </c>
    </row>
    <row r="1260" spans="1:9" x14ac:dyDescent="0.15">
      <c r="A1260" s="9">
        <v>1259</v>
      </c>
      <c r="B1260" s="10" t="s">
        <v>9</v>
      </c>
      <c r="C1260" s="10" t="s">
        <v>363</v>
      </c>
      <c r="D1260" s="10" t="s">
        <v>364</v>
      </c>
      <c r="E1260" s="11" t="str">
        <f>+HYPERLINK("http://trademark.i-assist.jp/data/china/image_1902th/79048060.pdf", "79048060")</f>
        <v>79048060</v>
      </c>
      <c r="F1260" s="10" t="s">
        <v>3488</v>
      </c>
      <c r="G1260" s="10" t="s">
        <v>254</v>
      </c>
      <c r="H1260" s="10" t="s">
        <v>3832</v>
      </c>
      <c r="I1260" s="10" t="s">
        <v>257</v>
      </c>
    </row>
    <row r="1261" spans="1:9" x14ac:dyDescent="0.15">
      <c r="A1261" s="9">
        <v>1260</v>
      </c>
      <c r="B1261" s="10" t="s">
        <v>9</v>
      </c>
      <c r="C1261" s="10" t="s">
        <v>363</v>
      </c>
      <c r="D1261" s="10" t="s">
        <v>364</v>
      </c>
      <c r="E1261" s="11" t="str">
        <f>+HYPERLINK("http://trademark.i-assist.jp/data/china/image_1902th/79048545.pdf", "79048545")</f>
        <v>79048545</v>
      </c>
      <c r="F1261" s="10" t="s">
        <v>3833</v>
      </c>
      <c r="G1261" s="10" t="s">
        <v>3834</v>
      </c>
      <c r="H1261" s="10" t="s">
        <v>3835</v>
      </c>
      <c r="I1261" s="10" t="s">
        <v>257</v>
      </c>
    </row>
    <row r="1262" spans="1:9" x14ac:dyDescent="0.15">
      <c r="A1262" s="9">
        <v>1261</v>
      </c>
      <c r="B1262" s="10" t="s">
        <v>9</v>
      </c>
      <c r="C1262" s="10" t="s">
        <v>363</v>
      </c>
      <c r="D1262" s="10" t="s">
        <v>364</v>
      </c>
      <c r="E1262" s="11" t="str">
        <f>+HYPERLINK("http://trademark.i-assist.jp/data/china/image_1902th/79048778.pdf", "79048778")</f>
        <v>79048778</v>
      </c>
      <c r="F1262" s="10" t="s">
        <v>3836</v>
      </c>
      <c r="G1262" s="10" t="s">
        <v>3837</v>
      </c>
      <c r="H1262" s="10" t="s">
        <v>3838</v>
      </c>
      <c r="I1262" s="10" t="s">
        <v>257</v>
      </c>
    </row>
    <row r="1263" spans="1:9" x14ac:dyDescent="0.15">
      <c r="A1263" s="9">
        <v>1262</v>
      </c>
      <c r="B1263" s="10" t="s">
        <v>9</v>
      </c>
      <c r="C1263" s="10" t="s">
        <v>363</v>
      </c>
      <c r="D1263" s="10" t="s">
        <v>364</v>
      </c>
      <c r="E1263" s="11" t="str">
        <f>+HYPERLINK("http://trademark.i-assist.jp/data/china/image_1902th/79048794.pdf", "79048794")</f>
        <v>79048794</v>
      </c>
      <c r="F1263" s="10" t="s">
        <v>3839</v>
      </c>
      <c r="G1263" s="10" t="s">
        <v>3840</v>
      </c>
      <c r="H1263" s="10" t="s">
        <v>3841</v>
      </c>
      <c r="I1263" s="10" t="s">
        <v>257</v>
      </c>
    </row>
    <row r="1264" spans="1:9" x14ac:dyDescent="0.15">
      <c r="A1264" s="9">
        <v>1263</v>
      </c>
      <c r="B1264" s="10" t="s">
        <v>9</v>
      </c>
      <c r="C1264" s="10" t="s">
        <v>363</v>
      </c>
      <c r="D1264" s="10" t="s">
        <v>364</v>
      </c>
      <c r="E1264" s="11" t="str">
        <f>+HYPERLINK("http://trademark.i-assist.jp/data/china/image_1902th/79049175.pdf", "79049175")</f>
        <v>79049175</v>
      </c>
      <c r="F1264" s="10" t="s">
        <v>3842</v>
      </c>
      <c r="G1264" s="10" t="s">
        <v>3843</v>
      </c>
      <c r="H1264" s="10" t="s">
        <v>3844</v>
      </c>
      <c r="I1264" s="10" t="s">
        <v>257</v>
      </c>
    </row>
    <row r="1265" spans="1:9" x14ac:dyDescent="0.15">
      <c r="A1265" s="9">
        <v>1264</v>
      </c>
      <c r="B1265" s="10" t="s">
        <v>9</v>
      </c>
      <c r="C1265" s="10" t="s">
        <v>363</v>
      </c>
      <c r="D1265" s="10" t="s">
        <v>364</v>
      </c>
      <c r="E1265" s="11" t="str">
        <f>+HYPERLINK("http://trademark.i-assist.jp/data/china/image_1902th/79049221.pdf", "79049221")</f>
        <v>79049221</v>
      </c>
      <c r="F1265" s="10" t="s">
        <v>3845</v>
      </c>
      <c r="G1265" s="10" t="s">
        <v>3846</v>
      </c>
      <c r="H1265" s="10" t="s">
        <v>3847</v>
      </c>
      <c r="I1265" s="10" t="s">
        <v>257</v>
      </c>
    </row>
    <row r="1266" spans="1:9" x14ac:dyDescent="0.15">
      <c r="A1266" s="9">
        <v>1265</v>
      </c>
      <c r="B1266" s="10" t="s">
        <v>9</v>
      </c>
      <c r="C1266" s="10" t="s">
        <v>363</v>
      </c>
      <c r="D1266" s="10" t="s">
        <v>364</v>
      </c>
      <c r="E1266" s="11" t="str">
        <f>+HYPERLINK("http://trademark.i-assist.jp/data/china/image_1902th/79049250.pdf", "79049250")</f>
        <v>79049250</v>
      </c>
      <c r="F1266" s="10" t="s">
        <v>3848</v>
      </c>
      <c r="G1266" s="10" t="s">
        <v>3849</v>
      </c>
      <c r="H1266" s="10" t="s">
        <v>3850</v>
      </c>
      <c r="I1266" s="10" t="s">
        <v>257</v>
      </c>
    </row>
    <row r="1267" spans="1:9" x14ac:dyDescent="0.15">
      <c r="A1267" s="9">
        <v>1266</v>
      </c>
      <c r="B1267" s="10" t="s">
        <v>9</v>
      </c>
      <c r="C1267" s="10" t="s">
        <v>363</v>
      </c>
      <c r="D1267" s="10" t="s">
        <v>364</v>
      </c>
      <c r="E1267" s="11" t="str">
        <f>+HYPERLINK("http://trademark.i-assist.jp/data/china/image_1902th/79049368.pdf", "79049368")</f>
        <v>79049368</v>
      </c>
      <c r="F1267" s="10" t="s">
        <v>3851</v>
      </c>
      <c r="G1267" s="10" t="s">
        <v>271</v>
      </c>
      <c r="H1267" s="10" t="s">
        <v>3852</v>
      </c>
      <c r="I1267" s="10" t="s">
        <v>257</v>
      </c>
    </row>
    <row r="1268" spans="1:9" x14ac:dyDescent="0.15">
      <c r="A1268" s="9">
        <v>1267</v>
      </c>
      <c r="B1268" s="10" t="s">
        <v>9</v>
      </c>
      <c r="C1268" s="10" t="s">
        <v>363</v>
      </c>
      <c r="D1268" s="10" t="s">
        <v>364</v>
      </c>
      <c r="E1268" s="11" t="str">
        <f>+HYPERLINK("http://trademark.i-assist.jp/data/china/image_1902th/79049388.pdf", "79049388")</f>
        <v>79049388</v>
      </c>
      <c r="F1268" s="10" t="s">
        <v>3853</v>
      </c>
      <c r="G1268" s="10" t="s">
        <v>3854</v>
      </c>
      <c r="H1268" s="10" t="s">
        <v>3855</v>
      </c>
      <c r="I1268" s="10" t="s">
        <v>257</v>
      </c>
    </row>
    <row r="1269" spans="1:9" x14ac:dyDescent="0.15">
      <c r="A1269" s="9">
        <v>1268</v>
      </c>
      <c r="B1269" s="10" t="s">
        <v>9</v>
      </c>
      <c r="C1269" s="10" t="s">
        <v>363</v>
      </c>
      <c r="D1269" s="10" t="s">
        <v>364</v>
      </c>
      <c r="E1269" s="11" t="str">
        <f>+HYPERLINK("http://trademark.i-assist.jp/data/china/image_1902th/79049501.pdf", "79049501")</f>
        <v>79049501</v>
      </c>
      <c r="F1269" s="10" t="s">
        <v>3856</v>
      </c>
      <c r="G1269" s="10" t="s">
        <v>3857</v>
      </c>
      <c r="H1269" s="10" t="s">
        <v>3858</v>
      </c>
      <c r="I1269" s="10" t="s">
        <v>257</v>
      </c>
    </row>
    <row r="1270" spans="1:9" x14ac:dyDescent="0.15">
      <c r="A1270" s="9">
        <v>1269</v>
      </c>
      <c r="B1270" s="10" t="s">
        <v>9</v>
      </c>
      <c r="C1270" s="10" t="s">
        <v>363</v>
      </c>
      <c r="D1270" s="10" t="s">
        <v>364</v>
      </c>
      <c r="E1270" s="11" t="str">
        <f>+HYPERLINK("http://trademark.i-assist.jp/data/china/image_1902th/79050469.pdf", "79050469")</f>
        <v>79050469</v>
      </c>
      <c r="F1270" s="10" t="s">
        <v>3859</v>
      </c>
      <c r="G1270" s="10" t="s">
        <v>224</v>
      </c>
      <c r="H1270" s="10" t="s">
        <v>3860</v>
      </c>
      <c r="I1270" s="10" t="s">
        <v>257</v>
      </c>
    </row>
    <row r="1271" spans="1:9" x14ac:dyDescent="0.15">
      <c r="A1271" s="9">
        <v>1270</v>
      </c>
      <c r="B1271" s="10" t="s">
        <v>9</v>
      </c>
      <c r="C1271" s="10" t="s">
        <v>363</v>
      </c>
      <c r="D1271" s="10" t="s">
        <v>364</v>
      </c>
      <c r="E1271" s="11" t="str">
        <f>+HYPERLINK("http://trademark.i-assist.jp/data/china/image_1902th/79050910.pdf", "79050910")</f>
        <v>79050910</v>
      </c>
      <c r="F1271" s="10" t="s">
        <v>3861</v>
      </c>
      <c r="G1271" s="10" t="s">
        <v>3734</v>
      </c>
      <c r="H1271" s="10" t="s">
        <v>3862</v>
      </c>
      <c r="I1271" s="10" t="s">
        <v>257</v>
      </c>
    </row>
    <row r="1272" spans="1:9" x14ac:dyDescent="0.15">
      <c r="A1272" s="9">
        <v>1271</v>
      </c>
      <c r="B1272" s="10" t="s">
        <v>9</v>
      </c>
      <c r="C1272" s="10" t="s">
        <v>363</v>
      </c>
      <c r="D1272" s="10" t="s">
        <v>364</v>
      </c>
      <c r="E1272" s="11" t="str">
        <f>+HYPERLINK("http://trademark.i-assist.jp/data/china/image_1902th/79051163.pdf", "79051163")</f>
        <v>79051163</v>
      </c>
      <c r="F1272" s="10" t="s">
        <v>3863</v>
      </c>
      <c r="G1272" s="10" t="s">
        <v>3864</v>
      </c>
      <c r="H1272" s="10" t="s">
        <v>3865</v>
      </c>
      <c r="I1272" s="10" t="s">
        <v>257</v>
      </c>
    </row>
    <row r="1273" spans="1:9" x14ac:dyDescent="0.15">
      <c r="A1273" s="9">
        <v>1272</v>
      </c>
      <c r="B1273" s="10" t="s">
        <v>9</v>
      </c>
      <c r="C1273" s="10" t="s">
        <v>363</v>
      </c>
      <c r="D1273" s="10" t="s">
        <v>364</v>
      </c>
      <c r="E1273" s="11" t="str">
        <f>+HYPERLINK("http://trademark.i-assist.jp/data/china/image_1902th/79051218.pdf", "79051218")</f>
        <v>79051218</v>
      </c>
      <c r="F1273" s="10" t="s">
        <v>3866</v>
      </c>
      <c r="G1273" s="10" t="s">
        <v>3867</v>
      </c>
      <c r="H1273" s="10" t="s">
        <v>3868</v>
      </c>
      <c r="I1273" s="10" t="s">
        <v>257</v>
      </c>
    </row>
    <row r="1274" spans="1:9" x14ac:dyDescent="0.15">
      <c r="A1274" s="9">
        <v>1273</v>
      </c>
      <c r="B1274" s="10" t="s">
        <v>9</v>
      </c>
      <c r="C1274" s="10" t="s">
        <v>363</v>
      </c>
      <c r="D1274" s="10" t="s">
        <v>364</v>
      </c>
      <c r="E1274" s="11" t="str">
        <f>+HYPERLINK("http://trademark.i-assist.jp/data/china/image_1902th/79051402.pdf", "79051402")</f>
        <v>79051402</v>
      </c>
      <c r="F1274" s="10" t="s">
        <v>3869</v>
      </c>
      <c r="G1274" s="10" t="s">
        <v>3870</v>
      </c>
      <c r="H1274" s="10" t="s">
        <v>3871</v>
      </c>
      <c r="I1274" s="10" t="s">
        <v>257</v>
      </c>
    </row>
    <row r="1275" spans="1:9" x14ac:dyDescent="0.15">
      <c r="A1275" s="9">
        <v>1274</v>
      </c>
      <c r="B1275" s="10" t="s">
        <v>9</v>
      </c>
      <c r="C1275" s="10" t="s">
        <v>363</v>
      </c>
      <c r="D1275" s="10" t="s">
        <v>364</v>
      </c>
      <c r="E1275" s="11" t="str">
        <f>+HYPERLINK("http://trademark.i-assist.jp/data/china/image_1902th/79051582.pdf", "79051582")</f>
        <v>79051582</v>
      </c>
      <c r="F1275" s="10" t="s">
        <v>3872</v>
      </c>
      <c r="G1275" s="10" t="s">
        <v>3873</v>
      </c>
      <c r="H1275" s="10" t="s">
        <v>3874</v>
      </c>
      <c r="I1275" s="10" t="s">
        <v>257</v>
      </c>
    </row>
    <row r="1276" spans="1:9" x14ac:dyDescent="0.15">
      <c r="A1276" s="9">
        <v>1275</v>
      </c>
      <c r="B1276" s="10" t="s">
        <v>9</v>
      </c>
      <c r="C1276" s="10" t="s">
        <v>363</v>
      </c>
      <c r="D1276" s="10" t="s">
        <v>364</v>
      </c>
      <c r="E1276" s="11" t="str">
        <f>+HYPERLINK("http://trademark.i-assist.jp/data/china/image_1902th/79051596.pdf", "79051596")</f>
        <v>79051596</v>
      </c>
      <c r="F1276" s="10" t="s">
        <v>3875</v>
      </c>
      <c r="G1276" s="10" t="s">
        <v>3876</v>
      </c>
      <c r="H1276" s="10" t="s">
        <v>3877</v>
      </c>
      <c r="I1276" s="10" t="s">
        <v>257</v>
      </c>
    </row>
    <row r="1277" spans="1:9" x14ac:dyDescent="0.15">
      <c r="A1277" s="9">
        <v>1276</v>
      </c>
      <c r="B1277" s="10" t="s">
        <v>9</v>
      </c>
      <c r="C1277" s="10" t="s">
        <v>363</v>
      </c>
      <c r="D1277" s="10" t="s">
        <v>364</v>
      </c>
      <c r="E1277" s="11" t="str">
        <f>+HYPERLINK("http://trademark.i-assist.jp/data/china/image_1902th/79052864.pdf", "79052864")</f>
        <v>79052864</v>
      </c>
      <c r="F1277" s="10" t="s">
        <v>3878</v>
      </c>
      <c r="G1277" s="10" t="s">
        <v>3879</v>
      </c>
      <c r="H1277" s="10" t="s">
        <v>3880</v>
      </c>
      <c r="I1277" s="10" t="s">
        <v>257</v>
      </c>
    </row>
    <row r="1278" spans="1:9" x14ac:dyDescent="0.15">
      <c r="A1278" s="9">
        <v>1277</v>
      </c>
      <c r="B1278" s="10" t="s">
        <v>9</v>
      </c>
      <c r="C1278" s="10" t="s">
        <v>363</v>
      </c>
      <c r="D1278" s="10" t="s">
        <v>364</v>
      </c>
      <c r="E1278" s="11" t="str">
        <f>+HYPERLINK("http://trademark.i-assist.jp/data/china/image_1902th/79053146.pdf", "79053146")</f>
        <v>79053146</v>
      </c>
      <c r="F1278" s="10" t="s">
        <v>3881</v>
      </c>
      <c r="G1278" s="10" t="s">
        <v>3882</v>
      </c>
      <c r="H1278" s="10" t="s">
        <v>3883</v>
      </c>
      <c r="I1278" s="10" t="s">
        <v>257</v>
      </c>
    </row>
    <row r="1279" spans="1:9" x14ac:dyDescent="0.15">
      <c r="A1279" s="9">
        <v>1278</v>
      </c>
      <c r="B1279" s="10" t="s">
        <v>9</v>
      </c>
      <c r="C1279" s="10" t="s">
        <v>363</v>
      </c>
      <c r="D1279" s="10" t="s">
        <v>364</v>
      </c>
      <c r="E1279" s="11" t="str">
        <f>+HYPERLINK("http://trademark.i-assist.jp/data/china/image_1902th/79053256.pdf", "79053256")</f>
        <v>79053256</v>
      </c>
      <c r="F1279" s="10" t="s">
        <v>3884</v>
      </c>
      <c r="G1279" s="10" t="s">
        <v>3885</v>
      </c>
      <c r="H1279" s="10" t="s">
        <v>3886</v>
      </c>
      <c r="I1279" s="10" t="s">
        <v>257</v>
      </c>
    </row>
    <row r="1280" spans="1:9" x14ac:dyDescent="0.15">
      <c r="A1280" s="9">
        <v>1279</v>
      </c>
      <c r="B1280" s="10" t="s">
        <v>9</v>
      </c>
      <c r="C1280" s="10" t="s">
        <v>363</v>
      </c>
      <c r="D1280" s="10" t="s">
        <v>364</v>
      </c>
      <c r="E1280" s="11" t="str">
        <f>+HYPERLINK("http://trademark.i-assist.jp/data/china/image_1902th/79053296.pdf", "79053296")</f>
        <v>79053296</v>
      </c>
      <c r="F1280" s="10" t="s">
        <v>3887</v>
      </c>
      <c r="G1280" s="10" t="s">
        <v>3888</v>
      </c>
      <c r="H1280" s="10" t="s">
        <v>3889</v>
      </c>
      <c r="I1280" s="10" t="s">
        <v>257</v>
      </c>
    </row>
    <row r="1281" spans="1:9" x14ac:dyDescent="0.15">
      <c r="A1281" s="9">
        <v>1280</v>
      </c>
      <c r="B1281" s="10" t="s">
        <v>9</v>
      </c>
      <c r="C1281" s="10" t="s">
        <v>363</v>
      </c>
      <c r="D1281" s="10" t="s">
        <v>364</v>
      </c>
      <c r="E1281" s="11" t="str">
        <f>+HYPERLINK("http://trademark.i-assist.jp/data/china/image_1902th/79053547.pdf", "79053547")</f>
        <v>79053547</v>
      </c>
      <c r="F1281" s="10" t="s">
        <v>3890</v>
      </c>
      <c r="G1281" s="10" t="s">
        <v>3837</v>
      </c>
      <c r="H1281" s="10" t="s">
        <v>3891</v>
      </c>
      <c r="I1281" s="10" t="s">
        <v>257</v>
      </c>
    </row>
    <row r="1282" spans="1:9" x14ac:dyDescent="0.15">
      <c r="A1282" s="9">
        <v>1281</v>
      </c>
      <c r="B1282" s="10" t="s">
        <v>9</v>
      </c>
      <c r="C1282" s="10" t="s">
        <v>363</v>
      </c>
      <c r="D1282" s="10" t="s">
        <v>364</v>
      </c>
      <c r="E1282" s="11" t="str">
        <f>+HYPERLINK("http://trademark.i-assist.jp/data/china/image_1902th/79053563.pdf", "79053563")</f>
        <v>79053563</v>
      </c>
      <c r="F1282" s="10" t="s">
        <v>3892</v>
      </c>
      <c r="G1282" s="10" t="s">
        <v>3893</v>
      </c>
      <c r="H1282" s="10" t="s">
        <v>3894</v>
      </c>
      <c r="I1282" s="10" t="s">
        <v>257</v>
      </c>
    </row>
    <row r="1283" spans="1:9" x14ac:dyDescent="0.15">
      <c r="A1283" s="9">
        <v>1282</v>
      </c>
      <c r="B1283" s="10" t="s">
        <v>9</v>
      </c>
      <c r="C1283" s="10" t="s">
        <v>363</v>
      </c>
      <c r="D1283" s="10" t="s">
        <v>364</v>
      </c>
      <c r="E1283" s="11" t="str">
        <f>+HYPERLINK("http://trademark.i-assist.jp/data/china/image_1902th/79053752.pdf", "79053752")</f>
        <v>79053752</v>
      </c>
      <c r="F1283" s="10" t="s">
        <v>3895</v>
      </c>
      <c r="G1283" s="10" t="s">
        <v>264</v>
      </c>
      <c r="H1283" s="10" t="s">
        <v>3896</v>
      </c>
      <c r="I1283" s="10" t="s">
        <v>257</v>
      </c>
    </row>
    <row r="1284" spans="1:9" x14ac:dyDescent="0.15">
      <c r="A1284" s="9">
        <v>1283</v>
      </c>
      <c r="B1284" s="10" t="s">
        <v>9</v>
      </c>
      <c r="C1284" s="10" t="s">
        <v>363</v>
      </c>
      <c r="D1284" s="10" t="s">
        <v>364</v>
      </c>
      <c r="E1284" s="11" t="str">
        <f>+HYPERLINK("http://trademark.i-assist.jp/data/china/image_1902th/79053803.pdf", "79053803")</f>
        <v>79053803</v>
      </c>
      <c r="F1284" s="10" t="s">
        <v>3897</v>
      </c>
      <c r="G1284" s="10" t="s">
        <v>3807</v>
      </c>
      <c r="H1284" s="10" t="s">
        <v>3898</v>
      </c>
      <c r="I1284" s="10" t="s">
        <v>257</v>
      </c>
    </row>
    <row r="1285" spans="1:9" x14ac:dyDescent="0.15">
      <c r="A1285" s="9">
        <v>1284</v>
      </c>
      <c r="B1285" s="10" t="s">
        <v>9</v>
      </c>
      <c r="C1285" s="10" t="s">
        <v>363</v>
      </c>
      <c r="D1285" s="10" t="s">
        <v>364</v>
      </c>
      <c r="E1285" s="11" t="str">
        <f>+HYPERLINK("http://trademark.i-assist.jp/data/china/image_1902th/79054109.pdf", "79054109")</f>
        <v>79054109</v>
      </c>
      <c r="F1285" s="10" t="s">
        <v>3899</v>
      </c>
      <c r="G1285" s="10" t="s">
        <v>3900</v>
      </c>
      <c r="H1285" s="10" t="s">
        <v>3901</v>
      </c>
      <c r="I1285" s="10" t="s">
        <v>257</v>
      </c>
    </row>
    <row r="1286" spans="1:9" x14ac:dyDescent="0.15">
      <c r="A1286" s="9">
        <v>1285</v>
      </c>
      <c r="B1286" s="10" t="s">
        <v>9</v>
      </c>
      <c r="C1286" s="10" t="s">
        <v>363</v>
      </c>
      <c r="D1286" s="10" t="s">
        <v>364</v>
      </c>
      <c r="E1286" s="11" t="str">
        <f>+HYPERLINK("http://trademark.i-assist.jp/data/china/image_1902th/79054286.pdf", "79054286")</f>
        <v>79054286</v>
      </c>
      <c r="F1286" s="10" t="s">
        <v>3902</v>
      </c>
      <c r="G1286" s="10" t="s">
        <v>269</v>
      </c>
      <c r="H1286" s="10" t="s">
        <v>3903</v>
      </c>
      <c r="I1286" s="10" t="s">
        <v>257</v>
      </c>
    </row>
    <row r="1287" spans="1:9" x14ac:dyDescent="0.15">
      <c r="A1287" s="9">
        <v>1286</v>
      </c>
      <c r="B1287" s="10" t="s">
        <v>9</v>
      </c>
      <c r="C1287" s="10" t="s">
        <v>363</v>
      </c>
      <c r="D1287" s="10" t="s">
        <v>364</v>
      </c>
      <c r="E1287" s="11" t="str">
        <f>+HYPERLINK("http://trademark.i-assist.jp/data/china/image_1902th/79054296.pdf", "79054296")</f>
        <v>79054296</v>
      </c>
      <c r="F1287" s="10" t="s">
        <v>3904</v>
      </c>
      <c r="G1287" s="10" t="s">
        <v>3905</v>
      </c>
      <c r="H1287" s="10" t="s">
        <v>3906</v>
      </c>
      <c r="I1287" s="10" t="s">
        <v>257</v>
      </c>
    </row>
    <row r="1288" spans="1:9" x14ac:dyDescent="0.15">
      <c r="A1288" s="9">
        <v>1287</v>
      </c>
      <c r="B1288" s="10" t="s">
        <v>9</v>
      </c>
      <c r="C1288" s="10" t="s">
        <v>363</v>
      </c>
      <c r="D1288" s="10" t="s">
        <v>364</v>
      </c>
      <c r="E1288" s="11" t="str">
        <f>+HYPERLINK("http://trademark.i-assist.jp/data/china/image_1902th/79054921.pdf", "79054921")</f>
        <v>79054921</v>
      </c>
      <c r="F1288" s="10" t="s">
        <v>3907</v>
      </c>
      <c r="G1288" s="10" t="s">
        <v>3908</v>
      </c>
      <c r="H1288" s="10" t="s">
        <v>3909</v>
      </c>
      <c r="I1288" s="10" t="s">
        <v>257</v>
      </c>
    </row>
    <row r="1289" spans="1:9" x14ac:dyDescent="0.15">
      <c r="A1289" s="9">
        <v>1288</v>
      </c>
      <c r="B1289" s="10" t="s">
        <v>9</v>
      </c>
      <c r="C1289" s="10" t="s">
        <v>363</v>
      </c>
      <c r="D1289" s="10" t="s">
        <v>364</v>
      </c>
      <c r="E1289" s="11" t="str">
        <f>+HYPERLINK("http://trademark.i-assist.jp/data/china/image_1902th/79055091.pdf", "79055091")</f>
        <v>79055091</v>
      </c>
      <c r="F1289" s="10" t="s">
        <v>3910</v>
      </c>
      <c r="G1289" s="10" t="s">
        <v>72</v>
      </c>
      <c r="H1289" s="10" t="s">
        <v>3911</v>
      </c>
      <c r="I1289" s="10" t="s">
        <v>257</v>
      </c>
    </row>
    <row r="1290" spans="1:9" x14ac:dyDescent="0.15">
      <c r="A1290" s="9">
        <v>1289</v>
      </c>
      <c r="B1290" s="10" t="s">
        <v>9</v>
      </c>
      <c r="C1290" s="10" t="s">
        <v>363</v>
      </c>
      <c r="D1290" s="10" t="s">
        <v>364</v>
      </c>
      <c r="E1290" s="11" t="str">
        <f>+HYPERLINK("http://trademark.i-assist.jp/data/china/image_1902th/79055327.pdf", "79055327")</f>
        <v>79055327</v>
      </c>
      <c r="F1290" s="10" t="s">
        <v>3912</v>
      </c>
      <c r="G1290" s="10" t="s">
        <v>3913</v>
      </c>
      <c r="H1290" s="10" t="s">
        <v>3914</v>
      </c>
      <c r="I1290" s="10" t="s">
        <v>257</v>
      </c>
    </row>
    <row r="1291" spans="1:9" x14ac:dyDescent="0.15">
      <c r="A1291" s="9">
        <v>1290</v>
      </c>
      <c r="B1291" s="10" t="s">
        <v>9</v>
      </c>
      <c r="C1291" s="10" t="s">
        <v>363</v>
      </c>
      <c r="D1291" s="10" t="s">
        <v>364</v>
      </c>
      <c r="E1291" s="11" t="str">
        <f>+HYPERLINK("http://trademark.i-assist.jp/data/china/image_1902th/79055382.pdf", "79055382")</f>
        <v>79055382</v>
      </c>
      <c r="F1291" s="10" t="s">
        <v>3915</v>
      </c>
      <c r="G1291" s="10" t="s">
        <v>3916</v>
      </c>
      <c r="H1291" s="10" t="s">
        <v>3917</v>
      </c>
      <c r="I1291" s="10" t="s">
        <v>257</v>
      </c>
    </row>
    <row r="1292" spans="1:9" x14ac:dyDescent="0.15">
      <c r="A1292" s="9">
        <v>1291</v>
      </c>
      <c r="B1292" s="10" t="s">
        <v>9</v>
      </c>
      <c r="C1292" s="10" t="s">
        <v>363</v>
      </c>
      <c r="D1292" s="10" t="s">
        <v>364</v>
      </c>
      <c r="E1292" s="11" t="str">
        <f>+HYPERLINK("http://trademark.i-assist.jp/data/china/image_1902th/79055570.pdf", "79055570")</f>
        <v>79055570</v>
      </c>
      <c r="F1292" s="10" t="s">
        <v>3918</v>
      </c>
      <c r="G1292" s="10" t="s">
        <v>354</v>
      </c>
      <c r="H1292" s="10" t="s">
        <v>3919</v>
      </c>
      <c r="I1292" s="10" t="s">
        <v>257</v>
      </c>
    </row>
    <row r="1293" spans="1:9" x14ac:dyDescent="0.15">
      <c r="A1293" s="9">
        <v>1292</v>
      </c>
      <c r="B1293" s="10" t="s">
        <v>9</v>
      </c>
      <c r="C1293" s="10" t="s">
        <v>363</v>
      </c>
      <c r="D1293" s="10" t="s">
        <v>364</v>
      </c>
      <c r="E1293" s="11" t="str">
        <f>+HYPERLINK("http://trademark.i-assist.jp/data/china/image_1902th/79055625.pdf", "79055625")</f>
        <v>79055625</v>
      </c>
      <c r="F1293" s="10" t="s">
        <v>3920</v>
      </c>
      <c r="G1293" s="10" t="s">
        <v>264</v>
      </c>
      <c r="H1293" s="10" t="s">
        <v>3921</v>
      </c>
      <c r="I1293" s="10" t="s">
        <v>257</v>
      </c>
    </row>
    <row r="1294" spans="1:9" x14ac:dyDescent="0.15">
      <c r="A1294" s="9">
        <v>1293</v>
      </c>
      <c r="B1294" s="10" t="s">
        <v>9</v>
      </c>
      <c r="C1294" s="10" t="s">
        <v>363</v>
      </c>
      <c r="D1294" s="10" t="s">
        <v>364</v>
      </c>
      <c r="E1294" s="11" t="str">
        <f>+HYPERLINK("http://trademark.i-assist.jp/data/china/image_1902th/79055924.pdf", "79055924")</f>
        <v>79055924</v>
      </c>
      <c r="F1294" s="10" t="s">
        <v>3922</v>
      </c>
      <c r="G1294" s="10" t="s">
        <v>354</v>
      </c>
      <c r="H1294" s="10" t="s">
        <v>3923</v>
      </c>
      <c r="I1294" s="10" t="s">
        <v>257</v>
      </c>
    </row>
    <row r="1295" spans="1:9" x14ac:dyDescent="0.15">
      <c r="A1295" s="9">
        <v>1294</v>
      </c>
      <c r="B1295" s="10" t="s">
        <v>9</v>
      </c>
      <c r="C1295" s="10" t="s">
        <v>363</v>
      </c>
      <c r="D1295" s="10" t="s">
        <v>364</v>
      </c>
      <c r="E1295" s="11" t="str">
        <f>+HYPERLINK("http://trademark.i-assist.jp/data/china/image_1902th/79056072.pdf", "79056072")</f>
        <v>79056072</v>
      </c>
      <c r="F1295" s="10" t="s">
        <v>3924</v>
      </c>
      <c r="G1295" s="10" t="s">
        <v>3925</v>
      </c>
      <c r="H1295" s="10" t="s">
        <v>3926</v>
      </c>
      <c r="I1295" s="10" t="s">
        <v>257</v>
      </c>
    </row>
    <row r="1296" spans="1:9" x14ac:dyDescent="0.15">
      <c r="A1296" s="9">
        <v>1295</v>
      </c>
      <c r="B1296" s="10" t="s">
        <v>9</v>
      </c>
      <c r="C1296" s="10" t="s">
        <v>363</v>
      </c>
      <c r="D1296" s="10" t="s">
        <v>364</v>
      </c>
      <c r="E1296" s="11" t="str">
        <f>+HYPERLINK("http://trademark.i-assist.jp/data/china/image_1902th/79056099.pdf", "79056099")</f>
        <v>79056099</v>
      </c>
      <c r="F1296" s="10" t="s">
        <v>3927</v>
      </c>
      <c r="G1296" s="10" t="s">
        <v>3432</v>
      </c>
      <c r="H1296" s="10" t="s">
        <v>3928</v>
      </c>
      <c r="I1296" s="10" t="s">
        <v>257</v>
      </c>
    </row>
    <row r="1297" spans="1:9" x14ac:dyDescent="0.15">
      <c r="A1297" s="9">
        <v>1296</v>
      </c>
      <c r="B1297" s="10" t="s">
        <v>9</v>
      </c>
      <c r="C1297" s="10" t="s">
        <v>363</v>
      </c>
      <c r="D1297" s="10" t="s">
        <v>364</v>
      </c>
      <c r="E1297" s="11" t="str">
        <f>+HYPERLINK("http://trademark.i-assist.jp/data/china/image_1902th/79056101.pdf", "79056101")</f>
        <v>79056101</v>
      </c>
      <c r="F1297" s="10" t="s">
        <v>3929</v>
      </c>
      <c r="G1297" s="10" t="s">
        <v>3930</v>
      </c>
      <c r="H1297" s="10" t="s">
        <v>3931</v>
      </c>
      <c r="I1297" s="10" t="s">
        <v>257</v>
      </c>
    </row>
    <row r="1298" spans="1:9" x14ac:dyDescent="0.15">
      <c r="A1298" s="9">
        <v>1297</v>
      </c>
      <c r="B1298" s="10" t="s">
        <v>9</v>
      </c>
      <c r="C1298" s="10" t="s">
        <v>363</v>
      </c>
      <c r="D1298" s="10" t="s">
        <v>364</v>
      </c>
      <c r="E1298" s="11" t="str">
        <f>+HYPERLINK("http://trademark.i-assist.jp/data/china/image_1902th/79056444.pdf", "79056444")</f>
        <v>79056444</v>
      </c>
      <c r="F1298" s="10" t="s">
        <v>113</v>
      </c>
      <c r="G1298" s="10" t="s">
        <v>114</v>
      </c>
      <c r="H1298" s="10" t="s">
        <v>3932</v>
      </c>
      <c r="I1298" s="10" t="s">
        <v>257</v>
      </c>
    </row>
    <row r="1299" spans="1:9" x14ac:dyDescent="0.15">
      <c r="A1299" s="9">
        <v>1298</v>
      </c>
      <c r="B1299" s="10" t="s">
        <v>9</v>
      </c>
      <c r="C1299" s="10" t="s">
        <v>363</v>
      </c>
      <c r="D1299" s="10" t="s">
        <v>364</v>
      </c>
      <c r="E1299" s="11" t="str">
        <f>+HYPERLINK("http://trademark.i-assist.jp/data/china/image_1902th/79056738.pdf", "79056738")</f>
        <v>79056738</v>
      </c>
      <c r="F1299" s="10" t="s">
        <v>3933</v>
      </c>
      <c r="G1299" s="10" t="s">
        <v>3934</v>
      </c>
      <c r="H1299" s="10" t="s">
        <v>3935</v>
      </c>
      <c r="I1299" s="10" t="s">
        <v>257</v>
      </c>
    </row>
    <row r="1300" spans="1:9" x14ac:dyDescent="0.15">
      <c r="A1300" s="9">
        <v>1299</v>
      </c>
      <c r="B1300" s="10" t="s">
        <v>9</v>
      </c>
      <c r="C1300" s="10" t="s">
        <v>363</v>
      </c>
      <c r="D1300" s="10" t="s">
        <v>364</v>
      </c>
      <c r="E1300" s="11" t="str">
        <f>+HYPERLINK("http://trademark.i-assist.jp/data/china/image_1902th/79056832.pdf", "79056832")</f>
        <v>79056832</v>
      </c>
      <c r="F1300" s="10" t="s">
        <v>3936</v>
      </c>
      <c r="G1300" s="10" t="s">
        <v>192</v>
      </c>
      <c r="H1300" s="10" t="s">
        <v>3937</v>
      </c>
      <c r="I1300" s="10" t="s">
        <v>257</v>
      </c>
    </row>
    <row r="1301" spans="1:9" x14ac:dyDescent="0.15">
      <c r="A1301" s="9">
        <v>1300</v>
      </c>
      <c r="B1301" s="10" t="s">
        <v>9</v>
      </c>
      <c r="C1301" s="10" t="s">
        <v>363</v>
      </c>
      <c r="D1301" s="10" t="s">
        <v>364</v>
      </c>
      <c r="E1301" s="11" t="str">
        <f>+HYPERLINK("http://trademark.i-assist.jp/data/china/image_1902th/79056944.pdf", "79056944")</f>
        <v>79056944</v>
      </c>
      <c r="F1301" s="10" t="s">
        <v>3938</v>
      </c>
      <c r="G1301" s="10" t="s">
        <v>3939</v>
      </c>
      <c r="H1301" s="10" t="s">
        <v>3940</v>
      </c>
      <c r="I1301" s="10" t="s">
        <v>257</v>
      </c>
    </row>
    <row r="1302" spans="1:9" x14ac:dyDescent="0.15">
      <c r="A1302" s="9">
        <v>1301</v>
      </c>
      <c r="B1302" s="10" t="s">
        <v>9</v>
      </c>
      <c r="C1302" s="10" t="s">
        <v>363</v>
      </c>
      <c r="D1302" s="10" t="s">
        <v>364</v>
      </c>
      <c r="E1302" s="11" t="str">
        <f>+HYPERLINK("http://trademark.i-assist.jp/data/china/image_1902th/79056966.pdf", "79056966")</f>
        <v>79056966</v>
      </c>
      <c r="F1302" s="10" t="s">
        <v>3941</v>
      </c>
      <c r="G1302" s="10" t="s">
        <v>3942</v>
      </c>
      <c r="H1302" s="10" t="s">
        <v>3943</v>
      </c>
      <c r="I1302" s="10" t="s">
        <v>257</v>
      </c>
    </row>
    <row r="1303" spans="1:9" x14ac:dyDescent="0.15">
      <c r="A1303" s="9">
        <v>1302</v>
      </c>
      <c r="B1303" s="10" t="s">
        <v>9</v>
      </c>
      <c r="C1303" s="10" t="s">
        <v>363</v>
      </c>
      <c r="D1303" s="10" t="s">
        <v>364</v>
      </c>
      <c r="E1303" s="11" t="str">
        <f>+HYPERLINK("http://trademark.i-assist.jp/data/china/image_1902th/79057017.pdf", "79057017")</f>
        <v>79057017</v>
      </c>
      <c r="F1303" s="10" t="s">
        <v>12</v>
      </c>
      <c r="G1303" s="10" t="s">
        <v>3944</v>
      </c>
      <c r="H1303" s="10" t="s">
        <v>3945</v>
      </c>
      <c r="I1303" s="10" t="s">
        <v>257</v>
      </c>
    </row>
    <row r="1304" spans="1:9" x14ac:dyDescent="0.15">
      <c r="A1304" s="9">
        <v>1303</v>
      </c>
      <c r="B1304" s="10" t="s">
        <v>9</v>
      </c>
      <c r="C1304" s="10" t="s">
        <v>363</v>
      </c>
      <c r="D1304" s="10" t="s">
        <v>364</v>
      </c>
      <c r="E1304" s="11" t="str">
        <f>+HYPERLINK("http://trademark.i-assist.jp/data/china/image_1902th/79057050.pdf", "79057050")</f>
        <v>79057050</v>
      </c>
      <c r="F1304" s="10" t="s">
        <v>12</v>
      </c>
      <c r="G1304" s="10" t="s">
        <v>3946</v>
      </c>
      <c r="H1304" s="10" t="s">
        <v>3947</v>
      </c>
      <c r="I1304" s="10" t="s">
        <v>257</v>
      </c>
    </row>
    <row r="1305" spans="1:9" x14ac:dyDescent="0.15">
      <c r="A1305" s="9">
        <v>1304</v>
      </c>
      <c r="B1305" s="10" t="s">
        <v>9</v>
      </c>
      <c r="C1305" s="10" t="s">
        <v>363</v>
      </c>
      <c r="D1305" s="10" t="s">
        <v>364</v>
      </c>
      <c r="E1305" s="11" t="str">
        <f>+HYPERLINK("http://trademark.i-assist.jp/data/china/image_1902th/79057208.pdf", "79057208")</f>
        <v>79057208</v>
      </c>
      <c r="F1305" s="10" t="s">
        <v>3948</v>
      </c>
      <c r="G1305" s="10" t="s">
        <v>3949</v>
      </c>
      <c r="H1305" s="10" t="s">
        <v>3950</v>
      </c>
      <c r="I1305" s="10" t="s">
        <v>257</v>
      </c>
    </row>
    <row r="1306" spans="1:9" x14ac:dyDescent="0.15">
      <c r="A1306" s="9">
        <v>1305</v>
      </c>
      <c r="B1306" s="10" t="s">
        <v>9</v>
      </c>
      <c r="C1306" s="10" t="s">
        <v>363</v>
      </c>
      <c r="D1306" s="10" t="s">
        <v>364</v>
      </c>
      <c r="E1306" s="11" t="str">
        <f>+HYPERLINK("http://trademark.i-assist.jp/data/china/image_1902th/79057446.pdf", "79057446")</f>
        <v>79057446</v>
      </c>
      <c r="F1306" s="10" t="s">
        <v>3951</v>
      </c>
      <c r="G1306" s="10" t="s">
        <v>3952</v>
      </c>
      <c r="H1306" s="10" t="s">
        <v>3953</v>
      </c>
      <c r="I1306" s="10" t="s">
        <v>257</v>
      </c>
    </row>
    <row r="1307" spans="1:9" x14ac:dyDescent="0.15">
      <c r="A1307" s="9">
        <v>1306</v>
      </c>
      <c r="B1307" s="10" t="s">
        <v>9</v>
      </c>
      <c r="C1307" s="10" t="s">
        <v>363</v>
      </c>
      <c r="D1307" s="10" t="s">
        <v>364</v>
      </c>
      <c r="E1307" s="11" t="str">
        <f>+HYPERLINK("http://trademark.i-assist.jp/data/china/image_1902th/79058415.pdf", "79058415")</f>
        <v>79058415</v>
      </c>
      <c r="F1307" s="10" t="s">
        <v>12</v>
      </c>
      <c r="G1307" s="10" t="s">
        <v>3954</v>
      </c>
      <c r="H1307" s="10" t="s">
        <v>3955</v>
      </c>
      <c r="I1307" s="10" t="s">
        <v>257</v>
      </c>
    </row>
    <row r="1308" spans="1:9" x14ac:dyDescent="0.15">
      <c r="A1308" s="9">
        <v>1307</v>
      </c>
      <c r="B1308" s="10" t="s">
        <v>9</v>
      </c>
      <c r="C1308" s="10" t="s">
        <v>363</v>
      </c>
      <c r="D1308" s="10" t="s">
        <v>364</v>
      </c>
      <c r="E1308" s="11" t="str">
        <f>+HYPERLINK("http://trademark.i-assist.jp/data/china/image_1902th/79058561.pdf", "79058561")</f>
        <v>79058561</v>
      </c>
      <c r="F1308" s="10" t="s">
        <v>3956</v>
      </c>
      <c r="G1308" s="10" t="s">
        <v>3957</v>
      </c>
      <c r="H1308" s="10" t="s">
        <v>3958</v>
      </c>
      <c r="I1308" s="10" t="s">
        <v>257</v>
      </c>
    </row>
    <row r="1309" spans="1:9" x14ac:dyDescent="0.15">
      <c r="A1309" s="9">
        <v>1308</v>
      </c>
      <c r="B1309" s="10" t="s">
        <v>9</v>
      </c>
      <c r="C1309" s="10" t="s">
        <v>363</v>
      </c>
      <c r="D1309" s="10" t="s">
        <v>364</v>
      </c>
      <c r="E1309" s="11" t="str">
        <f>+HYPERLINK("http://trademark.i-assist.jp/data/china/image_1902th/79058610.pdf", "79058610")</f>
        <v>79058610</v>
      </c>
      <c r="F1309" s="10" t="s">
        <v>3959</v>
      </c>
      <c r="G1309" s="10" t="s">
        <v>3960</v>
      </c>
      <c r="H1309" s="10" t="s">
        <v>3961</v>
      </c>
      <c r="I1309" s="10" t="s">
        <v>257</v>
      </c>
    </row>
    <row r="1310" spans="1:9" x14ac:dyDescent="0.15">
      <c r="A1310" s="9">
        <v>1309</v>
      </c>
      <c r="B1310" s="10" t="s">
        <v>9</v>
      </c>
      <c r="C1310" s="10" t="s">
        <v>363</v>
      </c>
      <c r="D1310" s="10" t="s">
        <v>364</v>
      </c>
      <c r="E1310" s="11" t="str">
        <f>+HYPERLINK("http://trademark.i-assist.jp/data/china/image_1902th/79058664.pdf", "79058664")</f>
        <v>79058664</v>
      </c>
      <c r="F1310" s="10" t="s">
        <v>3962</v>
      </c>
      <c r="G1310" s="10" t="s">
        <v>3963</v>
      </c>
      <c r="H1310" s="10" t="s">
        <v>3964</v>
      </c>
      <c r="I1310" s="10" t="s">
        <v>257</v>
      </c>
    </row>
    <row r="1311" spans="1:9" x14ac:dyDescent="0.15">
      <c r="A1311" s="9">
        <v>1310</v>
      </c>
      <c r="B1311" s="10" t="s">
        <v>9</v>
      </c>
      <c r="C1311" s="10" t="s">
        <v>363</v>
      </c>
      <c r="D1311" s="10" t="s">
        <v>364</v>
      </c>
      <c r="E1311" s="11" t="str">
        <f>+HYPERLINK("http://trademark.i-assist.jp/data/china/image_1902th/79058969.pdf", "79058969")</f>
        <v>79058969</v>
      </c>
      <c r="F1311" s="10" t="s">
        <v>3965</v>
      </c>
      <c r="G1311" s="10" t="s">
        <v>3966</v>
      </c>
      <c r="H1311" s="10" t="s">
        <v>3967</v>
      </c>
      <c r="I1311" s="10" t="s">
        <v>257</v>
      </c>
    </row>
    <row r="1312" spans="1:9" x14ac:dyDescent="0.15">
      <c r="A1312" s="9">
        <v>1311</v>
      </c>
      <c r="B1312" s="10" t="s">
        <v>9</v>
      </c>
      <c r="C1312" s="10" t="s">
        <v>363</v>
      </c>
      <c r="D1312" s="10" t="s">
        <v>364</v>
      </c>
      <c r="E1312" s="11" t="str">
        <f>+HYPERLINK("http://trademark.i-assist.jp/data/china/image_1902th/79059115.pdf", "79059115")</f>
        <v>79059115</v>
      </c>
      <c r="F1312" s="10" t="s">
        <v>3968</v>
      </c>
      <c r="G1312" s="10" t="s">
        <v>3969</v>
      </c>
      <c r="H1312" s="10" t="s">
        <v>52</v>
      </c>
      <c r="I1312" s="10" t="s">
        <v>257</v>
      </c>
    </row>
    <row r="1313" spans="1:9" x14ac:dyDescent="0.15">
      <c r="A1313" s="9">
        <v>1312</v>
      </c>
      <c r="B1313" s="10" t="s">
        <v>9</v>
      </c>
      <c r="C1313" s="10" t="s">
        <v>363</v>
      </c>
      <c r="D1313" s="10" t="s">
        <v>364</v>
      </c>
      <c r="E1313" s="11" t="str">
        <f>+HYPERLINK("http://trademark.i-assist.jp/data/china/image_1902th/79059130.pdf", "79059130")</f>
        <v>79059130</v>
      </c>
      <c r="F1313" s="10" t="s">
        <v>3970</v>
      </c>
      <c r="G1313" s="10" t="s">
        <v>3971</v>
      </c>
      <c r="H1313" s="10" t="s">
        <v>3972</v>
      </c>
      <c r="I1313" s="10" t="s">
        <v>257</v>
      </c>
    </row>
    <row r="1314" spans="1:9" x14ac:dyDescent="0.15">
      <c r="A1314" s="9">
        <v>1313</v>
      </c>
      <c r="B1314" s="10" t="s">
        <v>9</v>
      </c>
      <c r="C1314" s="10" t="s">
        <v>363</v>
      </c>
      <c r="D1314" s="10" t="s">
        <v>364</v>
      </c>
      <c r="E1314" s="11" t="str">
        <f>+HYPERLINK("http://trademark.i-assist.jp/data/china/image_1902th/79059133.pdf", "79059133")</f>
        <v>79059133</v>
      </c>
      <c r="F1314" s="10" t="s">
        <v>3973</v>
      </c>
      <c r="G1314" s="10" t="s">
        <v>194</v>
      </c>
      <c r="H1314" s="10" t="s">
        <v>3974</v>
      </c>
      <c r="I1314" s="10" t="s">
        <v>257</v>
      </c>
    </row>
    <row r="1315" spans="1:9" x14ac:dyDescent="0.15">
      <c r="A1315" s="9">
        <v>1314</v>
      </c>
      <c r="B1315" s="10" t="s">
        <v>9</v>
      </c>
      <c r="C1315" s="10" t="s">
        <v>363</v>
      </c>
      <c r="D1315" s="10" t="s">
        <v>364</v>
      </c>
      <c r="E1315" s="11" t="str">
        <f>+HYPERLINK("http://trademark.i-assist.jp/data/china/image_1902th/79059272.pdf", "79059272")</f>
        <v>79059272</v>
      </c>
      <c r="F1315" s="10" t="s">
        <v>3975</v>
      </c>
      <c r="G1315" s="10" t="s">
        <v>3976</v>
      </c>
      <c r="H1315" s="10" t="s">
        <v>3977</v>
      </c>
      <c r="I1315" s="10" t="s">
        <v>257</v>
      </c>
    </row>
    <row r="1316" spans="1:9" x14ac:dyDescent="0.15">
      <c r="A1316" s="9">
        <v>1315</v>
      </c>
      <c r="B1316" s="10" t="s">
        <v>9</v>
      </c>
      <c r="C1316" s="10" t="s">
        <v>363</v>
      </c>
      <c r="D1316" s="10" t="s">
        <v>364</v>
      </c>
      <c r="E1316" s="11" t="str">
        <f>+HYPERLINK("http://trademark.i-assist.jp/data/china/image_1902th/79059432.pdf", "79059432")</f>
        <v>79059432</v>
      </c>
      <c r="F1316" s="10" t="s">
        <v>3978</v>
      </c>
      <c r="G1316" s="10" t="s">
        <v>3979</v>
      </c>
      <c r="H1316" s="10" t="s">
        <v>3980</v>
      </c>
      <c r="I1316" s="10" t="s">
        <v>257</v>
      </c>
    </row>
    <row r="1317" spans="1:9" x14ac:dyDescent="0.15">
      <c r="A1317" s="9">
        <v>1316</v>
      </c>
      <c r="B1317" s="10" t="s">
        <v>9</v>
      </c>
      <c r="C1317" s="10" t="s">
        <v>363</v>
      </c>
      <c r="D1317" s="10" t="s">
        <v>364</v>
      </c>
      <c r="E1317" s="11" t="str">
        <f>+HYPERLINK("http://trademark.i-assist.jp/data/china/image_1902th/79059640.pdf", "79059640")</f>
        <v>79059640</v>
      </c>
      <c r="F1317" s="10" t="s">
        <v>3981</v>
      </c>
      <c r="G1317" s="10" t="s">
        <v>3982</v>
      </c>
      <c r="H1317" s="10" t="s">
        <v>3983</v>
      </c>
      <c r="I1317" s="10" t="s">
        <v>257</v>
      </c>
    </row>
    <row r="1318" spans="1:9" x14ac:dyDescent="0.15">
      <c r="A1318" s="9">
        <v>1317</v>
      </c>
      <c r="B1318" s="10" t="s">
        <v>9</v>
      </c>
      <c r="C1318" s="10" t="s">
        <v>363</v>
      </c>
      <c r="D1318" s="10" t="s">
        <v>364</v>
      </c>
      <c r="E1318" s="11" t="str">
        <f>+HYPERLINK("http://trademark.i-assist.jp/data/china/image_1902th/79060008.pdf", "79060008")</f>
        <v>79060008</v>
      </c>
      <c r="F1318" s="10" t="s">
        <v>3984</v>
      </c>
      <c r="G1318" s="10" t="s">
        <v>3985</v>
      </c>
      <c r="H1318" s="10" t="s">
        <v>3986</v>
      </c>
      <c r="I1318" s="10" t="s">
        <v>257</v>
      </c>
    </row>
    <row r="1319" spans="1:9" x14ac:dyDescent="0.15">
      <c r="A1319" s="9">
        <v>1318</v>
      </c>
      <c r="B1319" s="10" t="s">
        <v>9</v>
      </c>
      <c r="C1319" s="10" t="s">
        <v>363</v>
      </c>
      <c r="D1319" s="10" t="s">
        <v>364</v>
      </c>
      <c r="E1319" s="11" t="str">
        <f>+HYPERLINK("http://trademark.i-assist.jp/data/china/image_1902th/79060239.pdf", "79060239")</f>
        <v>79060239</v>
      </c>
      <c r="F1319" s="10" t="s">
        <v>3987</v>
      </c>
      <c r="G1319" s="10" t="s">
        <v>3988</v>
      </c>
      <c r="H1319" s="10" t="s">
        <v>3989</v>
      </c>
      <c r="I1319" s="10" t="s">
        <v>257</v>
      </c>
    </row>
    <row r="1320" spans="1:9" x14ac:dyDescent="0.15">
      <c r="A1320" s="9">
        <v>1319</v>
      </c>
      <c r="B1320" s="10" t="s">
        <v>9</v>
      </c>
      <c r="C1320" s="10" t="s">
        <v>363</v>
      </c>
      <c r="D1320" s="10" t="s">
        <v>364</v>
      </c>
      <c r="E1320" s="11" t="str">
        <f>+HYPERLINK("http://trademark.i-assist.jp/data/china/image_1902th/79060445.pdf", "79060445")</f>
        <v>79060445</v>
      </c>
      <c r="F1320" s="10" t="s">
        <v>3990</v>
      </c>
      <c r="G1320" s="10" t="s">
        <v>3991</v>
      </c>
      <c r="H1320" s="10" t="s">
        <v>3992</v>
      </c>
      <c r="I1320" s="10" t="s">
        <v>257</v>
      </c>
    </row>
    <row r="1321" spans="1:9" x14ac:dyDescent="0.15">
      <c r="A1321" s="9">
        <v>1320</v>
      </c>
      <c r="B1321" s="10" t="s">
        <v>9</v>
      </c>
      <c r="C1321" s="10" t="s">
        <v>363</v>
      </c>
      <c r="D1321" s="10" t="s">
        <v>364</v>
      </c>
      <c r="E1321" s="11" t="str">
        <f>+HYPERLINK("http://trademark.i-assist.jp/data/china/image_1902th/79060561.pdf", "79060561")</f>
        <v>79060561</v>
      </c>
      <c r="F1321" s="10" t="s">
        <v>3993</v>
      </c>
      <c r="G1321" s="10" t="s">
        <v>3994</v>
      </c>
      <c r="H1321" s="10" t="s">
        <v>3995</v>
      </c>
      <c r="I1321" s="10" t="s">
        <v>257</v>
      </c>
    </row>
    <row r="1322" spans="1:9" x14ac:dyDescent="0.15">
      <c r="A1322" s="9">
        <v>1321</v>
      </c>
      <c r="B1322" s="10" t="s">
        <v>9</v>
      </c>
      <c r="C1322" s="10" t="s">
        <v>363</v>
      </c>
      <c r="D1322" s="10" t="s">
        <v>364</v>
      </c>
      <c r="E1322" s="11" t="str">
        <f>+HYPERLINK("http://trademark.i-assist.jp/data/china/image_1902th/79060727.pdf", "79060727")</f>
        <v>79060727</v>
      </c>
      <c r="F1322" s="10" t="s">
        <v>3996</v>
      </c>
      <c r="G1322" s="10" t="s">
        <v>265</v>
      </c>
      <c r="H1322" s="10" t="s">
        <v>3997</v>
      </c>
      <c r="I1322" s="10" t="s">
        <v>257</v>
      </c>
    </row>
    <row r="1323" spans="1:9" x14ac:dyDescent="0.15">
      <c r="A1323" s="9">
        <v>1322</v>
      </c>
      <c r="B1323" s="10" t="s">
        <v>9</v>
      </c>
      <c r="C1323" s="10" t="s">
        <v>363</v>
      </c>
      <c r="D1323" s="10" t="s">
        <v>364</v>
      </c>
      <c r="E1323" s="11" t="str">
        <f>+HYPERLINK("http://trademark.i-assist.jp/data/china/image_1902th/79061052.pdf", "79061052")</f>
        <v>79061052</v>
      </c>
      <c r="F1323" s="10" t="s">
        <v>3998</v>
      </c>
      <c r="G1323" s="10" t="s">
        <v>3999</v>
      </c>
      <c r="H1323" s="10" t="s">
        <v>4000</v>
      </c>
      <c r="I1323" s="10" t="s">
        <v>257</v>
      </c>
    </row>
    <row r="1324" spans="1:9" x14ac:dyDescent="0.15">
      <c r="A1324" s="9">
        <v>1323</v>
      </c>
      <c r="B1324" s="10" t="s">
        <v>9</v>
      </c>
      <c r="C1324" s="10" t="s">
        <v>363</v>
      </c>
      <c r="D1324" s="10" t="s">
        <v>364</v>
      </c>
      <c r="E1324" s="11" t="str">
        <f>+HYPERLINK("http://trademark.i-assist.jp/data/china/image_1902th/79061453.pdf", "79061453")</f>
        <v>79061453</v>
      </c>
      <c r="F1324" s="10" t="s">
        <v>4001</v>
      </c>
      <c r="G1324" s="10" t="s">
        <v>4002</v>
      </c>
      <c r="H1324" s="10" t="s">
        <v>4003</v>
      </c>
      <c r="I1324" s="10" t="s">
        <v>257</v>
      </c>
    </row>
    <row r="1325" spans="1:9" x14ac:dyDescent="0.15">
      <c r="A1325" s="9">
        <v>1324</v>
      </c>
      <c r="B1325" s="10" t="s">
        <v>9</v>
      </c>
      <c r="C1325" s="10" t="s">
        <v>363</v>
      </c>
      <c r="D1325" s="10" t="s">
        <v>364</v>
      </c>
      <c r="E1325" s="11" t="str">
        <f>+HYPERLINK("http://trademark.i-assist.jp/data/china/image_1902th/79062189.pdf", "79062189")</f>
        <v>79062189</v>
      </c>
      <c r="F1325" s="10" t="s">
        <v>4004</v>
      </c>
      <c r="G1325" s="10" t="s">
        <v>4005</v>
      </c>
      <c r="H1325" s="10" t="s">
        <v>4006</v>
      </c>
      <c r="I1325" s="10" t="s">
        <v>257</v>
      </c>
    </row>
    <row r="1326" spans="1:9" x14ac:dyDescent="0.15">
      <c r="A1326" s="9">
        <v>1325</v>
      </c>
      <c r="B1326" s="10" t="s">
        <v>9</v>
      </c>
      <c r="C1326" s="10" t="s">
        <v>363</v>
      </c>
      <c r="D1326" s="10" t="s">
        <v>364</v>
      </c>
      <c r="E1326" s="11" t="str">
        <f>+HYPERLINK("http://trademark.i-assist.jp/data/china/image_1902th/79062296.pdf", "79062296")</f>
        <v>79062296</v>
      </c>
      <c r="F1326" s="10" t="s">
        <v>4007</v>
      </c>
      <c r="G1326" s="10" t="s">
        <v>4008</v>
      </c>
      <c r="H1326" s="10" t="s">
        <v>4009</v>
      </c>
      <c r="I1326" s="10" t="s">
        <v>257</v>
      </c>
    </row>
    <row r="1327" spans="1:9" x14ac:dyDescent="0.15">
      <c r="A1327" s="9">
        <v>1326</v>
      </c>
      <c r="B1327" s="10" t="s">
        <v>9</v>
      </c>
      <c r="C1327" s="10" t="s">
        <v>363</v>
      </c>
      <c r="D1327" s="10" t="s">
        <v>364</v>
      </c>
      <c r="E1327" s="11" t="str">
        <f>+HYPERLINK("http://trademark.i-assist.jp/data/china/image_1902th/79062496.pdf", "79062496")</f>
        <v>79062496</v>
      </c>
      <c r="F1327" s="10" t="s">
        <v>4010</v>
      </c>
      <c r="G1327" s="10" t="s">
        <v>4011</v>
      </c>
      <c r="H1327" s="10" t="s">
        <v>4012</v>
      </c>
      <c r="I1327" s="10" t="s">
        <v>257</v>
      </c>
    </row>
    <row r="1328" spans="1:9" x14ac:dyDescent="0.15">
      <c r="A1328" s="9">
        <v>1327</v>
      </c>
      <c r="B1328" s="10" t="s">
        <v>9</v>
      </c>
      <c r="C1328" s="10" t="s">
        <v>363</v>
      </c>
      <c r="D1328" s="10" t="s">
        <v>364</v>
      </c>
      <c r="E1328" s="11" t="str">
        <f>+HYPERLINK("http://trademark.i-assist.jp/data/china/image_1902th/79063454.pdf", "79063454")</f>
        <v>79063454</v>
      </c>
      <c r="F1328" s="10" t="s">
        <v>4013</v>
      </c>
      <c r="G1328" s="10" t="s">
        <v>264</v>
      </c>
      <c r="H1328" s="10" t="s">
        <v>4014</v>
      </c>
      <c r="I1328" s="10" t="s">
        <v>257</v>
      </c>
    </row>
    <row r="1329" spans="1:9" x14ac:dyDescent="0.15">
      <c r="A1329" s="9">
        <v>1328</v>
      </c>
      <c r="B1329" s="10" t="s">
        <v>9</v>
      </c>
      <c r="C1329" s="10" t="s">
        <v>363</v>
      </c>
      <c r="D1329" s="10" t="s">
        <v>364</v>
      </c>
      <c r="E1329" s="11" t="str">
        <f>+HYPERLINK("http://trademark.i-assist.jp/data/china/image_1902th/79063644.pdf", "79063644")</f>
        <v>79063644</v>
      </c>
      <c r="F1329" s="10" t="s">
        <v>4015</v>
      </c>
      <c r="G1329" s="10" t="s">
        <v>4016</v>
      </c>
      <c r="H1329" s="10" t="s">
        <v>4017</v>
      </c>
      <c r="I1329" s="10" t="s">
        <v>278</v>
      </c>
    </row>
    <row r="1330" spans="1:9" x14ac:dyDescent="0.15">
      <c r="A1330" s="9">
        <v>1329</v>
      </c>
      <c r="B1330" s="10" t="s">
        <v>9</v>
      </c>
      <c r="C1330" s="10" t="s">
        <v>363</v>
      </c>
      <c r="D1330" s="10" t="s">
        <v>364</v>
      </c>
      <c r="E1330" s="11" t="str">
        <f>+HYPERLINK("http://trademark.i-assist.jp/data/china/image_1902th/79063848.pdf", "79063848")</f>
        <v>79063848</v>
      </c>
      <c r="F1330" s="10" t="s">
        <v>4018</v>
      </c>
      <c r="G1330" s="10" t="s">
        <v>4019</v>
      </c>
      <c r="H1330" s="10" t="s">
        <v>4020</v>
      </c>
      <c r="I1330" s="10" t="s">
        <v>278</v>
      </c>
    </row>
    <row r="1331" spans="1:9" x14ac:dyDescent="0.15">
      <c r="A1331" s="9">
        <v>1330</v>
      </c>
      <c r="B1331" s="10" t="s">
        <v>9</v>
      </c>
      <c r="C1331" s="10" t="s">
        <v>363</v>
      </c>
      <c r="D1331" s="10" t="s">
        <v>364</v>
      </c>
      <c r="E1331" s="11" t="str">
        <f>+HYPERLINK("http://trademark.i-assist.jp/data/china/image_1902th/79064296.pdf", "79064296")</f>
        <v>79064296</v>
      </c>
      <c r="F1331" s="10" t="s">
        <v>4021</v>
      </c>
      <c r="G1331" s="10" t="s">
        <v>4022</v>
      </c>
      <c r="H1331" s="10" t="s">
        <v>4023</v>
      </c>
      <c r="I1331" s="10" t="s">
        <v>278</v>
      </c>
    </row>
    <row r="1332" spans="1:9" x14ac:dyDescent="0.15">
      <c r="A1332" s="9">
        <v>1331</v>
      </c>
      <c r="B1332" s="10" t="s">
        <v>9</v>
      </c>
      <c r="C1332" s="10" t="s">
        <v>363</v>
      </c>
      <c r="D1332" s="10" t="s">
        <v>364</v>
      </c>
      <c r="E1332" s="11" t="str">
        <f>+HYPERLINK("http://trademark.i-assist.jp/data/china/image_1902th/79064546.pdf", "79064546")</f>
        <v>79064546</v>
      </c>
      <c r="F1332" s="10" t="s">
        <v>4024</v>
      </c>
      <c r="G1332" s="10" t="s">
        <v>4025</v>
      </c>
      <c r="H1332" s="10" t="s">
        <v>4026</v>
      </c>
      <c r="I1332" s="10" t="s">
        <v>278</v>
      </c>
    </row>
    <row r="1333" spans="1:9" x14ac:dyDescent="0.15">
      <c r="A1333" s="9">
        <v>1332</v>
      </c>
      <c r="B1333" s="10" t="s">
        <v>9</v>
      </c>
      <c r="C1333" s="10" t="s">
        <v>363</v>
      </c>
      <c r="D1333" s="10" t="s">
        <v>364</v>
      </c>
      <c r="E1333" s="11" t="str">
        <f>+HYPERLINK("http://trademark.i-assist.jp/data/china/image_1902th/79064678.pdf", "79064678")</f>
        <v>79064678</v>
      </c>
      <c r="F1333" s="10" t="s">
        <v>4027</v>
      </c>
      <c r="G1333" s="10" t="s">
        <v>4028</v>
      </c>
      <c r="H1333" s="10" t="s">
        <v>4029</v>
      </c>
      <c r="I1333" s="10" t="s">
        <v>278</v>
      </c>
    </row>
    <row r="1334" spans="1:9" x14ac:dyDescent="0.15">
      <c r="A1334" s="9">
        <v>1333</v>
      </c>
      <c r="B1334" s="10" t="s">
        <v>9</v>
      </c>
      <c r="C1334" s="10" t="s">
        <v>363</v>
      </c>
      <c r="D1334" s="10" t="s">
        <v>364</v>
      </c>
      <c r="E1334" s="11" t="str">
        <f>+HYPERLINK("http://trademark.i-assist.jp/data/china/image_1902th/79064730.pdf", "79064730")</f>
        <v>79064730</v>
      </c>
      <c r="F1334" s="10" t="s">
        <v>4030</v>
      </c>
      <c r="G1334" s="10" t="s">
        <v>4031</v>
      </c>
      <c r="H1334" s="10" t="s">
        <v>4032</v>
      </c>
      <c r="I1334" s="10" t="s">
        <v>278</v>
      </c>
    </row>
    <row r="1335" spans="1:9" x14ac:dyDescent="0.15">
      <c r="A1335" s="9">
        <v>1334</v>
      </c>
      <c r="B1335" s="10" t="s">
        <v>9</v>
      </c>
      <c r="C1335" s="10" t="s">
        <v>363</v>
      </c>
      <c r="D1335" s="10" t="s">
        <v>364</v>
      </c>
      <c r="E1335" s="11" t="str">
        <f>+HYPERLINK("http://trademark.i-assist.jp/data/china/image_1902th/79065027.pdf", "79065027")</f>
        <v>79065027</v>
      </c>
      <c r="F1335" s="10" t="s">
        <v>4033</v>
      </c>
      <c r="G1335" s="10" t="s">
        <v>4034</v>
      </c>
      <c r="H1335" s="10" t="s">
        <v>4035</v>
      </c>
      <c r="I1335" s="10" t="s">
        <v>278</v>
      </c>
    </row>
    <row r="1336" spans="1:9" x14ac:dyDescent="0.15">
      <c r="A1336" s="9">
        <v>1335</v>
      </c>
      <c r="B1336" s="10" t="s">
        <v>9</v>
      </c>
      <c r="C1336" s="10" t="s">
        <v>363</v>
      </c>
      <c r="D1336" s="10" t="s">
        <v>364</v>
      </c>
      <c r="E1336" s="11" t="str">
        <f>+HYPERLINK("http://trademark.i-assist.jp/data/china/image_1902th/79065067.pdf", "79065067")</f>
        <v>79065067</v>
      </c>
      <c r="F1336" s="10" t="s">
        <v>4036</v>
      </c>
      <c r="G1336" s="10" t="s">
        <v>282</v>
      </c>
      <c r="H1336" s="10" t="s">
        <v>4037</v>
      </c>
      <c r="I1336" s="10" t="s">
        <v>278</v>
      </c>
    </row>
    <row r="1337" spans="1:9" x14ac:dyDescent="0.15">
      <c r="A1337" s="9">
        <v>1336</v>
      </c>
      <c r="B1337" s="10" t="s">
        <v>9</v>
      </c>
      <c r="C1337" s="10" t="s">
        <v>363</v>
      </c>
      <c r="D1337" s="10" t="s">
        <v>364</v>
      </c>
      <c r="E1337" s="11" t="str">
        <f>+HYPERLINK("http://trademark.i-assist.jp/data/china/image_1902th/79065150.pdf", "79065150")</f>
        <v>79065150</v>
      </c>
      <c r="F1337" s="10" t="s">
        <v>4038</v>
      </c>
      <c r="G1337" s="10" t="s">
        <v>4039</v>
      </c>
      <c r="H1337" s="10" t="s">
        <v>4040</v>
      </c>
      <c r="I1337" s="10" t="s">
        <v>278</v>
      </c>
    </row>
    <row r="1338" spans="1:9" x14ac:dyDescent="0.15">
      <c r="A1338" s="9">
        <v>1337</v>
      </c>
      <c r="B1338" s="10" t="s">
        <v>9</v>
      </c>
      <c r="C1338" s="10" t="s">
        <v>363</v>
      </c>
      <c r="D1338" s="10" t="s">
        <v>364</v>
      </c>
      <c r="E1338" s="11" t="str">
        <f>+HYPERLINK("http://trademark.i-assist.jp/data/china/image_1902th/79065203.pdf", "79065203")</f>
        <v>79065203</v>
      </c>
      <c r="F1338" s="10" t="s">
        <v>4041</v>
      </c>
      <c r="G1338" s="10" t="s">
        <v>4042</v>
      </c>
      <c r="H1338" s="10" t="s">
        <v>4043</v>
      </c>
      <c r="I1338" s="10" t="s">
        <v>278</v>
      </c>
    </row>
    <row r="1339" spans="1:9" x14ac:dyDescent="0.15">
      <c r="A1339" s="9">
        <v>1338</v>
      </c>
      <c r="B1339" s="10" t="s">
        <v>9</v>
      </c>
      <c r="C1339" s="10" t="s">
        <v>363</v>
      </c>
      <c r="D1339" s="10" t="s">
        <v>364</v>
      </c>
      <c r="E1339" s="11" t="str">
        <f>+HYPERLINK("http://trademark.i-assist.jp/data/china/image_1902th/79065304.pdf", "79065304")</f>
        <v>79065304</v>
      </c>
      <c r="F1339" s="10" t="s">
        <v>4044</v>
      </c>
      <c r="G1339" s="10" t="s">
        <v>4045</v>
      </c>
      <c r="H1339" s="10" t="s">
        <v>4046</v>
      </c>
      <c r="I1339" s="10" t="s">
        <v>278</v>
      </c>
    </row>
    <row r="1340" spans="1:9" x14ac:dyDescent="0.15">
      <c r="A1340" s="9">
        <v>1339</v>
      </c>
      <c r="B1340" s="10" t="s">
        <v>9</v>
      </c>
      <c r="C1340" s="10" t="s">
        <v>363</v>
      </c>
      <c r="D1340" s="10" t="s">
        <v>364</v>
      </c>
      <c r="E1340" s="11" t="str">
        <f>+HYPERLINK("http://trademark.i-assist.jp/data/china/image_1902th/79065328.pdf", "79065328")</f>
        <v>79065328</v>
      </c>
      <c r="F1340" s="10" t="s">
        <v>4047</v>
      </c>
      <c r="G1340" s="10" t="s">
        <v>4048</v>
      </c>
      <c r="H1340" s="10" t="s">
        <v>4049</v>
      </c>
      <c r="I1340" s="10" t="s">
        <v>278</v>
      </c>
    </row>
    <row r="1341" spans="1:9" x14ac:dyDescent="0.15">
      <c r="A1341" s="9">
        <v>1340</v>
      </c>
      <c r="B1341" s="10" t="s">
        <v>9</v>
      </c>
      <c r="C1341" s="10" t="s">
        <v>363</v>
      </c>
      <c r="D1341" s="10" t="s">
        <v>364</v>
      </c>
      <c r="E1341" s="11" t="str">
        <f>+HYPERLINK("http://trademark.i-assist.jp/data/china/image_1902th/79065661.pdf", "79065661")</f>
        <v>79065661</v>
      </c>
      <c r="F1341" s="10" t="s">
        <v>4050</v>
      </c>
      <c r="G1341" s="10" t="s">
        <v>273</v>
      </c>
      <c r="H1341" s="10" t="s">
        <v>4051</v>
      </c>
      <c r="I1341" s="10" t="s">
        <v>278</v>
      </c>
    </row>
    <row r="1342" spans="1:9" x14ac:dyDescent="0.15">
      <c r="A1342" s="9">
        <v>1341</v>
      </c>
      <c r="B1342" s="10" t="s">
        <v>9</v>
      </c>
      <c r="C1342" s="10" t="s">
        <v>363</v>
      </c>
      <c r="D1342" s="10" t="s">
        <v>364</v>
      </c>
      <c r="E1342" s="11" t="str">
        <f>+HYPERLINK("http://trademark.i-assist.jp/data/china/image_1902th/79065839.pdf", "79065839")</f>
        <v>79065839</v>
      </c>
      <c r="F1342" s="10" t="s">
        <v>4052</v>
      </c>
      <c r="G1342" s="10" t="s">
        <v>4053</v>
      </c>
      <c r="H1342" s="10" t="s">
        <v>4054</v>
      </c>
      <c r="I1342" s="10" t="s">
        <v>278</v>
      </c>
    </row>
    <row r="1343" spans="1:9" x14ac:dyDescent="0.15">
      <c r="A1343" s="9">
        <v>1342</v>
      </c>
      <c r="B1343" s="10" t="s">
        <v>9</v>
      </c>
      <c r="C1343" s="10" t="s">
        <v>363</v>
      </c>
      <c r="D1343" s="10" t="s">
        <v>364</v>
      </c>
      <c r="E1343" s="11" t="str">
        <f>+HYPERLINK("http://trademark.i-assist.jp/data/china/image_1902th/79066196.pdf", "79066196")</f>
        <v>79066196</v>
      </c>
      <c r="F1343" s="10" t="s">
        <v>4055</v>
      </c>
      <c r="G1343" s="10" t="s">
        <v>174</v>
      </c>
      <c r="H1343" s="10" t="s">
        <v>4056</v>
      </c>
      <c r="I1343" s="10" t="s">
        <v>278</v>
      </c>
    </row>
    <row r="1344" spans="1:9" x14ac:dyDescent="0.15">
      <c r="A1344" s="9">
        <v>1343</v>
      </c>
      <c r="B1344" s="10" t="s">
        <v>9</v>
      </c>
      <c r="C1344" s="10" t="s">
        <v>363</v>
      </c>
      <c r="D1344" s="10" t="s">
        <v>364</v>
      </c>
      <c r="E1344" s="11" t="str">
        <f>+HYPERLINK("http://trademark.i-assist.jp/data/china/image_1902th/79066463.pdf", "79066463")</f>
        <v>79066463</v>
      </c>
      <c r="F1344" s="10" t="s">
        <v>4057</v>
      </c>
      <c r="G1344" s="10" t="s">
        <v>4058</v>
      </c>
      <c r="H1344" s="10" t="s">
        <v>4059</v>
      </c>
      <c r="I1344" s="10" t="s">
        <v>278</v>
      </c>
    </row>
    <row r="1345" spans="1:9" x14ac:dyDescent="0.15">
      <c r="A1345" s="9">
        <v>1344</v>
      </c>
      <c r="B1345" s="10" t="s">
        <v>9</v>
      </c>
      <c r="C1345" s="10" t="s">
        <v>363</v>
      </c>
      <c r="D1345" s="10" t="s">
        <v>364</v>
      </c>
      <c r="E1345" s="11" t="str">
        <f>+HYPERLINK("http://trademark.i-assist.jp/data/china/image_1902th/79066526.pdf", "79066526")</f>
        <v>79066526</v>
      </c>
      <c r="F1345" s="10" t="s">
        <v>4060</v>
      </c>
      <c r="G1345" s="10" t="s">
        <v>4061</v>
      </c>
      <c r="H1345" s="10" t="s">
        <v>4062</v>
      </c>
      <c r="I1345" s="10" t="s">
        <v>278</v>
      </c>
    </row>
    <row r="1346" spans="1:9" x14ac:dyDescent="0.15">
      <c r="A1346" s="9">
        <v>1345</v>
      </c>
      <c r="B1346" s="10" t="s">
        <v>9</v>
      </c>
      <c r="C1346" s="10" t="s">
        <v>363</v>
      </c>
      <c r="D1346" s="10" t="s">
        <v>364</v>
      </c>
      <c r="E1346" s="11" t="str">
        <f>+HYPERLINK("http://trademark.i-assist.jp/data/china/image_1902th/79066941.pdf", "79066941")</f>
        <v>79066941</v>
      </c>
      <c r="F1346" s="10" t="s">
        <v>4063</v>
      </c>
      <c r="G1346" s="10" t="s">
        <v>4064</v>
      </c>
      <c r="H1346" s="10" t="s">
        <v>4065</v>
      </c>
      <c r="I1346" s="10" t="s">
        <v>278</v>
      </c>
    </row>
    <row r="1347" spans="1:9" x14ac:dyDescent="0.15">
      <c r="A1347" s="9">
        <v>1346</v>
      </c>
      <c r="B1347" s="10" t="s">
        <v>9</v>
      </c>
      <c r="C1347" s="10" t="s">
        <v>363</v>
      </c>
      <c r="D1347" s="10" t="s">
        <v>364</v>
      </c>
      <c r="E1347" s="11" t="str">
        <f>+HYPERLINK("http://trademark.i-assist.jp/data/china/image_1902th/79067241.pdf", "79067241")</f>
        <v>79067241</v>
      </c>
      <c r="F1347" s="10" t="s">
        <v>4066</v>
      </c>
      <c r="G1347" s="10" t="s">
        <v>4067</v>
      </c>
      <c r="H1347" s="10" t="s">
        <v>4068</v>
      </c>
      <c r="I1347" s="10" t="s">
        <v>278</v>
      </c>
    </row>
    <row r="1348" spans="1:9" x14ac:dyDescent="0.15">
      <c r="A1348" s="9">
        <v>1347</v>
      </c>
      <c r="B1348" s="10" t="s">
        <v>9</v>
      </c>
      <c r="C1348" s="10" t="s">
        <v>363</v>
      </c>
      <c r="D1348" s="10" t="s">
        <v>364</v>
      </c>
      <c r="E1348" s="11" t="str">
        <f>+HYPERLINK("http://trademark.i-assist.jp/data/china/image_1902th/79067498.pdf", "79067498")</f>
        <v>79067498</v>
      </c>
      <c r="F1348" s="10" t="s">
        <v>4069</v>
      </c>
      <c r="G1348" s="10" t="s">
        <v>4070</v>
      </c>
      <c r="H1348" s="10" t="s">
        <v>4071</v>
      </c>
      <c r="I1348" s="10" t="s">
        <v>278</v>
      </c>
    </row>
    <row r="1349" spans="1:9" x14ac:dyDescent="0.15">
      <c r="A1349" s="9">
        <v>1348</v>
      </c>
      <c r="B1349" s="10" t="s">
        <v>9</v>
      </c>
      <c r="C1349" s="10" t="s">
        <v>363</v>
      </c>
      <c r="D1349" s="10" t="s">
        <v>364</v>
      </c>
      <c r="E1349" s="11" t="str">
        <f>+HYPERLINK("http://trademark.i-assist.jp/data/china/image_1902th/79067695.pdf", "79067695")</f>
        <v>79067695</v>
      </c>
      <c r="F1349" s="10" t="s">
        <v>12</v>
      </c>
      <c r="G1349" s="10" t="s">
        <v>1056</v>
      </c>
      <c r="H1349" s="10" t="s">
        <v>4072</v>
      </c>
      <c r="I1349" s="10" t="s">
        <v>278</v>
      </c>
    </row>
    <row r="1350" spans="1:9" x14ac:dyDescent="0.15">
      <c r="A1350" s="9">
        <v>1349</v>
      </c>
      <c r="B1350" s="10" t="s">
        <v>9</v>
      </c>
      <c r="C1350" s="10" t="s">
        <v>363</v>
      </c>
      <c r="D1350" s="10" t="s">
        <v>364</v>
      </c>
      <c r="E1350" s="11" t="str">
        <f>+HYPERLINK("http://trademark.i-assist.jp/data/china/image_1902th/79067830.pdf", "79067830")</f>
        <v>79067830</v>
      </c>
      <c r="F1350" s="10" t="s">
        <v>4073</v>
      </c>
      <c r="G1350" s="10" t="s">
        <v>4022</v>
      </c>
      <c r="H1350" s="10" t="s">
        <v>4074</v>
      </c>
      <c r="I1350" s="10" t="s">
        <v>278</v>
      </c>
    </row>
    <row r="1351" spans="1:9" x14ac:dyDescent="0.15">
      <c r="A1351" s="9">
        <v>1350</v>
      </c>
      <c r="B1351" s="10" t="s">
        <v>9</v>
      </c>
      <c r="C1351" s="10" t="s">
        <v>363</v>
      </c>
      <c r="D1351" s="10" t="s">
        <v>364</v>
      </c>
      <c r="E1351" s="11" t="str">
        <f>+HYPERLINK("http://trademark.i-assist.jp/data/china/image_1902th/79067895.pdf", "79067895")</f>
        <v>79067895</v>
      </c>
      <c r="F1351" s="10" t="s">
        <v>4075</v>
      </c>
      <c r="G1351" s="10" t="s">
        <v>4076</v>
      </c>
      <c r="H1351" s="10" t="s">
        <v>4077</v>
      </c>
      <c r="I1351" s="10" t="s">
        <v>278</v>
      </c>
    </row>
    <row r="1352" spans="1:9" x14ac:dyDescent="0.15">
      <c r="A1352" s="9">
        <v>1351</v>
      </c>
      <c r="B1352" s="10" t="s">
        <v>9</v>
      </c>
      <c r="C1352" s="10" t="s">
        <v>363</v>
      </c>
      <c r="D1352" s="10" t="s">
        <v>364</v>
      </c>
      <c r="E1352" s="11" t="str">
        <f>+HYPERLINK("http://trademark.i-assist.jp/data/china/image_1902th/79067941.pdf", "79067941")</f>
        <v>79067941</v>
      </c>
      <c r="F1352" s="10" t="s">
        <v>4078</v>
      </c>
      <c r="G1352" s="10" t="s">
        <v>281</v>
      </c>
      <c r="H1352" s="10" t="s">
        <v>4079</v>
      </c>
      <c r="I1352" s="10" t="s">
        <v>278</v>
      </c>
    </row>
    <row r="1353" spans="1:9" x14ac:dyDescent="0.15">
      <c r="A1353" s="9">
        <v>1352</v>
      </c>
      <c r="B1353" s="10" t="s">
        <v>9</v>
      </c>
      <c r="C1353" s="10" t="s">
        <v>363</v>
      </c>
      <c r="D1353" s="10" t="s">
        <v>364</v>
      </c>
      <c r="E1353" s="11" t="str">
        <f>+HYPERLINK("http://trademark.i-assist.jp/data/china/image_1902th/79067944.pdf", "79067944")</f>
        <v>79067944</v>
      </c>
      <c r="F1353" s="10" t="s">
        <v>4080</v>
      </c>
      <c r="G1353" s="10" t="s">
        <v>4081</v>
      </c>
      <c r="H1353" s="10" t="s">
        <v>4082</v>
      </c>
      <c r="I1353" s="10" t="s">
        <v>278</v>
      </c>
    </row>
    <row r="1354" spans="1:9" x14ac:dyDescent="0.15">
      <c r="A1354" s="9">
        <v>1353</v>
      </c>
      <c r="B1354" s="10" t="s">
        <v>9</v>
      </c>
      <c r="C1354" s="10" t="s">
        <v>363</v>
      </c>
      <c r="D1354" s="10" t="s">
        <v>364</v>
      </c>
      <c r="E1354" s="11" t="str">
        <f>+HYPERLINK("http://trademark.i-assist.jp/data/china/image_1902th/79067954.pdf", "79067954")</f>
        <v>79067954</v>
      </c>
      <c r="F1354" s="10" t="s">
        <v>4083</v>
      </c>
      <c r="G1354" s="10" t="s">
        <v>4081</v>
      </c>
      <c r="H1354" s="10" t="s">
        <v>4084</v>
      </c>
      <c r="I1354" s="10" t="s">
        <v>278</v>
      </c>
    </row>
    <row r="1355" spans="1:9" x14ac:dyDescent="0.15">
      <c r="A1355" s="9">
        <v>1354</v>
      </c>
      <c r="B1355" s="10" t="s">
        <v>9</v>
      </c>
      <c r="C1355" s="10" t="s">
        <v>363</v>
      </c>
      <c r="D1355" s="10" t="s">
        <v>364</v>
      </c>
      <c r="E1355" s="11" t="str">
        <f>+HYPERLINK("http://trademark.i-assist.jp/data/china/image_1902th/79068189.pdf", "79068189")</f>
        <v>79068189</v>
      </c>
      <c r="F1355" s="10" t="s">
        <v>4085</v>
      </c>
      <c r="G1355" s="10" t="s">
        <v>4086</v>
      </c>
      <c r="H1355" s="10" t="s">
        <v>4087</v>
      </c>
      <c r="I1355" s="10" t="s">
        <v>278</v>
      </c>
    </row>
    <row r="1356" spans="1:9" x14ac:dyDescent="0.15">
      <c r="A1356" s="9">
        <v>1355</v>
      </c>
      <c r="B1356" s="10" t="s">
        <v>9</v>
      </c>
      <c r="C1356" s="10" t="s">
        <v>363</v>
      </c>
      <c r="D1356" s="10" t="s">
        <v>364</v>
      </c>
      <c r="E1356" s="11" t="str">
        <f>+HYPERLINK("http://trademark.i-assist.jp/data/china/image_1902th/79068698.pdf", "79068698")</f>
        <v>79068698</v>
      </c>
      <c r="F1356" s="10" t="s">
        <v>4088</v>
      </c>
      <c r="G1356" s="10" t="s">
        <v>4089</v>
      </c>
      <c r="H1356" s="10" t="s">
        <v>4090</v>
      </c>
      <c r="I1356" s="10" t="s">
        <v>278</v>
      </c>
    </row>
    <row r="1357" spans="1:9" x14ac:dyDescent="0.15">
      <c r="A1357" s="9">
        <v>1356</v>
      </c>
      <c r="B1357" s="10" t="s">
        <v>9</v>
      </c>
      <c r="C1357" s="10" t="s">
        <v>363</v>
      </c>
      <c r="D1357" s="10" t="s">
        <v>364</v>
      </c>
      <c r="E1357" s="11" t="str">
        <f>+HYPERLINK("http://trademark.i-assist.jp/data/china/image_1902th/79068772.pdf", "79068772")</f>
        <v>79068772</v>
      </c>
      <c r="F1357" s="10" t="s">
        <v>4091</v>
      </c>
      <c r="G1357" s="10" t="s">
        <v>4092</v>
      </c>
      <c r="H1357" s="10" t="s">
        <v>4093</v>
      </c>
      <c r="I1357" s="10" t="s">
        <v>278</v>
      </c>
    </row>
    <row r="1358" spans="1:9" x14ac:dyDescent="0.15">
      <c r="A1358" s="9">
        <v>1357</v>
      </c>
      <c r="B1358" s="10" t="s">
        <v>9</v>
      </c>
      <c r="C1358" s="10" t="s">
        <v>363</v>
      </c>
      <c r="D1358" s="10" t="s">
        <v>364</v>
      </c>
      <c r="E1358" s="11" t="str">
        <f>+HYPERLINK("http://trademark.i-assist.jp/data/china/image_1902th/79068994.pdf", "79068994")</f>
        <v>79068994</v>
      </c>
      <c r="F1358" s="10" t="s">
        <v>4094</v>
      </c>
      <c r="G1358" s="10" t="s">
        <v>282</v>
      </c>
      <c r="H1358" s="10" t="s">
        <v>15</v>
      </c>
      <c r="I1358" s="10" t="s">
        <v>278</v>
      </c>
    </row>
    <row r="1359" spans="1:9" x14ac:dyDescent="0.15">
      <c r="A1359" s="9">
        <v>1358</v>
      </c>
      <c r="B1359" s="10" t="s">
        <v>9</v>
      </c>
      <c r="C1359" s="10" t="s">
        <v>363</v>
      </c>
      <c r="D1359" s="10" t="s">
        <v>364</v>
      </c>
      <c r="E1359" s="11" t="str">
        <f>+HYPERLINK("http://trademark.i-assist.jp/data/china/image_1902th/79069012.pdf", "79069012")</f>
        <v>79069012</v>
      </c>
      <c r="F1359" s="10" t="s">
        <v>4095</v>
      </c>
      <c r="G1359" s="10" t="s">
        <v>4096</v>
      </c>
      <c r="H1359" s="10" t="s">
        <v>4097</v>
      </c>
      <c r="I1359" s="10" t="s">
        <v>278</v>
      </c>
    </row>
    <row r="1360" spans="1:9" x14ac:dyDescent="0.15">
      <c r="A1360" s="9">
        <v>1359</v>
      </c>
      <c r="B1360" s="10" t="s">
        <v>9</v>
      </c>
      <c r="C1360" s="10" t="s">
        <v>363</v>
      </c>
      <c r="D1360" s="10" t="s">
        <v>364</v>
      </c>
      <c r="E1360" s="11" t="str">
        <f>+HYPERLINK("http://trademark.i-assist.jp/data/china/image_1902th/79069103.pdf", "79069103")</f>
        <v>79069103</v>
      </c>
      <c r="F1360" s="10" t="s">
        <v>4098</v>
      </c>
      <c r="G1360" s="10" t="s">
        <v>4099</v>
      </c>
      <c r="H1360" s="10" t="s">
        <v>4100</v>
      </c>
      <c r="I1360" s="10" t="s">
        <v>278</v>
      </c>
    </row>
    <row r="1361" spans="1:9" x14ac:dyDescent="0.15">
      <c r="A1361" s="9">
        <v>1360</v>
      </c>
      <c r="B1361" s="10" t="s">
        <v>9</v>
      </c>
      <c r="C1361" s="10" t="s">
        <v>363</v>
      </c>
      <c r="D1361" s="10" t="s">
        <v>364</v>
      </c>
      <c r="E1361" s="11" t="str">
        <f>+HYPERLINK("http://trademark.i-assist.jp/data/china/image_1902th/79069145.pdf", "79069145")</f>
        <v>79069145</v>
      </c>
      <c r="F1361" s="10" t="s">
        <v>4101</v>
      </c>
      <c r="G1361" s="10" t="s">
        <v>348</v>
      </c>
      <c r="H1361" s="10" t="s">
        <v>4102</v>
      </c>
      <c r="I1361" s="10" t="s">
        <v>278</v>
      </c>
    </row>
    <row r="1362" spans="1:9" x14ac:dyDescent="0.15">
      <c r="A1362" s="9">
        <v>1361</v>
      </c>
      <c r="B1362" s="10" t="s">
        <v>9</v>
      </c>
      <c r="C1362" s="10" t="s">
        <v>363</v>
      </c>
      <c r="D1362" s="10" t="s">
        <v>364</v>
      </c>
      <c r="E1362" s="11" t="str">
        <f>+HYPERLINK("http://trademark.i-assist.jp/data/china/image_1902th/79069234.pdf", "79069234")</f>
        <v>79069234</v>
      </c>
      <c r="F1362" s="10" t="s">
        <v>4103</v>
      </c>
      <c r="G1362" s="10" t="s">
        <v>318</v>
      </c>
      <c r="H1362" s="10" t="s">
        <v>4104</v>
      </c>
      <c r="I1362" s="10" t="s">
        <v>278</v>
      </c>
    </row>
    <row r="1363" spans="1:9" x14ac:dyDescent="0.15">
      <c r="A1363" s="9">
        <v>1362</v>
      </c>
      <c r="B1363" s="10" t="s">
        <v>9</v>
      </c>
      <c r="C1363" s="10" t="s">
        <v>363</v>
      </c>
      <c r="D1363" s="10" t="s">
        <v>364</v>
      </c>
      <c r="E1363" s="11" t="str">
        <f>+HYPERLINK("http://trademark.i-assist.jp/data/china/image_1902th/79069346.pdf", "79069346")</f>
        <v>79069346</v>
      </c>
      <c r="F1363" s="10" t="s">
        <v>4105</v>
      </c>
      <c r="G1363" s="10" t="s">
        <v>4106</v>
      </c>
      <c r="H1363" s="10" t="s">
        <v>4107</v>
      </c>
      <c r="I1363" s="10" t="s">
        <v>278</v>
      </c>
    </row>
    <row r="1364" spans="1:9" x14ac:dyDescent="0.15">
      <c r="A1364" s="9">
        <v>1363</v>
      </c>
      <c r="B1364" s="10" t="s">
        <v>9</v>
      </c>
      <c r="C1364" s="10" t="s">
        <v>363</v>
      </c>
      <c r="D1364" s="10" t="s">
        <v>364</v>
      </c>
      <c r="E1364" s="11" t="str">
        <f>+HYPERLINK("http://trademark.i-assist.jp/data/china/image_1902th/79069498.pdf", "79069498")</f>
        <v>79069498</v>
      </c>
      <c r="F1364" s="10" t="s">
        <v>4108</v>
      </c>
      <c r="G1364" s="10" t="s">
        <v>4109</v>
      </c>
      <c r="H1364" s="10" t="s">
        <v>4110</v>
      </c>
      <c r="I1364" s="10" t="s">
        <v>278</v>
      </c>
    </row>
    <row r="1365" spans="1:9" x14ac:dyDescent="0.15">
      <c r="A1365" s="9">
        <v>1364</v>
      </c>
      <c r="B1365" s="10" t="s">
        <v>9</v>
      </c>
      <c r="C1365" s="10" t="s">
        <v>363</v>
      </c>
      <c r="D1365" s="10" t="s">
        <v>364</v>
      </c>
      <c r="E1365" s="11" t="str">
        <f>+HYPERLINK("http://trademark.i-assist.jp/data/china/image_1902th/79069749.pdf", "79069749")</f>
        <v>79069749</v>
      </c>
      <c r="F1365" s="10" t="s">
        <v>4111</v>
      </c>
      <c r="G1365" s="10" t="s">
        <v>4112</v>
      </c>
      <c r="H1365" s="10" t="s">
        <v>4113</v>
      </c>
      <c r="I1365" s="10" t="s">
        <v>278</v>
      </c>
    </row>
    <row r="1366" spans="1:9" x14ac:dyDescent="0.15">
      <c r="A1366" s="9">
        <v>1365</v>
      </c>
      <c r="B1366" s="10" t="s">
        <v>9</v>
      </c>
      <c r="C1366" s="10" t="s">
        <v>363</v>
      </c>
      <c r="D1366" s="10" t="s">
        <v>364</v>
      </c>
      <c r="E1366" s="11" t="str">
        <f>+HYPERLINK("http://trademark.i-assist.jp/data/china/image_1902th/79069793.pdf", "79069793")</f>
        <v>79069793</v>
      </c>
      <c r="F1366" s="10" t="s">
        <v>4114</v>
      </c>
      <c r="G1366" s="10" t="s">
        <v>4115</v>
      </c>
      <c r="H1366" s="10" t="s">
        <v>4116</v>
      </c>
      <c r="I1366" s="10" t="s">
        <v>278</v>
      </c>
    </row>
    <row r="1367" spans="1:9" x14ac:dyDescent="0.15">
      <c r="A1367" s="9">
        <v>1366</v>
      </c>
      <c r="B1367" s="10" t="s">
        <v>9</v>
      </c>
      <c r="C1367" s="10" t="s">
        <v>363</v>
      </c>
      <c r="D1367" s="10" t="s">
        <v>364</v>
      </c>
      <c r="E1367" s="11" t="str">
        <f>+HYPERLINK("http://trademark.i-assist.jp/data/china/image_1902th/79070103.pdf", "79070103")</f>
        <v>79070103</v>
      </c>
      <c r="F1367" s="10" t="s">
        <v>4117</v>
      </c>
      <c r="G1367" s="10" t="s">
        <v>348</v>
      </c>
      <c r="H1367" s="10" t="s">
        <v>4118</v>
      </c>
      <c r="I1367" s="10" t="s">
        <v>278</v>
      </c>
    </row>
    <row r="1368" spans="1:9" x14ac:dyDescent="0.15">
      <c r="A1368" s="9">
        <v>1367</v>
      </c>
      <c r="B1368" s="10" t="s">
        <v>9</v>
      </c>
      <c r="C1368" s="10" t="s">
        <v>363</v>
      </c>
      <c r="D1368" s="10" t="s">
        <v>364</v>
      </c>
      <c r="E1368" s="11" t="str">
        <f>+HYPERLINK("http://trademark.i-assist.jp/data/china/image_1902th/79070185.pdf", "79070185")</f>
        <v>79070185</v>
      </c>
      <c r="F1368" s="10" t="s">
        <v>4119</v>
      </c>
      <c r="G1368" s="10" t="s">
        <v>4081</v>
      </c>
      <c r="H1368" s="10" t="s">
        <v>4120</v>
      </c>
      <c r="I1368" s="10" t="s">
        <v>278</v>
      </c>
    </row>
    <row r="1369" spans="1:9" x14ac:dyDescent="0.15">
      <c r="A1369" s="9">
        <v>1368</v>
      </c>
      <c r="B1369" s="10" t="s">
        <v>9</v>
      </c>
      <c r="C1369" s="10" t="s">
        <v>363</v>
      </c>
      <c r="D1369" s="10" t="s">
        <v>364</v>
      </c>
      <c r="E1369" s="11" t="str">
        <f>+HYPERLINK("http://trademark.i-assist.jp/data/china/image_1902th/79070581.pdf", "79070581")</f>
        <v>79070581</v>
      </c>
      <c r="F1369" s="10" t="s">
        <v>4121</v>
      </c>
      <c r="G1369" s="10" t="s">
        <v>4122</v>
      </c>
      <c r="H1369" s="10" t="s">
        <v>4123</v>
      </c>
      <c r="I1369" s="10" t="s">
        <v>278</v>
      </c>
    </row>
    <row r="1370" spans="1:9" x14ac:dyDescent="0.15">
      <c r="A1370" s="9">
        <v>1369</v>
      </c>
      <c r="B1370" s="10" t="s">
        <v>9</v>
      </c>
      <c r="C1370" s="10" t="s">
        <v>363</v>
      </c>
      <c r="D1370" s="10" t="s">
        <v>364</v>
      </c>
      <c r="E1370" s="11" t="str">
        <f>+HYPERLINK("http://trademark.i-assist.jp/data/china/image_1902th/79070653.pdf", "79070653")</f>
        <v>79070653</v>
      </c>
      <c r="F1370" s="10" t="s">
        <v>4124</v>
      </c>
      <c r="G1370" s="10" t="s">
        <v>4125</v>
      </c>
      <c r="H1370" s="10" t="s">
        <v>4126</v>
      </c>
      <c r="I1370" s="10" t="s">
        <v>278</v>
      </c>
    </row>
    <row r="1371" spans="1:9" x14ac:dyDescent="0.15">
      <c r="A1371" s="9">
        <v>1370</v>
      </c>
      <c r="B1371" s="10" t="s">
        <v>9</v>
      </c>
      <c r="C1371" s="10" t="s">
        <v>363</v>
      </c>
      <c r="D1371" s="10" t="s">
        <v>364</v>
      </c>
      <c r="E1371" s="11" t="str">
        <f>+HYPERLINK("http://trademark.i-assist.jp/data/china/image_1902th/79070872.pdf", "79070872")</f>
        <v>79070872</v>
      </c>
      <c r="F1371" s="10" t="s">
        <v>4127</v>
      </c>
      <c r="G1371" s="10" t="s">
        <v>4128</v>
      </c>
      <c r="H1371" s="10" t="s">
        <v>4129</v>
      </c>
      <c r="I1371" s="10" t="s">
        <v>278</v>
      </c>
    </row>
    <row r="1372" spans="1:9" x14ac:dyDescent="0.15">
      <c r="A1372" s="9">
        <v>1371</v>
      </c>
      <c r="B1372" s="10" t="s">
        <v>9</v>
      </c>
      <c r="C1372" s="10" t="s">
        <v>363</v>
      </c>
      <c r="D1372" s="10" t="s">
        <v>364</v>
      </c>
      <c r="E1372" s="11" t="str">
        <f>+HYPERLINK("http://trademark.i-assist.jp/data/china/image_1902th/79070930.pdf", "79070930")</f>
        <v>79070930</v>
      </c>
      <c r="F1372" s="10" t="s">
        <v>4130</v>
      </c>
      <c r="G1372" s="10" t="s">
        <v>4131</v>
      </c>
      <c r="H1372" s="10" t="s">
        <v>4132</v>
      </c>
      <c r="I1372" s="10" t="s">
        <v>278</v>
      </c>
    </row>
    <row r="1373" spans="1:9" x14ac:dyDescent="0.15">
      <c r="A1373" s="9">
        <v>1372</v>
      </c>
      <c r="B1373" s="10" t="s">
        <v>9</v>
      </c>
      <c r="C1373" s="10" t="s">
        <v>363</v>
      </c>
      <c r="D1373" s="10" t="s">
        <v>364</v>
      </c>
      <c r="E1373" s="11" t="str">
        <f>+HYPERLINK("http://trademark.i-assist.jp/data/china/image_1902th/79070972.pdf", "79070972")</f>
        <v>79070972</v>
      </c>
      <c r="F1373" s="10" t="s">
        <v>4133</v>
      </c>
      <c r="G1373" s="10" t="s">
        <v>4134</v>
      </c>
      <c r="H1373" s="10" t="s">
        <v>4135</v>
      </c>
      <c r="I1373" s="10" t="s">
        <v>278</v>
      </c>
    </row>
    <row r="1374" spans="1:9" x14ac:dyDescent="0.15">
      <c r="A1374" s="9">
        <v>1373</v>
      </c>
      <c r="B1374" s="10" t="s">
        <v>9</v>
      </c>
      <c r="C1374" s="10" t="s">
        <v>363</v>
      </c>
      <c r="D1374" s="10" t="s">
        <v>364</v>
      </c>
      <c r="E1374" s="11" t="str">
        <f>+HYPERLINK("http://trademark.i-assist.jp/data/china/image_1902th/79071048.pdf", "79071048")</f>
        <v>79071048</v>
      </c>
      <c r="F1374" s="10" t="s">
        <v>4136</v>
      </c>
      <c r="G1374" s="10" t="s">
        <v>4064</v>
      </c>
      <c r="H1374" s="10" t="s">
        <v>4137</v>
      </c>
      <c r="I1374" s="10" t="s">
        <v>278</v>
      </c>
    </row>
    <row r="1375" spans="1:9" x14ac:dyDescent="0.15">
      <c r="A1375" s="9">
        <v>1374</v>
      </c>
      <c r="B1375" s="10" t="s">
        <v>9</v>
      </c>
      <c r="C1375" s="10" t="s">
        <v>363</v>
      </c>
      <c r="D1375" s="10" t="s">
        <v>364</v>
      </c>
      <c r="E1375" s="11" t="str">
        <f>+HYPERLINK("http://trademark.i-assist.jp/data/china/image_1902th/79071145.pdf", "79071145")</f>
        <v>79071145</v>
      </c>
      <c r="F1375" s="10" t="s">
        <v>4138</v>
      </c>
      <c r="G1375" s="10" t="s">
        <v>4139</v>
      </c>
      <c r="H1375" s="10" t="s">
        <v>4140</v>
      </c>
      <c r="I1375" s="10" t="s">
        <v>278</v>
      </c>
    </row>
    <row r="1376" spans="1:9" x14ac:dyDescent="0.15">
      <c r="A1376" s="9">
        <v>1375</v>
      </c>
      <c r="B1376" s="10" t="s">
        <v>9</v>
      </c>
      <c r="C1376" s="10" t="s">
        <v>363</v>
      </c>
      <c r="D1376" s="10" t="s">
        <v>364</v>
      </c>
      <c r="E1376" s="11" t="str">
        <f>+HYPERLINK("http://trademark.i-assist.jp/data/china/image_1902th/79071378.pdf", "79071378")</f>
        <v>79071378</v>
      </c>
      <c r="F1376" s="10" t="s">
        <v>4141</v>
      </c>
      <c r="G1376" s="10" t="s">
        <v>279</v>
      </c>
      <c r="H1376" s="10" t="s">
        <v>4142</v>
      </c>
      <c r="I1376" s="10" t="s">
        <v>278</v>
      </c>
    </row>
    <row r="1377" spans="1:9" x14ac:dyDescent="0.15">
      <c r="A1377" s="9">
        <v>1376</v>
      </c>
      <c r="B1377" s="10" t="s">
        <v>9</v>
      </c>
      <c r="C1377" s="10" t="s">
        <v>363</v>
      </c>
      <c r="D1377" s="10" t="s">
        <v>364</v>
      </c>
      <c r="E1377" s="11" t="str">
        <f>+HYPERLINK("http://trademark.i-assist.jp/data/china/image_1902th/79071743.pdf", "79071743")</f>
        <v>79071743</v>
      </c>
      <c r="F1377" s="10" t="s">
        <v>4143</v>
      </c>
      <c r="G1377" s="10" t="s">
        <v>4144</v>
      </c>
      <c r="H1377" s="10" t="s">
        <v>4145</v>
      </c>
      <c r="I1377" s="10" t="s">
        <v>278</v>
      </c>
    </row>
    <row r="1378" spans="1:9" x14ac:dyDescent="0.15">
      <c r="A1378" s="9">
        <v>1377</v>
      </c>
      <c r="B1378" s="10" t="s">
        <v>9</v>
      </c>
      <c r="C1378" s="10" t="s">
        <v>363</v>
      </c>
      <c r="D1378" s="10" t="s">
        <v>364</v>
      </c>
      <c r="E1378" s="11" t="str">
        <f>+HYPERLINK("http://trademark.i-assist.jp/data/china/image_1902th/79071855.pdf", "79071855")</f>
        <v>79071855</v>
      </c>
      <c r="F1378" s="10" t="s">
        <v>4146</v>
      </c>
      <c r="G1378" s="10" t="s">
        <v>4147</v>
      </c>
      <c r="H1378" s="10" t="s">
        <v>4148</v>
      </c>
      <c r="I1378" s="10" t="s">
        <v>278</v>
      </c>
    </row>
    <row r="1379" spans="1:9" x14ac:dyDescent="0.15">
      <c r="A1379" s="9">
        <v>1378</v>
      </c>
      <c r="B1379" s="10" t="s">
        <v>9</v>
      </c>
      <c r="C1379" s="10" t="s">
        <v>363</v>
      </c>
      <c r="D1379" s="10" t="s">
        <v>364</v>
      </c>
      <c r="E1379" s="11" t="str">
        <f>+HYPERLINK("http://trademark.i-assist.jp/data/china/image_1902th/79071920.pdf", "79071920")</f>
        <v>79071920</v>
      </c>
      <c r="F1379" s="10" t="s">
        <v>4149</v>
      </c>
      <c r="G1379" s="10" t="s">
        <v>4081</v>
      </c>
      <c r="H1379" s="10" t="s">
        <v>4150</v>
      </c>
      <c r="I1379" s="10" t="s">
        <v>278</v>
      </c>
    </row>
    <row r="1380" spans="1:9" x14ac:dyDescent="0.15">
      <c r="A1380" s="9">
        <v>1379</v>
      </c>
      <c r="B1380" s="10" t="s">
        <v>9</v>
      </c>
      <c r="C1380" s="10" t="s">
        <v>363</v>
      </c>
      <c r="D1380" s="10" t="s">
        <v>364</v>
      </c>
      <c r="E1380" s="11" t="str">
        <f>+HYPERLINK("http://trademark.i-assist.jp/data/china/image_1902th/79071951.pdf", "79071951")</f>
        <v>79071951</v>
      </c>
      <c r="F1380" s="10" t="s">
        <v>4151</v>
      </c>
      <c r="G1380" s="10" t="s">
        <v>4152</v>
      </c>
      <c r="H1380" s="10" t="s">
        <v>4153</v>
      </c>
      <c r="I1380" s="10" t="s">
        <v>278</v>
      </c>
    </row>
    <row r="1381" spans="1:9" x14ac:dyDescent="0.15">
      <c r="A1381" s="9">
        <v>1380</v>
      </c>
      <c r="B1381" s="10" t="s">
        <v>9</v>
      </c>
      <c r="C1381" s="10" t="s">
        <v>363</v>
      </c>
      <c r="D1381" s="10" t="s">
        <v>364</v>
      </c>
      <c r="E1381" s="11" t="str">
        <f>+HYPERLINK("http://trademark.i-assist.jp/data/china/image_1902th/79072674.pdf", "79072674")</f>
        <v>79072674</v>
      </c>
      <c r="F1381" s="10" t="s">
        <v>4154</v>
      </c>
      <c r="G1381" s="10" t="s">
        <v>4155</v>
      </c>
      <c r="H1381" s="10" t="s">
        <v>4156</v>
      </c>
      <c r="I1381" s="10" t="s">
        <v>278</v>
      </c>
    </row>
    <row r="1382" spans="1:9" x14ac:dyDescent="0.15">
      <c r="A1382" s="9">
        <v>1381</v>
      </c>
      <c r="B1382" s="10" t="s">
        <v>9</v>
      </c>
      <c r="C1382" s="10" t="s">
        <v>363</v>
      </c>
      <c r="D1382" s="10" t="s">
        <v>364</v>
      </c>
      <c r="E1382" s="11" t="str">
        <f>+HYPERLINK("http://trademark.i-assist.jp/data/china/image_1902th/79072766.pdf", "79072766")</f>
        <v>79072766</v>
      </c>
      <c r="F1382" s="10" t="s">
        <v>4157</v>
      </c>
      <c r="G1382" s="10" t="s">
        <v>4158</v>
      </c>
      <c r="H1382" s="10" t="s">
        <v>4159</v>
      </c>
      <c r="I1382" s="10" t="s">
        <v>278</v>
      </c>
    </row>
    <row r="1383" spans="1:9" x14ac:dyDescent="0.15">
      <c r="A1383" s="9">
        <v>1382</v>
      </c>
      <c r="B1383" s="10" t="s">
        <v>9</v>
      </c>
      <c r="C1383" s="10" t="s">
        <v>363</v>
      </c>
      <c r="D1383" s="10" t="s">
        <v>364</v>
      </c>
      <c r="E1383" s="11" t="str">
        <f>+HYPERLINK("http://trademark.i-assist.jp/data/china/image_1902th/79072772.pdf", "79072772")</f>
        <v>79072772</v>
      </c>
      <c r="F1383" s="10" t="s">
        <v>4160</v>
      </c>
      <c r="G1383" s="10" t="s">
        <v>4161</v>
      </c>
      <c r="H1383" s="10" t="s">
        <v>4162</v>
      </c>
      <c r="I1383" s="10" t="s">
        <v>278</v>
      </c>
    </row>
    <row r="1384" spans="1:9" x14ac:dyDescent="0.15">
      <c r="A1384" s="9">
        <v>1383</v>
      </c>
      <c r="B1384" s="10" t="s">
        <v>9</v>
      </c>
      <c r="C1384" s="10" t="s">
        <v>363</v>
      </c>
      <c r="D1384" s="10" t="s">
        <v>364</v>
      </c>
      <c r="E1384" s="11" t="str">
        <f>+HYPERLINK("http://trademark.i-assist.jp/data/china/image_1902th/79072810.pdf", "79072810")</f>
        <v>79072810</v>
      </c>
      <c r="F1384" s="10" t="s">
        <v>4163</v>
      </c>
      <c r="G1384" s="10" t="s">
        <v>4164</v>
      </c>
      <c r="H1384" s="10" t="s">
        <v>4165</v>
      </c>
      <c r="I1384" s="10" t="s">
        <v>278</v>
      </c>
    </row>
    <row r="1385" spans="1:9" x14ac:dyDescent="0.15">
      <c r="A1385" s="9">
        <v>1384</v>
      </c>
      <c r="B1385" s="10" t="s">
        <v>9</v>
      </c>
      <c r="C1385" s="10" t="s">
        <v>363</v>
      </c>
      <c r="D1385" s="10" t="s">
        <v>364</v>
      </c>
      <c r="E1385" s="11" t="str">
        <f>+HYPERLINK("http://trademark.i-assist.jp/data/china/image_1902th/79072814.pdf", "79072814")</f>
        <v>79072814</v>
      </c>
      <c r="F1385" s="10" t="s">
        <v>4166</v>
      </c>
      <c r="G1385" s="10" t="s">
        <v>4167</v>
      </c>
      <c r="H1385" s="10" t="s">
        <v>4168</v>
      </c>
      <c r="I1385" s="10" t="s">
        <v>278</v>
      </c>
    </row>
    <row r="1386" spans="1:9" x14ac:dyDescent="0.15">
      <c r="A1386" s="9">
        <v>1385</v>
      </c>
      <c r="B1386" s="10" t="s">
        <v>9</v>
      </c>
      <c r="C1386" s="10" t="s">
        <v>363</v>
      </c>
      <c r="D1386" s="10" t="s">
        <v>364</v>
      </c>
      <c r="E1386" s="11" t="str">
        <f>+HYPERLINK("http://trademark.i-assist.jp/data/china/image_1902th/79072893.pdf", "79072893")</f>
        <v>79072893</v>
      </c>
      <c r="F1386" s="10" t="s">
        <v>4169</v>
      </c>
      <c r="G1386" s="10" t="s">
        <v>4170</v>
      </c>
      <c r="H1386" s="10" t="s">
        <v>4171</v>
      </c>
      <c r="I1386" s="10" t="s">
        <v>278</v>
      </c>
    </row>
    <row r="1387" spans="1:9" x14ac:dyDescent="0.15">
      <c r="A1387" s="9">
        <v>1386</v>
      </c>
      <c r="B1387" s="10" t="s">
        <v>9</v>
      </c>
      <c r="C1387" s="10" t="s">
        <v>363</v>
      </c>
      <c r="D1387" s="10" t="s">
        <v>364</v>
      </c>
      <c r="E1387" s="11" t="str">
        <f>+HYPERLINK("http://trademark.i-assist.jp/data/china/image_1902th/79072921.pdf", "79072921")</f>
        <v>79072921</v>
      </c>
      <c r="F1387" s="10" t="s">
        <v>12</v>
      </c>
      <c r="G1387" s="10" t="s">
        <v>4172</v>
      </c>
      <c r="H1387" s="10" t="s">
        <v>4173</v>
      </c>
      <c r="I1387" s="10" t="s">
        <v>278</v>
      </c>
    </row>
    <row r="1388" spans="1:9" x14ac:dyDescent="0.15">
      <c r="A1388" s="9">
        <v>1387</v>
      </c>
      <c r="B1388" s="10" t="s">
        <v>9</v>
      </c>
      <c r="C1388" s="10" t="s">
        <v>363</v>
      </c>
      <c r="D1388" s="10" t="s">
        <v>364</v>
      </c>
      <c r="E1388" s="11" t="str">
        <f>+HYPERLINK("http://trademark.i-assist.jp/data/china/image_1902th/79073105.pdf", "79073105")</f>
        <v>79073105</v>
      </c>
      <c r="F1388" s="10" t="s">
        <v>4174</v>
      </c>
      <c r="G1388" s="10" t="s">
        <v>4175</v>
      </c>
      <c r="H1388" s="10" t="s">
        <v>4176</v>
      </c>
      <c r="I1388" s="10" t="s">
        <v>278</v>
      </c>
    </row>
    <row r="1389" spans="1:9" x14ac:dyDescent="0.15">
      <c r="A1389" s="9">
        <v>1388</v>
      </c>
      <c r="B1389" s="10" t="s">
        <v>9</v>
      </c>
      <c r="C1389" s="10" t="s">
        <v>363</v>
      </c>
      <c r="D1389" s="10" t="s">
        <v>364</v>
      </c>
      <c r="E1389" s="11" t="str">
        <f>+HYPERLINK("http://trademark.i-assist.jp/data/china/image_1902th/79073309.pdf", "79073309")</f>
        <v>79073309</v>
      </c>
      <c r="F1389" s="10" t="s">
        <v>4177</v>
      </c>
      <c r="G1389" s="10" t="s">
        <v>4178</v>
      </c>
      <c r="H1389" s="10" t="s">
        <v>4179</v>
      </c>
      <c r="I1389" s="10" t="s">
        <v>278</v>
      </c>
    </row>
    <row r="1390" spans="1:9" x14ac:dyDescent="0.15">
      <c r="A1390" s="9">
        <v>1389</v>
      </c>
      <c r="B1390" s="10" t="s">
        <v>9</v>
      </c>
      <c r="C1390" s="10" t="s">
        <v>363</v>
      </c>
      <c r="D1390" s="10" t="s">
        <v>364</v>
      </c>
      <c r="E1390" s="11" t="str">
        <f>+HYPERLINK("http://trademark.i-assist.jp/data/china/image_1902th/79073648.pdf", "79073648")</f>
        <v>79073648</v>
      </c>
      <c r="F1390" s="10" t="s">
        <v>4180</v>
      </c>
      <c r="G1390" s="10" t="s">
        <v>4181</v>
      </c>
      <c r="H1390" s="10" t="s">
        <v>4182</v>
      </c>
      <c r="I1390" s="10" t="s">
        <v>278</v>
      </c>
    </row>
    <row r="1391" spans="1:9" x14ac:dyDescent="0.15">
      <c r="A1391" s="9">
        <v>1390</v>
      </c>
      <c r="B1391" s="10" t="s">
        <v>9</v>
      </c>
      <c r="C1391" s="10" t="s">
        <v>363</v>
      </c>
      <c r="D1391" s="10" t="s">
        <v>364</v>
      </c>
      <c r="E1391" s="11" t="str">
        <f>+HYPERLINK("http://trademark.i-assist.jp/data/china/image_1902th/79073771.pdf", "79073771")</f>
        <v>79073771</v>
      </c>
      <c r="F1391" s="10" t="s">
        <v>4183</v>
      </c>
      <c r="G1391" s="10" t="s">
        <v>4184</v>
      </c>
      <c r="H1391" s="10" t="s">
        <v>4185</v>
      </c>
      <c r="I1391" s="10" t="s">
        <v>278</v>
      </c>
    </row>
    <row r="1392" spans="1:9" x14ac:dyDescent="0.15">
      <c r="A1392" s="9">
        <v>1391</v>
      </c>
      <c r="B1392" s="10" t="s">
        <v>9</v>
      </c>
      <c r="C1392" s="10" t="s">
        <v>363</v>
      </c>
      <c r="D1392" s="10" t="s">
        <v>364</v>
      </c>
      <c r="E1392" s="11" t="str">
        <f>+HYPERLINK("http://trademark.i-assist.jp/data/china/image_1902th/79073926.pdf", "79073926")</f>
        <v>79073926</v>
      </c>
      <c r="F1392" s="10" t="s">
        <v>4186</v>
      </c>
      <c r="G1392" s="10" t="s">
        <v>263</v>
      </c>
      <c r="H1392" s="10" t="s">
        <v>4187</v>
      </c>
      <c r="I1392" s="10" t="s">
        <v>278</v>
      </c>
    </row>
    <row r="1393" spans="1:9" x14ac:dyDescent="0.15">
      <c r="A1393" s="9">
        <v>1392</v>
      </c>
      <c r="B1393" s="10" t="s">
        <v>9</v>
      </c>
      <c r="C1393" s="10" t="s">
        <v>363</v>
      </c>
      <c r="D1393" s="10" t="s">
        <v>364</v>
      </c>
      <c r="E1393" s="11" t="str">
        <f>+HYPERLINK("http://trademark.i-assist.jp/data/china/image_1902th/79073990.pdf", "79073990")</f>
        <v>79073990</v>
      </c>
      <c r="F1393" s="10" t="s">
        <v>4188</v>
      </c>
      <c r="G1393" s="10" t="s">
        <v>4189</v>
      </c>
      <c r="H1393" s="10" t="s">
        <v>4190</v>
      </c>
      <c r="I1393" s="10" t="s">
        <v>278</v>
      </c>
    </row>
    <row r="1394" spans="1:9" x14ac:dyDescent="0.15">
      <c r="A1394" s="9">
        <v>1393</v>
      </c>
      <c r="B1394" s="10" t="s">
        <v>9</v>
      </c>
      <c r="C1394" s="10" t="s">
        <v>363</v>
      </c>
      <c r="D1394" s="10" t="s">
        <v>364</v>
      </c>
      <c r="E1394" s="11" t="str">
        <f>+HYPERLINK("http://trademark.i-assist.jp/data/china/image_1902th/79074196.pdf", "79074196")</f>
        <v>79074196</v>
      </c>
      <c r="F1394" s="10" t="s">
        <v>12</v>
      </c>
      <c r="G1394" s="10" t="s">
        <v>4191</v>
      </c>
      <c r="H1394" s="10" t="s">
        <v>4192</v>
      </c>
      <c r="I1394" s="10" t="s">
        <v>278</v>
      </c>
    </row>
    <row r="1395" spans="1:9" x14ac:dyDescent="0.15">
      <c r="A1395" s="9">
        <v>1394</v>
      </c>
      <c r="B1395" s="10" t="s">
        <v>9</v>
      </c>
      <c r="C1395" s="10" t="s">
        <v>363</v>
      </c>
      <c r="D1395" s="10" t="s">
        <v>364</v>
      </c>
      <c r="E1395" s="11" t="str">
        <f>+HYPERLINK("http://trademark.i-assist.jp/data/china/image_1902th/79074445.pdf", "79074445")</f>
        <v>79074445</v>
      </c>
      <c r="F1395" s="10" t="s">
        <v>12</v>
      </c>
      <c r="G1395" s="10" t="s">
        <v>4193</v>
      </c>
      <c r="H1395" s="10" t="s">
        <v>4194</v>
      </c>
      <c r="I1395" s="10" t="s">
        <v>278</v>
      </c>
    </row>
    <row r="1396" spans="1:9" x14ac:dyDescent="0.15">
      <c r="A1396" s="9">
        <v>1395</v>
      </c>
      <c r="B1396" s="10" t="s">
        <v>9</v>
      </c>
      <c r="C1396" s="10" t="s">
        <v>363</v>
      </c>
      <c r="D1396" s="10" t="s">
        <v>364</v>
      </c>
      <c r="E1396" s="11" t="str">
        <f>+HYPERLINK("http://trademark.i-assist.jp/data/china/image_1902th/79074452.pdf", "79074452")</f>
        <v>79074452</v>
      </c>
      <c r="F1396" s="10" t="s">
        <v>12</v>
      </c>
      <c r="G1396" s="10" t="s">
        <v>4193</v>
      </c>
      <c r="H1396" s="10" t="s">
        <v>4195</v>
      </c>
      <c r="I1396" s="10" t="s">
        <v>278</v>
      </c>
    </row>
    <row r="1397" spans="1:9" x14ac:dyDescent="0.15">
      <c r="A1397" s="9">
        <v>1396</v>
      </c>
      <c r="B1397" s="10" t="s">
        <v>9</v>
      </c>
      <c r="C1397" s="10" t="s">
        <v>363</v>
      </c>
      <c r="D1397" s="10" t="s">
        <v>364</v>
      </c>
      <c r="E1397" s="11" t="str">
        <f>+HYPERLINK("http://trademark.i-assist.jp/data/china/image_1902th/79074780.pdf", "79074780")</f>
        <v>79074780</v>
      </c>
      <c r="F1397" s="10" t="s">
        <v>4196</v>
      </c>
      <c r="G1397" s="10" t="s">
        <v>286</v>
      </c>
      <c r="H1397" s="10" t="s">
        <v>4197</v>
      </c>
      <c r="I1397" s="10" t="s">
        <v>278</v>
      </c>
    </row>
    <row r="1398" spans="1:9" x14ac:dyDescent="0.15">
      <c r="A1398" s="9">
        <v>1397</v>
      </c>
      <c r="B1398" s="10" t="s">
        <v>9</v>
      </c>
      <c r="C1398" s="10" t="s">
        <v>363</v>
      </c>
      <c r="D1398" s="10" t="s">
        <v>364</v>
      </c>
      <c r="E1398" s="11" t="str">
        <f>+HYPERLINK("http://trademark.i-assist.jp/data/china/image_1902th/79074926.pdf", "79074926")</f>
        <v>79074926</v>
      </c>
      <c r="F1398" s="10" t="s">
        <v>4198</v>
      </c>
      <c r="G1398" s="10" t="s">
        <v>4199</v>
      </c>
      <c r="H1398" s="10" t="s">
        <v>4200</v>
      </c>
      <c r="I1398" s="10" t="s">
        <v>278</v>
      </c>
    </row>
    <row r="1399" spans="1:9" x14ac:dyDescent="0.15">
      <c r="A1399" s="9">
        <v>1398</v>
      </c>
      <c r="B1399" s="10" t="s">
        <v>9</v>
      </c>
      <c r="C1399" s="10" t="s">
        <v>363</v>
      </c>
      <c r="D1399" s="10" t="s">
        <v>364</v>
      </c>
      <c r="E1399" s="11" t="str">
        <f>+HYPERLINK("http://trademark.i-assist.jp/data/china/image_1902th/79075257.pdf", "79075257")</f>
        <v>79075257</v>
      </c>
      <c r="F1399" s="10" t="s">
        <v>4201</v>
      </c>
      <c r="G1399" s="10" t="s">
        <v>4202</v>
      </c>
      <c r="H1399" s="10" t="s">
        <v>4203</v>
      </c>
      <c r="I1399" s="10" t="s">
        <v>278</v>
      </c>
    </row>
    <row r="1400" spans="1:9" x14ac:dyDescent="0.15">
      <c r="A1400" s="9">
        <v>1399</v>
      </c>
      <c r="B1400" s="10" t="s">
        <v>9</v>
      </c>
      <c r="C1400" s="10" t="s">
        <v>363</v>
      </c>
      <c r="D1400" s="10" t="s">
        <v>364</v>
      </c>
      <c r="E1400" s="11" t="str">
        <f>+HYPERLINK("http://trademark.i-assist.jp/data/china/image_1902th/79075523.pdf", "79075523")</f>
        <v>79075523</v>
      </c>
      <c r="F1400" s="10" t="s">
        <v>4204</v>
      </c>
      <c r="G1400" s="10" t="s">
        <v>4205</v>
      </c>
      <c r="H1400" s="10" t="s">
        <v>4206</v>
      </c>
      <c r="I1400" s="10" t="s">
        <v>278</v>
      </c>
    </row>
    <row r="1401" spans="1:9" x14ac:dyDescent="0.15">
      <c r="A1401" s="9">
        <v>1400</v>
      </c>
      <c r="B1401" s="10" t="s">
        <v>9</v>
      </c>
      <c r="C1401" s="10" t="s">
        <v>363</v>
      </c>
      <c r="D1401" s="10" t="s">
        <v>364</v>
      </c>
      <c r="E1401" s="11" t="str">
        <f>+HYPERLINK("http://trademark.i-assist.jp/data/china/image_1902th/79075578.pdf", "79075578")</f>
        <v>79075578</v>
      </c>
      <c r="F1401" s="10" t="s">
        <v>4207</v>
      </c>
      <c r="G1401" s="10" t="s">
        <v>4125</v>
      </c>
      <c r="H1401" s="10" t="s">
        <v>4208</v>
      </c>
      <c r="I1401" s="10" t="s">
        <v>278</v>
      </c>
    </row>
    <row r="1402" spans="1:9" x14ac:dyDescent="0.15">
      <c r="A1402" s="9">
        <v>1401</v>
      </c>
      <c r="B1402" s="10" t="s">
        <v>9</v>
      </c>
      <c r="C1402" s="10" t="s">
        <v>363</v>
      </c>
      <c r="D1402" s="10" t="s">
        <v>364</v>
      </c>
      <c r="E1402" s="11" t="str">
        <f>+HYPERLINK("http://trademark.i-assist.jp/data/china/image_1902th/79075731.pdf", "79075731")</f>
        <v>79075731</v>
      </c>
      <c r="F1402" s="10" t="s">
        <v>4209</v>
      </c>
      <c r="G1402" s="10" t="s">
        <v>4210</v>
      </c>
      <c r="H1402" s="10" t="s">
        <v>4211</v>
      </c>
      <c r="I1402" s="10" t="s">
        <v>278</v>
      </c>
    </row>
    <row r="1403" spans="1:9" x14ac:dyDescent="0.15">
      <c r="A1403" s="9">
        <v>1402</v>
      </c>
      <c r="B1403" s="10" t="s">
        <v>9</v>
      </c>
      <c r="C1403" s="10" t="s">
        <v>363</v>
      </c>
      <c r="D1403" s="10" t="s">
        <v>364</v>
      </c>
      <c r="E1403" s="11" t="str">
        <f>+HYPERLINK("http://trademark.i-assist.jp/data/china/image_1902th/79075773.pdf", "79075773")</f>
        <v>79075773</v>
      </c>
      <c r="F1403" s="10" t="s">
        <v>4212</v>
      </c>
      <c r="G1403" s="10" t="s">
        <v>4213</v>
      </c>
      <c r="H1403" s="10" t="s">
        <v>4214</v>
      </c>
      <c r="I1403" s="10" t="s">
        <v>278</v>
      </c>
    </row>
    <row r="1404" spans="1:9" x14ac:dyDescent="0.15">
      <c r="A1404" s="9">
        <v>1403</v>
      </c>
      <c r="B1404" s="10" t="s">
        <v>9</v>
      </c>
      <c r="C1404" s="10" t="s">
        <v>363</v>
      </c>
      <c r="D1404" s="10" t="s">
        <v>364</v>
      </c>
      <c r="E1404" s="11" t="str">
        <f>+HYPERLINK("http://trademark.i-assist.jp/data/china/image_1902th/79075784.pdf", "79075784")</f>
        <v>79075784</v>
      </c>
      <c r="F1404" s="10" t="s">
        <v>4215</v>
      </c>
      <c r="G1404" s="10" t="s">
        <v>4216</v>
      </c>
      <c r="H1404" s="10" t="s">
        <v>4217</v>
      </c>
      <c r="I1404" s="10" t="s">
        <v>278</v>
      </c>
    </row>
    <row r="1405" spans="1:9" x14ac:dyDescent="0.15">
      <c r="A1405" s="9">
        <v>1404</v>
      </c>
      <c r="B1405" s="10" t="s">
        <v>9</v>
      </c>
      <c r="C1405" s="10" t="s">
        <v>363</v>
      </c>
      <c r="D1405" s="10" t="s">
        <v>364</v>
      </c>
      <c r="E1405" s="11" t="str">
        <f>+HYPERLINK("http://trademark.i-assist.jp/data/china/image_1902th/79075879.pdf", "79075879")</f>
        <v>79075879</v>
      </c>
      <c r="F1405" s="10" t="s">
        <v>4218</v>
      </c>
      <c r="G1405" s="10" t="s">
        <v>4219</v>
      </c>
      <c r="H1405" s="10" t="s">
        <v>4220</v>
      </c>
      <c r="I1405" s="10" t="s">
        <v>278</v>
      </c>
    </row>
    <row r="1406" spans="1:9" x14ac:dyDescent="0.15">
      <c r="A1406" s="9">
        <v>1405</v>
      </c>
      <c r="B1406" s="10" t="s">
        <v>9</v>
      </c>
      <c r="C1406" s="10" t="s">
        <v>363</v>
      </c>
      <c r="D1406" s="10" t="s">
        <v>364</v>
      </c>
      <c r="E1406" s="11" t="str">
        <f>+HYPERLINK("http://trademark.i-assist.jp/data/china/image_1902th/79076048.pdf", "79076048")</f>
        <v>79076048</v>
      </c>
      <c r="F1406" s="10" t="s">
        <v>4221</v>
      </c>
      <c r="G1406" s="10" t="s">
        <v>4222</v>
      </c>
      <c r="H1406" s="10" t="s">
        <v>4223</v>
      </c>
      <c r="I1406" s="10" t="s">
        <v>278</v>
      </c>
    </row>
    <row r="1407" spans="1:9" x14ac:dyDescent="0.15">
      <c r="A1407" s="9">
        <v>1406</v>
      </c>
      <c r="B1407" s="10" t="s">
        <v>9</v>
      </c>
      <c r="C1407" s="10" t="s">
        <v>363</v>
      </c>
      <c r="D1407" s="10" t="s">
        <v>364</v>
      </c>
      <c r="E1407" s="11" t="str">
        <f>+HYPERLINK("http://trademark.i-assist.jp/data/china/image_1902th/79076611.pdf", "79076611")</f>
        <v>79076611</v>
      </c>
      <c r="F1407" s="10" t="s">
        <v>4224</v>
      </c>
      <c r="G1407" s="10" t="s">
        <v>4028</v>
      </c>
      <c r="H1407" s="10" t="s">
        <v>4225</v>
      </c>
      <c r="I1407" s="10" t="s">
        <v>278</v>
      </c>
    </row>
    <row r="1408" spans="1:9" x14ac:dyDescent="0.15">
      <c r="A1408" s="9">
        <v>1407</v>
      </c>
      <c r="B1408" s="10" t="s">
        <v>9</v>
      </c>
      <c r="C1408" s="10" t="s">
        <v>363</v>
      </c>
      <c r="D1408" s="10" t="s">
        <v>364</v>
      </c>
      <c r="E1408" s="11" t="str">
        <f>+HYPERLINK("http://trademark.i-assist.jp/data/china/image_1902th/79076831.pdf", "79076831")</f>
        <v>79076831</v>
      </c>
      <c r="F1408" s="10" t="s">
        <v>4226</v>
      </c>
      <c r="G1408" s="10" t="s">
        <v>4048</v>
      </c>
      <c r="H1408" s="10" t="s">
        <v>4227</v>
      </c>
      <c r="I1408" s="10" t="s">
        <v>278</v>
      </c>
    </row>
    <row r="1409" spans="1:9" x14ac:dyDescent="0.15">
      <c r="A1409" s="9">
        <v>1408</v>
      </c>
      <c r="B1409" s="10" t="s">
        <v>9</v>
      </c>
      <c r="C1409" s="10" t="s">
        <v>363</v>
      </c>
      <c r="D1409" s="10" t="s">
        <v>364</v>
      </c>
      <c r="E1409" s="11" t="str">
        <f>+HYPERLINK("http://trademark.i-assist.jp/data/china/image_1902th/79077016.pdf", "79077016")</f>
        <v>79077016</v>
      </c>
      <c r="F1409" s="10" t="s">
        <v>4228</v>
      </c>
      <c r="G1409" s="10" t="s">
        <v>4229</v>
      </c>
      <c r="H1409" s="10" t="s">
        <v>4230</v>
      </c>
      <c r="I1409" s="10" t="s">
        <v>278</v>
      </c>
    </row>
    <row r="1410" spans="1:9" x14ac:dyDescent="0.15">
      <c r="A1410" s="9">
        <v>1409</v>
      </c>
      <c r="B1410" s="10" t="s">
        <v>9</v>
      </c>
      <c r="C1410" s="10" t="s">
        <v>363</v>
      </c>
      <c r="D1410" s="10" t="s">
        <v>364</v>
      </c>
      <c r="E1410" s="11" t="str">
        <f>+HYPERLINK("http://trademark.i-assist.jp/data/china/image_1902th/79077106.pdf", "79077106")</f>
        <v>79077106</v>
      </c>
      <c r="F1410" s="10" t="s">
        <v>4231</v>
      </c>
      <c r="G1410" s="10" t="s">
        <v>4232</v>
      </c>
      <c r="H1410" s="10" t="s">
        <v>4233</v>
      </c>
      <c r="I1410" s="10" t="s">
        <v>278</v>
      </c>
    </row>
    <row r="1411" spans="1:9" x14ac:dyDescent="0.15">
      <c r="A1411" s="9">
        <v>1410</v>
      </c>
      <c r="B1411" s="10" t="s">
        <v>9</v>
      </c>
      <c r="C1411" s="10" t="s">
        <v>363</v>
      </c>
      <c r="D1411" s="10" t="s">
        <v>364</v>
      </c>
      <c r="E1411" s="11" t="str">
        <f>+HYPERLINK("http://trademark.i-assist.jp/data/china/image_1902th/79077206.pdf", "79077206")</f>
        <v>79077206</v>
      </c>
      <c r="F1411" s="10" t="s">
        <v>4234</v>
      </c>
      <c r="G1411" s="10" t="s">
        <v>4235</v>
      </c>
      <c r="H1411" s="10" t="s">
        <v>4236</v>
      </c>
      <c r="I1411" s="10" t="s">
        <v>278</v>
      </c>
    </row>
    <row r="1412" spans="1:9" x14ac:dyDescent="0.15">
      <c r="A1412" s="9">
        <v>1411</v>
      </c>
      <c r="B1412" s="10" t="s">
        <v>9</v>
      </c>
      <c r="C1412" s="10" t="s">
        <v>363</v>
      </c>
      <c r="D1412" s="10" t="s">
        <v>364</v>
      </c>
      <c r="E1412" s="11" t="str">
        <f>+HYPERLINK("http://trademark.i-assist.jp/data/china/image_1902th/79077239.pdf", "79077239")</f>
        <v>79077239</v>
      </c>
      <c r="F1412" s="10" t="s">
        <v>4237</v>
      </c>
      <c r="G1412" s="10" t="s">
        <v>4238</v>
      </c>
      <c r="H1412" s="10" t="s">
        <v>4239</v>
      </c>
      <c r="I1412" s="10" t="s">
        <v>278</v>
      </c>
    </row>
    <row r="1413" spans="1:9" x14ac:dyDescent="0.15">
      <c r="A1413" s="9">
        <v>1412</v>
      </c>
      <c r="B1413" s="10" t="s">
        <v>9</v>
      </c>
      <c r="C1413" s="10" t="s">
        <v>363</v>
      </c>
      <c r="D1413" s="10" t="s">
        <v>364</v>
      </c>
      <c r="E1413" s="11" t="str">
        <f>+HYPERLINK("http://trademark.i-assist.jp/data/china/image_1902th/79077247.pdf", "79077247")</f>
        <v>79077247</v>
      </c>
      <c r="F1413" s="10" t="s">
        <v>4240</v>
      </c>
      <c r="G1413" s="10" t="s">
        <v>4202</v>
      </c>
      <c r="H1413" s="10" t="s">
        <v>4241</v>
      </c>
      <c r="I1413" s="10" t="s">
        <v>278</v>
      </c>
    </row>
    <row r="1414" spans="1:9" x14ac:dyDescent="0.15">
      <c r="A1414" s="9">
        <v>1413</v>
      </c>
      <c r="B1414" s="10" t="s">
        <v>9</v>
      </c>
      <c r="C1414" s="10" t="s">
        <v>363</v>
      </c>
      <c r="D1414" s="10" t="s">
        <v>364</v>
      </c>
      <c r="E1414" s="11" t="str">
        <f>+HYPERLINK("http://trademark.i-assist.jp/data/china/image_1902th/79077406.pdf", "79077406")</f>
        <v>79077406</v>
      </c>
      <c r="F1414" s="10" t="s">
        <v>4242</v>
      </c>
      <c r="G1414" s="10" t="s">
        <v>286</v>
      </c>
      <c r="H1414" s="10" t="s">
        <v>4243</v>
      </c>
      <c r="I1414" s="10" t="s">
        <v>278</v>
      </c>
    </row>
    <row r="1415" spans="1:9" x14ac:dyDescent="0.15">
      <c r="A1415" s="9">
        <v>1414</v>
      </c>
      <c r="B1415" s="10" t="s">
        <v>9</v>
      </c>
      <c r="C1415" s="10" t="s">
        <v>363</v>
      </c>
      <c r="D1415" s="10" t="s">
        <v>364</v>
      </c>
      <c r="E1415" s="11" t="str">
        <f>+HYPERLINK("http://trademark.i-assist.jp/data/china/image_1902th/79078027.pdf", "79078027")</f>
        <v>79078027</v>
      </c>
      <c r="F1415" s="10" t="s">
        <v>4244</v>
      </c>
      <c r="G1415" s="10" t="s">
        <v>4245</v>
      </c>
      <c r="H1415" s="10" t="s">
        <v>4246</v>
      </c>
      <c r="I1415" s="10" t="s">
        <v>278</v>
      </c>
    </row>
    <row r="1416" spans="1:9" x14ac:dyDescent="0.15">
      <c r="A1416" s="9">
        <v>1415</v>
      </c>
      <c r="B1416" s="10" t="s">
        <v>9</v>
      </c>
      <c r="C1416" s="10" t="s">
        <v>363</v>
      </c>
      <c r="D1416" s="10" t="s">
        <v>364</v>
      </c>
      <c r="E1416" s="11" t="str">
        <f>+HYPERLINK("http://trademark.i-assist.jp/data/china/image_1902th/79078407.pdf", "79078407")</f>
        <v>79078407</v>
      </c>
      <c r="F1416" s="10" t="s">
        <v>4247</v>
      </c>
      <c r="G1416" s="10" t="s">
        <v>4248</v>
      </c>
      <c r="H1416" s="10" t="s">
        <v>4249</v>
      </c>
      <c r="I1416" s="10" t="s">
        <v>278</v>
      </c>
    </row>
    <row r="1417" spans="1:9" x14ac:dyDescent="0.15">
      <c r="A1417" s="9">
        <v>1416</v>
      </c>
      <c r="B1417" s="10" t="s">
        <v>9</v>
      </c>
      <c r="C1417" s="10" t="s">
        <v>363</v>
      </c>
      <c r="D1417" s="10" t="s">
        <v>364</v>
      </c>
      <c r="E1417" s="11" t="str">
        <f>+HYPERLINK("http://trademark.i-assist.jp/data/china/image_1902th/79078479.pdf", "79078479")</f>
        <v>79078479</v>
      </c>
      <c r="F1417" s="10" t="s">
        <v>4250</v>
      </c>
      <c r="G1417" s="10" t="s">
        <v>285</v>
      </c>
      <c r="H1417" s="10" t="s">
        <v>4251</v>
      </c>
      <c r="I1417" s="10" t="s">
        <v>278</v>
      </c>
    </row>
    <row r="1418" spans="1:9" x14ac:dyDescent="0.15">
      <c r="A1418" s="9">
        <v>1417</v>
      </c>
      <c r="B1418" s="10" t="s">
        <v>9</v>
      </c>
      <c r="C1418" s="10" t="s">
        <v>363</v>
      </c>
      <c r="D1418" s="10" t="s">
        <v>364</v>
      </c>
      <c r="E1418" s="11" t="str">
        <f>+HYPERLINK("http://trademark.i-assist.jp/data/china/image_1902th/79078610.pdf", "79078610")</f>
        <v>79078610</v>
      </c>
      <c r="F1418" s="10" t="s">
        <v>4252</v>
      </c>
      <c r="G1418" s="10" t="s">
        <v>4253</v>
      </c>
      <c r="H1418" s="10" t="s">
        <v>4254</v>
      </c>
      <c r="I1418" s="10" t="s">
        <v>278</v>
      </c>
    </row>
    <row r="1419" spans="1:9" x14ac:dyDescent="0.15">
      <c r="A1419" s="9">
        <v>1418</v>
      </c>
      <c r="B1419" s="10" t="s">
        <v>9</v>
      </c>
      <c r="C1419" s="10" t="s">
        <v>363</v>
      </c>
      <c r="D1419" s="10" t="s">
        <v>364</v>
      </c>
      <c r="E1419" s="11" t="str">
        <f>+HYPERLINK("http://trademark.i-assist.jp/data/china/image_1902th/79078675.pdf", "79078675")</f>
        <v>79078675</v>
      </c>
      <c r="F1419" s="10" t="s">
        <v>4255</v>
      </c>
      <c r="G1419" s="10" t="s">
        <v>4081</v>
      </c>
      <c r="H1419" s="10" t="s">
        <v>4256</v>
      </c>
      <c r="I1419" s="10" t="s">
        <v>278</v>
      </c>
    </row>
    <row r="1420" spans="1:9" x14ac:dyDescent="0.15">
      <c r="A1420" s="9">
        <v>1419</v>
      </c>
      <c r="B1420" s="10" t="s">
        <v>9</v>
      </c>
      <c r="C1420" s="10" t="s">
        <v>363</v>
      </c>
      <c r="D1420" s="10" t="s">
        <v>364</v>
      </c>
      <c r="E1420" s="11" t="str">
        <f>+HYPERLINK("http://trademark.i-assist.jp/data/china/image_1902th/79078995.pdf", "79078995")</f>
        <v>79078995</v>
      </c>
      <c r="F1420" s="10" t="s">
        <v>4257</v>
      </c>
      <c r="G1420" s="10" t="s">
        <v>4122</v>
      </c>
      <c r="H1420" s="10" t="s">
        <v>4258</v>
      </c>
      <c r="I1420" s="10" t="s">
        <v>278</v>
      </c>
    </row>
    <row r="1421" spans="1:9" x14ac:dyDescent="0.15">
      <c r="A1421" s="9">
        <v>1420</v>
      </c>
      <c r="B1421" s="10" t="s">
        <v>9</v>
      </c>
      <c r="C1421" s="10" t="s">
        <v>363</v>
      </c>
      <c r="D1421" s="10" t="s">
        <v>364</v>
      </c>
      <c r="E1421" s="11" t="str">
        <f>+HYPERLINK("http://trademark.i-assist.jp/data/china/image_1902th/79079063.pdf", "79079063")</f>
        <v>79079063</v>
      </c>
      <c r="F1421" s="10" t="s">
        <v>4259</v>
      </c>
      <c r="G1421" s="10" t="s">
        <v>4260</v>
      </c>
      <c r="H1421" s="10" t="s">
        <v>4261</v>
      </c>
      <c r="I1421" s="10" t="s">
        <v>278</v>
      </c>
    </row>
    <row r="1422" spans="1:9" x14ac:dyDescent="0.15">
      <c r="A1422" s="9">
        <v>1421</v>
      </c>
      <c r="B1422" s="10" t="s">
        <v>9</v>
      </c>
      <c r="C1422" s="10" t="s">
        <v>363</v>
      </c>
      <c r="D1422" s="10" t="s">
        <v>364</v>
      </c>
      <c r="E1422" s="11" t="str">
        <f>+HYPERLINK("http://trademark.i-assist.jp/data/china/image_1902th/79079288.pdf", "79079288")</f>
        <v>79079288</v>
      </c>
      <c r="F1422" s="10" t="s">
        <v>4262</v>
      </c>
      <c r="G1422" s="10" t="s">
        <v>4263</v>
      </c>
      <c r="H1422" s="10" t="s">
        <v>4264</v>
      </c>
      <c r="I1422" s="10" t="s">
        <v>278</v>
      </c>
    </row>
    <row r="1423" spans="1:9" x14ac:dyDescent="0.15">
      <c r="A1423" s="9">
        <v>1422</v>
      </c>
      <c r="B1423" s="10" t="s">
        <v>9</v>
      </c>
      <c r="C1423" s="10" t="s">
        <v>363</v>
      </c>
      <c r="D1423" s="10" t="s">
        <v>364</v>
      </c>
      <c r="E1423" s="11" t="str">
        <f>+HYPERLINK("http://trademark.i-assist.jp/data/china/image_1902th/79079402.pdf", "79079402")</f>
        <v>79079402</v>
      </c>
      <c r="F1423" s="10" t="s">
        <v>4265</v>
      </c>
      <c r="G1423" s="10" t="s">
        <v>4266</v>
      </c>
      <c r="H1423" s="10" t="s">
        <v>4267</v>
      </c>
      <c r="I1423" s="10" t="s">
        <v>278</v>
      </c>
    </row>
    <row r="1424" spans="1:9" x14ac:dyDescent="0.15">
      <c r="A1424" s="9">
        <v>1423</v>
      </c>
      <c r="B1424" s="10" t="s">
        <v>9</v>
      </c>
      <c r="C1424" s="10" t="s">
        <v>363</v>
      </c>
      <c r="D1424" s="10" t="s">
        <v>364</v>
      </c>
      <c r="E1424" s="11" t="str">
        <f>+HYPERLINK("http://trademark.i-assist.jp/data/china/image_1902th/79079685.pdf", "79079685")</f>
        <v>79079685</v>
      </c>
      <c r="F1424" s="10" t="s">
        <v>4268</v>
      </c>
      <c r="G1424" s="10" t="s">
        <v>279</v>
      </c>
      <c r="H1424" s="10" t="s">
        <v>4269</v>
      </c>
      <c r="I1424" s="10" t="s">
        <v>278</v>
      </c>
    </row>
    <row r="1425" spans="1:9" x14ac:dyDescent="0.15">
      <c r="A1425" s="9">
        <v>1424</v>
      </c>
      <c r="B1425" s="10" t="s">
        <v>9</v>
      </c>
      <c r="C1425" s="10" t="s">
        <v>363</v>
      </c>
      <c r="D1425" s="10" t="s">
        <v>364</v>
      </c>
      <c r="E1425" s="11" t="str">
        <f>+HYPERLINK("http://trademark.i-assist.jp/data/china/image_1902th/79079851.pdf", "79079851")</f>
        <v>79079851</v>
      </c>
      <c r="F1425" s="10" t="s">
        <v>4270</v>
      </c>
      <c r="G1425" s="10" t="s">
        <v>4271</v>
      </c>
      <c r="H1425" s="10" t="s">
        <v>4272</v>
      </c>
      <c r="I1425" s="10" t="s">
        <v>278</v>
      </c>
    </row>
    <row r="1426" spans="1:9" x14ac:dyDescent="0.15">
      <c r="A1426" s="9">
        <v>1425</v>
      </c>
      <c r="B1426" s="10" t="s">
        <v>9</v>
      </c>
      <c r="C1426" s="10" t="s">
        <v>363</v>
      </c>
      <c r="D1426" s="10" t="s">
        <v>364</v>
      </c>
      <c r="E1426" s="11" t="str">
        <f>+HYPERLINK("http://trademark.i-assist.jp/data/china/image_1902th/79079872.pdf", "79079872")</f>
        <v>79079872</v>
      </c>
      <c r="F1426" s="10" t="s">
        <v>4273</v>
      </c>
      <c r="G1426" s="10" t="s">
        <v>4274</v>
      </c>
      <c r="H1426" s="10" t="s">
        <v>4275</v>
      </c>
      <c r="I1426" s="10" t="s">
        <v>278</v>
      </c>
    </row>
    <row r="1427" spans="1:9" x14ac:dyDescent="0.15">
      <c r="A1427" s="9">
        <v>1426</v>
      </c>
      <c r="B1427" s="10" t="s">
        <v>9</v>
      </c>
      <c r="C1427" s="10" t="s">
        <v>363</v>
      </c>
      <c r="D1427" s="10" t="s">
        <v>364</v>
      </c>
      <c r="E1427" s="11" t="str">
        <f>+HYPERLINK("http://trademark.i-assist.jp/data/china/image_1902th/79080278.pdf", "79080278")</f>
        <v>79080278</v>
      </c>
      <c r="F1427" s="10" t="s">
        <v>12</v>
      </c>
      <c r="G1427" s="10" t="s">
        <v>4276</v>
      </c>
      <c r="H1427" s="10" t="s">
        <v>4277</v>
      </c>
      <c r="I1427" s="10" t="s">
        <v>278</v>
      </c>
    </row>
    <row r="1428" spans="1:9" x14ac:dyDescent="0.15">
      <c r="A1428" s="9">
        <v>1427</v>
      </c>
      <c r="B1428" s="10" t="s">
        <v>9</v>
      </c>
      <c r="C1428" s="10" t="s">
        <v>363</v>
      </c>
      <c r="D1428" s="10" t="s">
        <v>364</v>
      </c>
      <c r="E1428" s="11" t="str">
        <f>+HYPERLINK("http://trademark.i-assist.jp/data/china/image_1902th/79080285.pdf", "79080285")</f>
        <v>79080285</v>
      </c>
      <c r="F1428" s="10" t="s">
        <v>4278</v>
      </c>
      <c r="G1428" s="10" t="s">
        <v>280</v>
      </c>
      <c r="H1428" s="10" t="s">
        <v>4279</v>
      </c>
      <c r="I1428" s="10" t="s">
        <v>278</v>
      </c>
    </row>
    <row r="1429" spans="1:9" x14ac:dyDescent="0.15">
      <c r="A1429" s="9">
        <v>1428</v>
      </c>
      <c r="B1429" s="10" t="s">
        <v>9</v>
      </c>
      <c r="C1429" s="10" t="s">
        <v>363</v>
      </c>
      <c r="D1429" s="10" t="s">
        <v>364</v>
      </c>
      <c r="E1429" s="11" t="str">
        <f>+HYPERLINK("http://trademark.i-assist.jp/data/china/image_1902th/79080304.pdf", "79080304")</f>
        <v>79080304</v>
      </c>
      <c r="F1429" s="10" t="s">
        <v>4280</v>
      </c>
      <c r="G1429" s="10" t="s">
        <v>287</v>
      </c>
      <c r="H1429" s="10" t="s">
        <v>4281</v>
      </c>
      <c r="I1429" s="10" t="s">
        <v>278</v>
      </c>
    </row>
    <row r="1430" spans="1:9" x14ac:dyDescent="0.15">
      <c r="A1430" s="9">
        <v>1429</v>
      </c>
      <c r="B1430" s="10" t="s">
        <v>9</v>
      </c>
      <c r="C1430" s="10" t="s">
        <v>363</v>
      </c>
      <c r="D1430" s="10" t="s">
        <v>364</v>
      </c>
      <c r="E1430" s="11" t="str">
        <f>+HYPERLINK("http://trademark.i-assist.jp/data/china/image_1902th/79080362.pdf", "79080362")</f>
        <v>79080362</v>
      </c>
      <c r="F1430" s="10" t="s">
        <v>4282</v>
      </c>
      <c r="G1430" s="10" t="s">
        <v>121</v>
      </c>
      <c r="H1430" s="10" t="s">
        <v>4283</v>
      </c>
      <c r="I1430" s="10" t="s">
        <v>278</v>
      </c>
    </row>
    <row r="1431" spans="1:9" x14ac:dyDescent="0.15">
      <c r="A1431" s="9">
        <v>1430</v>
      </c>
      <c r="B1431" s="10" t="s">
        <v>9</v>
      </c>
      <c r="C1431" s="10" t="s">
        <v>363</v>
      </c>
      <c r="D1431" s="10" t="s">
        <v>364</v>
      </c>
      <c r="E1431" s="11" t="str">
        <f>+HYPERLINK("http://trademark.i-assist.jp/data/china/image_1902th/79080379.pdf", "79080379")</f>
        <v>79080379</v>
      </c>
      <c r="F1431" s="10" t="s">
        <v>4284</v>
      </c>
      <c r="G1431" s="10" t="s">
        <v>4285</v>
      </c>
      <c r="H1431" s="10" t="s">
        <v>4286</v>
      </c>
      <c r="I1431" s="10" t="s">
        <v>278</v>
      </c>
    </row>
    <row r="1432" spans="1:9" x14ac:dyDescent="0.15">
      <c r="A1432" s="9">
        <v>1431</v>
      </c>
      <c r="B1432" s="10" t="s">
        <v>9</v>
      </c>
      <c r="C1432" s="10" t="s">
        <v>363</v>
      </c>
      <c r="D1432" s="10" t="s">
        <v>364</v>
      </c>
      <c r="E1432" s="11" t="str">
        <f>+HYPERLINK("http://trademark.i-assist.jp/data/china/image_1902th/79080425.pdf", "79080425")</f>
        <v>79080425</v>
      </c>
      <c r="F1432" s="10" t="s">
        <v>4287</v>
      </c>
      <c r="G1432" s="10" t="s">
        <v>282</v>
      </c>
      <c r="H1432" s="10" t="s">
        <v>4288</v>
      </c>
      <c r="I1432" s="10" t="s">
        <v>278</v>
      </c>
    </row>
    <row r="1433" spans="1:9" x14ac:dyDescent="0.15">
      <c r="A1433" s="9">
        <v>1432</v>
      </c>
      <c r="B1433" s="10" t="s">
        <v>9</v>
      </c>
      <c r="C1433" s="10" t="s">
        <v>363</v>
      </c>
      <c r="D1433" s="10" t="s">
        <v>364</v>
      </c>
      <c r="E1433" s="11" t="str">
        <f>+HYPERLINK("http://trademark.i-assist.jp/data/china/image_1902th/79080492.pdf", "79080492")</f>
        <v>79080492</v>
      </c>
      <c r="F1433" s="10" t="s">
        <v>4289</v>
      </c>
      <c r="G1433" s="10" t="s">
        <v>4189</v>
      </c>
      <c r="H1433" s="10" t="s">
        <v>4290</v>
      </c>
      <c r="I1433" s="10" t="s">
        <v>278</v>
      </c>
    </row>
    <row r="1434" spans="1:9" x14ac:dyDescent="0.15">
      <c r="A1434" s="9">
        <v>1433</v>
      </c>
      <c r="B1434" s="10" t="s">
        <v>9</v>
      </c>
      <c r="C1434" s="10" t="s">
        <v>363</v>
      </c>
      <c r="D1434" s="10" t="s">
        <v>364</v>
      </c>
      <c r="E1434" s="11" t="str">
        <f>+HYPERLINK("http://trademark.i-assist.jp/data/china/image_1902th/79080833.pdf", "79080833")</f>
        <v>79080833</v>
      </c>
      <c r="F1434" s="10" t="s">
        <v>4291</v>
      </c>
      <c r="G1434" s="10" t="s">
        <v>4081</v>
      </c>
      <c r="H1434" s="10" t="s">
        <v>4292</v>
      </c>
      <c r="I1434" s="10" t="s">
        <v>278</v>
      </c>
    </row>
    <row r="1435" spans="1:9" x14ac:dyDescent="0.15">
      <c r="A1435" s="9">
        <v>1434</v>
      </c>
      <c r="B1435" s="10" t="s">
        <v>9</v>
      </c>
      <c r="C1435" s="10" t="s">
        <v>363</v>
      </c>
      <c r="D1435" s="10" t="s">
        <v>364</v>
      </c>
      <c r="E1435" s="11" t="str">
        <f>+HYPERLINK("http://trademark.i-assist.jp/data/china/image_1902th/79080838.pdf", "79080838")</f>
        <v>79080838</v>
      </c>
      <c r="F1435" s="10" t="s">
        <v>4293</v>
      </c>
      <c r="G1435" s="10" t="s">
        <v>4081</v>
      </c>
      <c r="H1435" s="10" t="s">
        <v>15</v>
      </c>
      <c r="I1435" s="10" t="s">
        <v>278</v>
      </c>
    </row>
    <row r="1436" spans="1:9" x14ac:dyDescent="0.15">
      <c r="A1436" s="9">
        <v>1435</v>
      </c>
      <c r="B1436" s="10" t="s">
        <v>9</v>
      </c>
      <c r="C1436" s="10" t="s">
        <v>363</v>
      </c>
      <c r="D1436" s="10" t="s">
        <v>364</v>
      </c>
      <c r="E1436" s="11" t="str">
        <f>+HYPERLINK("http://trademark.i-assist.jp/data/china/image_1902th/79081013.pdf", "79081013")</f>
        <v>79081013</v>
      </c>
      <c r="F1436" s="10" t="s">
        <v>4294</v>
      </c>
      <c r="G1436" s="10" t="s">
        <v>4295</v>
      </c>
      <c r="H1436" s="10" t="s">
        <v>4296</v>
      </c>
      <c r="I1436" s="10" t="s">
        <v>278</v>
      </c>
    </row>
    <row r="1437" spans="1:9" x14ac:dyDescent="0.15">
      <c r="A1437" s="9">
        <v>1436</v>
      </c>
      <c r="B1437" s="10" t="s">
        <v>9</v>
      </c>
      <c r="C1437" s="10" t="s">
        <v>363</v>
      </c>
      <c r="D1437" s="10" t="s">
        <v>364</v>
      </c>
      <c r="E1437" s="11" t="str">
        <f>+HYPERLINK("http://trademark.i-assist.jp/data/china/image_1902th/79081274.pdf", "79081274")</f>
        <v>79081274</v>
      </c>
      <c r="F1437" s="10" t="s">
        <v>4297</v>
      </c>
      <c r="G1437" s="10" t="s">
        <v>4039</v>
      </c>
      <c r="H1437" s="10" t="s">
        <v>4298</v>
      </c>
      <c r="I1437" s="10" t="s">
        <v>278</v>
      </c>
    </row>
    <row r="1438" spans="1:9" x14ac:dyDescent="0.15">
      <c r="A1438" s="9">
        <v>1437</v>
      </c>
      <c r="B1438" s="10" t="s">
        <v>9</v>
      </c>
      <c r="C1438" s="10" t="s">
        <v>363</v>
      </c>
      <c r="D1438" s="10" t="s">
        <v>364</v>
      </c>
      <c r="E1438" s="11" t="str">
        <f>+HYPERLINK("http://trademark.i-assist.jp/data/china/image_1902th/79081676.pdf", "79081676")</f>
        <v>79081676</v>
      </c>
      <c r="F1438" s="10" t="s">
        <v>4299</v>
      </c>
      <c r="G1438" s="10" t="s">
        <v>4081</v>
      </c>
      <c r="H1438" s="10" t="s">
        <v>4300</v>
      </c>
      <c r="I1438" s="10" t="s">
        <v>278</v>
      </c>
    </row>
    <row r="1439" spans="1:9" x14ac:dyDescent="0.15">
      <c r="A1439" s="9">
        <v>1438</v>
      </c>
      <c r="B1439" s="10" t="s">
        <v>9</v>
      </c>
      <c r="C1439" s="10" t="s">
        <v>363</v>
      </c>
      <c r="D1439" s="10" t="s">
        <v>364</v>
      </c>
      <c r="E1439" s="11" t="str">
        <f>+HYPERLINK("http://trademark.i-assist.jp/data/china/image_1902th/79081735.pdf", "79081735")</f>
        <v>79081735</v>
      </c>
      <c r="F1439" s="10" t="s">
        <v>4301</v>
      </c>
      <c r="G1439" s="10" t="s">
        <v>4302</v>
      </c>
      <c r="H1439" s="10" t="s">
        <v>4303</v>
      </c>
      <c r="I1439" s="10" t="s">
        <v>278</v>
      </c>
    </row>
    <row r="1440" spans="1:9" x14ac:dyDescent="0.15">
      <c r="A1440" s="9">
        <v>1439</v>
      </c>
      <c r="B1440" s="10" t="s">
        <v>9</v>
      </c>
      <c r="C1440" s="10" t="s">
        <v>363</v>
      </c>
      <c r="D1440" s="10" t="s">
        <v>364</v>
      </c>
      <c r="E1440" s="11" t="str">
        <f>+HYPERLINK("http://trademark.i-assist.jp/data/china/image_1902th/79081959.pdf", "79081959")</f>
        <v>79081959</v>
      </c>
      <c r="F1440" s="10" t="s">
        <v>4304</v>
      </c>
      <c r="G1440" s="10" t="s">
        <v>4305</v>
      </c>
      <c r="H1440" s="10" t="s">
        <v>4306</v>
      </c>
      <c r="I1440" s="10" t="s">
        <v>278</v>
      </c>
    </row>
    <row r="1441" spans="1:9" x14ac:dyDescent="0.15">
      <c r="A1441" s="9">
        <v>1440</v>
      </c>
      <c r="B1441" s="10" t="s">
        <v>9</v>
      </c>
      <c r="C1441" s="10" t="s">
        <v>363</v>
      </c>
      <c r="D1441" s="10" t="s">
        <v>364</v>
      </c>
      <c r="E1441" s="11" t="str">
        <f>+HYPERLINK("http://trademark.i-assist.jp/data/china/image_1902th/79082136.pdf", "79082136")</f>
        <v>79082136</v>
      </c>
      <c r="F1441" s="10" t="s">
        <v>4307</v>
      </c>
      <c r="G1441" s="10" t="s">
        <v>4308</v>
      </c>
      <c r="H1441" s="10" t="s">
        <v>4309</v>
      </c>
      <c r="I1441" s="10" t="s">
        <v>278</v>
      </c>
    </row>
    <row r="1442" spans="1:9" x14ac:dyDescent="0.15">
      <c r="A1442" s="9">
        <v>1441</v>
      </c>
      <c r="B1442" s="10" t="s">
        <v>9</v>
      </c>
      <c r="C1442" s="10" t="s">
        <v>363</v>
      </c>
      <c r="D1442" s="10" t="s">
        <v>364</v>
      </c>
      <c r="E1442" s="11" t="str">
        <f>+HYPERLINK("http://trademark.i-assist.jp/data/china/image_1902th/79082687.pdf", "79082687")</f>
        <v>79082687</v>
      </c>
      <c r="F1442" s="10" t="s">
        <v>4310</v>
      </c>
      <c r="G1442" s="10" t="s">
        <v>4311</v>
      </c>
      <c r="H1442" s="10" t="s">
        <v>4312</v>
      </c>
      <c r="I1442" s="10" t="s">
        <v>278</v>
      </c>
    </row>
    <row r="1443" spans="1:9" x14ac:dyDescent="0.15">
      <c r="A1443" s="9">
        <v>1442</v>
      </c>
      <c r="B1443" s="10" t="s">
        <v>9</v>
      </c>
      <c r="C1443" s="10" t="s">
        <v>363</v>
      </c>
      <c r="D1443" s="10" t="s">
        <v>364</v>
      </c>
      <c r="E1443" s="11" t="str">
        <f>+HYPERLINK("http://trademark.i-assist.jp/data/china/image_1902th/79082739.pdf", "79082739")</f>
        <v>79082739</v>
      </c>
      <c r="F1443" s="10" t="s">
        <v>4313</v>
      </c>
      <c r="G1443" s="10" t="s">
        <v>4263</v>
      </c>
      <c r="H1443" s="10" t="s">
        <v>4314</v>
      </c>
      <c r="I1443" s="10" t="s">
        <v>278</v>
      </c>
    </row>
    <row r="1444" spans="1:9" x14ac:dyDescent="0.15">
      <c r="A1444" s="9">
        <v>1443</v>
      </c>
      <c r="B1444" s="10" t="s">
        <v>9</v>
      </c>
      <c r="C1444" s="10" t="s">
        <v>363</v>
      </c>
      <c r="D1444" s="10" t="s">
        <v>364</v>
      </c>
      <c r="E1444" s="11" t="str">
        <f>+HYPERLINK("http://trademark.i-assist.jp/data/china/image_1902th/79082900.pdf", "79082900")</f>
        <v>79082900</v>
      </c>
      <c r="F1444" s="10" t="s">
        <v>4315</v>
      </c>
      <c r="G1444" s="10" t="s">
        <v>4316</v>
      </c>
      <c r="H1444" s="10" t="s">
        <v>4317</v>
      </c>
      <c r="I1444" s="10" t="s">
        <v>278</v>
      </c>
    </row>
    <row r="1445" spans="1:9" x14ac:dyDescent="0.15">
      <c r="A1445" s="9">
        <v>1444</v>
      </c>
      <c r="B1445" s="10" t="s">
        <v>9</v>
      </c>
      <c r="C1445" s="10" t="s">
        <v>363</v>
      </c>
      <c r="D1445" s="10" t="s">
        <v>364</v>
      </c>
      <c r="E1445" s="11" t="str">
        <f>+HYPERLINK("http://trademark.i-assist.jp/data/china/image_1902th/79083292.pdf", "79083292")</f>
        <v>79083292</v>
      </c>
      <c r="F1445" s="10" t="s">
        <v>4318</v>
      </c>
      <c r="G1445" s="10" t="s">
        <v>4319</v>
      </c>
      <c r="H1445" s="10" t="s">
        <v>4320</v>
      </c>
      <c r="I1445" s="10" t="s">
        <v>278</v>
      </c>
    </row>
    <row r="1446" spans="1:9" x14ac:dyDescent="0.15">
      <c r="A1446" s="9">
        <v>1445</v>
      </c>
      <c r="B1446" s="10" t="s">
        <v>9</v>
      </c>
      <c r="C1446" s="10" t="s">
        <v>363</v>
      </c>
      <c r="D1446" s="10" t="s">
        <v>364</v>
      </c>
      <c r="E1446" s="11" t="str">
        <f>+HYPERLINK("http://trademark.i-assist.jp/data/china/image_1902th/79083299.pdf", "79083299")</f>
        <v>79083299</v>
      </c>
      <c r="F1446" s="10" t="s">
        <v>4321</v>
      </c>
      <c r="G1446" s="10" t="s">
        <v>4322</v>
      </c>
      <c r="H1446" s="10" t="s">
        <v>4323</v>
      </c>
      <c r="I1446" s="10" t="s">
        <v>278</v>
      </c>
    </row>
    <row r="1447" spans="1:9" x14ac:dyDescent="0.15">
      <c r="A1447" s="9">
        <v>1446</v>
      </c>
      <c r="B1447" s="10" t="s">
        <v>9</v>
      </c>
      <c r="C1447" s="10" t="s">
        <v>363</v>
      </c>
      <c r="D1447" s="10" t="s">
        <v>364</v>
      </c>
      <c r="E1447" s="11" t="str">
        <f>+HYPERLINK("http://trademark.i-assist.jp/data/china/image_1902th/79083399.pdf", "79083399")</f>
        <v>79083399</v>
      </c>
      <c r="F1447" s="10" t="s">
        <v>4324</v>
      </c>
      <c r="G1447" s="10" t="s">
        <v>4325</v>
      </c>
      <c r="H1447" s="10" t="s">
        <v>4326</v>
      </c>
      <c r="I1447" s="10" t="s">
        <v>278</v>
      </c>
    </row>
    <row r="1448" spans="1:9" x14ac:dyDescent="0.15">
      <c r="A1448" s="9">
        <v>1447</v>
      </c>
      <c r="B1448" s="10" t="s">
        <v>9</v>
      </c>
      <c r="C1448" s="10" t="s">
        <v>363</v>
      </c>
      <c r="D1448" s="10" t="s">
        <v>364</v>
      </c>
      <c r="E1448" s="11" t="str">
        <f>+HYPERLINK("http://trademark.i-assist.jp/data/china/image_1902th/79083725.pdf", "79083725")</f>
        <v>79083725</v>
      </c>
      <c r="F1448" s="10" t="s">
        <v>4327</v>
      </c>
      <c r="G1448" s="10" t="s">
        <v>4328</v>
      </c>
      <c r="H1448" s="10" t="s">
        <v>4329</v>
      </c>
      <c r="I1448" s="10" t="s">
        <v>278</v>
      </c>
    </row>
    <row r="1449" spans="1:9" x14ac:dyDescent="0.15">
      <c r="A1449" s="9">
        <v>1448</v>
      </c>
      <c r="B1449" s="10" t="s">
        <v>9</v>
      </c>
      <c r="C1449" s="10" t="s">
        <v>363</v>
      </c>
      <c r="D1449" s="10" t="s">
        <v>364</v>
      </c>
      <c r="E1449" s="11" t="str">
        <f>+HYPERLINK("http://trademark.i-assist.jp/data/china/image_1902th/79083845.pdf", "79083845")</f>
        <v>79083845</v>
      </c>
      <c r="F1449" s="10" t="s">
        <v>4330</v>
      </c>
      <c r="G1449" s="10" t="s">
        <v>4331</v>
      </c>
      <c r="H1449" s="10" t="s">
        <v>4332</v>
      </c>
      <c r="I1449" s="10" t="s">
        <v>278</v>
      </c>
    </row>
    <row r="1450" spans="1:9" x14ac:dyDescent="0.15">
      <c r="A1450" s="9">
        <v>1449</v>
      </c>
      <c r="B1450" s="10" t="s">
        <v>9</v>
      </c>
      <c r="C1450" s="10" t="s">
        <v>363</v>
      </c>
      <c r="D1450" s="10" t="s">
        <v>364</v>
      </c>
      <c r="E1450" s="11" t="str">
        <f>+HYPERLINK("http://trademark.i-assist.jp/data/china/image_1902th/79083921.pdf", "79083921")</f>
        <v>79083921</v>
      </c>
      <c r="F1450" s="10" t="s">
        <v>4333</v>
      </c>
      <c r="G1450" s="10" t="s">
        <v>4334</v>
      </c>
      <c r="H1450" s="10" t="s">
        <v>4335</v>
      </c>
      <c r="I1450" s="10" t="s">
        <v>278</v>
      </c>
    </row>
    <row r="1451" spans="1:9" x14ac:dyDescent="0.15">
      <c r="A1451" s="9">
        <v>1450</v>
      </c>
      <c r="B1451" s="10" t="s">
        <v>9</v>
      </c>
      <c r="C1451" s="10" t="s">
        <v>363</v>
      </c>
      <c r="D1451" s="10" t="s">
        <v>364</v>
      </c>
      <c r="E1451" s="11" t="str">
        <f>+HYPERLINK("http://trademark.i-assist.jp/data/china/image_1902th/79084502.pdf", "79084502")</f>
        <v>79084502</v>
      </c>
      <c r="F1451" s="10" t="s">
        <v>4336</v>
      </c>
      <c r="G1451" s="10" t="s">
        <v>4337</v>
      </c>
      <c r="H1451" s="10" t="s">
        <v>4338</v>
      </c>
      <c r="I1451" s="10" t="s">
        <v>278</v>
      </c>
    </row>
    <row r="1452" spans="1:9" x14ac:dyDescent="0.15">
      <c r="A1452" s="9">
        <v>1451</v>
      </c>
      <c r="B1452" s="10" t="s">
        <v>9</v>
      </c>
      <c r="C1452" s="10" t="s">
        <v>363</v>
      </c>
      <c r="D1452" s="10" t="s">
        <v>364</v>
      </c>
      <c r="E1452" s="11" t="str">
        <f>+HYPERLINK("http://trademark.i-assist.jp/data/china/image_1902th/79084575.pdf", "79084575")</f>
        <v>79084575</v>
      </c>
      <c r="F1452" s="10" t="s">
        <v>4339</v>
      </c>
      <c r="G1452" s="10" t="s">
        <v>4081</v>
      </c>
      <c r="H1452" s="10" t="s">
        <v>4340</v>
      </c>
      <c r="I1452" s="10" t="s">
        <v>278</v>
      </c>
    </row>
    <row r="1453" spans="1:9" x14ac:dyDescent="0.15">
      <c r="A1453" s="9">
        <v>1452</v>
      </c>
      <c r="B1453" s="10" t="s">
        <v>9</v>
      </c>
      <c r="C1453" s="10" t="s">
        <v>363</v>
      </c>
      <c r="D1453" s="10" t="s">
        <v>364</v>
      </c>
      <c r="E1453" s="11" t="str">
        <f>+HYPERLINK("http://trademark.i-assist.jp/data/china/image_1902th/79084601.pdf", "79084601")</f>
        <v>79084601</v>
      </c>
      <c r="F1453" s="10" t="s">
        <v>4341</v>
      </c>
      <c r="G1453" s="10" t="s">
        <v>4081</v>
      </c>
      <c r="H1453" s="10" t="s">
        <v>4342</v>
      </c>
      <c r="I1453" s="10" t="s">
        <v>278</v>
      </c>
    </row>
    <row r="1454" spans="1:9" x14ac:dyDescent="0.15">
      <c r="A1454" s="9">
        <v>1453</v>
      </c>
      <c r="B1454" s="10" t="s">
        <v>9</v>
      </c>
      <c r="C1454" s="10" t="s">
        <v>363</v>
      </c>
      <c r="D1454" s="10" t="s">
        <v>364</v>
      </c>
      <c r="E1454" s="11" t="str">
        <f>+HYPERLINK("http://trademark.i-assist.jp/data/china/image_1902th/79084805.pdf", "79084805")</f>
        <v>79084805</v>
      </c>
      <c r="F1454" s="10" t="s">
        <v>4343</v>
      </c>
      <c r="G1454" s="10" t="s">
        <v>4344</v>
      </c>
      <c r="H1454" s="10" t="s">
        <v>4345</v>
      </c>
      <c r="I1454" s="10" t="s">
        <v>278</v>
      </c>
    </row>
    <row r="1455" spans="1:9" x14ac:dyDescent="0.15">
      <c r="A1455" s="9">
        <v>1454</v>
      </c>
      <c r="B1455" s="10" t="s">
        <v>9</v>
      </c>
      <c r="C1455" s="10" t="s">
        <v>363</v>
      </c>
      <c r="D1455" s="10" t="s">
        <v>364</v>
      </c>
      <c r="E1455" s="11" t="str">
        <f>+HYPERLINK("http://trademark.i-assist.jp/data/china/image_1902th/79084865.pdf", "79084865")</f>
        <v>79084865</v>
      </c>
      <c r="F1455" s="10" t="s">
        <v>4346</v>
      </c>
      <c r="G1455" s="10" t="s">
        <v>4347</v>
      </c>
      <c r="H1455" s="10" t="s">
        <v>4348</v>
      </c>
      <c r="I1455" s="10" t="s">
        <v>278</v>
      </c>
    </row>
    <row r="1456" spans="1:9" x14ac:dyDescent="0.15">
      <c r="A1456" s="9">
        <v>1455</v>
      </c>
      <c r="B1456" s="10" t="s">
        <v>9</v>
      </c>
      <c r="C1456" s="10" t="s">
        <v>363</v>
      </c>
      <c r="D1456" s="10" t="s">
        <v>364</v>
      </c>
      <c r="E1456" s="11" t="str">
        <f>+HYPERLINK("http://trademark.i-assist.jp/data/china/image_1902th/79084892.pdf", "79084892")</f>
        <v>79084892</v>
      </c>
      <c r="F1456" s="10" t="s">
        <v>4349</v>
      </c>
      <c r="G1456" s="10" t="s">
        <v>4350</v>
      </c>
      <c r="H1456" s="10" t="s">
        <v>4351</v>
      </c>
      <c r="I1456" s="10" t="s">
        <v>278</v>
      </c>
    </row>
    <row r="1457" spans="1:9" x14ac:dyDescent="0.15">
      <c r="A1457" s="9">
        <v>1456</v>
      </c>
      <c r="B1457" s="10" t="s">
        <v>9</v>
      </c>
      <c r="C1457" s="10" t="s">
        <v>363</v>
      </c>
      <c r="D1457" s="10" t="s">
        <v>364</v>
      </c>
      <c r="E1457" s="11" t="str">
        <f>+HYPERLINK("http://trademark.i-assist.jp/data/china/image_1902th/79085076.pdf", "79085076")</f>
        <v>79085076</v>
      </c>
      <c r="F1457" s="10" t="s">
        <v>4352</v>
      </c>
      <c r="G1457" s="10" t="s">
        <v>4353</v>
      </c>
      <c r="H1457" s="10" t="s">
        <v>4354</v>
      </c>
      <c r="I1457" s="10" t="s">
        <v>278</v>
      </c>
    </row>
    <row r="1458" spans="1:9" x14ac:dyDescent="0.15">
      <c r="A1458" s="9">
        <v>1457</v>
      </c>
      <c r="B1458" s="10" t="s">
        <v>9</v>
      </c>
      <c r="C1458" s="10" t="s">
        <v>363</v>
      </c>
      <c r="D1458" s="10" t="s">
        <v>364</v>
      </c>
      <c r="E1458" s="11" t="str">
        <f>+HYPERLINK("http://trademark.i-assist.jp/data/china/image_1902th/79085146.pdf", "79085146")</f>
        <v>79085146</v>
      </c>
      <c r="F1458" s="10" t="s">
        <v>4355</v>
      </c>
      <c r="G1458" s="10" t="s">
        <v>4356</v>
      </c>
      <c r="H1458" s="10" t="s">
        <v>4357</v>
      </c>
      <c r="I1458" s="10" t="s">
        <v>278</v>
      </c>
    </row>
    <row r="1459" spans="1:9" x14ac:dyDescent="0.15">
      <c r="A1459" s="9">
        <v>1458</v>
      </c>
      <c r="B1459" s="10" t="s">
        <v>9</v>
      </c>
      <c r="C1459" s="10" t="s">
        <v>363</v>
      </c>
      <c r="D1459" s="10" t="s">
        <v>364</v>
      </c>
      <c r="E1459" s="11" t="str">
        <f>+HYPERLINK("http://trademark.i-assist.jp/data/china/image_1902th/79085355.pdf", "79085355")</f>
        <v>79085355</v>
      </c>
      <c r="F1459" s="10" t="s">
        <v>4358</v>
      </c>
      <c r="G1459" s="10" t="s">
        <v>4359</v>
      </c>
      <c r="H1459" s="10" t="s">
        <v>4360</v>
      </c>
      <c r="I1459" s="10" t="s">
        <v>278</v>
      </c>
    </row>
    <row r="1460" spans="1:9" x14ac:dyDescent="0.15">
      <c r="A1460" s="9">
        <v>1459</v>
      </c>
      <c r="B1460" s="10" t="s">
        <v>9</v>
      </c>
      <c r="C1460" s="10" t="s">
        <v>363</v>
      </c>
      <c r="D1460" s="10" t="s">
        <v>364</v>
      </c>
      <c r="E1460" s="11" t="str">
        <f>+HYPERLINK("http://trademark.i-assist.jp/data/china/image_1902th/79085523.pdf", "79085523")</f>
        <v>79085523</v>
      </c>
      <c r="F1460" s="10" t="s">
        <v>4361</v>
      </c>
      <c r="G1460" s="10" t="s">
        <v>4362</v>
      </c>
      <c r="H1460" s="10" t="s">
        <v>4363</v>
      </c>
      <c r="I1460" s="10" t="s">
        <v>278</v>
      </c>
    </row>
    <row r="1461" spans="1:9" x14ac:dyDescent="0.15">
      <c r="A1461" s="9">
        <v>1460</v>
      </c>
      <c r="B1461" s="10" t="s">
        <v>9</v>
      </c>
      <c r="C1461" s="10" t="s">
        <v>363</v>
      </c>
      <c r="D1461" s="10" t="s">
        <v>364</v>
      </c>
      <c r="E1461" s="11" t="str">
        <f>+HYPERLINK("http://trademark.i-assist.jp/data/china/image_1902th/79085783.pdf", "79085783")</f>
        <v>79085783</v>
      </c>
      <c r="F1461" s="10" t="s">
        <v>4364</v>
      </c>
      <c r="G1461" s="10" t="s">
        <v>4122</v>
      </c>
      <c r="H1461" s="10" t="s">
        <v>4365</v>
      </c>
      <c r="I1461" s="10" t="s">
        <v>278</v>
      </c>
    </row>
    <row r="1462" spans="1:9" x14ac:dyDescent="0.15">
      <c r="A1462" s="9">
        <v>1461</v>
      </c>
      <c r="B1462" s="10" t="s">
        <v>9</v>
      </c>
      <c r="C1462" s="10" t="s">
        <v>363</v>
      </c>
      <c r="D1462" s="10" t="s">
        <v>364</v>
      </c>
      <c r="E1462" s="11" t="str">
        <f>+HYPERLINK("http://trademark.i-assist.jp/data/china/image_1902th/79085785.pdf", "79085785")</f>
        <v>79085785</v>
      </c>
      <c r="F1462" s="10" t="s">
        <v>4366</v>
      </c>
      <c r="G1462" s="10" t="s">
        <v>4367</v>
      </c>
      <c r="H1462" s="10" t="s">
        <v>4368</v>
      </c>
      <c r="I1462" s="10" t="s">
        <v>278</v>
      </c>
    </row>
    <row r="1463" spans="1:9" x14ac:dyDescent="0.15">
      <c r="A1463" s="9">
        <v>1462</v>
      </c>
      <c r="B1463" s="10" t="s">
        <v>9</v>
      </c>
      <c r="C1463" s="10" t="s">
        <v>363</v>
      </c>
      <c r="D1463" s="10" t="s">
        <v>364</v>
      </c>
      <c r="E1463" s="11" t="str">
        <f>+HYPERLINK("http://trademark.i-assist.jp/data/china/image_1902th/79085788.pdf", "79085788")</f>
        <v>79085788</v>
      </c>
      <c r="F1463" s="10" t="s">
        <v>4369</v>
      </c>
      <c r="G1463" s="10" t="s">
        <v>4370</v>
      </c>
      <c r="H1463" s="10" t="s">
        <v>4371</v>
      </c>
      <c r="I1463" s="10" t="s">
        <v>278</v>
      </c>
    </row>
    <row r="1464" spans="1:9" x14ac:dyDescent="0.15">
      <c r="A1464" s="9">
        <v>1463</v>
      </c>
      <c r="B1464" s="10" t="s">
        <v>9</v>
      </c>
      <c r="C1464" s="10" t="s">
        <v>363</v>
      </c>
      <c r="D1464" s="10" t="s">
        <v>364</v>
      </c>
      <c r="E1464" s="11" t="str">
        <f>+HYPERLINK("http://trademark.i-assist.jp/data/china/image_1902th/79086060.pdf", "79086060")</f>
        <v>79086060</v>
      </c>
      <c r="F1464" s="10" t="s">
        <v>4372</v>
      </c>
      <c r="G1464" s="10" t="s">
        <v>4022</v>
      </c>
      <c r="H1464" s="10" t="s">
        <v>4373</v>
      </c>
      <c r="I1464" s="10" t="s">
        <v>278</v>
      </c>
    </row>
    <row r="1465" spans="1:9" x14ac:dyDescent="0.15">
      <c r="A1465" s="9">
        <v>1464</v>
      </c>
      <c r="B1465" s="10" t="s">
        <v>9</v>
      </c>
      <c r="C1465" s="10" t="s">
        <v>363</v>
      </c>
      <c r="D1465" s="10" t="s">
        <v>364</v>
      </c>
      <c r="E1465" s="11" t="str">
        <f>+HYPERLINK("http://trademark.i-assist.jp/data/china/image_1902th/79086391.pdf", "79086391")</f>
        <v>79086391</v>
      </c>
      <c r="F1465" s="10" t="s">
        <v>4374</v>
      </c>
      <c r="G1465" s="10" t="s">
        <v>4375</v>
      </c>
      <c r="H1465" s="10" t="s">
        <v>4376</v>
      </c>
      <c r="I1465" s="10" t="s">
        <v>278</v>
      </c>
    </row>
    <row r="1466" spans="1:9" x14ac:dyDescent="0.15">
      <c r="A1466" s="9">
        <v>1465</v>
      </c>
      <c r="B1466" s="10" t="s">
        <v>9</v>
      </c>
      <c r="C1466" s="10" t="s">
        <v>363</v>
      </c>
      <c r="D1466" s="10" t="s">
        <v>364</v>
      </c>
      <c r="E1466" s="11" t="str">
        <f>+HYPERLINK("http://trademark.i-assist.jp/data/china/image_1902th/79086542.pdf", "79086542")</f>
        <v>79086542</v>
      </c>
      <c r="F1466" s="10" t="s">
        <v>4377</v>
      </c>
      <c r="G1466" s="10" t="s">
        <v>4022</v>
      </c>
      <c r="H1466" s="10" t="s">
        <v>4378</v>
      </c>
      <c r="I1466" s="10" t="s">
        <v>278</v>
      </c>
    </row>
    <row r="1467" spans="1:9" x14ac:dyDescent="0.15">
      <c r="A1467" s="9">
        <v>1466</v>
      </c>
      <c r="B1467" s="10" t="s">
        <v>9</v>
      </c>
      <c r="C1467" s="10" t="s">
        <v>363</v>
      </c>
      <c r="D1467" s="10" t="s">
        <v>364</v>
      </c>
      <c r="E1467" s="11" t="str">
        <f>+HYPERLINK("http://trademark.i-assist.jp/data/china/image_1902th/79086595.pdf", "79086595")</f>
        <v>79086595</v>
      </c>
      <c r="F1467" s="10" t="s">
        <v>4379</v>
      </c>
      <c r="G1467" s="10" t="s">
        <v>4380</v>
      </c>
      <c r="H1467" s="10" t="s">
        <v>4381</v>
      </c>
      <c r="I1467" s="10" t="s">
        <v>278</v>
      </c>
    </row>
    <row r="1468" spans="1:9" x14ac:dyDescent="0.15">
      <c r="A1468" s="9">
        <v>1467</v>
      </c>
      <c r="B1468" s="10" t="s">
        <v>9</v>
      </c>
      <c r="C1468" s="10" t="s">
        <v>363</v>
      </c>
      <c r="D1468" s="10" t="s">
        <v>364</v>
      </c>
      <c r="E1468" s="11" t="str">
        <f>+HYPERLINK("http://trademark.i-assist.jp/data/china/image_1902th/79086767.pdf", "79086767")</f>
        <v>79086767</v>
      </c>
      <c r="F1468" s="10" t="s">
        <v>4382</v>
      </c>
      <c r="G1468" s="10" t="s">
        <v>4161</v>
      </c>
      <c r="H1468" s="10" t="s">
        <v>4383</v>
      </c>
      <c r="I1468" s="10" t="s">
        <v>278</v>
      </c>
    </row>
    <row r="1469" spans="1:9" x14ac:dyDescent="0.15">
      <c r="A1469" s="9">
        <v>1468</v>
      </c>
      <c r="B1469" s="10" t="s">
        <v>9</v>
      </c>
      <c r="C1469" s="10" t="s">
        <v>363</v>
      </c>
      <c r="D1469" s="10" t="s">
        <v>364</v>
      </c>
      <c r="E1469" s="11" t="str">
        <f>+HYPERLINK("http://trademark.i-assist.jp/data/china/image_1902th/79086782.pdf", "79086782")</f>
        <v>79086782</v>
      </c>
      <c r="F1469" s="10" t="s">
        <v>4384</v>
      </c>
      <c r="G1469" s="10" t="s">
        <v>4311</v>
      </c>
      <c r="H1469" s="10" t="s">
        <v>4385</v>
      </c>
      <c r="I1469" s="10" t="s">
        <v>278</v>
      </c>
    </row>
    <row r="1470" spans="1:9" x14ac:dyDescent="0.15">
      <c r="A1470" s="9">
        <v>1469</v>
      </c>
      <c r="B1470" s="10" t="s">
        <v>9</v>
      </c>
      <c r="C1470" s="10" t="s">
        <v>363</v>
      </c>
      <c r="D1470" s="10" t="s">
        <v>364</v>
      </c>
      <c r="E1470" s="11" t="str">
        <f>+HYPERLINK("http://trademark.i-assist.jp/data/china/image_1902th/79086996.pdf", "79086996")</f>
        <v>79086996</v>
      </c>
      <c r="F1470" s="10" t="s">
        <v>4386</v>
      </c>
      <c r="G1470" s="10" t="s">
        <v>4387</v>
      </c>
      <c r="H1470" s="10" t="s">
        <v>4388</v>
      </c>
      <c r="I1470" s="10" t="s">
        <v>278</v>
      </c>
    </row>
    <row r="1471" spans="1:9" x14ac:dyDescent="0.15">
      <c r="A1471" s="9">
        <v>1470</v>
      </c>
      <c r="B1471" s="10" t="s">
        <v>9</v>
      </c>
      <c r="C1471" s="10" t="s">
        <v>363</v>
      </c>
      <c r="D1471" s="10" t="s">
        <v>364</v>
      </c>
      <c r="E1471" s="11" t="str">
        <f>+HYPERLINK("http://trademark.i-assist.jp/data/china/image_1902th/79087035.pdf", "79087035")</f>
        <v>79087035</v>
      </c>
      <c r="F1471" s="10" t="s">
        <v>12</v>
      </c>
      <c r="G1471" s="10" t="s">
        <v>4389</v>
      </c>
      <c r="H1471" s="10" t="s">
        <v>4390</v>
      </c>
      <c r="I1471" s="10" t="s">
        <v>278</v>
      </c>
    </row>
    <row r="1472" spans="1:9" x14ac:dyDescent="0.15">
      <c r="A1472" s="9">
        <v>1471</v>
      </c>
      <c r="B1472" s="10" t="s">
        <v>9</v>
      </c>
      <c r="C1472" s="10" t="s">
        <v>363</v>
      </c>
      <c r="D1472" s="10" t="s">
        <v>364</v>
      </c>
      <c r="E1472" s="11" t="str">
        <f>+HYPERLINK("http://trademark.i-assist.jp/data/china/image_1902th/79087118.pdf", "79087118")</f>
        <v>79087118</v>
      </c>
      <c r="F1472" s="10" t="s">
        <v>4391</v>
      </c>
      <c r="G1472" s="10" t="s">
        <v>4392</v>
      </c>
      <c r="H1472" s="10" t="s">
        <v>4393</v>
      </c>
      <c r="I1472" s="10" t="s">
        <v>278</v>
      </c>
    </row>
    <row r="1473" spans="1:9" x14ac:dyDescent="0.15">
      <c r="A1473" s="9">
        <v>1472</v>
      </c>
      <c r="B1473" s="10" t="s">
        <v>9</v>
      </c>
      <c r="C1473" s="10" t="s">
        <v>363</v>
      </c>
      <c r="D1473" s="10" t="s">
        <v>364</v>
      </c>
      <c r="E1473" s="11" t="str">
        <f>+HYPERLINK("http://trademark.i-assist.jp/data/china/image_1902th/79087311.pdf", "79087311")</f>
        <v>79087311</v>
      </c>
      <c r="F1473" s="10" t="s">
        <v>4394</v>
      </c>
      <c r="G1473" s="10" t="s">
        <v>4395</v>
      </c>
      <c r="H1473" s="10" t="s">
        <v>4396</v>
      </c>
      <c r="I1473" s="10" t="s">
        <v>278</v>
      </c>
    </row>
    <row r="1474" spans="1:9" x14ac:dyDescent="0.15">
      <c r="A1474" s="9">
        <v>1473</v>
      </c>
      <c r="B1474" s="10" t="s">
        <v>9</v>
      </c>
      <c r="C1474" s="10" t="s">
        <v>363</v>
      </c>
      <c r="D1474" s="10" t="s">
        <v>364</v>
      </c>
      <c r="E1474" s="11" t="str">
        <f>+HYPERLINK("http://trademark.i-assist.jp/data/china/image_1902th/79087419.pdf", "79087419")</f>
        <v>79087419</v>
      </c>
      <c r="F1474" s="10" t="s">
        <v>4397</v>
      </c>
      <c r="G1474" s="10" t="s">
        <v>4398</v>
      </c>
      <c r="H1474" s="10" t="s">
        <v>4399</v>
      </c>
      <c r="I1474" s="10" t="s">
        <v>278</v>
      </c>
    </row>
    <row r="1475" spans="1:9" x14ac:dyDescent="0.15">
      <c r="A1475" s="9">
        <v>1474</v>
      </c>
      <c r="B1475" s="10" t="s">
        <v>9</v>
      </c>
      <c r="C1475" s="10" t="s">
        <v>363</v>
      </c>
      <c r="D1475" s="10" t="s">
        <v>364</v>
      </c>
      <c r="E1475" s="11" t="str">
        <f>+HYPERLINK("http://trademark.i-assist.jp/data/china/image_1902th/79087644.pdf", "79087644")</f>
        <v>79087644</v>
      </c>
      <c r="F1475" s="10" t="s">
        <v>4400</v>
      </c>
      <c r="G1475" s="10" t="s">
        <v>4401</v>
      </c>
      <c r="H1475" s="10" t="s">
        <v>4402</v>
      </c>
      <c r="I1475" s="10" t="s">
        <v>278</v>
      </c>
    </row>
    <row r="1476" spans="1:9" x14ac:dyDescent="0.15">
      <c r="A1476" s="9">
        <v>1475</v>
      </c>
      <c r="B1476" s="10" t="s">
        <v>9</v>
      </c>
      <c r="C1476" s="10" t="s">
        <v>363</v>
      </c>
      <c r="D1476" s="10" t="s">
        <v>364</v>
      </c>
      <c r="E1476" s="11" t="str">
        <f>+HYPERLINK("http://trademark.i-assist.jp/data/china/image_1902th/79087875.pdf", "79087875")</f>
        <v>79087875</v>
      </c>
      <c r="F1476" s="10" t="s">
        <v>4403</v>
      </c>
      <c r="G1476" s="10" t="s">
        <v>4115</v>
      </c>
      <c r="H1476" s="10" t="s">
        <v>4404</v>
      </c>
      <c r="I1476" s="10" t="s">
        <v>278</v>
      </c>
    </row>
    <row r="1477" spans="1:9" x14ac:dyDescent="0.15">
      <c r="A1477" s="9">
        <v>1476</v>
      </c>
      <c r="B1477" s="10" t="s">
        <v>9</v>
      </c>
      <c r="C1477" s="10" t="s">
        <v>363</v>
      </c>
      <c r="D1477" s="10" t="s">
        <v>364</v>
      </c>
      <c r="E1477" s="11" t="str">
        <f>+HYPERLINK("http://trademark.i-assist.jp/data/china/image_1902th/79087933.pdf", "79087933")</f>
        <v>79087933</v>
      </c>
      <c r="F1477" s="10" t="s">
        <v>4405</v>
      </c>
      <c r="G1477" s="10" t="s">
        <v>4406</v>
      </c>
      <c r="H1477" s="10" t="s">
        <v>4407</v>
      </c>
      <c r="I1477" s="10" t="s">
        <v>278</v>
      </c>
    </row>
    <row r="1478" spans="1:9" x14ac:dyDescent="0.15">
      <c r="A1478" s="9">
        <v>1477</v>
      </c>
      <c r="B1478" s="10" t="s">
        <v>9</v>
      </c>
      <c r="C1478" s="10" t="s">
        <v>363</v>
      </c>
      <c r="D1478" s="10" t="s">
        <v>364</v>
      </c>
      <c r="E1478" s="11" t="str">
        <f>+HYPERLINK("http://trademark.i-assist.jp/data/china/image_1902th/79087975.pdf", "79087975")</f>
        <v>79087975</v>
      </c>
      <c r="F1478" s="10" t="s">
        <v>4408</v>
      </c>
      <c r="G1478" s="10" t="s">
        <v>4409</v>
      </c>
      <c r="H1478" s="10" t="s">
        <v>4410</v>
      </c>
      <c r="I1478" s="10" t="s">
        <v>278</v>
      </c>
    </row>
    <row r="1479" spans="1:9" x14ac:dyDescent="0.15">
      <c r="A1479" s="9">
        <v>1478</v>
      </c>
      <c r="B1479" s="10" t="s">
        <v>9</v>
      </c>
      <c r="C1479" s="10" t="s">
        <v>363</v>
      </c>
      <c r="D1479" s="10" t="s">
        <v>364</v>
      </c>
      <c r="E1479" s="11" t="str">
        <f>+HYPERLINK("http://trademark.i-assist.jp/data/china/image_1902th/79088193.pdf", "79088193")</f>
        <v>79088193</v>
      </c>
      <c r="F1479" s="10" t="s">
        <v>4411</v>
      </c>
      <c r="G1479" s="10" t="s">
        <v>4125</v>
      </c>
      <c r="H1479" s="10" t="s">
        <v>4412</v>
      </c>
      <c r="I1479" s="10" t="s">
        <v>278</v>
      </c>
    </row>
    <row r="1480" spans="1:9" x14ac:dyDescent="0.15">
      <c r="A1480" s="9">
        <v>1479</v>
      </c>
      <c r="B1480" s="10" t="s">
        <v>9</v>
      </c>
      <c r="C1480" s="10" t="s">
        <v>363</v>
      </c>
      <c r="D1480" s="10" t="s">
        <v>364</v>
      </c>
      <c r="E1480" s="11" t="str">
        <f>+HYPERLINK("http://trademark.i-assist.jp/data/china/image_1902th/79088219.pdf", "79088219")</f>
        <v>79088219</v>
      </c>
      <c r="F1480" s="10" t="s">
        <v>4413</v>
      </c>
      <c r="G1480" s="10" t="s">
        <v>4414</v>
      </c>
      <c r="H1480" s="10" t="s">
        <v>4415</v>
      </c>
      <c r="I1480" s="10" t="s">
        <v>278</v>
      </c>
    </row>
    <row r="1481" spans="1:9" x14ac:dyDescent="0.15">
      <c r="A1481" s="9">
        <v>1480</v>
      </c>
      <c r="B1481" s="10" t="s">
        <v>9</v>
      </c>
      <c r="C1481" s="10" t="s">
        <v>363</v>
      </c>
      <c r="D1481" s="10" t="s">
        <v>364</v>
      </c>
      <c r="E1481" s="11" t="str">
        <f>+HYPERLINK("http://trademark.i-assist.jp/data/china/image_1902th/79088369.pdf", "79088369")</f>
        <v>79088369</v>
      </c>
      <c r="F1481" s="10" t="s">
        <v>4416</v>
      </c>
      <c r="G1481" s="10" t="s">
        <v>4417</v>
      </c>
      <c r="H1481" s="10" t="s">
        <v>4418</v>
      </c>
      <c r="I1481" s="10" t="s">
        <v>278</v>
      </c>
    </row>
    <row r="1482" spans="1:9" x14ac:dyDescent="0.15">
      <c r="A1482" s="9">
        <v>1481</v>
      </c>
      <c r="B1482" s="10" t="s">
        <v>9</v>
      </c>
      <c r="C1482" s="10" t="s">
        <v>363</v>
      </c>
      <c r="D1482" s="10" t="s">
        <v>364</v>
      </c>
      <c r="E1482" s="11" t="str">
        <f>+HYPERLINK("http://trademark.i-assist.jp/data/china/image_1902th/79088446.pdf", "79088446")</f>
        <v>79088446</v>
      </c>
      <c r="F1482" s="10" t="s">
        <v>4419</v>
      </c>
      <c r="G1482" s="10" t="s">
        <v>4178</v>
      </c>
      <c r="H1482" s="10" t="s">
        <v>4420</v>
      </c>
      <c r="I1482" s="10" t="s">
        <v>278</v>
      </c>
    </row>
    <row r="1483" spans="1:9" x14ac:dyDescent="0.15">
      <c r="A1483" s="9">
        <v>1482</v>
      </c>
      <c r="B1483" s="10" t="s">
        <v>9</v>
      </c>
      <c r="C1483" s="10" t="s">
        <v>363</v>
      </c>
      <c r="D1483" s="10" t="s">
        <v>364</v>
      </c>
      <c r="E1483" s="11" t="str">
        <f>+HYPERLINK("http://trademark.i-assist.jp/data/china/image_1902th/79088498.pdf", "79088498")</f>
        <v>79088498</v>
      </c>
      <c r="F1483" s="10" t="s">
        <v>12</v>
      </c>
      <c r="G1483" s="10" t="s">
        <v>4067</v>
      </c>
      <c r="H1483" s="10" t="s">
        <v>4421</v>
      </c>
      <c r="I1483" s="10" t="s">
        <v>278</v>
      </c>
    </row>
    <row r="1484" spans="1:9" x14ac:dyDescent="0.15">
      <c r="A1484" s="9">
        <v>1483</v>
      </c>
      <c r="B1484" s="10" t="s">
        <v>9</v>
      </c>
      <c r="C1484" s="10" t="s">
        <v>363</v>
      </c>
      <c r="D1484" s="10" t="s">
        <v>364</v>
      </c>
      <c r="E1484" s="11" t="str">
        <f>+HYPERLINK("http://trademark.i-assist.jp/data/china/image_1902th/79088518.pdf", "79088518")</f>
        <v>79088518</v>
      </c>
      <c r="F1484" s="10" t="s">
        <v>4422</v>
      </c>
      <c r="G1484" s="10" t="s">
        <v>4067</v>
      </c>
      <c r="H1484" s="10" t="s">
        <v>4423</v>
      </c>
      <c r="I1484" s="10" t="s">
        <v>278</v>
      </c>
    </row>
    <row r="1485" spans="1:9" x14ac:dyDescent="0.15">
      <c r="A1485" s="9">
        <v>1484</v>
      </c>
      <c r="B1485" s="10" t="s">
        <v>9</v>
      </c>
      <c r="C1485" s="10" t="s">
        <v>363</v>
      </c>
      <c r="D1485" s="10" t="s">
        <v>364</v>
      </c>
      <c r="E1485" s="11" t="str">
        <f>+HYPERLINK("http://trademark.i-assist.jp/data/china/image_1902th/79088769.pdf", "79088769")</f>
        <v>79088769</v>
      </c>
      <c r="F1485" s="10" t="s">
        <v>12</v>
      </c>
      <c r="G1485" s="10" t="s">
        <v>4424</v>
      </c>
      <c r="H1485" s="10" t="s">
        <v>4425</v>
      </c>
      <c r="I1485" s="10" t="s">
        <v>278</v>
      </c>
    </row>
    <row r="1486" spans="1:9" x14ac:dyDescent="0.15">
      <c r="A1486" s="9">
        <v>1485</v>
      </c>
      <c r="B1486" s="10" t="s">
        <v>9</v>
      </c>
      <c r="C1486" s="10" t="s">
        <v>363</v>
      </c>
      <c r="D1486" s="10" t="s">
        <v>364</v>
      </c>
      <c r="E1486" s="11" t="str">
        <f>+HYPERLINK("http://trademark.i-assist.jp/data/china/image_1902th/79088849.pdf", "79088849")</f>
        <v>79088849</v>
      </c>
      <c r="F1486" s="10" t="s">
        <v>4426</v>
      </c>
      <c r="G1486" s="10" t="s">
        <v>4427</v>
      </c>
      <c r="H1486" s="10" t="s">
        <v>4428</v>
      </c>
      <c r="I1486" s="10" t="s">
        <v>278</v>
      </c>
    </row>
    <row r="1487" spans="1:9" x14ac:dyDescent="0.15">
      <c r="A1487" s="9">
        <v>1486</v>
      </c>
      <c r="B1487" s="10" t="s">
        <v>9</v>
      </c>
      <c r="C1487" s="10" t="s">
        <v>363</v>
      </c>
      <c r="D1487" s="10" t="s">
        <v>364</v>
      </c>
      <c r="E1487" s="11" t="str">
        <f>+HYPERLINK("http://trademark.i-assist.jp/data/china/image_1902th/79088949.pdf", "79088949")</f>
        <v>79088949</v>
      </c>
      <c r="F1487" s="10" t="s">
        <v>4429</v>
      </c>
      <c r="G1487" s="10" t="s">
        <v>4430</v>
      </c>
      <c r="H1487" s="10" t="s">
        <v>4431</v>
      </c>
      <c r="I1487" s="10" t="s">
        <v>278</v>
      </c>
    </row>
    <row r="1488" spans="1:9" x14ac:dyDescent="0.15">
      <c r="A1488" s="9">
        <v>1487</v>
      </c>
      <c r="B1488" s="10" t="s">
        <v>9</v>
      </c>
      <c r="C1488" s="10" t="s">
        <v>363</v>
      </c>
      <c r="D1488" s="10" t="s">
        <v>364</v>
      </c>
      <c r="E1488" s="11" t="str">
        <f>+HYPERLINK("http://trademark.i-assist.jp/data/china/image_1902th/79089274.pdf", "79089274")</f>
        <v>79089274</v>
      </c>
      <c r="F1488" s="10" t="s">
        <v>4432</v>
      </c>
      <c r="G1488" s="10" t="s">
        <v>1625</v>
      </c>
      <c r="H1488" s="10" t="s">
        <v>4433</v>
      </c>
      <c r="I1488" s="10" t="s">
        <v>289</v>
      </c>
    </row>
    <row r="1489" spans="1:9" x14ac:dyDescent="0.15">
      <c r="A1489" s="9">
        <v>1488</v>
      </c>
      <c r="B1489" s="10" t="s">
        <v>9</v>
      </c>
      <c r="C1489" s="10" t="s">
        <v>363</v>
      </c>
      <c r="D1489" s="10" t="s">
        <v>364</v>
      </c>
      <c r="E1489" s="11" t="str">
        <f>+HYPERLINK("http://trademark.i-assist.jp/data/china/image_1902th/79089488.pdf", "79089488")</f>
        <v>79089488</v>
      </c>
      <c r="F1489" s="10" t="s">
        <v>4434</v>
      </c>
      <c r="G1489" s="10" t="s">
        <v>4435</v>
      </c>
      <c r="H1489" s="10" t="s">
        <v>4436</v>
      </c>
      <c r="I1489" s="10" t="s">
        <v>289</v>
      </c>
    </row>
    <row r="1490" spans="1:9" x14ac:dyDescent="0.15">
      <c r="A1490" s="9">
        <v>1489</v>
      </c>
      <c r="B1490" s="10" t="s">
        <v>9</v>
      </c>
      <c r="C1490" s="10" t="s">
        <v>363</v>
      </c>
      <c r="D1490" s="10" t="s">
        <v>364</v>
      </c>
      <c r="E1490" s="11" t="str">
        <f>+HYPERLINK("http://trademark.i-assist.jp/data/china/image_1902th/79089651.pdf", "79089651")</f>
        <v>79089651</v>
      </c>
      <c r="F1490" s="10" t="s">
        <v>4437</v>
      </c>
      <c r="G1490" s="10" t="s">
        <v>4438</v>
      </c>
      <c r="H1490" s="10" t="s">
        <v>4439</v>
      </c>
      <c r="I1490" s="10" t="s">
        <v>289</v>
      </c>
    </row>
    <row r="1491" spans="1:9" x14ac:dyDescent="0.15">
      <c r="A1491" s="9">
        <v>1490</v>
      </c>
      <c r="B1491" s="10" t="s">
        <v>9</v>
      </c>
      <c r="C1491" s="10" t="s">
        <v>363</v>
      </c>
      <c r="D1491" s="10" t="s">
        <v>364</v>
      </c>
      <c r="E1491" s="11" t="str">
        <f>+HYPERLINK("http://trademark.i-assist.jp/data/china/image_1902th/79089716.pdf", "79089716")</f>
        <v>79089716</v>
      </c>
      <c r="F1491" s="10" t="s">
        <v>4440</v>
      </c>
      <c r="G1491" s="10" t="s">
        <v>4441</v>
      </c>
      <c r="H1491" s="10" t="s">
        <v>4442</v>
      </c>
      <c r="I1491" s="10" t="s">
        <v>289</v>
      </c>
    </row>
    <row r="1492" spans="1:9" x14ac:dyDescent="0.15">
      <c r="A1492" s="9">
        <v>1491</v>
      </c>
      <c r="B1492" s="10" t="s">
        <v>9</v>
      </c>
      <c r="C1492" s="10" t="s">
        <v>363</v>
      </c>
      <c r="D1492" s="10" t="s">
        <v>364</v>
      </c>
      <c r="E1492" s="11" t="str">
        <f>+HYPERLINK("http://trademark.i-assist.jp/data/china/image_1902th/79089950.pdf", "79089950")</f>
        <v>79089950</v>
      </c>
      <c r="F1492" s="10" t="s">
        <v>4443</v>
      </c>
      <c r="G1492" s="10" t="s">
        <v>4444</v>
      </c>
      <c r="H1492" s="10" t="s">
        <v>4445</v>
      </c>
      <c r="I1492" s="10" t="s">
        <v>289</v>
      </c>
    </row>
    <row r="1493" spans="1:9" x14ac:dyDescent="0.15">
      <c r="A1493" s="9">
        <v>1492</v>
      </c>
      <c r="B1493" s="10" t="s">
        <v>9</v>
      </c>
      <c r="C1493" s="10" t="s">
        <v>363</v>
      </c>
      <c r="D1493" s="10" t="s">
        <v>364</v>
      </c>
      <c r="E1493" s="11" t="str">
        <f>+HYPERLINK("http://trademark.i-assist.jp/data/china/image_1902th/79089957.pdf", "79089957")</f>
        <v>79089957</v>
      </c>
      <c r="F1493" s="10" t="s">
        <v>4446</v>
      </c>
      <c r="G1493" s="10" t="s">
        <v>4444</v>
      </c>
      <c r="H1493" s="10" t="s">
        <v>4447</v>
      </c>
      <c r="I1493" s="10" t="s">
        <v>289</v>
      </c>
    </row>
    <row r="1494" spans="1:9" x14ac:dyDescent="0.15">
      <c r="A1494" s="9">
        <v>1493</v>
      </c>
      <c r="B1494" s="10" t="s">
        <v>9</v>
      </c>
      <c r="C1494" s="10" t="s">
        <v>363</v>
      </c>
      <c r="D1494" s="10" t="s">
        <v>364</v>
      </c>
      <c r="E1494" s="11" t="str">
        <f>+HYPERLINK("http://trademark.i-assist.jp/data/china/image_1902th/79090183.pdf", "79090183")</f>
        <v>79090183</v>
      </c>
      <c r="F1494" s="10" t="s">
        <v>4448</v>
      </c>
      <c r="G1494" s="10" t="s">
        <v>4449</v>
      </c>
      <c r="H1494" s="10" t="s">
        <v>4450</v>
      </c>
      <c r="I1494" s="10" t="s">
        <v>289</v>
      </c>
    </row>
    <row r="1495" spans="1:9" x14ac:dyDescent="0.15">
      <c r="A1495" s="9">
        <v>1494</v>
      </c>
      <c r="B1495" s="10" t="s">
        <v>9</v>
      </c>
      <c r="C1495" s="10" t="s">
        <v>363</v>
      </c>
      <c r="D1495" s="10" t="s">
        <v>364</v>
      </c>
      <c r="E1495" s="11" t="str">
        <f>+HYPERLINK("http://trademark.i-assist.jp/data/china/image_1902th/79090258.pdf", "79090258")</f>
        <v>79090258</v>
      </c>
      <c r="F1495" s="10" t="s">
        <v>4451</v>
      </c>
      <c r="G1495" s="10" t="s">
        <v>69</v>
      </c>
      <c r="H1495" s="10" t="s">
        <v>4452</v>
      </c>
      <c r="I1495" s="10" t="s">
        <v>289</v>
      </c>
    </row>
    <row r="1496" spans="1:9" x14ac:dyDescent="0.15">
      <c r="A1496" s="9">
        <v>1495</v>
      </c>
      <c r="B1496" s="10" t="s">
        <v>9</v>
      </c>
      <c r="C1496" s="10" t="s">
        <v>363</v>
      </c>
      <c r="D1496" s="10" t="s">
        <v>364</v>
      </c>
      <c r="E1496" s="11" t="str">
        <f>+HYPERLINK("http://trademark.i-assist.jp/data/china/image_1902th/79090570.pdf", "79090570")</f>
        <v>79090570</v>
      </c>
      <c r="F1496" s="10" t="s">
        <v>4453</v>
      </c>
      <c r="G1496" s="10" t="s">
        <v>294</v>
      </c>
      <c r="H1496" s="10" t="s">
        <v>4454</v>
      </c>
      <c r="I1496" s="10" t="s">
        <v>289</v>
      </c>
    </row>
    <row r="1497" spans="1:9" x14ac:dyDescent="0.15">
      <c r="A1497" s="9">
        <v>1496</v>
      </c>
      <c r="B1497" s="10" t="s">
        <v>9</v>
      </c>
      <c r="C1497" s="10" t="s">
        <v>363</v>
      </c>
      <c r="D1497" s="10" t="s">
        <v>364</v>
      </c>
      <c r="E1497" s="11" t="str">
        <f>+HYPERLINK("http://trademark.i-assist.jp/data/china/image_1902th/79090761.pdf", "79090761")</f>
        <v>79090761</v>
      </c>
      <c r="F1497" s="10" t="s">
        <v>4455</v>
      </c>
      <c r="G1497" s="10" t="s">
        <v>292</v>
      </c>
      <c r="H1497" s="10" t="s">
        <v>4456</v>
      </c>
      <c r="I1497" s="10" t="s">
        <v>289</v>
      </c>
    </row>
    <row r="1498" spans="1:9" x14ac:dyDescent="0.15">
      <c r="A1498" s="9">
        <v>1497</v>
      </c>
      <c r="B1498" s="10" t="s">
        <v>9</v>
      </c>
      <c r="C1498" s="10" t="s">
        <v>363</v>
      </c>
      <c r="D1498" s="10" t="s">
        <v>364</v>
      </c>
      <c r="E1498" s="11" t="str">
        <f>+HYPERLINK("http://trademark.i-assist.jp/data/china/image_1902th/79090907.pdf", "79090907")</f>
        <v>79090907</v>
      </c>
      <c r="F1498" s="10" t="s">
        <v>4457</v>
      </c>
      <c r="G1498" s="10" t="s">
        <v>4458</v>
      </c>
      <c r="H1498" s="10" t="s">
        <v>4459</v>
      </c>
      <c r="I1498" s="10" t="s">
        <v>289</v>
      </c>
    </row>
    <row r="1499" spans="1:9" x14ac:dyDescent="0.15">
      <c r="A1499" s="9">
        <v>1498</v>
      </c>
      <c r="B1499" s="10" t="s">
        <v>9</v>
      </c>
      <c r="C1499" s="10" t="s">
        <v>363</v>
      </c>
      <c r="D1499" s="10" t="s">
        <v>364</v>
      </c>
      <c r="E1499" s="11" t="str">
        <f>+HYPERLINK("http://trademark.i-assist.jp/data/china/image_1902th/79091239.pdf", "79091239")</f>
        <v>79091239</v>
      </c>
      <c r="F1499" s="10" t="s">
        <v>4460</v>
      </c>
      <c r="G1499" s="10" t="s">
        <v>176</v>
      </c>
      <c r="H1499" s="10" t="s">
        <v>4461</v>
      </c>
      <c r="I1499" s="10" t="s">
        <v>289</v>
      </c>
    </row>
    <row r="1500" spans="1:9" x14ac:dyDescent="0.15">
      <c r="A1500" s="9">
        <v>1499</v>
      </c>
      <c r="B1500" s="10" t="s">
        <v>9</v>
      </c>
      <c r="C1500" s="10" t="s">
        <v>363</v>
      </c>
      <c r="D1500" s="10" t="s">
        <v>364</v>
      </c>
      <c r="E1500" s="11" t="str">
        <f>+HYPERLINK("http://trademark.i-assist.jp/data/china/image_1902th/79091302.pdf", "79091302")</f>
        <v>79091302</v>
      </c>
      <c r="F1500" s="10" t="s">
        <v>4462</v>
      </c>
      <c r="G1500" s="10" t="s">
        <v>4463</v>
      </c>
      <c r="H1500" s="10" t="s">
        <v>4464</v>
      </c>
      <c r="I1500" s="10" t="s">
        <v>289</v>
      </c>
    </row>
    <row r="1501" spans="1:9" x14ac:dyDescent="0.15">
      <c r="A1501" s="9">
        <v>1500</v>
      </c>
      <c r="B1501" s="10" t="s">
        <v>9</v>
      </c>
      <c r="C1501" s="10" t="s">
        <v>363</v>
      </c>
      <c r="D1501" s="10" t="s">
        <v>364</v>
      </c>
      <c r="E1501" s="11" t="str">
        <f>+HYPERLINK("http://trademark.i-assist.jp/data/china/image_1902th/79091349.pdf", "79091349")</f>
        <v>79091349</v>
      </c>
      <c r="F1501" s="10" t="s">
        <v>4465</v>
      </c>
      <c r="G1501" s="10" t="s">
        <v>4466</v>
      </c>
      <c r="H1501" s="10" t="s">
        <v>4467</v>
      </c>
      <c r="I1501" s="10" t="s">
        <v>289</v>
      </c>
    </row>
    <row r="1502" spans="1:9" x14ac:dyDescent="0.15">
      <c r="A1502" s="9">
        <v>1501</v>
      </c>
      <c r="B1502" s="10" t="s">
        <v>9</v>
      </c>
      <c r="C1502" s="10" t="s">
        <v>363</v>
      </c>
      <c r="D1502" s="10" t="s">
        <v>364</v>
      </c>
      <c r="E1502" s="11" t="str">
        <f>+HYPERLINK("http://trademark.i-assist.jp/data/china/image_1902th/79091352.pdf", "79091352")</f>
        <v>79091352</v>
      </c>
      <c r="F1502" s="10" t="s">
        <v>4468</v>
      </c>
      <c r="G1502" s="10" t="s">
        <v>4469</v>
      </c>
      <c r="H1502" s="10" t="s">
        <v>4470</v>
      </c>
      <c r="I1502" s="10" t="s">
        <v>289</v>
      </c>
    </row>
    <row r="1503" spans="1:9" x14ac:dyDescent="0.15">
      <c r="A1503" s="9">
        <v>1502</v>
      </c>
      <c r="B1503" s="10" t="s">
        <v>9</v>
      </c>
      <c r="C1503" s="10" t="s">
        <v>363</v>
      </c>
      <c r="D1503" s="10" t="s">
        <v>364</v>
      </c>
      <c r="E1503" s="11" t="str">
        <f>+HYPERLINK("http://trademark.i-assist.jp/data/china/image_1902th/79091483.pdf", "79091483")</f>
        <v>79091483</v>
      </c>
      <c r="F1503" s="10" t="s">
        <v>4471</v>
      </c>
      <c r="G1503" s="10" t="s">
        <v>4472</v>
      </c>
      <c r="H1503" s="10" t="s">
        <v>4473</v>
      </c>
      <c r="I1503" s="10" t="s">
        <v>289</v>
      </c>
    </row>
    <row r="1504" spans="1:9" x14ac:dyDescent="0.15">
      <c r="A1504" s="9">
        <v>1503</v>
      </c>
      <c r="B1504" s="10" t="s">
        <v>9</v>
      </c>
      <c r="C1504" s="10" t="s">
        <v>363</v>
      </c>
      <c r="D1504" s="10" t="s">
        <v>364</v>
      </c>
      <c r="E1504" s="11" t="str">
        <f>+HYPERLINK("http://trademark.i-assist.jp/data/china/image_1902th/79091500.pdf", "79091500")</f>
        <v>79091500</v>
      </c>
      <c r="F1504" s="10" t="s">
        <v>4474</v>
      </c>
      <c r="G1504" s="10" t="s">
        <v>4475</v>
      </c>
      <c r="H1504" s="10" t="s">
        <v>4476</v>
      </c>
      <c r="I1504" s="10" t="s">
        <v>289</v>
      </c>
    </row>
    <row r="1505" spans="1:9" x14ac:dyDescent="0.15">
      <c r="A1505" s="9">
        <v>1504</v>
      </c>
      <c r="B1505" s="10" t="s">
        <v>9</v>
      </c>
      <c r="C1505" s="10" t="s">
        <v>363</v>
      </c>
      <c r="D1505" s="10" t="s">
        <v>364</v>
      </c>
      <c r="E1505" s="11" t="str">
        <f>+HYPERLINK("http://trademark.i-assist.jp/data/china/image_1902th/79091524.pdf", "79091524")</f>
        <v>79091524</v>
      </c>
      <c r="F1505" s="10" t="s">
        <v>4477</v>
      </c>
      <c r="G1505" s="10" t="s">
        <v>4478</v>
      </c>
      <c r="H1505" s="10" t="s">
        <v>4479</v>
      </c>
      <c r="I1505" s="10" t="s">
        <v>289</v>
      </c>
    </row>
    <row r="1506" spans="1:9" x14ac:dyDescent="0.15">
      <c r="A1506" s="9">
        <v>1505</v>
      </c>
      <c r="B1506" s="10" t="s">
        <v>9</v>
      </c>
      <c r="C1506" s="10" t="s">
        <v>363</v>
      </c>
      <c r="D1506" s="10" t="s">
        <v>364</v>
      </c>
      <c r="E1506" s="11" t="str">
        <f>+HYPERLINK("http://trademark.i-assist.jp/data/china/image_1902th/79091543.pdf", "79091543")</f>
        <v>79091543</v>
      </c>
      <c r="F1506" s="10" t="s">
        <v>4480</v>
      </c>
      <c r="G1506" s="10" t="s">
        <v>4481</v>
      </c>
      <c r="H1506" s="10" t="s">
        <v>4482</v>
      </c>
      <c r="I1506" s="10" t="s">
        <v>289</v>
      </c>
    </row>
    <row r="1507" spans="1:9" x14ac:dyDescent="0.15">
      <c r="A1507" s="9">
        <v>1506</v>
      </c>
      <c r="B1507" s="10" t="s">
        <v>9</v>
      </c>
      <c r="C1507" s="10" t="s">
        <v>363</v>
      </c>
      <c r="D1507" s="10" t="s">
        <v>364</v>
      </c>
      <c r="E1507" s="11" t="str">
        <f>+HYPERLINK("http://trademark.i-assist.jp/data/china/image_1902th/79091839.pdf", "79091839")</f>
        <v>79091839</v>
      </c>
      <c r="F1507" s="10" t="s">
        <v>4483</v>
      </c>
      <c r="G1507" s="10" t="s">
        <v>4484</v>
      </c>
      <c r="H1507" s="10" t="s">
        <v>4485</v>
      </c>
      <c r="I1507" s="10" t="s">
        <v>289</v>
      </c>
    </row>
    <row r="1508" spans="1:9" x14ac:dyDescent="0.15">
      <c r="A1508" s="9">
        <v>1507</v>
      </c>
      <c r="B1508" s="10" t="s">
        <v>9</v>
      </c>
      <c r="C1508" s="10" t="s">
        <v>363</v>
      </c>
      <c r="D1508" s="10" t="s">
        <v>364</v>
      </c>
      <c r="E1508" s="11" t="str">
        <f>+HYPERLINK("http://trademark.i-assist.jp/data/china/image_1902th/79091946.pdf", "79091946")</f>
        <v>79091946</v>
      </c>
      <c r="F1508" s="10" t="s">
        <v>4486</v>
      </c>
      <c r="G1508" s="10" t="s">
        <v>4487</v>
      </c>
      <c r="H1508" s="10" t="s">
        <v>4488</v>
      </c>
      <c r="I1508" s="10" t="s">
        <v>289</v>
      </c>
    </row>
    <row r="1509" spans="1:9" x14ac:dyDescent="0.15">
      <c r="A1509" s="9">
        <v>1508</v>
      </c>
      <c r="B1509" s="10" t="s">
        <v>9</v>
      </c>
      <c r="C1509" s="10" t="s">
        <v>363</v>
      </c>
      <c r="D1509" s="10" t="s">
        <v>364</v>
      </c>
      <c r="E1509" s="11" t="str">
        <f>+HYPERLINK("http://trademark.i-assist.jp/data/china/image_1902th/79092067.pdf", "79092067")</f>
        <v>79092067</v>
      </c>
      <c r="F1509" s="10" t="s">
        <v>4489</v>
      </c>
      <c r="G1509" s="10" t="s">
        <v>4490</v>
      </c>
      <c r="H1509" s="10" t="s">
        <v>4491</v>
      </c>
      <c r="I1509" s="10" t="s">
        <v>289</v>
      </c>
    </row>
    <row r="1510" spans="1:9" x14ac:dyDescent="0.15">
      <c r="A1510" s="9">
        <v>1509</v>
      </c>
      <c r="B1510" s="10" t="s">
        <v>9</v>
      </c>
      <c r="C1510" s="10" t="s">
        <v>363</v>
      </c>
      <c r="D1510" s="10" t="s">
        <v>364</v>
      </c>
      <c r="E1510" s="11" t="str">
        <f>+HYPERLINK("http://trademark.i-assist.jp/data/china/image_1902th/79092083.pdf", "79092083")</f>
        <v>79092083</v>
      </c>
      <c r="F1510" s="10" t="s">
        <v>4492</v>
      </c>
      <c r="G1510" s="10" t="s">
        <v>4492</v>
      </c>
      <c r="H1510" s="10" t="s">
        <v>4493</v>
      </c>
      <c r="I1510" s="10" t="s">
        <v>289</v>
      </c>
    </row>
    <row r="1511" spans="1:9" x14ac:dyDescent="0.15">
      <c r="A1511" s="9">
        <v>1510</v>
      </c>
      <c r="B1511" s="10" t="s">
        <v>9</v>
      </c>
      <c r="C1511" s="10" t="s">
        <v>363</v>
      </c>
      <c r="D1511" s="10" t="s">
        <v>364</v>
      </c>
      <c r="E1511" s="11" t="str">
        <f>+HYPERLINK("http://trademark.i-assist.jp/data/china/image_1902th/79092258.pdf", "79092258")</f>
        <v>79092258</v>
      </c>
      <c r="F1511" s="10" t="s">
        <v>4494</v>
      </c>
      <c r="G1511" s="10" t="s">
        <v>4495</v>
      </c>
      <c r="H1511" s="10" t="s">
        <v>4496</v>
      </c>
      <c r="I1511" s="10" t="s">
        <v>289</v>
      </c>
    </row>
    <row r="1512" spans="1:9" x14ac:dyDescent="0.15">
      <c r="A1512" s="9">
        <v>1511</v>
      </c>
      <c r="B1512" s="10" t="s">
        <v>9</v>
      </c>
      <c r="C1512" s="10" t="s">
        <v>363</v>
      </c>
      <c r="D1512" s="10" t="s">
        <v>364</v>
      </c>
      <c r="E1512" s="11" t="str">
        <f>+HYPERLINK("http://trademark.i-assist.jp/data/china/image_1902th/79092458.pdf", "79092458")</f>
        <v>79092458</v>
      </c>
      <c r="F1512" s="10" t="s">
        <v>12</v>
      </c>
      <c r="G1512" s="10" t="s">
        <v>4497</v>
      </c>
      <c r="H1512" s="10" t="s">
        <v>4498</v>
      </c>
      <c r="I1512" s="10" t="s">
        <v>289</v>
      </c>
    </row>
    <row r="1513" spans="1:9" x14ac:dyDescent="0.15">
      <c r="A1513" s="9">
        <v>1512</v>
      </c>
      <c r="B1513" s="10" t="s">
        <v>9</v>
      </c>
      <c r="C1513" s="10" t="s">
        <v>363</v>
      </c>
      <c r="D1513" s="10" t="s">
        <v>364</v>
      </c>
      <c r="E1513" s="11" t="str">
        <f>+HYPERLINK("http://trademark.i-assist.jp/data/china/image_1902th/79092467.pdf", "79092467")</f>
        <v>79092467</v>
      </c>
      <c r="F1513" s="10" t="s">
        <v>4499</v>
      </c>
      <c r="G1513" s="10" t="s">
        <v>4500</v>
      </c>
      <c r="H1513" s="10" t="s">
        <v>4501</v>
      </c>
      <c r="I1513" s="10" t="s">
        <v>289</v>
      </c>
    </row>
    <row r="1514" spans="1:9" x14ac:dyDescent="0.15">
      <c r="A1514" s="9">
        <v>1513</v>
      </c>
      <c r="B1514" s="10" t="s">
        <v>9</v>
      </c>
      <c r="C1514" s="10" t="s">
        <v>363</v>
      </c>
      <c r="D1514" s="10" t="s">
        <v>364</v>
      </c>
      <c r="E1514" s="11" t="str">
        <f>+HYPERLINK("http://trademark.i-assist.jp/data/china/image_1902th/79092694.pdf", "79092694")</f>
        <v>79092694</v>
      </c>
      <c r="F1514" s="10" t="s">
        <v>4502</v>
      </c>
      <c r="G1514" s="10" t="s">
        <v>4503</v>
      </c>
      <c r="H1514" s="10" t="s">
        <v>4504</v>
      </c>
      <c r="I1514" s="10" t="s">
        <v>289</v>
      </c>
    </row>
    <row r="1515" spans="1:9" x14ac:dyDescent="0.15">
      <c r="A1515" s="9">
        <v>1514</v>
      </c>
      <c r="B1515" s="10" t="s">
        <v>9</v>
      </c>
      <c r="C1515" s="10" t="s">
        <v>363</v>
      </c>
      <c r="D1515" s="10" t="s">
        <v>364</v>
      </c>
      <c r="E1515" s="11" t="str">
        <f>+HYPERLINK("http://trademark.i-assist.jp/data/china/image_1902th/79092780.pdf", "79092780")</f>
        <v>79092780</v>
      </c>
      <c r="F1515" s="10" t="s">
        <v>4505</v>
      </c>
      <c r="G1515" s="10" t="s">
        <v>4506</v>
      </c>
      <c r="H1515" s="10" t="s">
        <v>4507</v>
      </c>
      <c r="I1515" s="10" t="s">
        <v>289</v>
      </c>
    </row>
    <row r="1516" spans="1:9" x14ac:dyDescent="0.15">
      <c r="A1516" s="9">
        <v>1515</v>
      </c>
      <c r="B1516" s="10" t="s">
        <v>9</v>
      </c>
      <c r="C1516" s="10" t="s">
        <v>363</v>
      </c>
      <c r="D1516" s="10" t="s">
        <v>364</v>
      </c>
      <c r="E1516" s="11" t="str">
        <f>+HYPERLINK("http://trademark.i-assist.jp/data/china/image_1902th/79093251.pdf", "79093251")</f>
        <v>79093251</v>
      </c>
      <c r="F1516" s="10" t="s">
        <v>4508</v>
      </c>
      <c r="G1516" s="10" t="s">
        <v>4509</v>
      </c>
      <c r="H1516" s="10" t="s">
        <v>4510</v>
      </c>
      <c r="I1516" s="10" t="s">
        <v>289</v>
      </c>
    </row>
    <row r="1517" spans="1:9" x14ac:dyDescent="0.15">
      <c r="A1517" s="9">
        <v>1516</v>
      </c>
      <c r="B1517" s="10" t="s">
        <v>9</v>
      </c>
      <c r="C1517" s="10" t="s">
        <v>363</v>
      </c>
      <c r="D1517" s="10" t="s">
        <v>364</v>
      </c>
      <c r="E1517" s="11" t="str">
        <f>+HYPERLINK("http://trademark.i-assist.jp/data/china/image_1902th/79093255.pdf", "79093255")</f>
        <v>79093255</v>
      </c>
      <c r="F1517" s="10" t="s">
        <v>4511</v>
      </c>
      <c r="G1517" s="10" t="s">
        <v>4512</v>
      </c>
      <c r="H1517" s="10" t="s">
        <v>4513</v>
      </c>
      <c r="I1517" s="10" t="s">
        <v>289</v>
      </c>
    </row>
    <row r="1518" spans="1:9" x14ac:dyDescent="0.15">
      <c r="A1518" s="9">
        <v>1517</v>
      </c>
      <c r="B1518" s="10" t="s">
        <v>9</v>
      </c>
      <c r="C1518" s="10" t="s">
        <v>363</v>
      </c>
      <c r="D1518" s="10" t="s">
        <v>364</v>
      </c>
      <c r="E1518" s="11" t="str">
        <f>+HYPERLINK("http://trademark.i-assist.jp/data/china/image_1902th/79093288.pdf", "79093288")</f>
        <v>79093288</v>
      </c>
      <c r="F1518" s="10" t="s">
        <v>4514</v>
      </c>
      <c r="G1518" s="10" t="s">
        <v>4515</v>
      </c>
      <c r="H1518" s="10" t="s">
        <v>4516</v>
      </c>
      <c r="I1518" s="10" t="s">
        <v>289</v>
      </c>
    </row>
    <row r="1519" spans="1:9" x14ac:dyDescent="0.15">
      <c r="A1519" s="9">
        <v>1518</v>
      </c>
      <c r="B1519" s="10" t="s">
        <v>9</v>
      </c>
      <c r="C1519" s="10" t="s">
        <v>363</v>
      </c>
      <c r="D1519" s="10" t="s">
        <v>364</v>
      </c>
      <c r="E1519" s="11" t="str">
        <f>+HYPERLINK("http://trademark.i-assist.jp/data/china/image_1902th/79093838.pdf", "79093838")</f>
        <v>79093838</v>
      </c>
      <c r="F1519" s="10" t="s">
        <v>4517</v>
      </c>
      <c r="G1519" s="10" t="s">
        <v>3441</v>
      </c>
      <c r="H1519" s="10" t="s">
        <v>4518</v>
      </c>
      <c r="I1519" s="10" t="s">
        <v>289</v>
      </c>
    </row>
    <row r="1520" spans="1:9" x14ac:dyDescent="0.15">
      <c r="A1520" s="9">
        <v>1519</v>
      </c>
      <c r="B1520" s="10" t="s">
        <v>9</v>
      </c>
      <c r="C1520" s="10" t="s">
        <v>363</v>
      </c>
      <c r="D1520" s="10" t="s">
        <v>364</v>
      </c>
      <c r="E1520" s="11" t="str">
        <f>+HYPERLINK("http://trademark.i-assist.jp/data/china/image_1902th/79093936.pdf", "79093936")</f>
        <v>79093936</v>
      </c>
      <c r="F1520" s="10" t="s">
        <v>4519</v>
      </c>
      <c r="G1520" s="10" t="s">
        <v>4520</v>
      </c>
      <c r="H1520" s="10" t="s">
        <v>4521</v>
      </c>
      <c r="I1520" s="10" t="s">
        <v>289</v>
      </c>
    </row>
    <row r="1521" spans="1:9" x14ac:dyDescent="0.15">
      <c r="A1521" s="9">
        <v>1520</v>
      </c>
      <c r="B1521" s="10" t="s">
        <v>9</v>
      </c>
      <c r="C1521" s="10" t="s">
        <v>363</v>
      </c>
      <c r="D1521" s="10" t="s">
        <v>364</v>
      </c>
      <c r="E1521" s="11" t="str">
        <f>+HYPERLINK("http://trademark.i-assist.jp/data/china/image_1902th/79093988.pdf", "79093988")</f>
        <v>79093988</v>
      </c>
      <c r="F1521" s="10" t="s">
        <v>4522</v>
      </c>
      <c r="G1521" s="10" t="s">
        <v>4523</v>
      </c>
      <c r="H1521" s="10" t="s">
        <v>4524</v>
      </c>
      <c r="I1521" s="10" t="s">
        <v>289</v>
      </c>
    </row>
    <row r="1522" spans="1:9" x14ac:dyDescent="0.15">
      <c r="A1522" s="9">
        <v>1521</v>
      </c>
      <c r="B1522" s="10" t="s">
        <v>9</v>
      </c>
      <c r="C1522" s="10" t="s">
        <v>363</v>
      </c>
      <c r="D1522" s="10" t="s">
        <v>364</v>
      </c>
      <c r="E1522" s="11" t="str">
        <f>+HYPERLINK("http://trademark.i-assist.jp/data/china/image_1902th/79094427.pdf", "79094427")</f>
        <v>79094427</v>
      </c>
      <c r="F1522" s="10" t="s">
        <v>4525</v>
      </c>
      <c r="G1522" s="10" t="s">
        <v>4526</v>
      </c>
      <c r="H1522" s="10" t="s">
        <v>4527</v>
      </c>
      <c r="I1522" s="10" t="s">
        <v>289</v>
      </c>
    </row>
    <row r="1523" spans="1:9" x14ac:dyDescent="0.15">
      <c r="A1523" s="9">
        <v>1522</v>
      </c>
      <c r="B1523" s="10" t="s">
        <v>9</v>
      </c>
      <c r="C1523" s="10" t="s">
        <v>363</v>
      </c>
      <c r="D1523" s="10" t="s">
        <v>364</v>
      </c>
      <c r="E1523" s="11" t="str">
        <f>+HYPERLINK("http://trademark.i-assist.jp/data/china/image_1902th/79094469.pdf", "79094469")</f>
        <v>79094469</v>
      </c>
      <c r="F1523" s="10" t="s">
        <v>4528</v>
      </c>
      <c r="G1523" s="10" t="s">
        <v>4529</v>
      </c>
      <c r="H1523" s="10" t="s">
        <v>4530</v>
      </c>
      <c r="I1523" s="10" t="s">
        <v>289</v>
      </c>
    </row>
    <row r="1524" spans="1:9" x14ac:dyDescent="0.15">
      <c r="A1524" s="9">
        <v>1523</v>
      </c>
      <c r="B1524" s="10" t="s">
        <v>9</v>
      </c>
      <c r="C1524" s="10" t="s">
        <v>363</v>
      </c>
      <c r="D1524" s="10" t="s">
        <v>364</v>
      </c>
      <c r="E1524" s="11" t="str">
        <f>+HYPERLINK("http://trademark.i-assist.jp/data/china/image_1902th/79094670.pdf", "79094670")</f>
        <v>79094670</v>
      </c>
      <c r="F1524" s="10" t="s">
        <v>4531</v>
      </c>
      <c r="G1524" s="10" t="s">
        <v>4532</v>
      </c>
      <c r="H1524" s="10" t="s">
        <v>4533</v>
      </c>
      <c r="I1524" s="10" t="s">
        <v>289</v>
      </c>
    </row>
    <row r="1525" spans="1:9" x14ac:dyDescent="0.15">
      <c r="A1525" s="9">
        <v>1524</v>
      </c>
      <c r="B1525" s="10" t="s">
        <v>9</v>
      </c>
      <c r="C1525" s="10" t="s">
        <v>363</v>
      </c>
      <c r="D1525" s="10" t="s">
        <v>364</v>
      </c>
      <c r="E1525" s="11" t="str">
        <f>+HYPERLINK("http://trademark.i-assist.jp/data/china/image_1902th/79094788.pdf", "79094788")</f>
        <v>79094788</v>
      </c>
      <c r="F1525" s="10" t="s">
        <v>4534</v>
      </c>
      <c r="G1525" s="10" t="s">
        <v>4535</v>
      </c>
      <c r="H1525" s="10" t="s">
        <v>4536</v>
      </c>
      <c r="I1525" s="10" t="s">
        <v>289</v>
      </c>
    </row>
    <row r="1526" spans="1:9" x14ac:dyDescent="0.15">
      <c r="A1526" s="9">
        <v>1525</v>
      </c>
      <c r="B1526" s="10" t="s">
        <v>9</v>
      </c>
      <c r="C1526" s="10" t="s">
        <v>363</v>
      </c>
      <c r="D1526" s="10" t="s">
        <v>364</v>
      </c>
      <c r="E1526" s="11" t="str">
        <f>+HYPERLINK("http://trademark.i-assist.jp/data/china/image_1902th/79094853.pdf", "79094853")</f>
        <v>79094853</v>
      </c>
      <c r="F1526" s="10" t="s">
        <v>4537</v>
      </c>
      <c r="G1526" s="10" t="s">
        <v>2483</v>
      </c>
      <c r="H1526" s="10" t="s">
        <v>4538</v>
      </c>
      <c r="I1526" s="10" t="s">
        <v>289</v>
      </c>
    </row>
    <row r="1527" spans="1:9" x14ac:dyDescent="0.15">
      <c r="A1527" s="9">
        <v>1526</v>
      </c>
      <c r="B1527" s="10" t="s">
        <v>9</v>
      </c>
      <c r="C1527" s="10" t="s">
        <v>363</v>
      </c>
      <c r="D1527" s="10" t="s">
        <v>364</v>
      </c>
      <c r="E1527" s="11" t="str">
        <f>+HYPERLINK("http://trademark.i-assist.jp/data/china/image_1902th/79095074.pdf", "79095074")</f>
        <v>79095074</v>
      </c>
      <c r="F1527" s="10" t="s">
        <v>4539</v>
      </c>
      <c r="G1527" s="10" t="s">
        <v>59</v>
      </c>
      <c r="H1527" s="10" t="s">
        <v>4540</v>
      </c>
      <c r="I1527" s="10" t="s">
        <v>289</v>
      </c>
    </row>
    <row r="1528" spans="1:9" x14ac:dyDescent="0.15">
      <c r="A1528" s="9">
        <v>1527</v>
      </c>
      <c r="B1528" s="10" t="s">
        <v>9</v>
      </c>
      <c r="C1528" s="10" t="s">
        <v>363</v>
      </c>
      <c r="D1528" s="10" t="s">
        <v>364</v>
      </c>
      <c r="E1528" s="11" t="str">
        <f>+HYPERLINK("http://trademark.i-assist.jp/data/china/image_1902th/79095283.pdf", "79095283")</f>
        <v>79095283</v>
      </c>
      <c r="F1528" s="10" t="s">
        <v>4541</v>
      </c>
      <c r="G1528" s="10" t="s">
        <v>4542</v>
      </c>
      <c r="H1528" s="10" t="s">
        <v>4543</v>
      </c>
      <c r="I1528" s="10" t="s">
        <v>289</v>
      </c>
    </row>
    <row r="1529" spans="1:9" x14ac:dyDescent="0.15">
      <c r="A1529" s="9">
        <v>1528</v>
      </c>
      <c r="B1529" s="10" t="s">
        <v>9</v>
      </c>
      <c r="C1529" s="10" t="s">
        <v>363</v>
      </c>
      <c r="D1529" s="10" t="s">
        <v>364</v>
      </c>
      <c r="E1529" s="11" t="str">
        <f>+HYPERLINK("http://trademark.i-assist.jp/data/china/image_1902th/79095412.pdf", "79095412")</f>
        <v>79095412</v>
      </c>
      <c r="F1529" s="10" t="s">
        <v>12</v>
      </c>
      <c r="G1529" s="10" t="s">
        <v>4544</v>
      </c>
      <c r="H1529" s="10" t="s">
        <v>4545</v>
      </c>
      <c r="I1529" s="10" t="s">
        <v>289</v>
      </c>
    </row>
    <row r="1530" spans="1:9" x14ac:dyDescent="0.15">
      <c r="A1530" s="9">
        <v>1529</v>
      </c>
      <c r="B1530" s="10" t="s">
        <v>9</v>
      </c>
      <c r="C1530" s="10" t="s">
        <v>363</v>
      </c>
      <c r="D1530" s="10" t="s">
        <v>364</v>
      </c>
      <c r="E1530" s="11" t="str">
        <f>+HYPERLINK("http://trademark.i-assist.jp/data/china/image_1902th/79095441.pdf", "79095441")</f>
        <v>79095441</v>
      </c>
      <c r="F1530" s="10" t="s">
        <v>4546</v>
      </c>
      <c r="G1530" s="10" t="s">
        <v>4547</v>
      </c>
      <c r="H1530" s="10" t="s">
        <v>4548</v>
      </c>
      <c r="I1530" s="10" t="s">
        <v>289</v>
      </c>
    </row>
    <row r="1531" spans="1:9" x14ac:dyDescent="0.15">
      <c r="A1531" s="9">
        <v>1530</v>
      </c>
      <c r="B1531" s="10" t="s">
        <v>9</v>
      </c>
      <c r="C1531" s="10" t="s">
        <v>363</v>
      </c>
      <c r="D1531" s="10" t="s">
        <v>364</v>
      </c>
      <c r="E1531" s="11" t="str">
        <f>+HYPERLINK("http://trademark.i-assist.jp/data/china/image_1902th/79095498.pdf", "79095498")</f>
        <v>79095498</v>
      </c>
      <c r="F1531" s="10" t="s">
        <v>4549</v>
      </c>
      <c r="G1531" s="10" t="s">
        <v>4547</v>
      </c>
      <c r="H1531" s="10" t="s">
        <v>4550</v>
      </c>
      <c r="I1531" s="10" t="s">
        <v>289</v>
      </c>
    </row>
    <row r="1532" spans="1:9" x14ac:dyDescent="0.15">
      <c r="A1532" s="9">
        <v>1531</v>
      </c>
      <c r="B1532" s="10" t="s">
        <v>9</v>
      </c>
      <c r="C1532" s="10" t="s">
        <v>363</v>
      </c>
      <c r="D1532" s="10" t="s">
        <v>364</v>
      </c>
      <c r="E1532" s="11" t="str">
        <f>+HYPERLINK("http://trademark.i-assist.jp/data/china/image_1902th/79095510.pdf", "79095510")</f>
        <v>79095510</v>
      </c>
      <c r="F1532" s="10" t="s">
        <v>4551</v>
      </c>
      <c r="G1532" s="10" t="s">
        <v>4552</v>
      </c>
      <c r="H1532" s="10" t="s">
        <v>4553</v>
      </c>
      <c r="I1532" s="10" t="s">
        <v>289</v>
      </c>
    </row>
    <row r="1533" spans="1:9" x14ac:dyDescent="0.15">
      <c r="A1533" s="9">
        <v>1532</v>
      </c>
      <c r="B1533" s="10" t="s">
        <v>9</v>
      </c>
      <c r="C1533" s="10" t="s">
        <v>363</v>
      </c>
      <c r="D1533" s="10" t="s">
        <v>364</v>
      </c>
      <c r="E1533" s="11" t="str">
        <f>+HYPERLINK("http://trademark.i-assist.jp/data/china/image_1902th/79095513.pdf", "79095513")</f>
        <v>79095513</v>
      </c>
      <c r="F1533" s="10" t="s">
        <v>4554</v>
      </c>
      <c r="G1533" s="10" t="s">
        <v>4555</v>
      </c>
      <c r="H1533" s="10" t="s">
        <v>4556</v>
      </c>
      <c r="I1533" s="10" t="s">
        <v>289</v>
      </c>
    </row>
    <row r="1534" spans="1:9" x14ac:dyDescent="0.15">
      <c r="A1534" s="9">
        <v>1533</v>
      </c>
      <c r="B1534" s="10" t="s">
        <v>9</v>
      </c>
      <c r="C1534" s="10" t="s">
        <v>363</v>
      </c>
      <c r="D1534" s="10" t="s">
        <v>364</v>
      </c>
      <c r="E1534" s="11" t="str">
        <f>+HYPERLINK("http://trademark.i-assist.jp/data/china/image_1902th/79095779.pdf", "79095779")</f>
        <v>79095779</v>
      </c>
      <c r="F1534" s="10" t="s">
        <v>12</v>
      </c>
      <c r="G1534" s="10" t="s">
        <v>4557</v>
      </c>
      <c r="H1534" s="10" t="s">
        <v>4558</v>
      </c>
      <c r="I1534" s="10" t="s">
        <v>289</v>
      </c>
    </row>
    <row r="1535" spans="1:9" x14ac:dyDescent="0.15">
      <c r="A1535" s="9">
        <v>1534</v>
      </c>
      <c r="B1535" s="10" t="s">
        <v>9</v>
      </c>
      <c r="C1535" s="10" t="s">
        <v>363</v>
      </c>
      <c r="D1535" s="10" t="s">
        <v>364</v>
      </c>
      <c r="E1535" s="11" t="str">
        <f>+HYPERLINK("http://trademark.i-assist.jp/data/china/image_1902th/79095846.pdf", "79095846")</f>
        <v>79095846</v>
      </c>
      <c r="F1535" s="10" t="s">
        <v>4559</v>
      </c>
      <c r="G1535" s="10" t="s">
        <v>245</v>
      </c>
      <c r="H1535" s="10" t="s">
        <v>4560</v>
      </c>
      <c r="I1535" s="10" t="s">
        <v>289</v>
      </c>
    </row>
    <row r="1536" spans="1:9" x14ac:dyDescent="0.15">
      <c r="A1536" s="9">
        <v>1535</v>
      </c>
      <c r="B1536" s="10" t="s">
        <v>9</v>
      </c>
      <c r="C1536" s="10" t="s">
        <v>363</v>
      </c>
      <c r="D1536" s="10" t="s">
        <v>364</v>
      </c>
      <c r="E1536" s="11" t="str">
        <f>+HYPERLINK("http://trademark.i-assist.jp/data/china/image_1902th/79095870.pdf", "79095870")</f>
        <v>79095870</v>
      </c>
      <c r="F1536" s="10" t="s">
        <v>4561</v>
      </c>
      <c r="G1536" s="10" t="s">
        <v>4562</v>
      </c>
      <c r="H1536" s="10" t="s">
        <v>4563</v>
      </c>
      <c r="I1536" s="10" t="s">
        <v>289</v>
      </c>
    </row>
    <row r="1537" spans="1:9" x14ac:dyDescent="0.15">
      <c r="A1537" s="9">
        <v>1536</v>
      </c>
      <c r="B1537" s="10" t="s">
        <v>9</v>
      </c>
      <c r="C1537" s="10" t="s">
        <v>363</v>
      </c>
      <c r="D1537" s="10" t="s">
        <v>364</v>
      </c>
      <c r="E1537" s="11" t="str">
        <f>+HYPERLINK("http://trademark.i-assist.jp/data/china/image_1902th/79096210.pdf", "79096210")</f>
        <v>79096210</v>
      </c>
      <c r="F1537" s="10" t="s">
        <v>4564</v>
      </c>
      <c r="G1537" s="10" t="s">
        <v>4444</v>
      </c>
      <c r="H1537" s="10" t="s">
        <v>4565</v>
      </c>
      <c r="I1537" s="10" t="s">
        <v>289</v>
      </c>
    </row>
    <row r="1538" spans="1:9" x14ac:dyDescent="0.15">
      <c r="A1538" s="9">
        <v>1537</v>
      </c>
      <c r="B1538" s="10" t="s">
        <v>9</v>
      </c>
      <c r="C1538" s="10" t="s">
        <v>363</v>
      </c>
      <c r="D1538" s="10" t="s">
        <v>364</v>
      </c>
      <c r="E1538" s="11" t="str">
        <f>+HYPERLINK("http://trademark.i-assist.jp/data/china/image_1902th/79096422.pdf", "79096422")</f>
        <v>79096422</v>
      </c>
      <c r="F1538" s="10" t="s">
        <v>4566</v>
      </c>
      <c r="G1538" s="10" t="s">
        <v>4435</v>
      </c>
      <c r="H1538" s="10" t="s">
        <v>4567</v>
      </c>
      <c r="I1538" s="10" t="s">
        <v>289</v>
      </c>
    </row>
    <row r="1539" spans="1:9" x14ac:dyDescent="0.15">
      <c r="A1539" s="9">
        <v>1538</v>
      </c>
      <c r="B1539" s="10" t="s">
        <v>9</v>
      </c>
      <c r="C1539" s="10" t="s">
        <v>363</v>
      </c>
      <c r="D1539" s="10" t="s">
        <v>364</v>
      </c>
      <c r="E1539" s="11" t="str">
        <f>+HYPERLINK("http://trademark.i-assist.jp/data/china/image_1902th/79096764.pdf", "79096764")</f>
        <v>79096764</v>
      </c>
      <c r="F1539" s="10" t="s">
        <v>4568</v>
      </c>
      <c r="G1539" s="10" t="s">
        <v>4569</v>
      </c>
      <c r="H1539" s="10" t="s">
        <v>4570</v>
      </c>
      <c r="I1539" s="10" t="s">
        <v>289</v>
      </c>
    </row>
    <row r="1540" spans="1:9" x14ac:dyDescent="0.15">
      <c r="A1540" s="9">
        <v>1539</v>
      </c>
      <c r="B1540" s="10" t="s">
        <v>9</v>
      </c>
      <c r="C1540" s="10" t="s">
        <v>363</v>
      </c>
      <c r="D1540" s="10" t="s">
        <v>364</v>
      </c>
      <c r="E1540" s="11" t="str">
        <f>+HYPERLINK("http://trademark.i-assist.jp/data/china/image_1902th/79096947.pdf", "79096947")</f>
        <v>79096947</v>
      </c>
      <c r="F1540" s="10" t="s">
        <v>4571</v>
      </c>
      <c r="G1540" s="10" t="s">
        <v>4572</v>
      </c>
      <c r="H1540" s="10" t="s">
        <v>4573</v>
      </c>
      <c r="I1540" s="10" t="s">
        <v>289</v>
      </c>
    </row>
    <row r="1541" spans="1:9" x14ac:dyDescent="0.15">
      <c r="A1541" s="9">
        <v>1540</v>
      </c>
      <c r="B1541" s="10" t="s">
        <v>9</v>
      </c>
      <c r="C1541" s="10" t="s">
        <v>363</v>
      </c>
      <c r="D1541" s="10" t="s">
        <v>364</v>
      </c>
      <c r="E1541" s="11" t="str">
        <f>+HYPERLINK("http://trademark.i-assist.jp/data/china/image_1902th/79096967.pdf", "79096967")</f>
        <v>79096967</v>
      </c>
      <c r="F1541" s="10" t="s">
        <v>4574</v>
      </c>
      <c r="G1541" s="10" t="s">
        <v>4572</v>
      </c>
      <c r="H1541" s="10" t="s">
        <v>4575</v>
      </c>
      <c r="I1541" s="10" t="s">
        <v>289</v>
      </c>
    </row>
    <row r="1542" spans="1:9" x14ac:dyDescent="0.15">
      <c r="A1542" s="9">
        <v>1541</v>
      </c>
      <c r="B1542" s="10" t="s">
        <v>9</v>
      </c>
      <c r="C1542" s="10" t="s">
        <v>363</v>
      </c>
      <c r="D1542" s="10" t="s">
        <v>364</v>
      </c>
      <c r="E1542" s="11" t="str">
        <f>+HYPERLINK("http://trademark.i-assist.jp/data/china/image_1902th/79097075.pdf", "79097075")</f>
        <v>79097075</v>
      </c>
      <c r="F1542" s="10" t="s">
        <v>12</v>
      </c>
      <c r="G1542" s="10" t="s">
        <v>4576</v>
      </c>
      <c r="H1542" s="10" t="s">
        <v>4577</v>
      </c>
      <c r="I1542" s="10" t="s">
        <v>289</v>
      </c>
    </row>
    <row r="1543" spans="1:9" x14ac:dyDescent="0.15">
      <c r="A1543" s="9">
        <v>1542</v>
      </c>
      <c r="B1543" s="10" t="s">
        <v>9</v>
      </c>
      <c r="C1543" s="10" t="s">
        <v>363</v>
      </c>
      <c r="D1543" s="10" t="s">
        <v>364</v>
      </c>
      <c r="E1543" s="11" t="str">
        <f>+HYPERLINK("http://trademark.i-assist.jp/data/china/image_1902th/79097077.pdf", "79097077")</f>
        <v>79097077</v>
      </c>
      <c r="F1543" s="10" t="s">
        <v>4578</v>
      </c>
      <c r="G1543" s="10" t="s">
        <v>4579</v>
      </c>
      <c r="H1543" s="10" t="s">
        <v>4580</v>
      </c>
      <c r="I1543" s="10" t="s">
        <v>289</v>
      </c>
    </row>
    <row r="1544" spans="1:9" x14ac:dyDescent="0.15">
      <c r="A1544" s="9">
        <v>1543</v>
      </c>
      <c r="B1544" s="10" t="s">
        <v>9</v>
      </c>
      <c r="C1544" s="10" t="s">
        <v>363</v>
      </c>
      <c r="D1544" s="10" t="s">
        <v>364</v>
      </c>
      <c r="E1544" s="11" t="str">
        <f>+HYPERLINK("http://trademark.i-assist.jp/data/china/image_1902th/79097523.pdf", "79097523")</f>
        <v>79097523</v>
      </c>
      <c r="F1544" s="10" t="s">
        <v>4581</v>
      </c>
      <c r="G1544" s="10" t="s">
        <v>344</v>
      </c>
      <c r="H1544" s="10" t="s">
        <v>4582</v>
      </c>
      <c r="I1544" s="10" t="s">
        <v>289</v>
      </c>
    </row>
    <row r="1545" spans="1:9" x14ac:dyDescent="0.15">
      <c r="A1545" s="9">
        <v>1544</v>
      </c>
      <c r="B1545" s="10" t="s">
        <v>9</v>
      </c>
      <c r="C1545" s="10" t="s">
        <v>363</v>
      </c>
      <c r="D1545" s="10" t="s">
        <v>364</v>
      </c>
      <c r="E1545" s="11" t="str">
        <f>+HYPERLINK("http://trademark.i-assist.jp/data/china/image_1902th/79097577.pdf", "79097577")</f>
        <v>79097577</v>
      </c>
      <c r="F1545" s="10" t="s">
        <v>4583</v>
      </c>
      <c r="G1545" s="10" t="s">
        <v>4584</v>
      </c>
      <c r="H1545" s="10" t="s">
        <v>4585</v>
      </c>
      <c r="I1545" s="10" t="s">
        <v>289</v>
      </c>
    </row>
    <row r="1546" spans="1:9" x14ac:dyDescent="0.15">
      <c r="A1546" s="9">
        <v>1545</v>
      </c>
      <c r="B1546" s="10" t="s">
        <v>9</v>
      </c>
      <c r="C1546" s="10" t="s">
        <v>363</v>
      </c>
      <c r="D1546" s="10" t="s">
        <v>364</v>
      </c>
      <c r="E1546" s="11" t="str">
        <f>+HYPERLINK("http://trademark.i-assist.jp/data/china/image_1902th/79097975.pdf", "79097975")</f>
        <v>79097975</v>
      </c>
      <c r="F1546" s="10" t="s">
        <v>4586</v>
      </c>
      <c r="G1546" s="10" t="s">
        <v>1685</v>
      </c>
      <c r="H1546" s="10" t="s">
        <v>4587</v>
      </c>
      <c r="I1546" s="10" t="s">
        <v>289</v>
      </c>
    </row>
    <row r="1547" spans="1:9" x14ac:dyDescent="0.15">
      <c r="A1547" s="9">
        <v>1546</v>
      </c>
      <c r="B1547" s="10" t="s">
        <v>9</v>
      </c>
      <c r="C1547" s="10" t="s">
        <v>363</v>
      </c>
      <c r="D1547" s="10" t="s">
        <v>364</v>
      </c>
      <c r="E1547" s="11" t="str">
        <f>+HYPERLINK("http://trademark.i-assist.jp/data/china/image_1902th/79098246.pdf", "79098246")</f>
        <v>79098246</v>
      </c>
      <c r="F1547" s="10" t="s">
        <v>4588</v>
      </c>
      <c r="G1547" s="10" t="s">
        <v>4589</v>
      </c>
      <c r="H1547" s="10" t="s">
        <v>4590</v>
      </c>
      <c r="I1547" s="10" t="s">
        <v>289</v>
      </c>
    </row>
    <row r="1548" spans="1:9" x14ac:dyDescent="0.15">
      <c r="A1548" s="9">
        <v>1547</v>
      </c>
      <c r="B1548" s="10" t="s">
        <v>9</v>
      </c>
      <c r="C1548" s="10" t="s">
        <v>363</v>
      </c>
      <c r="D1548" s="10" t="s">
        <v>364</v>
      </c>
      <c r="E1548" s="11" t="str">
        <f>+HYPERLINK("http://trademark.i-assist.jp/data/china/image_1902th/79098260.pdf", "79098260")</f>
        <v>79098260</v>
      </c>
      <c r="F1548" s="10" t="s">
        <v>4591</v>
      </c>
      <c r="G1548" s="10" t="s">
        <v>4441</v>
      </c>
      <c r="H1548" s="10" t="s">
        <v>4592</v>
      </c>
      <c r="I1548" s="10" t="s">
        <v>289</v>
      </c>
    </row>
    <row r="1549" spans="1:9" x14ac:dyDescent="0.15">
      <c r="A1549" s="9">
        <v>1548</v>
      </c>
      <c r="B1549" s="10" t="s">
        <v>9</v>
      </c>
      <c r="C1549" s="10" t="s">
        <v>363</v>
      </c>
      <c r="D1549" s="10" t="s">
        <v>364</v>
      </c>
      <c r="E1549" s="11" t="str">
        <f>+HYPERLINK("http://trademark.i-assist.jp/data/china/image_1902th/79098417.pdf", "79098417")</f>
        <v>79098417</v>
      </c>
      <c r="F1549" s="10" t="s">
        <v>4593</v>
      </c>
      <c r="G1549" s="10" t="s">
        <v>117</v>
      </c>
      <c r="H1549" s="10" t="s">
        <v>4594</v>
      </c>
      <c r="I1549" s="10" t="s">
        <v>289</v>
      </c>
    </row>
    <row r="1550" spans="1:9" x14ac:dyDescent="0.15">
      <c r="A1550" s="9">
        <v>1549</v>
      </c>
      <c r="B1550" s="10" t="s">
        <v>9</v>
      </c>
      <c r="C1550" s="10" t="s">
        <v>363</v>
      </c>
      <c r="D1550" s="10" t="s">
        <v>364</v>
      </c>
      <c r="E1550" s="11" t="str">
        <f>+HYPERLINK("http://trademark.i-assist.jp/data/china/image_1902th/79098812.pdf", "79098812")</f>
        <v>79098812</v>
      </c>
      <c r="F1550" s="10" t="s">
        <v>4595</v>
      </c>
      <c r="G1550" s="10" t="s">
        <v>301</v>
      </c>
      <c r="H1550" s="10" t="s">
        <v>4596</v>
      </c>
      <c r="I1550" s="10" t="s">
        <v>289</v>
      </c>
    </row>
    <row r="1551" spans="1:9" x14ac:dyDescent="0.15">
      <c r="A1551" s="9">
        <v>1550</v>
      </c>
      <c r="B1551" s="10" t="s">
        <v>9</v>
      </c>
      <c r="C1551" s="10" t="s">
        <v>363</v>
      </c>
      <c r="D1551" s="10" t="s">
        <v>364</v>
      </c>
      <c r="E1551" s="11" t="str">
        <f>+HYPERLINK("http://trademark.i-assist.jp/data/china/image_1902th/79099066.pdf", "79099066")</f>
        <v>79099066</v>
      </c>
      <c r="F1551" s="10" t="s">
        <v>4597</v>
      </c>
      <c r="G1551" s="10" t="s">
        <v>4598</v>
      </c>
      <c r="H1551" s="10" t="s">
        <v>4599</v>
      </c>
      <c r="I1551" s="10" t="s">
        <v>289</v>
      </c>
    </row>
    <row r="1552" spans="1:9" x14ac:dyDescent="0.15">
      <c r="A1552" s="9">
        <v>1551</v>
      </c>
      <c r="B1552" s="10" t="s">
        <v>9</v>
      </c>
      <c r="C1552" s="10" t="s">
        <v>363</v>
      </c>
      <c r="D1552" s="10" t="s">
        <v>364</v>
      </c>
      <c r="E1552" s="11" t="str">
        <f>+HYPERLINK("http://trademark.i-assist.jp/data/china/image_1902th/79099119.pdf", "79099119")</f>
        <v>79099119</v>
      </c>
      <c r="F1552" s="10" t="s">
        <v>4600</v>
      </c>
      <c r="G1552" s="10" t="s">
        <v>4601</v>
      </c>
      <c r="H1552" s="10" t="s">
        <v>4602</v>
      </c>
      <c r="I1552" s="10" t="s">
        <v>289</v>
      </c>
    </row>
    <row r="1553" spans="1:9" x14ac:dyDescent="0.15">
      <c r="A1553" s="9">
        <v>1552</v>
      </c>
      <c r="B1553" s="10" t="s">
        <v>9</v>
      </c>
      <c r="C1553" s="10" t="s">
        <v>363</v>
      </c>
      <c r="D1553" s="10" t="s">
        <v>364</v>
      </c>
      <c r="E1553" s="11" t="str">
        <f>+HYPERLINK("http://trademark.i-assist.jp/data/china/image_1902th/79099277.pdf", "79099277")</f>
        <v>79099277</v>
      </c>
      <c r="F1553" s="10" t="s">
        <v>4603</v>
      </c>
      <c r="G1553" s="10" t="s">
        <v>317</v>
      </c>
      <c r="H1553" s="10" t="s">
        <v>4604</v>
      </c>
      <c r="I1553" s="10" t="s">
        <v>289</v>
      </c>
    </row>
    <row r="1554" spans="1:9" x14ac:dyDescent="0.15">
      <c r="A1554" s="9">
        <v>1553</v>
      </c>
      <c r="B1554" s="10" t="s">
        <v>9</v>
      </c>
      <c r="C1554" s="10" t="s">
        <v>363</v>
      </c>
      <c r="D1554" s="10" t="s">
        <v>364</v>
      </c>
      <c r="E1554" s="11" t="str">
        <f>+HYPERLINK("http://trademark.i-assist.jp/data/china/image_1902th/79099402.pdf", "79099402")</f>
        <v>79099402</v>
      </c>
      <c r="F1554" s="10" t="s">
        <v>4605</v>
      </c>
      <c r="G1554" s="10" t="s">
        <v>4562</v>
      </c>
      <c r="H1554" s="10" t="s">
        <v>4606</v>
      </c>
      <c r="I1554" s="10" t="s">
        <v>289</v>
      </c>
    </row>
    <row r="1555" spans="1:9" x14ac:dyDescent="0.15">
      <c r="A1555" s="9">
        <v>1554</v>
      </c>
      <c r="B1555" s="10" t="s">
        <v>9</v>
      </c>
      <c r="C1555" s="10" t="s">
        <v>363</v>
      </c>
      <c r="D1555" s="10" t="s">
        <v>364</v>
      </c>
      <c r="E1555" s="11" t="str">
        <f>+HYPERLINK("http://trademark.i-assist.jp/data/china/image_1902th/79099522.pdf", "79099522")</f>
        <v>79099522</v>
      </c>
      <c r="F1555" s="10" t="s">
        <v>4607</v>
      </c>
      <c r="G1555" s="10" t="s">
        <v>4572</v>
      </c>
      <c r="H1555" s="10" t="s">
        <v>4608</v>
      </c>
      <c r="I1555" s="10" t="s">
        <v>289</v>
      </c>
    </row>
    <row r="1556" spans="1:9" x14ac:dyDescent="0.15">
      <c r="A1556" s="9">
        <v>1555</v>
      </c>
      <c r="B1556" s="10" t="s">
        <v>9</v>
      </c>
      <c r="C1556" s="10" t="s">
        <v>363</v>
      </c>
      <c r="D1556" s="10" t="s">
        <v>364</v>
      </c>
      <c r="E1556" s="11" t="str">
        <f>+HYPERLINK("http://trademark.i-assist.jp/data/china/image_1902th/79099727.pdf", "79099727")</f>
        <v>79099727</v>
      </c>
      <c r="F1556" s="10" t="s">
        <v>4609</v>
      </c>
      <c r="G1556" s="10" t="s">
        <v>4610</v>
      </c>
      <c r="H1556" s="10" t="s">
        <v>4611</v>
      </c>
      <c r="I1556" s="10" t="s">
        <v>289</v>
      </c>
    </row>
    <row r="1557" spans="1:9" x14ac:dyDescent="0.15">
      <c r="A1557" s="9">
        <v>1556</v>
      </c>
      <c r="B1557" s="10" t="s">
        <v>9</v>
      </c>
      <c r="C1557" s="10" t="s">
        <v>363</v>
      </c>
      <c r="D1557" s="10" t="s">
        <v>364</v>
      </c>
      <c r="E1557" s="11" t="str">
        <f>+HYPERLINK("http://trademark.i-assist.jp/data/china/image_1902th/79099729.pdf", "79099729")</f>
        <v>79099729</v>
      </c>
      <c r="F1557" s="10" t="s">
        <v>4612</v>
      </c>
      <c r="G1557" s="10" t="s">
        <v>4435</v>
      </c>
      <c r="H1557" s="10" t="s">
        <v>4613</v>
      </c>
      <c r="I1557" s="10" t="s">
        <v>289</v>
      </c>
    </row>
    <row r="1558" spans="1:9" x14ac:dyDescent="0.15">
      <c r="A1558" s="9">
        <v>1557</v>
      </c>
      <c r="B1558" s="10" t="s">
        <v>9</v>
      </c>
      <c r="C1558" s="10" t="s">
        <v>363</v>
      </c>
      <c r="D1558" s="10" t="s">
        <v>364</v>
      </c>
      <c r="E1558" s="11" t="str">
        <f>+HYPERLINK("http://trademark.i-assist.jp/data/china/image_1902th/79099785.pdf", "79099785")</f>
        <v>79099785</v>
      </c>
      <c r="F1558" s="10" t="s">
        <v>4614</v>
      </c>
      <c r="G1558" s="10" t="s">
        <v>47</v>
      </c>
      <c r="H1558" s="10" t="s">
        <v>4615</v>
      </c>
      <c r="I1558" s="10" t="s">
        <v>289</v>
      </c>
    </row>
    <row r="1559" spans="1:9" x14ac:dyDescent="0.15">
      <c r="A1559" s="9">
        <v>1558</v>
      </c>
      <c r="B1559" s="10" t="s">
        <v>9</v>
      </c>
      <c r="C1559" s="10" t="s">
        <v>363</v>
      </c>
      <c r="D1559" s="10" t="s">
        <v>364</v>
      </c>
      <c r="E1559" s="11" t="str">
        <f>+HYPERLINK("http://trademark.i-assist.jp/data/china/image_1902th/79099837.pdf", "79099837")</f>
        <v>79099837</v>
      </c>
      <c r="F1559" s="10" t="s">
        <v>4616</v>
      </c>
      <c r="G1559" s="10" t="s">
        <v>302</v>
      </c>
      <c r="H1559" s="10" t="s">
        <v>4617</v>
      </c>
      <c r="I1559" s="10" t="s">
        <v>289</v>
      </c>
    </row>
    <row r="1560" spans="1:9" x14ac:dyDescent="0.15">
      <c r="A1560" s="9">
        <v>1559</v>
      </c>
      <c r="B1560" s="10" t="s">
        <v>9</v>
      </c>
      <c r="C1560" s="10" t="s">
        <v>363</v>
      </c>
      <c r="D1560" s="10" t="s">
        <v>364</v>
      </c>
      <c r="E1560" s="11" t="str">
        <f>+HYPERLINK("http://trademark.i-assist.jp/data/china/image_1902th/79099907.pdf", "79099907")</f>
        <v>79099907</v>
      </c>
      <c r="F1560" s="10" t="s">
        <v>4618</v>
      </c>
      <c r="G1560" s="10" t="s">
        <v>2483</v>
      </c>
      <c r="H1560" s="10" t="s">
        <v>4619</v>
      </c>
      <c r="I1560" s="10" t="s">
        <v>289</v>
      </c>
    </row>
    <row r="1561" spans="1:9" x14ac:dyDescent="0.15">
      <c r="A1561" s="9">
        <v>1560</v>
      </c>
      <c r="B1561" s="10" t="s">
        <v>9</v>
      </c>
      <c r="C1561" s="10" t="s">
        <v>363</v>
      </c>
      <c r="D1561" s="10" t="s">
        <v>364</v>
      </c>
      <c r="E1561" s="11" t="str">
        <f>+HYPERLINK("http://trademark.i-assist.jp/data/china/image_1902th/79099958.pdf", "79099958")</f>
        <v>79099958</v>
      </c>
      <c r="F1561" s="10" t="s">
        <v>4620</v>
      </c>
      <c r="G1561" s="10" t="s">
        <v>4621</v>
      </c>
      <c r="H1561" s="10" t="s">
        <v>4622</v>
      </c>
      <c r="I1561" s="10" t="s">
        <v>289</v>
      </c>
    </row>
    <row r="1562" spans="1:9" x14ac:dyDescent="0.15">
      <c r="A1562" s="9">
        <v>1561</v>
      </c>
      <c r="B1562" s="10" t="s">
        <v>9</v>
      </c>
      <c r="C1562" s="10" t="s">
        <v>363</v>
      </c>
      <c r="D1562" s="10" t="s">
        <v>364</v>
      </c>
      <c r="E1562" s="11" t="str">
        <f>+HYPERLINK("http://trademark.i-assist.jp/data/china/image_1902th/79100016.pdf", "79100016")</f>
        <v>79100016</v>
      </c>
      <c r="F1562" s="10" t="s">
        <v>4623</v>
      </c>
      <c r="G1562" s="10" t="s">
        <v>4624</v>
      </c>
      <c r="H1562" s="10" t="s">
        <v>4625</v>
      </c>
      <c r="I1562" s="10" t="s">
        <v>289</v>
      </c>
    </row>
    <row r="1563" spans="1:9" x14ac:dyDescent="0.15">
      <c r="A1563" s="9">
        <v>1562</v>
      </c>
      <c r="B1563" s="10" t="s">
        <v>9</v>
      </c>
      <c r="C1563" s="10" t="s">
        <v>363</v>
      </c>
      <c r="D1563" s="10" t="s">
        <v>364</v>
      </c>
      <c r="E1563" s="11" t="str">
        <f>+HYPERLINK("http://trademark.i-assist.jp/data/china/image_1902th/79100105.pdf", "79100105")</f>
        <v>79100105</v>
      </c>
      <c r="F1563" s="10" t="s">
        <v>4626</v>
      </c>
      <c r="G1563" s="10" t="s">
        <v>4435</v>
      </c>
      <c r="H1563" s="10" t="s">
        <v>4627</v>
      </c>
      <c r="I1563" s="10" t="s">
        <v>289</v>
      </c>
    </row>
    <row r="1564" spans="1:9" x14ac:dyDescent="0.15">
      <c r="A1564" s="9">
        <v>1563</v>
      </c>
      <c r="B1564" s="10" t="s">
        <v>9</v>
      </c>
      <c r="C1564" s="10" t="s">
        <v>363</v>
      </c>
      <c r="D1564" s="10" t="s">
        <v>364</v>
      </c>
      <c r="E1564" s="11" t="str">
        <f>+HYPERLINK("http://trademark.i-assist.jp/data/china/image_1902th/79100546.pdf", "79100546")</f>
        <v>79100546</v>
      </c>
      <c r="F1564" s="10" t="s">
        <v>4628</v>
      </c>
      <c r="G1564" s="10" t="s">
        <v>4629</v>
      </c>
      <c r="H1564" s="10" t="s">
        <v>4630</v>
      </c>
      <c r="I1564" s="10" t="s">
        <v>289</v>
      </c>
    </row>
    <row r="1565" spans="1:9" x14ac:dyDescent="0.15">
      <c r="A1565" s="9">
        <v>1564</v>
      </c>
      <c r="B1565" s="10" t="s">
        <v>9</v>
      </c>
      <c r="C1565" s="10" t="s">
        <v>363</v>
      </c>
      <c r="D1565" s="10" t="s">
        <v>364</v>
      </c>
      <c r="E1565" s="11" t="str">
        <f>+HYPERLINK("http://trademark.i-assist.jp/data/china/image_1902th/79100646.pdf", "79100646")</f>
        <v>79100646</v>
      </c>
      <c r="F1565" s="10" t="s">
        <v>4631</v>
      </c>
      <c r="G1565" s="10" t="s">
        <v>4632</v>
      </c>
      <c r="H1565" s="10" t="s">
        <v>4633</v>
      </c>
      <c r="I1565" s="10" t="s">
        <v>289</v>
      </c>
    </row>
    <row r="1566" spans="1:9" x14ac:dyDescent="0.15">
      <c r="A1566" s="9">
        <v>1565</v>
      </c>
      <c r="B1566" s="10" t="s">
        <v>9</v>
      </c>
      <c r="C1566" s="10" t="s">
        <v>363</v>
      </c>
      <c r="D1566" s="10" t="s">
        <v>364</v>
      </c>
      <c r="E1566" s="11" t="str">
        <f>+HYPERLINK("http://trademark.i-assist.jp/data/china/image_1902th/79100671.pdf", "79100671")</f>
        <v>79100671</v>
      </c>
      <c r="F1566" s="10" t="s">
        <v>4634</v>
      </c>
      <c r="G1566" s="10" t="s">
        <v>4635</v>
      </c>
      <c r="H1566" s="10" t="s">
        <v>4636</v>
      </c>
      <c r="I1566" s="10" t="s">
        <v>289</v>
      </c>
    </row>
    <row r="1567" spans="1:9" x14ac:dyDescent="0.15">
      <c r="A1567" s="9">
        <v>1566</v>
      </c>
      <c r="B1567" s="10" t="s">
        <v>9</v>
      </c>
      <c r="C1567" s="10" t="s">
        <v>363</v>
      </c>
      <c r="D1567" s="10" t="s">
        <v>364</v>
      </c>
      <c r="E1567" s="11" t="str">
        <f>+HYPERLINK("http://trademark.i-assist.jp/data/china/image_1902th/79100684.pdf", "79100684")</f>
        <v>79100684</v>
      </c>
      <c r="F1567" s="10" t="s">
        <v>4637</v>
      </c>
      <c r="G1567" s="10" t="s">
        <v>4635</v>
      </c>
      <c r="H1567" s="10" t="s">
        <v>4638</v>
      </c>
      <c r="I1567" s="10" t="s">
        <v>289</v>
      </c>
    </row>
    <row r="1568" spans="1:9" x14ac:dyDescent="0.15">
      <c r="A1568" s="9">
        <v>1567</v>
      </c>
      <c r="B1568" s="10" t="s">
        <v>9</v>
      </c>
      <c r="C1568" s="10" t="s">
        <v>363</v>
      </c>
      <c r="D1568" s="10" t="s">
        <v>364</v>
      </c>
      <c r="E1568" s="11" t="str">
        <f>+HYPERLINK("http://trademark.i-assist.jp/data/china/image_1902th/79100825.pdf", "79100825")</f>
        <v>79100825</v>
      </c>
      <c r="F1568" s="10" t="s">
        <v>12</v>
      </c>
      <c r="G1568" s="10" t="s">
        <v>4639</v>
      </c>
      <c r="H1568" s="10" t="s">
        <v>4640</v>
      </c>
      <c r="I1568" s="10" t="s">
        <v>289</v>
      </c>
    </row>
    <row r="1569" spans="1:9" x14ac:dyDescent="0.15">
      <c r="A1569" s="9">
        <v>1568</v>
      </c>
      <c r="B1569" s="10" t="s">
        <v>9</v>
      </c>
      <c r="C1569" s="10" t="s">
        <v>363</v>
      </c>
      <c r="D1569" s="10" t="s">
        <v>364</v>
      </c>
      <c r="E1569" s="11" t="str">
        <f>+HYPERLINK("http://trademark.i-assist.jp/data/china/image_1902th/79100965.pdf", "79100965")</f>
        <v>79100965</v>
      </c>
      <c r="F1569" s="10" t="s">
        <v>4641</v>
      </c>
      <c r="G1569" s="10" t="s">
        <v>4642</v>
      </c>
      <c r="H1569" s="10" t="s">
        <v>4643</v>
      </c>
      <c r="I1569" s="10" t="s">
        <v>289</v>
      </c>
    </row>
    <row r="1570" spans="1:9" x14ac:dyDescent="0.15">
      <c r="A1570" s="9">
        <v>1569</v>
      </c>
      <c r="B1570" s="10" t="s">
        <v>9</v>
      </c>
      <c r="C1570" s="10" t="s">
        <v>363</v>
      </c>
      <c r="D1570" s="10" t="s">
        <v>364</v>
      </c>
      <c r="E1570" s="11" t="str">
        <f>+HYPERLINK("http://trademark.i-assist.jp/data/china/image_1902th/79101143.pdf", "79101143")</f>
        <v>79101143</v>
      </c>
      <c r="F1570" s="10" t="s">
        <v>12</v>
      </c>
      <c r="G1570" s="10" t="s">
        <v>4644</v>
      </c>
      <c r="H1570" s="10" t="s">
        <v>4645</v>
      </c>
      <c r="I1570" s="10" t="s">
        <v>289</v>
      </c>
    </row>
    <row r="1571" spans="1:9" x14ac:dyDescent="0.15">
      <c r="A1571" s="9">
        <v>1570</v>
      </c>
      <c r="B1571" s="10" t="s">
        <v>9</v>
      </c>
      <c r="C1571" s="10" t="s">
        <v>363</v>
      </c>
      <c r="D1571" s="10" t="s">
        <v>364</v>
      </c>
      <c r="E1571" s="11" t="str">
        <f>+HYPERLINK("http://trademark.i-assist.jp/data/china/image_1902th/79101459.pdf", "79101459")</f>
        <v>79101459</v>
      </c>
      <c r="F1571" s="10" t="s">
        <v>12</v>
      </c>
      <c r="G1571" s="10" t="s">
        <v>4490</v>
      </c>
      <c r="H1571" s="10" t="s">
        <v>4646</v>
      </c>
      <c r="I1571" s="10" t="s">
        <v>289</v>
      </c>
    </row>
    <row r="1572" spans="1:9" x14ac:dyDescent="0.15">
      <c r="A1572" s="9">
        <v>1571</v>
      </c>
      <c r="B1572" s="10" t="s">
        <v>9</v>
      </c>
      <c r="C1572" s="10" t="s">
        <v>363</v>
      </c>
      <c r="D1572" s="10" t="s">
        <v>364</v>
      </c>
      <c r="E1572" s="11" t="str">
        <f>+HYPERLINK("http://trademark.i-assist.jp/data/china/image_1902th/79101488.pdf", "79101488")</f>
        <v>79101488</v>
      </c>
      <c r="F1572" s="10" t="s">
        <v>4647</v>
      </c>
      <c r="G1572" s="10" t="s">
        <v>4648</v>
      </c>
      <c r="H1572" s="10" t="s">
        <v>4649</v>
      </c>
      <c r="I1572" s="10" t="s">
        <v>289</v>
      </c>
    </row>
    <row r="1573" spans="1:9" x14ac:dyDescent="0.15">
      <c r="A1573" s="9">
        <v>1572</v>
      </c>
      <c r="B1573" s="10" t="s">
        <v>9</v>
      </c>
      <c r="C1573" s="10" t="s">
        <v>363</v>
      </c>
      <c r="D1573" s="10" t="s">
        <v>364</v>
      </c>
      <c r="E1573" s="11" t="str">
        <f>+HYPERLINK("http://trademark.i-assist.jp/data/china/image_1902th/79101521.pdf", "79101521")</f>
        <v>79101521</v>
      </c>
      <c r="F1573" s="10" t="s">
        <v>298</v>
      </c>
      <c r="G1573" s="10" t="s">
        <v>299</v>
      </c>
      <c r="H1573" s="10" t="s">
        <v>4650</v>
      </c>
      <c r="I1573" s="10" t="s">
        <v>289</v>
      </c>
    </row>
    <row r="1574" spans="1:9" x14ac:dyDescent="0.15">
      <c r="A1574" s="9">
        <v>1573</v>
      </c>
      <c r="B1574" s="10" t="s">
        <v>9</v>
      </c>
      <c r="C1574" s="10" t="s">
        <v>363</v>
      </c>
      <c r="D1574" s="10" t="s">
        <v>364</v>
      </c>
      <c r="E1574" s="11" t="str">
        <f>+HYPERLINK("http://trademark.i-assist.jp/data/china/image_1902th/79101766.pdf", "79101766")</f>
        <v>79101766</v>
      </c>
      <c r="F1574" s="10" t="s">
        <v>4651</v>
      </c>
      <c r="G1574" s="10" t="s">
        <v>4652</v>
      </c>
      <c r="H1574" s="10" t="s">
        <v>4653</v>
      </c>
      <c r="I1574" s="10" t="s">
        <v>289</v>
      </c>
    </row>
    <row r="1575" spans="1:9" x14ac:dyDescent="0.15">
      <c r="A1575" s="9">
        <v>1574</v>
      </c>
      <c r="B1575" s="10" t="s">
        <v>9</v>
      </c>
      <c r="C1575" s="10" t="s">
        <v>363</v>
      </c>
      <c r="D1575" s="10" t="s">
        <v>364</v>
      </c>
      <c r="E1575" s="11" t="str">
        <f>+HYPERLINK("http://trademark.i-assist.jp/data/china/image_1902th/79102096.pdf", "79102096")</f>
        <v>79102096</v>
      </c>
      <c r="F1575" s="10" t="s">
        <v>4654</v>
      </c>
      <c r="G1575" s="10" t="s">
        <v>59</v>
      </c>
      <c r="H1575" s="10" t="s">
        <v>4655</v>
      </c>
      <c r="I1575" s="10" t="s">
        <v>289</v>
      </c>
    </row>
    <row r="1576" spans="1:9" x14ac:dyDescent="0.15">
      <c r="A1576" s="9">
        <v>1575</v>
      </c>
      <c r="B1576" s="10" t="s">
        <v>9</v>
      </c>
      <c r="C1576" s="10" t="s">
        <v>363</v>
      </c>
      <c r="D1576" s="10" t="s">
        <v>364</v>
      </c>
      <c r="E1576" s="11" t="str">
        <f>+HYPERLINK("http://trademark.i-assist.jp/data/china/image_1902th/79102118.pdf", "79102118")</f>
        <v>79102118</v>
      </c>
      <c r="F1576" s="10" t="s">
        <v>4656</v>
      </c>
      <c r="G1576" s="10" t="s">
        <v>4584</v>
      </c>
      <c r="H1576" s="10" t="s">
        <v>4657</v>
      </c>
      <c r="I1576" s="10" t="s">
        <v>289</v>
      </c>
    </row>
    <row r="1577" spans="1:9" x14ac:dyDescent="0.15">
      <c r="A1577" s="9">
        <v>1576</v>
      </c>
      <c r="B1577" s="10" t="s">
        <v>9</v>
      </c>
      <c r="C1577" s="10" t="s">
        <v>363</v>
      </c>
      <c r="D1577" s="10" t="s">
        <v>364</v>
      </c>
      <c r="E1577" s="11" t="str">
        <f>+HYPERLINK("http://trademark.i-assist.jp/data/china/image_1902th/79102235.pdf", "79102235")</f>
        <v>79102235</v>
      </c>
      <c r="F1577" s="10" t="s">
        <v>4658</v>
      </c>
      <c r="G1577" s="10" t="s">
        <v>294</v>
      </c>
      <c r="H1577" s="10" t="s">
        <v>4659</v>
      </c>
      <c r="I1577" s="10" t="s">
        <v>289</v>
      </c>
    </row>
    <row r="1578" spans="1:9" x14ac:dyDescent="0.15">
      <c r="A1578" s="9">
        <v>1577</v>
      </c>
      <c r="B1578" s="10" t="s">
        <v>9</v>
      </c>
      <c r="C1578" s="10" t="s">
        <v>363</v>
      </c>
      <c r="D1578" s="10" t="s">
        <v>364</v>
      </c>
      <c r="E1578" s="11" t="str">
        <f>+HYPERLINK("http://trademark.i-assist.jp/data/china/image_1902th/79102286.pdf", "79102286")</f>
        <v>79102286</v>
      </c>
      <c r="F1578" s="10" t="s">
        <v>4660</v>
      </c>
      <c r="G1578" s="10" t="s">
        <v>4624</v>
      </c>
      <c r="H1578" s="10" t="s">
        <v>4661</v>
      </c>
      <c r="I1578" s="10" t="s">
        <v>289</v>
      </c>
    </row>
    <row r="1579" spans="1:9" x14ac:dyDescent="0.15">
      <c r="A1579" s="9">
        <v>1578</v>
      </c>
      <c r="B1579" s="10" t="s">
        <v>9</v>
      </c>
      <c r="C1579" s="10" t="s">
        <v>363</v>
      </c>
      <c r="D1579" s="10" t="s">
        <v>364</v>
      </c>
      <c r="E1579" s="11" t="str">
        <f>+HYPERLINK("http://trademark.i-assist.jp/data/china/image_1902th/79102426.pdf", "79102426")</f>
        <v>79102426</v>
      </c>
      <c r="F1579" s="10" t="s">
        <v>4662</v>
      </c>
      <c r="G1579" s="10" t="s">
        <v>4663</v>
      </c>
      <c r="H1579" s="10" t="s">
        <v>4664</v>
      </c>
      <c r="I1579" s="10" t="s">
        <v>289</v>
      </c>
    </row>
    <row r="1580" spans="1:9" x14ac:dyDescent="0.15">
      <c r="A1580" s="9">
        <v>1579</v>
      </c>
      <c r="B1580" s="10" t="s">
        <v>9</v>
      </c>
      <c r="C1580" s="10" t="s">
        <v>363</v>
      </c>
      <c r="D1580" s="10" t="s">
        <v>364</v>
      </c>
      <c r="E1580" s="11" t="str">
        <f>+HYPERLINK("http://trademark.i-assist.jp/data/china/image_1902th/79102702.pdf", "79102702")</f>
        <v>79102702</v>
      </c>
      <c r="F1580" s="10" t="s">
        <v>4665</v>
      </c>
      <c r="G1580" s="10" t="s">
        <v>4666</v>
      </c>
      <c r="H1580" s="10" t="s">
        <v>4667</v>
      </c>
      <c r="I1580" s="10" t="s">
        <v>289</v>
      </c>
    </row>
    <row r="1581" spans="1:9" x14ac:dyDescent="0.15">
      <c r="A1581" s="9">
        <v>1580</v>
      </c>
      <c r="B1581" s="10" t="s">
        <v>9</v>
      </c>
      <c r="C1581" s="10" t="s">
        <v>363</v>
      </c>
      <c r="D1581" s="10" t="s">
        <v>364</v>
      </c>
      <c r="E1581" s="11" t="str">
        <f>+HYPERLINK("http://trademark.i-assist.jp/data/china/image_1902th/79102933.pdf", "79102933")</f>
        <v>79102933</v>
      </c>
      <c r="F1581" s="10" t="s">
        <v>4668</v>
      </c>
      <c r="G1581" s="10" t="s">
        <v>4669</v>
      </c>
      <c r="H1581" s="10" t="s">
        <v>4670</v>
      </c>
      <c r="I1581" s="10" t="s">
        <v>289</v>
      </c>
    </row>
    <row r="1582" spans="1:9" x14ac:dyDescent="0.15">
      <c r="A1582" s="9">
        <v>1581</v>
      </c>
      <c r="B1582" s="10" t="s">
        <v>9</v>
      </c>
      <c r="C1582" s="10" t="s">
        <v>363</v>
      </c>
      <c r="D1582" s="10" t="s">
        <v>364</v>
      </c>
      <c r="E1582" s="11" t="str">
        <f>+HYPERLINK("http://trademark.i-assist.jp/data/china/image_1902th/79103463.pdf", "79103463")</f>
        <v>79103463</v>
      </c>
      <c r="F1582" s="10" t="s">
        <v>4671</v>
      </c>
      <c r="G1582" s="10" t="s">
        <v>4672</v>
      </c>
      <c r="H1582" s="10" t="s">
        <v>4673</v>
      </c>
      <c r="I1582" s="10" t="s">
        <v>289</v>
      </c>
    </row>
    <row r="1583" spans="1:9" x14ac:dyDescent="0.15">
      <c r="A1583" s="9">
        <v>1582</v>
      </c>
      <c r="B1583" s="10" t="s">
        <v>9</v>
      </c>
      <c r="C1583" s="10" t="s">
        <v>363</v>
      </c>
      <c r="D1583" s="10" t="s">
        <v>364</v>
      </c>
      <c r="E1583" s="11" t="str">
        <f>+HYPERLINK("http://trademark.i-assist.jp/data/china/image_1902th/79103488.pdf", "79103488")</f>
        <v>79103488</v>
      </c>
      <c r="F1583" s="10" t="s">
        <v>4674</v>
      </c>
      <c r="G1583" s="10" t="s">
        <v>4624</v>
      </c>
      <c r="H1583" s="10" t="s">
        <v>4675</v>
      </c>
      <c r="I1583" s="10" t="s">
        <v>289</v>
      </c>
    </row>
    <row r="1584" spans="1:9" x14ac:dyDescent="0.15">
      <c r="A1584" s="9">
        <v>1583</v>
      </c>
      <c r="B1584" s="10" t="s">
        <v>9</v>
      </c>
      <c r="C1584" s="10" t="s">
        <v>363</v>
      </c>
      <c r="D1584" s="10" t="s">
        <v>364</v>
      </c>
      <c r="E1584" s="11" t="str">
        <f>+HYPERLINK("http://trademark.i-assist.jp/data/china/image_1902th/79103606.pdf", "79103606")</f>
        <v>79103606</v>
      </c>
      <c r="F1584" s="10" t="s">
        <v>4676</v>
      </c>
      <c r="G1584" s="10" t="s">
        <v>4435</v>
      </c>
      <c r="H1584" s="10" t="s">
        <v>4677</v>
      </c>
      <c r="I1584" s="10" t="s">
        <v>289</v>
      </c>
    </row>
    <row r="1585" spans="1:9" x14ac:dyDescent="0.15">
      <c r="A1585" s="9">
        <v>1584</v>
      </c>
      <c r="B1585" s="10" t="s">
        <v>9</v>
      </c>
      <c r="C1585" s="10" t="s">
        <v>363</v>
      </c>
      <c r="D1585" s="10" t="s">
        <v>364</v>
      </c>
      <c r="E1585" s="11" t="str">
        <f>+HYPERLINK("http://trademark.i-assist.jp/data/china/image_1902th/79103665.pdf", "79103665")</f>
        <v>79103665</v>
      </c>
      <c r="F1585" s="10" t="s">
        <v>4678</v>
      </c>
      <c r="G1585" s="10" t="s">
        <v>4679</v>
      </c>
      <c r="H1585" s="10" t="s">
        <v>4680</v>
      </c>
      <c r="I1585" s="10" t="s">
        <v>289</v>
      </c>
    </row>
    <row r="1586" spans="1:9" x14ac:dyDescent="0.15">
      <c r="A1586" s="9">
        <v>1585</v>
      </c>
      <c r="B1586" s="10" t="s">
        <v>9</v>
      </c>
      <c r="C1586" s="10" t="s">
        <v>363</v>
      </c>
      <c r="D1586" s="10" t="s">
        <v>364</v>
      </c>
      <c r="E1586" s="11" t="str">
        <f>+HYPERLINK("http://trademark.i-assist.jp/data/china/image_1902th/79104375.pdf", "79104375")</f>
        <v>79104375</v>
      </c>
      <c r="F1586" s="10" t="s">
        <v>4681</v>
      </c>
      <c r="G1586" s="10" t="s">
        <v>4682</v>
      </c>
      <c r="H1586" s="10" t="s">
        <v>4683</v>
      </c>
      <c r="I1586" s="10" t="s">
        <v>289</v>
      </c>
    </row>
    <row r="1587" spans="1:9" x14ac:dyDescent="0.15">
      <c r="A1587" s="9">
        <v>1586</v>
      </c>
      <c r="B1587" s="10" t="s">
        <v>9</v>
      </c>
      <c r="C1587" s="10" t="s">
        <v>363</v>
      </c>
      <c r="D1587" s="10" t="s">
        <v>364</v>
      </c>
      <c r="E1587" s="11" t="str">
        <f>+HYPERLINK("http://trademark.i-assist.jp/data/china/image_1902th/79104485.pdf", "79104485")</f>
        <v>79104485</v>
      </c>
      <c r="F1587" s="10" t="s">
        <v>4684</v>
      </c>
      <c r="G1587" s="10" t="s">
        <v>295</v>
      </c>
      <c r="H1587" s="10" t="s">
        <v>4685</v>
      </c>
      <c r="I1587" s="10" t="s">
        <v>289</v>
      </c>
    </row>
    <row r="1588" spans="1:9" x14ac:dyDescent="0.15">
      <c r="A1588" s="9">
        <v>1587</v>
      </c>
      <c r="B1588" s="10" t="s">
        <v>9</v>
      </c>
      <c r="C1588" s="10" t="s">
        <v>363</v>
      </c>
      <c r="D1588" s="10" t="s">
        <v>364</v>
      </c>
      <c r="E1588" s="11" t="str">
        <f>+HYPERLINK("http://trademark.i-assist.jp/data/china/image_1902th/79104903.pdf", "79104903")</f>
        <v>79104903</v>
      </c>
      <c r="F1588" s="10" t="s">
        <v>4686</v>
      </c>
      <c r="G1588" s="10" t="s">
        <v>294</v>
      </c>
      <c r="H1588" s="10" t="s">
        <v>4687</v>
      </c>
      <c r="I1588" s="10" t="s">
        <v>289</v>
      </c>
    </row>
    <row r="1589" spans="1:9" x14ac:dyDescent="0.15">
      <c r="A1589" s="9">
        <v>1588</v>
      </c>
      <c r="B1589" s="10" t="s">
        <v>9</v>
      </c>
      <c r="C1589" s="10" t="s">
        <v>363</v>
      </c>
      <c r="D1589" s="10" t="s">
        <v>364</v>
      </c>
      <c r="E1589" s="11" t="str">
        <f>+HYPERLINK("http://trademark.i-assist.jp/data/china/image_1902th/79104928.pdf", "79104928")</f>
        <v>79104928</v>
      </c>
      <c r="F1589" s="10" t="s">
        <v>4688</v>
      </c>
      <c r="G1589" s="10" t="s">
        <v>4689</v>
      </c>
      <c r="H1589" s="10" t="s">
        <v>4690</v>
      </c>
      <c r="I1589" s="10" t="s">
        <v>289</v>
      </c>
    </row>
    <row r="1590" spans="1:9" x14ac:dyDescent="0.15">
      <c r="A1590" s="9">
        <v>1589</v>
      </c>
      <c r="B1590" s="10" t="s">
        <v>9</v>
      </c>
      <c r="C1590" s="10" t="s">
        <v>363</v>
      </c>
      <c r="D1590" s="10" t="s">
        <v>364</v>
      </c>
      <c r="E1590" s="11" t="str">
        <f>+HYPERLINK("http://trademark.i-assist.jp/data/china/image_1902th/79105300.pdf", "79105300")</f>
        <v>79105300</v>
      </c>
      <c r="F1590" s="10" t="s">
        <v>4691</v>
      </c>
      <c r="G1590" s="10" t="s">
        <v>4692</v>
      </c>
      <c r="H1590" s="10" t="s">
        <v>4693</v>
      </c>
      <c r="I1590" s="10" t="s">
        <v>289</v>
      </c>
    </row>
    <row r="1591" spans="1:9" x14ac:dyDescent="0.15">
      <c r="A1591" s="9">
        <v>1590</v>
      </c>
      <c r="B1591" s="10" t="s">
        <v>9</v>
      </c>
      <c r="C1591" s="10" t="s">
        <v>363</v>
      </c>
      <c r="D1591" s="10" t="s">
        <v>364</v>
      </c>
      <c r="E1591" s="11" t="str">
        <f>+HYPERLINK("http://trademark.i-assist.jp/data/china/image_1902th/79105340.pdf", "79105340")</f>
        <v>79105340</v>
      </c>
      <c r="F1591" s="10" t="s">
        <v>4694</v>
      </c>
      <c r="G1591" s="10" t="s">
        <v>4695</v>
      </c>
      <c r="H1591" s="10" t="s">
        <v>4696</v>
      </c>
      <c r="I1591" s="10" t="s">
        <v>289</v>
      </c>
    </row>
    <row r="1592" spans="1:9" x14ac:dyDescent="0.15">
      <c r="A1592" s="9">
        <v>1591</v>
      </c>
      <c r="B1592" s="10" t="s">
        <v>9</v>
      </c>
      <c r="C1592" s="10" t="s">
        <v>363</v>
      </c>
      <c r="D1592" s="10" t="s">
        <v>364</v>
      </c>
      <c r="E1592" s="11" t="str">
        <f>+HYPERLINK("http://trademark.i-assist.jp/data/china/image_1902th/79105744.pdf", "79105744")</f>
        <v>79105744</v>
      </c>
      <c r="F1592" s="10" t="s">
        <v>4697</v>
      </c>
      <c r="G1592" s="10" t="s">
        <v>4698</v>
      </c>
      <c r="H1592" s="10" t="s">
        <v>4699</v>
      </c>
      <c r="I1592" s="10" t="s">
        <v>289</v>
      </c>
    </row>
    <row r="1593" spans="1:9" x14ac:dyDescent="0.15">
      <c r="A1593" s="9">
        <v>1592</v>
      </c>
      <c r="B1593" s="10" t="s">
        <v>9</v>
      </c>
      <c r="C1593" s="10" t="s">
        <v>363</v>
      </c>
      <c r="D1593" s="10" t="s">
        <v>364</v>
      </c>
      <c r="E1593" s="11" t="str">
        <f>+HYPERLINK("http://trademark.i-assist.jp/data/china/image_1902th/79105752.pdf", "79105752")</f>
        <v>79105752</v>
      </c>
      <c r="F1593" s="10" t="s">
        <v>4700</v>
      </c>
      <c r="G1593" s="10" t="s">
        <v>4701</v>
      </c>
      <c r="H1593" s="10" t="s">
        <v>4702</v>
      </c>
      <c r="I1593" s="10" t="s">
        <v>289</v>
      </c>
    </row>
    <row r="1594" spans="1:9" x14ac:dyDescent="0.15">
      <c r="A1594" s="9">
        <v>1593</v>
      </c>
      <c r="B1594" s="10" t="s">
        <v>9</v>
      </c>
      <c r="C1594" s="10" t="s">
        <v>363</v>
      </c>
      <c r="D1594" s="10" t="s">
        <v>364</v>
      </c>
      <c r="E1594" s="11" t="str">
        <f>+HYPERLINK("http://trademark.i-assist.jp/data/china/image_1902th/79106380.pdf", "79106380")</f>
        <v>79106380</v>
      </c>
      <c r="F1594" s="10" t="s">
        <v>4703</v>
      </c>
      <c r="G1594" s="10" t="s">
        <v>4458</v>
      </c>
      <c r="H1594" s="10" t="s">
        <v>4704</v>
      </c>
      <c r="I1594" s="10" t="s">
        <v>289</v>
      </c>
    </row>
    <row r="1595" spans="1:9" x14ac:dyDescent="0.15">
      <c r="A1595" s="9">
        <v>1594</v>
      </c>
      <c r="B1595" s="10" t="s">
        <v>9</v>
      </c>
      <c r="C1595" s="10" t="s">
        <v>363</v>
      </c>
      <c r="D1595" s="10" t="s">
        <v>364</v>
      </c>
      <c r="E1595" s="11" t="str">
        <f>+HYPERLINK("http://trademark.i-assist.jp/data/china/image_1902th/79106384.pdf", "79106384")</f>
        <v>79106384</v>
      </c>
      <c r="F1595" s="10" t="s">
        <v>4705</v>
      </c>
      <c r="G1595" s="10" t="s">
        <v>4624</v>
      </c>
      <c r="H1595" s="10" t="s">
        <v>4706</v>
      </c>
      <c r="I1595" s="10" t="s">
        <v>289</v>
      </c>
    </row>
    <row r="1596" spans="1:9" x14ac:dyDescent="0.15">
      <c r="A1596" s="9">
        <v>1595</v>
      </c>
      <c r="B1596" s="10" t="s">
        <v>9</v>
      </c>
      <c r="C1596" s="10" t="s">
        <v>363</v>
      </c>
      <c r="D1596" s="10" t="s">
        <v>364</v>
      </c>
      <c r="E1596" s="11" t="str">
        <f>+HYPERLINK("http://trademark.i-assist.jp/data/china/image_1902th/79106529.pdf", "79106529")</f>
        <v>79106529</v>
      </c>
      <c r="F1596" s="10" t="s">
        <v>4707</v>
      </c>
      <c r="G1596" s="10" t="s">
        <v>290</v>
      </c>
      <c r="H1596" s="10" t="s">
        <v>4708</v>
      </c>
      <c r="I1596" s="10" t="s">
        <v>289</v>
      </c>
    </row>
    <row r="1597" spans="1:9" x14ac:dyDescent="0.15">
      <c r="A1597" s="9">
        <v>1596</v>
      </c>
      <c r="B1597" s="10" t="s">
        <v>9</v>
      </c>
      <c r="C1597" s="10" t="s">
        <v>363</v>
      </c>
      <c r="D1597" s="10" t="s">
        <v>364</v>
      </c>
      <c r="E1597" s="11" t="str">
        <f>+HYPERLINK("http://trademark.i-assist.jp/data/china/image_1902th/79106849.pdf", "79106849")</f>
        <v>79106849</v>
      </c>
      <c r="F1597" s="10" t="s">
        <v>4709</v>
      </c>
      <c r="G1597" s="10" t="s">
        <v>4710</v>
      </c>
      <c r="H1597" s="10" t="s">
        <v>4711</v>
      </c>
      <c r="I1597" s="10" t="s">
        <v>289</v>
      </c>
    </row>
    <row r="1598" spans="1:9" x14ac:dyDescent="0.15">
      <c r="A1598" s="9">
        <v>1597</v>
      </c>
      <c r="B1598" s="10" t="s">
        <v>9</v>
      </c>
      <c r="C1598" s="10" t="s">
        <v>363</v>
      </c>
      <c r="D1598" s="10" t="s">
        <v>364</v>
      </c>
      <c r="E1598" s="11" t="str">
        <f>+HYPERLINK("http://trademark.i-assist.jp/data/china/image_1902th/79107021.pdf", "79107021")</f>
        <v>79107021</v>
      </c>
      <c r="F1598" s="10" t="s">
        <v>4712</v>
      </c>
      <c r="G1598" s="10" t="s">
        <v>4713</v>
      </c>
      <c r="H1598" s="10" t="s">
        <v>4714</v>
      </c>
      <c r="I1598" s="10" t="s">
        <v>289</v>
      </c>
    </row>
    <row r="1599" spans="1:9" x14ac:dyDescent="0.15">
      <c r="A1599" s="9">
        <v>1598</v>
      </c>
      <c r="B1599" s="10" t="s">
        <v>9</v>
      </c>
      <c r="C1599" s="10" t="s">
        <v>363</v>
      </c>
      <c r="D1599" s="10" t="s">
        <v>364</v>
      </c>
      <c r="E1599" s="11" t="str">
        <f>+HYPERLINK("http://trademark.i-assist.jp/data/china/image_1902th/79107269.pdf", "79107269")</f>
        <v>79107269</v>
      </c>
      <c r="F1599" s="10" t="s">
        <v>4715</v>
      </c>
      <c r="G1599" s="10" t="s">
        <v>4716</v>
      </c>
      <c r="H1599" s="10" t="s">
        <v>4717</v>
      </c>
      <c r="I1599" s="10" t="s">
        <v>289</v>
      </c>
    </row>
    <row r="1600" spans="1:9" x14ac:dyDescent="0.15">
      <c r="A1600" s="9">
        <v>1599</v>
      </c>
      <c r="B1600" s="10" t="s">
        <v>9</v>
      </c>
      <c r="C1600" s="10" t="s">
        <v>363</v>
      </c>
      <c r="D1600" s="10" t="s">
        <v>364</v>
      </c>
      <c r="E1600" s="11" t="str">
        <f>+HYPERLINK("http://trademark.i-assist.jp/data/china/image_1902th/79107364.pdf", "79107364")</f>
        <v>79107364</v>
      </c>
      <c r="F1600" s="10" t="s">
        <v>4718</v>
      </c>
      <c r="G1600" s="10" t="s">
        <v>4526</v>
      </c>
      <c r="H1600" s="10" t="s">
        <v>4719</v>
      </c>
      <c r="I1600" s="10" t="s">
        <v>289</v>
      </c>
    </row>
    <row r="1601" spans="1:9" x14ac:dyDescent="0.15">
      <c r="A1601" s="9">
        <v>1600</v>
      </c>
      <c r="B1601" s="10" t="s">
        <v>9</v>
      </c>
      <c r="C1601" s="10" t="s">
        <v>363</v>
      </c>
      <c r="D1601" s="10" t="s">
        <v>364</v>
      </c>
      <c r="E1601" s="11" t="str">
        <f>+HYPERLINK("http://trademark.i-assist.jp/data/china/image_1902th/79107538.pdf", "79107538")</f>
        <v>79107538</v>
      </c>
      <c r="F1601" s="10" t="s">
        <v>12</v>
      </c>
      <c r="G1601" s="10" t="s">
        <v>4720</v>
      </c>
      <c r="H1601" s="10" t="s">
        <v>4721</v>
      </c>
      <c r="I1601" s="10" t="s">
        <v>289</v>
      </c>
    </row>
    <row r="1602" spans="1:9" x14ac:dyDescent="0.15">
      <c r="A1602" s="9">
        <v>1601</v>
      </c>
      <c r="B1602" s="10" t="s">
        <v>9</v>
      </c>
      <c r="C1602" s="10" t="s">
        <v>363</v>
      </c>
      <c r="D1602" s="10" t="s">
        <v>364</v>
      </c>
      <c r="E1602" s="11" t="str">
        <f>+HYPERLINK("http://trademark.i-assist.jp/data/china/image_1902th/79107903.pdf", "79107903")</f>
        <v>79107903</v>
      </c>
      <c r="F1602" s="10" t="s">
        <v>4722</v>
      </c>
      <c r="G1602" s="10" t="s">
        <v>4723</v>
      </c>
      <c r="H1602" s="10" t="s">
        <v>4724</v>
      </c>
      <c r="I1602" s="10" t="s">
        <v>289</v>
      </c>
    </row>
    <row r="1603" spans="1:9" x14ac:dyDescent="0.15">
      <c r="A1603" s="9">
        <v>1602</v>
      </c>
      <c r="B1603" s="10" t="s">
        <v>9</v>
      </c>
      <c r="C1603" s="10" t="s">
        <v>363</v>
      </c>
      <c r="D1603" s="10" t="s">
        <v>364</v>
      </c>
      <c r="E1603" s="11" t="str">
        <f>+HYPERLINK("http://trademark.i-assist.jp/data/china/image_1902th/79108236.pdf", "79108236")</f>
        <v>79108236</v>
      </c>
      <c r="F1603" s="10" t="s">
        <v>4725</v>
      </c>
      <c r="G1603" s="10" t="s">
        <v>4726</v>
      </c>
      <c r="H1603" s="10" t="s">
        <v>4727</v>
      </c>
      <c r="I1603" s="10" t="s">
        <v>289</v>
      </c>
    </row>
    <row r="1604" spans="1:9" x14ac:dyDescent="0.15">
      <c r="A1604" s="9">
        <v>1603</v>
      </c>
      <c r="B1604" s="10" t="s">
        <v>9</v>
      </c>
      <c r="C1604" s="10" t="s">
        <v>363</v>
      </c>
      <c r="D1604" s="10" t="s">
        <v>364</v>
      </c>
      <c r="E1604" s="11" t="str">
        <f>+HYPERLINK("http://trademark.i-assist.jp/data/china/image_1902th/79108453.pdf", "79108453")</f>
        <v>79108453</v>
      </c>
      <c r="F1604" s="10" t="s">
        <v>4718</v>
      </c>
      <c r="G1604" s="10" t="s">
        <v>4526</v>
      </c>
      <c r="H1604" s="10" t="s">
        <v>4728</v>
      </c>
      <c r="I1604" s="10" t="s">
        <v>289</v>
      </c>
    </row>
    <row r="1605" spans="1:9" x14ac:dyDescent="0.15">
      <c r="A1605" s="9">
        <v>1604</v>
      </c>
      <c r="B1605" s="10" t="s">
        <v>9</v>
      </c>
      <c r="C1605" s="10" t="s">
        <v>363</v>
      </c>
      <c r="D1605" s="10" t="s">
        <v>364</v>
      </c>
      <c r="E1605" s="11" t="str">
        <f>+HYPERLINK("http://trademark.i-assist.jp/data/china/image_1902th/79108483.pdf", "79108483")</f>
        <v>79108483</v>
      </c>
      <c r="F1605" s="10" t="s">
        <v>4729</v>
      </c>
      <c r="G1605" s="10" t="s">
        <v>4730</v>
      </c>
      <c r="H1605" s="10" t="s">
        <v>4731</v>
      </c>
      <c r="I1605" s="10" t="s">
        <v>289</v>
      </c>
    </row>
    <row r="1606" spans="1:9" x14ac:dyDescent="0.15">
      <c r="A1606" s="9">
        <v>1605</v>
      </c>
      <c r="B1606" s="10" t="s">
        <v>9</v>
      </c>
      <c r="C1606" s="10" t="s">
        <v>363</v>
      </c>
      <c r="D1606" s="10" t="s">
        <v>364</v>
      </c>
      <c r="E1606" s="11" t="str">
        <f>+HYPERLINK("http://trademark.i-assist.jp/data/china/image_1902th/79108700.pdf", "79108700")</f>
        <v>79108700</v>
      </c>
      <c r="F1606" s="10" t="s">
        <v>4732</v>
      </c>
      <c r="G1606" s="10" t="s">
        <v>4733</v>
      </c>
      <c r="H1606" s="10" t="s">
        <v>4734</v>
      </c>
      <c r="I1606" s="10" t="s">
        <v>289</v>
      </c>
    </row>
    <row r="1607" spans="1:9" x14ac:dyDescent="0.15">
      <c r="A1607" s="9">
        <v>1606</v>
      </c>
      <c r="B1607" s="10" t="s">
        <v>9</v>
      </c>
      <c r="C1607" s="10" t="s">
        <v>363</v>
      </c>
      <c r="D1607" s="10" t="s">
        <v>364</v>
      </c>
      <c r="E1607" s="11" t="str">
        <f>+HYPERLINK("http://trademark.i-assist.jp/data/china/image_1902th/79108879.pdf", "79108879")</f>
        <v>79108879</v>
      </c>
      <c r="F1607" s="10" t="s">
        <v>4735</v>
      </c>
      <c r="G1607" s="10" t="s">
        <v>291</v>
      </c>
      <c r="H1607" s="10" t="s">
        <v>4736</v>
      </c>
      <c r="I1607" s="10" t="s">
        <v>289</v>
      </c>
    </row>
    <row r="1608" spans="1:9" x14ac:dyDescent="0.15">
      <c r="A1608" s="9">
        <v>1607</v>
      </c>
      <c r="B1608" s="10" t="s">
        <v>9</v>
      </c>
      <c r="C1608" s="10" t="s">
        <v>363</v>
      </c>
      <c r="D1608" s="10" t="s">
        <v>364</v>
      </c>
      <c r="E1608" s="11" t="str">
        <f>+HYPERLINK("http://trademark.i-assist.jp/data/china/image_1902th/79109356.pdf", "79109356")</f>
        <v>79109356</v>
      </c>
      <c r="F1608" s="10" t="s">
        <v>4737</v>
      </c>
      <c r="G1608" s="10" t="s">
        <v>4435</v>
      </c>
      <c r="H1608" s="10" t="s">
        <v>4738</v>
      </c>
      <c r="I1608" s="10" t="s">
        <v>289</v>
      </c>
    </row>
    <row r="1609" spans="1:9" x14ac:dyDescent="0.15">
      <c r="A1609" s="9">
        <v>1608</v>
      </c>
      <c r="B1609" s="10" t="s">
        <v>9</v>
      </c>
      <c r="C1609" s="10" t="s">
        <v>363</v>
      </c>
      <c r="D1609" s="10" t="s">
        <v>364</v>
      </c>
      <c r="E1609" s="11" t="str">
        <f>+HYPERLINK("http://trademark.i-assist.jp/data/china/image_1902th/79109560.pdf", "79109560")</f>
        <v>79109560</v>
      </c>
      <c r="F1609" s="10" t="s">
        <v>4739</v>
      </c>
      <c r="G1609" s="10" t="s">
        <v>294</v>
      </c>
      <c r="H1609" s="10" t="s">
        <v>4740</v>
      </c>
      <c r="I1609" s="10" t="s">
        <v>289</v>
      </c>
    </row>
    <row r="1610" spans="1:9" x14ac:dyDescent="0.15">
      <c r="A1610" s="9">
        <v>1609</v>
      </c>
      <c r="B1610" s="10" t="s">
        <v>9</v>
      </c>
      <c r="C1610" s="10" t="s">
        <v>363</v>
      </c>
      <c r="D1610" s="10" t="s">
        <v>364</v>
      </c>
      <c r="E1610" s="11" t="str">
        <f>+HYPERLINK("http://trademark.i-assist.jp/data/china/image_1902th/79109721.pdf", "79109721")</f>
        <v>79109721</v>
      </c>
      <c r="F1610" s="10" t="s">
        <v>4741</v>
      </c>
      <c r="G1610" s="10" t="s">
        <v>4742</v>
      </c>
      <c r="H1610" s="10" t="s">
        <v>4743</v>
      </c>
      <c r="I1610" s="10" t="s">
        <v>289</v>
      </c>
    </row>
    <row r="1611" spans="1:9" x14ac:dyDescent="0.15">
      <c r="A1611" s="9">
        <v>1610</v>
      </c>
      <c r="B1611" s="10" t="s">
        <v>9</v>
      </c>
      <c r="C1611" s="10" t="s">
        <v>363</v>
      </c>
      <c r="D1611" s="10" t="s">
        <v>364</v>
      </c>
      <c r="E1611" s="11" t="str">
        <f>+HYPERLINK("http://trademark.i-assist.jp/data/china/image_1902th/79109741.pdf", "79109741")</f>
        <v>79109741</v>
      </c>
      <c r="F1611" s="10" t="s">
        <v>4744</v>
      </c>
      <c r="G1611" s="10" t="s">
        <v>4745</v>
      </c>
      <c r="H1611" s="10" t="s">
        <v>4746</v>
      </c>
      <c r="I1611" s="10" t="s">
        <v>289</v>
      </c>
    </row>
    <row r="1612" spans="1:9" x14ac:dyDescent="0.15">
      <c r="A1612" s="9">
        <v>1611</v>
      </c>
      <c r="B1612" s="10" t="s">
        <v>9</v>
      </c>
      <c r="C1612" s="10" t="s">
        <v>363</v>
      </c>
      <c r="D1612" s="10" t="s">
        <v>364</v>
      </c>
      <c r="E1612" s="11" t="str">
        <f>+HYPERLINK("http://trademark.i-assist.jp/data/china/image_1902th/79109831.pdf", "79109831")</f>
        <v>79109831</v>
      </c>
      <c r="F1612" s="10" t="s">
        <v>4747</v>
      </c>
      <c r="G1612" s="10" t="s">
        <v>4748</v>
      </c>
      <c r="H1612" s="10" t="s">
        <v>4749</v>
      </c>
      <c r="I1612" s="10" t="s">
        <v>289</v>
      </c>
    </row>
    <row r="1613" spans="1:9" x14ac:dyDescent="0.15">
      <c r="A1613" s="9">
        <v>1612</v>
      </c>
      <c r="B1613" s="10" t="s">
        <v>9</v>
      </c>
      <c r="C1613" s="10" t="s">
        <v>363</v>
      </c>
      <c r="D1613" s="10" t="s">
        <v>364</v>
      </c>
      <c r="E1613" s="11" t="str">
        <f>+HYPERLINK("http://trademark.i-assist.jp/data/china/image_1902th/79109853.pdf", "79109853")</f>
        <v>79109853</v>
      </c>
      <c r="F1613" s="10" t="s">
        <v>4750</v>
      </c>
      <c r="G1613" s="10" t="s">
        <v>4751</v>
      </c>
      <c r="H1613" s="10" t="s">
        <v>4752</v>
      </c>
      <c r="I1613" s="10" t="s">
        <v>289</v>
      </c>
    </row>
    <row r="1614" spans="1:9" x14ac:dyDescent="0.15">
      <c r="A1614" s="9">
        <v>1613</v>
      </c>
      <c r="B1614" s="10" t="s">
        <v>9</v>
      </c>
      <c r="C1614" s="10" t="s">
        <v>363</v>
      </c>
      <c r="D1614" s="10" t="s">
        <v>364</v>
      </c>
      <c r="E1614" s="11" t="str">
        <f>+HYPERLINK("http://trademark.i-assist.jp/data/china/image_1902th/79110116.pdf", "79110116")</f>
        <v>79110116</v>
      </c>
      <c r="F1614" s="10" t="s">
        <v>4753</v>
      </c>
      <c r="G1614" s="10" t="s">
        <v>4754</v>
      </c>
      <c r="H1614" s="10" t="s">
        <v>4755</v>
      </c>
      <c r="I1614" s="10" t="s">
        <v>289</v>
      </c>
    </row>
    <row r="1615" spans="1:9" x14ac:dyDescent="0.15">
      <c r="A1615" s="9">
        <v>1614</v>
      </c>
      <c r="B1615" s="10" t="s">
        <v>9</v>
      </c>
      <c r="C1615" s="10" t="s">
        <v>363</v>
      </c>
      <c r="D1615" s="10" t="s">
        <v>364</v>
      </c>
      <c r="E1615" s="11" t="str">
        <f>+HYPERLINK("http://trademark.i-assist.jp/data/china/image_1902th/79110167.pdf", "79110167")</f>
        <v>79110167</v>
      </c>
      <c r="F1615" s="10" t="s">
        <v>4756</v>
      </c>
      <c r="G1615" s="10" t="s">
        <v>4757</v>
      </c>
      <c r="H1615" s="10" t="s">
        <v>4758</v>
      </c>
      <c r="I1615" s="10" t="s">
        <v>289</v>
      </c>
    </row>
    <row r="1616" spans="1:9" x14ac:dyDescent="0.15">
      <c r="A1616" s="9">
        <v>1615</v>
      </c>
      <c r="B1616" s="10" t="s">
        <v>9</v>
      </c>
      <c r="C1616" s="10" t="s">
        <v>363</v>
      </c>
      <c r="D1616" s="10" t="s">
        <v>364</v>
      </c>
      <c r="E1616" s="11" t="str">
        <f>+HYPERLINK("http://trademark.i-assist.jp/data/china/image_1902th/79110202.pdf", "79110202")</f>
        <v>79110202</v>
      </c>
      <c r="F1616" s="10" t="s">
        <v>4759</v>
      </c>
      <c r="G1616" s="10" t="s">
        <v>4760</v>
      </c>
      <c r="H1616" s="10" t="s">
        <v>4761</v>
      </c>
      <c r="I1616" s="10" t="s">
        <v>289</v>
      </c>
    </row>
    <row r="1617" spans="1:9" x14ac:dyDescent="0.15">
      <c r="A1617" s="9">
        <v>1616</v>
      </c>
      <c r="B1617" s="10" t="s">
        <v>9</v>
      </c>
      <c r="C1617" s="10" t="s">
        <v>363</v>
      </c>
      <c r="D1617" s="10" t="s">
        <v>364</v>
      </c>
      <c r="E1617" s="11" t="str">
        <f>+HYPERLINK("http://trademark.i-assist.jp/data/china/image_1902th/79110597.pdf", "79110597")</f>
        <v>79110597</v>
      </c>
      <c r="F1617" s="10" t="s">
        <v>4762</v>
      </c>
      <c r="G1617" s="10" t="s">
        <v>293</v>
      </c>
      <c r="H1617" s="10" t="s">
        <v>4763</v>
      </c>
      <c r="I1617" s="10" t="s">
        <v>289</v>
      </c>
    </row>
    <row r="1618" spans="1:9" x14ac:dyDescent="0.15">
      <c r="A1618" s="9">
        <v>1617</v>
      </c>
      <c r="B1618" s="10" t="s">
        <v>9</v>
      </c>
      <c r="C1618" s="10" t="s">
        <v>363</v>
      </c>
      <c r="D1618" s="10" t="s">
        <v>364</v>
      </c>
      <c r="E1618" s="11" t="str">
        <f>+HYPERLINK("http://trademark.i-assist.jp/data/china/image_1902th/79110789.pdf", "79110789")</f>
        <v>79110789</v>
      </c>
      <c r="F1618" s="10" t="s">
        <v>4764</v>
      </c>
      <c r="G1618" s="10" t="s">
        <v>294</v>
      </c>
      <c r="H1618" s="10" t="s">
        <v>4765</v>
      </c>
      <c r="I1618" s="10" t="s">
        <v>289</v>
      </c>
    </row>
    <row r="1619" spans="1:9" x14ac:dyDescent="0.15">
      <c r="A1619" s="9">
        <v>1618</v>
      </c>
      <c r="B1619" s="10" t="s">
        <v>9</v>
      </c>
      <c r="C1619" s="10" t="s">
        <v>363</v>
      </c>
      <c r="D1619" s="10" t="s">
        <v>364</v>
      </c>
      <c r="E1619" s="11" t="str">
        <f>+HYPERLINK("http://trademark.i-assist.jp/data/china/image_1902th/79110886.pdf", "79110886")</f>
        <v>79110886</v>
      </c>
      <c r="F1619" s="10" t="s">
        <v>4766</v>
      </c>
      <c r="G1619" s="10" t="s">
        <v>4767</v>
      </c>
      <c r="H1619" s="10" t="s">
        <v>4768</v>
      </c>
      <c r="I1619" s="10" t="s">
        <v>289</v>
      </c>
    </row>
    <row r="1620" spans="1:9" x14ac:dyDescent="0.15">
      <c r="A1620" s="9">
        <v>1619</v>
      </c>
      <c r="B1620" s="10" t="s">
        <v>9</v>
      </c>
      <c r="C1620" s="10" t="s">
        <v>363</v>
      </c>
      <c r="D1620" s="10" t="s">
        <v>364</v>
      </c>
      <c r="E1620" s="11" t="str">
        <f>+HYPERLINK("http://trademark.i-assist.jp/data/china/image_1902th/79111180.pdf", "79111180")</f>
        <v>79111180</v>
      </c>
      <c r="F1620" s="10" t="s">
        <v>4769</v>
      </c>
      <c r="G1620" s="10" t="s">
        <v>4770</v>
      </c>
      <c r="H1620" s="10" t="s">
        <v>4771</v>
      </c>
      <c r="I1620" s="10" t="s">
        <v>289</v>
      </c>
    </row>
    <row r="1621" spans="1:9" x14ac:dyDescent="0.15">
      <c r="A1621" s="9">
        <v>1620</v>
      </c>
      <c r="B1621" s="10" t="s">
        <v>9</v>
      </c>
      <c r="C1621" s="10" t="s">
        <v>363</v>
      </c>
      <c r="D1621" s="10" t="s">
        <v>364</v>
      </c>
      <c r="E1621" s="11" t="str">
        <f>+HYPERLINK("http://trademark.i-assist.jp/data/china/image_1902th/79111363.pdf", "79111363")</f>
        <v>79111363</v>
      </c>
      <c r="F1621" s="10" t="s">
        <v>4772</v>
      </c>
      <c r="G1621" s="10" t="s">
        <v>4773</v>
      </c>
      <c r="H1621" s="10" t="s">
        <v>4774</v>
      </c>
      <c r="I1621" s="10" t="s">
        <v>289</v>
      </c>
    </row>
    <row r="1622" spans="1:9" x14ac:dyDescent="0.15">
      <c r="A1622" s="9">
        <v>1621</v>
      </c>
      <c r="B1622" s="10" t="s">
        <v>9</v>
      </c>
      <c r="C1622" s="10" t="s">
        <v>363</v>
      </c>
      <c r="D1622" s="10" t="s">
        <v>364</v>
      </c>
      <c r="E1622" s="11" t="str">
        <f>+HYPERLINK("http://trademark.i-assist.jp/data/china/image_1902th/79111476.pdf", "79111476")</f>
        <v>79111476</v>
      </c>
      <c r="F1622" s="10" t="s">
        <v>4775</v>
      </c>
      <c r="G1622" s="10" t="s">
        <v>4572</v>
      </c>
      <c r="H1622" s="10" t="s">
        <v>4776</v>
      </c>
      <c r="I1622" s="10" t="s">
        <v>289</v>
      </c>
    </row>
    <row r="1623" spans="1:9" x14ac:dyDescent="0.15">
      <c r="A1623" s="9">
        <v>1622</v>
      </c>
      <c r="B1623" s="10" t="s">
        <v>9</v>
      </c>
      <c r="C1623" s="10" t="s">
        <v>363</v>
      </c>
      <c r="D1623" s="10" t="s">
        <v>364</v>
      </c>
      <c r="E1623" s="11" t="str">
        <f>+HYPERLINK("http://trademark.i-assist.jp/data/china/image_1902th/79111531.pdf", "79111531")</f>
        <v>79111531</v>
      </c>
      <c r="F1623" s="10" t="s">
        <v>4777</v>
      </c>
      <c r="G1623" s="10" t="s">
        <v>4778</v>
      </c>
      <c r="H1623" s="10" t="s">
        <v>4779</v>
      </c>
      <c r="I1623" s="10" t="s">
        <v>289</v>
      </c>
    </row>
    <row r="1624" spans="1:9" x14ac:dyDescent="0.15">
      <c r="A1624" s="9">
        <v>1623</v>
      </c>
      <c r="B1624" s="10" t="s">
        <v>9</v>
      </c>
      <c r="C1624" s="10" t="s">
        <v>363</v>
      </c>
      <c r="D1624" s="10" t="s">
        <v>364</v>
      </c>
      <c r="E1624" s="11" t="str">
        <f>+HYPERLINK("http://trademark.i-assist.jp/data/china/image_1902th/79111598.pdf", "79111598")</f>
        <v>79111598</v>
      </c>
      <c r="F1624" s="10" t="s">
        <v>4780</v>
      </c>
      <c r="G1624" s="10" t="s">
        <v>4781</v>
      </c>
      <c r="H1624" s="10" t="s">
        <v>4782</v>
      </c>
      <c r="I1624" s="10" t="s">
        <v>289</v>
      </c>
    </row>
    <row r="1625" spans="1:9" x14ac:dyDescent="0.15">
      <c r="A1625" s="9">
        <v>1624</v>
      </c>
      <c r="B1625" s="10" t="s">
        <v>9</v>
      </c>
      <c r="C1625" s="10" t="s">
        <v>363</v>
      </c>
      <c r="D1625" s="10" t="s">
        <v>364</v>
      </c>
      <c r="E1625" s="11" t="str">
        <f>+HYPERLINK("http://trademark.i-assist.jp/data/china/image_1902th/79111796.pdf", "79111796")</f>
        <v>79111796</v>
      </c>
      <c r="F1625" s="10" t="s">
        <v>4783</v>
      </c>
      <c r="G1625" s="10" t="s">
        <v>288</v>
      </c>
      <c r="H1625" s="10" t="s">
        <v>4784</v>
      </c>
      <c r="I1625" s="10" t="s">
        <v>289</v>
      </c>
    </row>
    <row r="1626" spans="1:9" x14ac:dyDescent="0.15">
      <c r="A1626" s="9">
        <v>1625</v>
      </c>
      <c r="B1626" s="10" t="s">
        <v>9</v>
      </c>
      <c r="C1626" s="10" t="s">
        <v>363</v>
      </c>
      <c r="D1626" s="10" t="s">
        <v>364</v>
      </c>
      <c r="E1626" s="11" t="str">
        <f>+HYPERLINK("http://trademark.i-assist.jp/data/china/image_1902th/79111823.pdf", "79111823")</f>
        <v>79111823</v>
      </c>
      <c r="F1626" s="10" t="s">
        <v>4785</v>
      </c>
      <c r="G1626" s="10" t="s">
        <v>4786</v>
      </c>
      <c r="H1626" s="10" t="s">
        <v>4787</v>
      </c>
      <c r="I1626" s="10" t="s">
        <v>289</v>
      </c>
    </row>
    <row r="1627" spans="1:9" x14ac:dyDescent="0.15">
      <c r="A1627" s="9">
        <v>1626</v>
      </c>
      <c r="B1627" s="10" t="s">
        <v>9</v>
      </c>
      <c r="C1627" s="10" t="s">
        <v>363</v>
      </c>
      <c r="D1627" s="10" t="s">
        <v>364</v>
      </c>
      <c r="E1627" s="11" t="str">
        <f>+HYPERLINK("http://trademark.i-assist.jp/data/china/image_1902th/79111833.pdf", "79111833")</f>
        <v>79111833</v>
      </c>
      <c r="F1627" s="10" t="s">
        <v>4788</v>
      </c>
      <c r="G1627" s="10" t="s">
        <v>4789</v>
      </c>
      <c r="H1627" s="10" t="s">
        <v>4790</v>
      </c>
      <c r="I1627" s="10" t="s">
        <v>289</v>
      </c>
    </row>
    <row r="1628" spans="1:9" x14ac:dyDescent="0.15">
      <c r="A1628" s="9">
        <v>1627</v>
      </c>
      <c r="B1628" s="10" t="s">
        <v>9</v>
      </c>
      <c r="C1628" s="10" t="s">
        <v>363</v>
      </c>
      <c r="D1628" s="10" t="s">
        <v>364</v>
      </c>
      <c r="E1628" s="11" t="str">
        <f>+HYPERLINK("http://trademark.i-assist.jp/data/china/image_1902th/79112035.pdf", "79112035")</f>
        <v>79112035</v>
      </c>
      <c r="F1628" s="10" t="s">
        <v>4791</v>
      </c>
      <c r="G1628" s="10" t="s">
        <v>294</v>
      </c>
      <c r="H1628" s="10" t="s">
        <v>4792</v>
      </c>
      <c r="I1628" s="10" t="s">
        <v>289</v>
      </c>
    </row>
    <row r="1629" spans="1:9" x14ac:dyDescent="0.15">
      <c r="A1629" s="9">
        <v>1628</v>
      </c>
      <c r="B1629" s="10" t="s">
        <v>9</v>
      </c>
      <c r="C1629" s="10" t="s">
        <v>363</v>
      </c>
      <c r="D1629" s="10" t="s">
        <v>364</v>
      </c>
      <c r="E1629" s="11" t="str">
        <f>+HYPERLINK("http://trademark.i-assist.jp/data/china/image_1902th/79112888.pdf", "79112888")</f>
        <v>79112888</v>
      </c>
      <c r="F1629" s="10" t="s">
        <v>4793</v>
      </c>
      <c r="G1629" s="10" t="s">
        <v>4794</v>
      </c>
      <c r="H1629" s="10" t="s">
        <v>4795</v>
      </c>
      <c r="I1629" s="10" t="s">
        <v>289</v>
      </c>
    </row>
    <row r="1630" spans="1:9" x14ac:dyDescent="0.15">
      <c r="A1630" s="9">
        <v>1629</v>
      </c>
      <c r="B1630" s="10" t="s">
        <v>9</v>
      </c>
      <c r="C1630" s="10" t="s">
        <v>363</v>
      </c>
      <c r="D1630" s="10" t="s">
        <v>364</v>
      </c>
      <c r="E1630" s="11" t="str">
        <f>+HYPERLINK("http://trademark.i-assist.jp/data/china/image_1902th/79112937.pdf", "79112937")</f>
        <v>79112937</v>
      </c>
      <c r="F1630" s="10" t="s">
        <v>4796</v>
      </c>
      <c r="G1630" s="10" t="s">
        <v>4797</v>
      </c>
      <c r="H1630" s="10" t="s">
        <v>4798</v>
      </c>
      <c r="I1630" s="10" t="s">
        <v>289</v>
      </c>
    </row>
    <row r="1631" spans="1:9" x14ac:dyDescent="0.15">
      <c r="A1631" s="9">
        <v>1630</v>
      </c>
      <c r="B1631" s="10" t="s">
        <v>9</v>
      </c>
      <c r="C1631" s="10" t="s">
        <v>363</v>
      </c>
      <c r="D1631" s="10" t="s">
        <v>364</v>
      </c>
      <c r="E1631" s="11" t="str">
        <f>+HYPERLINK("http://trademark.i-assist.jp/data/china/image_1902th/79113257.pdf", "79113257")</f>
        <v>79113257</v>
      </c>
      <c r="F1631" s="10" t="s">
        <v>4718</v>
      </c>
      <c r="G1631" s="10" t="s">
        <v>4526</v>
      </c>
      <c r="H1631" s="10" t="s">
        <v>4799</v>
      </c>
      <c r="I1631" s="10" t="s">
        <v>289</v>
      </c>
    </row>
    <row r="1632" spans="1:9" x14ac:dyDescent="0.15">
      <c r="A1632" s="9">
        <v>1631</v>
      </c>
      <c r="B1632" s="10" t="s">
        <v>9</v>
      </c>
      <c r="C1632" s="10" t="s">
        <v>363</v>
      </c>
      <c r="D1632" s="10" t="s">
        <v>364</v>
      </c>
      <c r="E1632" s="11" t="str">
        <f>+HYPERLINK("http://trademark.i-assist.jp/data/china/image_1902th/79113340.pdf", "79113340")</f>
        <v>79113340</v>
      </c>
      <c r="F1632" s="10" t="s">
        <v>4800</v>
      </c>
      <c r="G1632" s="10" t="s">
        <v>295</v>
      </c>
      <c r="H1632" s="10" t="s">
        <v>4801</v>
      </c>
      <c r="I1632" s="10" t="s">
        <v>289</v>
      </c>
    </row>
    <row r="1633" spans="1:9" x14ac:dyDescent="0.15">
      <c r="A1633" s="9">
        <v>1632</v>
      </c>
      <c r="B1633" s="10" t="s">
        <v>9</v>
      </c>
      <c r="C1633" s="10" t="s">
        <v>363</v>
      </c>
      <c r="D1633" s="10" t="s">
        <v>364</v>
      </c>
      <c r="E1633" s="11" t="str">
        <f>+HYPERLINK("http://trademark.i-assist.jp/data/china/image_1902th/79113416.pdf", "79113416")</f>
        <v>79113416</v>
      </c>
      <c r="F1633" s="10" t="s">
        <v>4802</v>
      </c>
      <c r="G1633" s="10" t="s">
        <v>4803</v>
      </c>
      <c r="H1633" s="10" t="s">
        <v>4804</v>
      </c>
      <c r="I1633" s="10" t="s">
        <v>289</v>
      </c>
    </row>
    <row r="1634" spans="1:9" x14ac:dyDescent="0.15">
      <c r="A1634" s="9">
        <v>1633</v>
      </c>
      <c r="B1634" s="10" t="s">
        <v>9</v>
      </c>
      <c r="C1634" s="10" t="s">
        <v>363</v>
      </c>
      <c r="D1634" s="10" t="s">
        <v>364</v>
      </c>
      <c r="E1634" s="11" t="str">
        <f>+HYPERLINK("http://trademark.i-assist.jp/data/china/image_1902th/79113754.pdf", "79113754")</f>
        <v>79113754</v>
      </c>
      <c r="F1634" s="10" t="s">
        <v>4805</v>
      </c>
      <c r="G1634" s="10" t="s">
        <v>171</v>
      </c>
      <c r="H1634" s="10" t="s">
        <v>4806</v>
      </c>
      <c r="I1634" s="10" t="s">
        <v>289</v>
      </c>
    </row>
    <row r="1635" spans="1:9" x14ac:dyDescent="0.15">
      <c r="A1635" s="9">
        <v>1634</v>
      </c>
      <c r="B1635" s="10" t="s">
        <v>9</v>
      </c>
      <c r="C1635" s="10" t="s">
        <v>363</v>
      </c>
      <c r="D1635" s="10" t="s">
        <v>364</v>
      </c>
      <c r="E1635" s="11" t="str">
        <f>+HYPERLINK("http://trademark.i-assist.jp/data/china/image_1902th/79113768.pdf", "79113768")</f>
        <v>79113768</v>
      </c>
      <c r="F1635" s="10" t="s">
        <v>12</v>
      </c>
      <c r="G1635" s="10" t="s">
        <v>4807</v>
      </c>
      <c r="H1635" s="10" t="s">
        <v>4808</v>
      </c>
      <c r="I1635" s="10" t="s">
        <v>289</v>
      </c>
    </row>
    <row r="1636" spans="1:9" x14ac:dyDescent="0.15">
      <c r="A1636" s="9">
        <v>1635</v>
      </c>
      <c r="B1636" s="10" t="s">
        <v>9</v>
      </c>
      <c r="C1636" s="10" t="s">
        <v>363</v>
      </c>
      <c r="D1636" s="10" t="s">
        <v>364</v>
      </c>
      <c r="E1636" s="11" t="str">
        <f>+HYPERLINK("http://trademark.i-assist.jp/data/china/image_1902th/79113832.pdf", "79113832")</f>
        <v>79113832</v>
      </c>
      <c r="F1636" s="10" t="s">
        <v>4809</v>
      </c>
      <c r="G1636" s="10" t="s">
        <v>4810</v>
      </c>
      <c r="H1636" s="10" t="s">
        <v>4811</v>
      </c>
      <c r="I1636" s="10" t="s">
        <v>289</v>
      </c>
    </row>
    <row r="1637" spans="1:9" x14ac:dyDescent="0.15">
      <c r="A1637" s="9">
        <v>1636</v>
      </c>
      <c r="B1637" s="10" t="s">
        <v>9</v>
      </c>
      <c r="C1637" s="10" t="s">
        <v>363</v>
      </c>
      <c r="D1637" s="10" t="s">
        <v>364</v>
      </c>
      <c r="E1637" s="11" t="str">
        <f>+HYPERLINK("http://trademark.i-assist.jp/data/china/image_1902th/79114486.pdf", "79114486")</f>
        <v>79114486</v>
      </c>
      <c r="F1637" s="10" t="s">
        <v>4812</v>
      </c>
      <c r="G1637" s="10" t="s">
        <v>4813</v>
      </c>
      <c r="H1637" s="10" t="s">
        <v>4814</v>
      </c>
      <c r="I1637" s="10" t="s">
        <v>289</v>
      </c>
    </row>
    <row r="1638" spans="1:9" x14ac:dyDescent="0.15">
      <c r="A1638" s="9">
        <v>1637</v>
      </c>
      <c r="B1638" s="10" t="s">
        <v>9</v>
      </c>
      <c r="C1638" s="10" t="s">
        <v>363</v>
      </c>
      <c r="D1638" s="10" t="s">
        <v>364</v>
      </c>
      <c r="E1638" s="11" t="str">
        <f>+HYPERLINK("http://trademark.i-assist.jp/data/china/image_1902th/79114735.pdf", "79114735")</f>
        <v>79114735</v>
      </c>
      <c r="F1638" s="10" t="s">
        <v>4815</v>
      </c>
      <c r="G1638" s="10" t="s">
        <v>4816</v>
      </c>
      <c r="H1638" s="10" t="s">
        <v>4817</v>
      </c>
      <c r="I1638" s="10" t="s">
        <v>289</v>
      </c>
    </row>
    <row r="1639" spans="1:9" x14ac:dyDescent="0.15">
      <c r="A1639" s="9">
        <v>1638</v>
      </c>
      <c r="B1639" s="10" t="s">
        <v>9</v>
      </c>
      <c r="C1639" s="10" t="s">
        <v>363</v>
      </c>
      <c r="D1639" s="10" t="s">
        <v>364</v>
      </c>
      <c r="E1639" s="11" t="str">
        <f>+HYPERLINK("http://trademark.i-assist.jp/data/china/image_1902th/79114988.pdf", "79114988")</f>
        <v>79114988</v>
      </c>
      <c r="F1639" s="10" t="s">
        <v>4818</v>
      </c>
      <c r="G1639" s="10" t="s">
        <v>238</v>
      </c>
      <c r="H1639" s="10" t="s">
        <v>4819</v>
      </c>
      <c r="I1639" s="10" t="s">
        <v>289</v>
      </c>
    </row>
    <row r="1640" spans="1:9" x14ac:dyDescent="0.15">
      <c r="A1640" s="9">
        <v>1639</v>
      </c>
      <c r="B1640" s="10" t="s">
        <v>9</v>
      </c>
      <c r="C1640" s="10" t="s">
        <v>363</v>
      </c>
      <c r="D1640" s="10" t="s">
        <v>364</v>
      </c>
      <c r="E1640" s="11" t="str">
        <f>+HYPERLINK("http://trademark.i-assist.jp/data/china/image_1902th/79115615.pdf", "79115615")</f>
        <v>79115615</v>
      </c>
      <c r="F1640" s="10" t="s">
        <v>4820</v>
      </c>
      <c r="G1640" s="10" t="s">
        <v>4821</v>
      </c>
      <c r="H1640" s="10" t="s">
        <v>4822</v>
      </c>
      <c r="I1640" s="10" t="s">
        <v>289</v>
      </c>
    </row>
    <row r="1641" spans="1:9" x14ac:dyDescent="0.15">
      <c r="A1641" s="9">
        <v>1640</v>
      </c>
      <c r="B1641" s="10" t="s">
        <v>9</v>
      </c>
      <c r="C1641" s="10" t="s">
        <v>363</v>
      </c>
      <c r="D1641" s="10" t="s">
        <v>364</v>
      </c>
      <c r="E1641" s="11" t="str">
        <f>+HYPERLINK("http://trademark.i-assist.jp/data/china/image_1902th/79115691.pdf", "79115691")</f>
        <v>79115691</v>
      </c>
      <c r="F1641" s="10" t="s">
        <v>4823</v>
      </c>
      <c r="G1641" s="10" t="s">
        <v>4824</v>
      </c>
      <c r="H1641" s="10" t="s">
        <v>4825</v>
      </c>
      <c r="I1641" s="10" t="s">
        <v>289</v>
      </c>
    </row>
    <row r="1642" spans="1:9" x14ac:dyDescent="0.15">
      <c r="A1642" s="9">
        <v>1641</v>
      </c>
      <c r="B1642" s="10" t="s">
        <v>9</v>
      </c>
      <c r="C1642" s="10" t="s">
        <v>363</v>
      </c>
      <c r="D1642" s="10" t="s">
        <v>364</v>
      </c>
      <c r="E1642" s="11" t="str">
        <f>+HYPERLINK("http://trademark.i-assist.jp/data/china/image_1902th/79115853.pdf", "79115853")</f>
        <v>79115853</v>
      </c>
      <c r="F1642" s="10" t="s">
        <v>4826</v>
      </c>
      <c r="G1642" s="10" t="s">
        <v>4827</v>
      </c>
      <c r="H1642" s="10" t="s">
        <v>4828</v>
      </c>
      <c r="I1642" s="10" t="s">
        <v>289</v>
      </c>
    </row>
    <row r="1643" spans="1:9" x14ac:dyDescent="0.15">
      <c r="A1643" s="9">
        <v>1642</v>
      </c>
      <c r="B1643" s="10" t="s">
        <v>9</v>
      </c>
      <c r="C1643" s="10" t="s">
        <v>363</v>
      </c>
      <c r="D1643" s="10" t="s">
        <v>364</v>
      </c>
      <c r="E1643" s="11" t="str">
        <f>+HYPERLINK("http://trademark.i-assist.jp/data/china/image_1902th/79116001.pdf", "79116001")</f>
        <v>79116001</v>
      </c>
      <c r="F1643" s="10" t="s">
        <v>4829</v>
      </c>
      <c r="G1643" s="10" t="s">
        <v>4830</v>
      </c>
      <c r="H1643" s="10" t="s">
        <v>4831</v>
      </c>
      <c r="I1643" s="10" t="s">
        <v>289</v>
      </c>
    </row>
    <row r="1644" spans="1:9" x14ac:dyDescent="0.15">
      <c r="A1644" s="9">
        <v>1643</v>
      </c>
      <c r="B1644" s="10" t="s">
        <v>9</v>
      </c>
      <c r="C1644" s="10" t="s">
        <v>363</v>
      </c>
      <c r="D1644" s="10" t="s">
        <v>364</v>
      </c>
      <c r="E1644" s="11" t="str">
        <f>+HYPERLINK("http://trademark.i-assist.jp/data/china/image_1902th/79116209.pdf", "79116209")</f>
        <v>79116209</v>
      </c>
      <c r="F1644" s="10" t="s">
        <v>4832</v>
      </c>
      <c r="G1644" s="10" t="s">
        <v>4751</v>
      </c>
      <c r="H1644" s="10" t="s">
        <v>4833</v>
      </c>
      <c r="I1644" s="10" t="s">
        <v>289</v>
      </c>
    </row>
    <row r="1645" spans="1:9" x14ac:dyDescent="0.15">
      <c r="A1645" s="9">
        <v>1644</v>
      </c>
      <c r="B1645" s="10" t="s">
        <v>9</v>
      </c>
      <c r="C1645" s="10" t="s">
        <v>363</v>
      </c>
      <c r="D1645" s="10" t="s">
        <v>364</v>
      </c>
      <c r="E1645" s="11" t="str">
        <f>+HYPERLINK("http://trademark.i-assist.jp/data/china/image_1902th/79116765.pdf", "79116765")</f>
        <v>79116765</v>
      </c>
      <c r="F1645" s="10" t="s">
        <v>4834</v>
      </c>
      <c r="G1645" s="10" t="s">
        <v>4584</v>
      </c>
      <c r="H1645" s="10" t="s">
        <v>4835</v>
      </c>
      <c r="I1645" s="10" t="s">
        <v>289</v>
      </c>
    </row>
    <row r="1646" spans="1:9" x14ac:dyDescent="0.15">
      <c r="A1646" s="9">
        <v>1645</v>
      </c>
      <c r="B1646" s="10" t="s">
        <v>9</v>
      </c>
      <c r="C1646" s="10" t="s">
        <v>363</v>
      </c>
      <c r="D1646" s="10" t="s">
        <v>364</v>
      </c>
      <c r="E1646" s="11" t="str">
        <f>+HYPERLINK("http://trademark.i-assist.jp/data/china/image_1902th/79117113.pdf", "79117113")</f>
        <v>79117113</v>
      </c>
      <c r="F1646" s="10" t="s">
        <v>4836</v>
      </c>
      <c r="G1646" s="10" t="s">
        <v>4837</v>
      </c>
      <c r="H1646" s="10" t="s">
        <v>4838</v>
      </c>
      <c r="I1646" s="10" t="s">
        <v>289</v>
      </c>
    </row>
    <row r="1647" spans="1:9" x14ac:dyDescent="0.15">
      <c r="A1647" s="9">
        <v>1646</v>
      </c>
      <c r="B1647" s="10" t="s">
        <v>9</v>
      </c>
      <c r="C1647" s="10" t="s">
        <v>363</v>
      </c>
      <c r="D1647" s="10" t="s">
        <v>364</v>
      </c>
      <c r="E1647" s="11" t="str">
        <f>+HYPERLINK("http://trademark.i-assist.jp/data/china/image_1902th/79117302.pdf", "79117302")</f>
        <v>79117302</v>
      </c>
      <c r="F1647" s="10" t="s">
        <v>4839</v>
      </c>
      <c r="G1647" s="10" t="s">
        <v>4840</v>
      </c>
      <c r="H1647" s="10" t="s">
        <v>4841</v>
      </c>
      <c r="I1647" s="10" t="s">
        <v>289</v>
      </c>
    </row>
    <row r="1648" spans="1:9" x14ac:dyDescent="0.15">
      <c r="A1648" s="9">
        <v>1647</v>
      </c>
      <c r="B1648" s="10" t="s">
        <v>9</v>
      </c>
      <c r="C1648" s="10" t="s">
        <v>363</v>
      </c>
      <c r="D1648" s="10" t="s">
        <v>364</v>
      </c>
      <c r="E1648" s="11" t="str">
        <f>+HYPERLINK("http://trademark.i-assist.jp/data/china/image_1902th/79117649.pdf", "79117649")</f>
        <v>79117649</v>
      </c>
      <c r="F1648" s="10" t="s">
        <v>4842</v>
      </c>
      <c r="G1648" s="10" t="s">
        <v>4547</v>
      </c>
      <c r="H1648" s="10" t="s">
        <v>4843</v>
      </c>
      <c r="I1648" s="10" t="s">
        <v>289</v>
      </c>
    </row>
    <row r="1649" spans="1:9" x14ac:dyDescent="0.15">
      <c r="A1649" s="9">
        <v>1648</v>
      </c>
      <c r="B1649" s="10" t="s">
        <v>9</v>
      </c>
      <c r="C1649" s="10" t="s">
        <v>363</v>
      </c>
      <c r="D1649" s="10" t="s">
        <v>364</v>
      </c>
      <c r="E1649" s="11" t="str">
        <f>+HYPERLINK("http://trademark.i-assist.jp/data/china/image_1902th/79117709.pdf", "79117709")</f>
        <v>79117709</v>
      </c>
      <c r="F1649" s="10" t="s">
        <v>4844</v>
      </c>
      <c r="G1649" s="10" t="s">
        <v>4458</v>
      </c>
      <c r="H1649" s="10" t="s">
        <v>4845</v>
      </c>
      <c r="I1649" s="10" t="s">
        <v>289</v>
      </c>
    </row>
    <row r="1650" spans="1:9" x14ac:dyDescent="0.15">
      <c r="A1650" s="9">
        <v>1649</v>
      </c>
      <c r="B1650" s="10" t="s">
        <v>9</v>
      </c>
      <c r="C1650" s="10" t="s">
        <v>363</v>
      </c>
      <c r="D1650" s="10" t="s">
        <v>364</v>
      </c>
      <c r="E1650" s="11" t="str">
        <f>+HYPERLINK("http://trademark.i-assist.jp/data/china/image_1902th/79117713.pdf", "79117713")</f>
        <v>79117713</v>
      </c>
      <c r="F1650" s="10" t="s">
        <v>4846</v>
      </c>
      <c r="G1650" s="10" t="s">
        <v>4847</v>
      </c>
      <c r="H1650" s="10" t="s">
        <v>4848</v>
      </c>
      <c r="I1650" s="10" t="s">
        <v>289</v>
      </c>
    </row>
    <row r="1651" spans="1:9" x14ac:dyDescent="0.15">
      <c r="A1651" s="9">
        <v>1650</v>
      </c>
      <c r="B1651" s="10" t="s">
        <v>9</v>
      </c>
      <c r="C1651" s="10" t="s">
        <v>363</v>
      </c>
      <c r="D1651" s="10" t="s">
        <v>364</v>
      </c>
      <c r="E1651" s="11" t="str">
        <f>+HYPERLINK("http://trademark.i-assist.jp/data/china/image_1902th/79117962.pdf", "79117962")</f>
        <v>79117962</v>
      </c>
      <c r="F1651" s="10" t="s">
        <v>4849</v>
      </c>
      <c r="G1651" s="10" t="s">
        <v>4652</v>
      </c>
      <c r="H1651" s="10" t="s">
        <v>4850</v>
      </c>
      <c r="I1651" s="10" t="s">
        <v>289</v>
      </c>
    </row>
    <row r="1652" spans="1:9" x14ac:dyDescent="0.15">
      <c r="A1652" s="9">
        <v>1651</v>
      </c>
      <c r="B1652" s="10" t="s">
        <v>9</v>
      </c>
      <c r="C1652" s="10" t="s">
        <v>363</v>
      </c>
      <c r="D1652" s="10" t="s">
        <v>364</v>
      </c>
      <c r="E1652" s="11" t="str">
        <f>+HYPERLINK("http://trademark.i-assist.jp/data/china/image_1902th/79118049.pdf", "79118049")</f>
        <v>79118049</v>
      </c>
      <c r="F1652" s="10" t="s">
        <v>4851</v>
      </c>
      <c r="G1652" s="10" t="s">
        <v>4852</v>
      </c>
      <c r="H1652" s="10" t="s">
        <v>4853</v>
      </c>
      <c r="I1652" s="10" t="s">
        <v>289</v>
      </c>
    </row>
    <row r="1653" spans="1:9" x14ac:dyDescent="0.15">
      <c r="A1653" s="9">
        <v>1652</v>
      </c>
      <c r="B1653" s="10" t="s">
        <v>9</v>
      </c>
      <c r="C1653" s="10" t="s">
        <v>363</v>
      </c>
      <c r="D1653" s="10" t="s">
        <v>364</v>
      </c>
      <c r="E1653" s="11" t="str">
        <f>+HYPERLINK("http://trademark.i-assist.jp/data/china/image_1902th/79118498.pdf", "79118498")</f>
        <v>79118498</v>
      </c>
      <c r="F1653" s="10" t="s">
        <v>4854</v>
      </c>
      <c r="G1653" s="10" t="s">
        <v>4855</v>
      </c>
      <c r="H1653" s="10" t="s">
        <v>4856</v>
      </c>
      <c r="I1653" s="10" t="s">
        <v>304</v>
      </c>
    </row>
    <row r="1654" spans="1:9" x14ac:dyDescent="0.15">
      <c r="A1654" s="9">
        <v>1653</v>
      </c>
      <c r="B1654" s="10" t="s">
        <v>9</v>
      </c>
      <c r="C1654" s="10" t="s">
        <v>363</v>
      </c>
      <c r="D1654" s="10" t="s">
        <v>364</v>
      </c>
      <c r="E1654" s="11" t="str">
        <f>+HYPERLINK("http://trademark.i-assist.jp/data/china/image_1902th/79118925.pdf", "79118925")</f>
        <v>79118925</v>
      </c>
      <c r="F1654" s="10" t="s">
        <v>4857</v>
      </c>
      <c r="G1654" s="10" t="s">
        <v>4858</v>
      </c>
      <c r="H1654" s="10" t="s">
        <v>4859</v>
      </c>
      <c r="I1654" s="10" t="s">
        <v>304</v>
      </c>
    </row>
    <row r="1655" spans="1:9" x14ac:dyDescent="0.15">
      <c r="A1655" s="9">
        <v>1654</v>
      </c>
      <c r="B1655" s="10" t="s">
        <v>9</v>
      </c>
      <c r="C1655" s="10" t="s">
        <v>363</v>
      </c>
      <c r="D1655" s="10" t="s">
        <v>364</v>
      </c>
      <c r="E1655" s="11" t="str">
        <f>+HYPERLINK("http://trademark.i-assist.jp/data/china/image_1902th/79119559.pdf", "79119559")</f>
        <v>79119559</v>
      </c>
      <c r="F1655" s="10" t="s">
        <v>4860</v>
      </c>
      <c r="G1655" s="10" t="s">
        <v>4861</v>
      </c>
      <c r="H1655" s="10" t="s">
        <v>4862</v>
      </c>
      <c r="I1655" s="10" t="s">
        <v>304</v>
      </c>
    </row>
    <row r="1656" spans="1:9" x14ac:dyDescent="0.15">
      <c r="A1656" s="9">
        <v>1655</v>
      </c>
      <c r="B1656" s="10" t="s">
        <v>9</v>
      </c>
      <c r="C1656" s="10" t="s">
        <v>363</v>
      </c>
      <c r="D1656" s="10" t="s">
        <v>364</v>
      </c>
      <c r="E1656" s="11" t="str">
        <f>+HYPERLINK("http://trademark.i-assist.jp/data/china/image_1902th/79119780.pdf", "79119780")</f>
        <v>79119780</v>
      </c>
      <c r="F1656" s="10" t="s">
        <v>4863</v>
      </c>
      <c r="G1656" s="10" t="s">
        <v>305</v>
      </c>
      <c r="H1656" s="10" t="s">
        <v>4864</v>
      </c>
      <c r="I1656" s="10" t="s">
        <v>304</v>
      </c>
    </row>
    <row r="1657" spans="1:9" x14ac:dyDescent="0.15">
      <c r="A1657" s="9">
        <v>1656</v>
      </c>
      <c r="B1657" s="10" t="s">
        <v>9</v>
      </c>
      <c r="C1657" s="10" t="s">
        <v>363</v>
      </c>
      <c r="D1657" s="10" t="s">
        <v>364</v>
      </c>
      <c r="E1657" s="11" t="str">
        <f>+HYPERLINK("http://trademark.i-assist.jp/data/china/image_1902th/79119788.pdf", "79119788")</f>
        <v>79119788</v>
      </c>
      <c r="F1657" s="10" t="s">
        <v>4865</v>
      </c>
      <c r="G1657" s="10" t="s">
        <v>4866</v>
      </c>
      <c r="H1657" s="10" t="s">
        <v>4867</v>
      </c>
      <c r="I1657" s="10" t="s">
        <v>304</v>
      </c>
    </row>
    <row r="1658" spans="1:9" x14ac:dyDescent="0.15">
      <c r="A1658" s="9">
        <v>1657</v>
      </c>
      <c r="B1658" s="10" t="s">
        <v>9</v>
      </c>
      <c r="C1658" s="10" t="s">
        <v>363</v>
      </c>
      <c r="D1658" s="10" t="s">
        <v>364</v>
      </c>
      <c r="E1658" s="11" t="str">
        <f>+HYPERLINK("http://trademark.i-assist.jp/data/china/image_1902th/79119790.pdf", "79119790")</f>
        <v>79119790</v>
      </c>
      <c r="F1658" s="10" t="s">
        <v>4868</v>
      </c>
      <c r="G1658" s="10" t="s">
        <v>4866</v>
      </c>
      <c r="H1658" s="10" t="s">
        <v>4869</v>
      </c>
      <c r="I1658" s="10" t="s">
        <v>304</v>
      </c>
    </row>
    <row r="1659" spans="1:9" x14ac:dyDescent="0.15">
      <c r="A1659" s="9">
        <v>1658</v>
      </c>
      <c r="B1659" s="10" t="s">
        <v>9</v>
      </c>
      <c r="C1659" s="10" t="s">
        <v>363</v>
      </c>
      <c r="D1659" s="10" t="s">
        <v>364</v>
      </c>
      <c r="E1659" s="11" t="str">
        <f>+HYPERLINK("http://trademark.i-assist.jp/data/china/image_1902th/79119963.pdf", "79119963")</f>
        <v>79119963</v>
      </c>
      <c r="F1659" s="10" t="s">
        <v>4870</v>
      </c>
      <c r="G1659" s="10" t="s">
        <v>292</v>
      </c>
      <c r="H1659" s="10" t="s">
        <v>4871</v>
      </c>
      <c r="I1659" s="10" t="s">
        <v>304</v>
      </c>
    </row>
    <row r="1660" spans="1:9" x14ac:dyDescent="0.15">
      <c r="A1660" s="9">
        <v>1659</v>
      </c>
      <c r="B1660" s="10" t="s">
        <v>9</v>
      </c>
      <c r="C1660" s="10" t="s">
        <v>363</v>
      </c>
      <c r="D1660" s="10" t="s">
        <v>364</v>
      </c>
      <c r="E1660" s="11" t="str">
        <f>+HYPERLINK("http://trademark.i-assist.jp/data/china/image_1902th/79120260.pdf", "79120260")</f>
        <v>79120260</v>
      </c>
      <c r="F1660" s="10" t="s">
        <v>4872</v>
      </c>
      <c r="G1660" s="10" t="s">
        <v>72</v>
      </c>
      <c r="H1660" s="10" t="s">
        <v>4873</v>
      </c>
      <c r="I1660" s="10" t="s">
        <v>304</v>
      </c>
    </row>
    <row r="1661" spans="1:9" x14ac:dyDescent="0.15">
      <c r="A1661" s="9">
        <v>1660</v>
      </c>
      <c r="B1661" s="10" t="s">
        <v>9</v>
      </c>
      <c r="C1661" s="10" t="s">
        <v>363</v>
      </c>
      <c r="D1661" s="10" t="s">
        <v>364</v>
      </c>
      <c r="E1661" s="11" t="str">
        <f>+HYPERLINK("http://trademark.i-assist.jp/data/china/image_1902th/79120452.pdf", "79120452")</f>
        <v>79120452</v>
      </c>
      <c r="F1661" s="10" t="s">
        <v>4874</v>
      </c>
      <c r="G1661" s="10" t="s">
        <v>4875</v>
      </c>
      <c r="H1661" s="10" t="s">
        <v>4876</v>
      </c>
      <c r="I1661" s="10" t="s">
        <v>304</v>
      </c>
    </row>
    <row r="1662" spans="1:9" x14ac:dyDescent="0.15">
      <c r="A1662" s="9">
        <v>1661</v>
      </c>
      <c r="B1662" s="10" t="s">
        <v>9</v>
      </c>
      <c r="C1662" s="10" t="s">
        <v>363</v>
      </c>
      <c r="D1662" s="10" t="s">
        <v>364</v>
      </c>
      <c r="E1662" s="11" t="str">
        <f>+HYPERLINK("http://trademark.i-assist.jp/data/china/image_1902th/79120507.pdf", "79120507")</f>
        <v>79120507</v>
      </c>
      <c r="F1662" s="10" t="s">
        <v>4877</v>
      </c>
      <c r="G1662" s="10" t="s">
        <v>4878</v>
      </c>
      <c r="H1662" s="10" t="s">
        <v>4879</v>
      </c>
      <c r="I1662" s="10" t="s">
        <v>304</v>
      </c>
    </row>
    <row r="1663" spans="1:9" x14ac:dyDescent="0.15">
      <c r="A1663" s="9">
        <v>1662</v>
      </c>
      <c r="B1663" s="10" t="s">
        <v>9</v>
      </c>
      <c r="C1663" s="10" t="s">
        <v>363</v>
      </c>
      <c r="D1663" s="10" t="s">
        <v>364</v>
      </c>
      <c r="E1663" s="11" t="str">
        <f>+HYPERLINK("http://trademark.i-assist.jp/data/china/image_1902th/79120930.pdf", "79120930")</f>
        <v>79120930</v>
      </c>
      <c r="F1663" s="10" t="s">
        <v>4880</v>
      </c>
      <c r="G1663" s="10" t="s">
        <v>4881</v>
      </c>
      <c r="H1663" s="10" t="s">
        <v>4882</v>
      </c>
      <c r="I1663" s="10" t="s">
        <v>304</v>
      </c>
    </row>
    <row r="1664" spans="1:9" x14ac:dyDescent="0.15">
      <c r="A1664" s="9">
        <v>1663</v>
      </c>
      <c r="B1664" s="10" t="s">
        <v>9</v>
      </c>
      <c r="C1664" s="10" t="s">
        <v>363</v>
      </c>
      <c r="D1664" s="10" t="s">
        <v>364</v>
      </c>
      <c r="E1664" s="11" t="str">
        <f>+HYPERLINK("http://trademark.i-assist.jp/data/china/image_1902th/79121056.pdf", "79121056")</f>
        <v>79121056</v>
      </c>
      <c r="F1664" s="10" t="s">
        <v>4883</v>
      </c>
      <c r="G1664" s="10" t="s">
        <v>4884</v>
      </c>
      <c r="H1664" s="10" t="s">
        <v>4885</v>
      </c>
      <c r="I1664" s="10" t="s">
        <v>304</v>
      </c>
    </row>
    <row r="1665" spans="1:9" x14ac:dyDescent="0.15">
      <c r="A1665" s="9">
        <v>1664</v>
      </c>
      <c r="B1665" s="10" t="s">
        <v>9</v>
      </c>
      <c r="C1665" s="10" t="s">
        <v>363</v>
      </c>
      <c r="D1665" s="10" t="s">
        <v>364</v>
      </c>
      <c r="E1665" s="11" t="str">
        <f>+HYPERLINK("http://trademark.i-assist.jp/data/china/image_1902th/79121127.pdf", "79121127")</f>
        <v>79121127</v>
      </c>
      <c r="F1665" s="10" t="s">
        <v>4886</v>
      </c>
      <c r="G1665" s="10" t="s">
        <v>4887</v>
      </c>
      <c r="H1665" s="10" t="s">
        <v>4888</v>
      </c>
      <c r="I1665" s="10" t="s">
        <v>304</v>
      </c>
    </row>
    <row r="1666" spans="1:9" x14ac:dyDescent="0.15">
      <c r="A1666" s="9">
        <v>1665</v>
      </c>
      <c r="B1666" s="10" t="s">
        <v>9</v>
      </c>
      <c r="C1666" s="10" t="s">
        <v>363</v>
      </c>
      <c r="D1666" s="10" t="s">
        <v>364</v>
      </c>
      <c r="E1666" s="11" t="str">
        <f>+HYPERLINK("http://trademark.i-assist.jp/data/china/image_1902th/79121250.pdf", "79121250")</f>
        <v>79121250</v>
      </c>
      <c r="F1666" s="10" t="s">
        <v>4889</v>
      </c>
      <c r="G1666" s="10" t="s">
        <v>4890</v>
      </c>
      <c r="H1666" s="10" t="s">
        <v>4891</v>
      </c>
      <c r="I1666" s="10" t="s">
        <v>304</v>
      </c>
    </row>
    <row r="1667" spans="1:9" x14ac:dyDescent="0.15">
      <c r="A1667" s="9">
        <v>1666</v>
      </c>
      <c r="B1667" s="10" t="s">
        <v>9</v>
      </c>
      <c r="C1667" s="10" t="s">
        <v>363</v>
      </c>
      <c r="D1667" s="10" t="s">
        <v>364</v>
      </c>
      <c r="E1667" s="11" t="str">
        <f>+HYPERLINK("http://trademark.i-assist.jp/data/china/image_1902th/79121720.pdf", "79121720")</f>
        <v>79121720</v>
      </c>
      <c r="F1667" s="10" t="s">
        <v>4892</v>
      </c>
      <c r="G1667" s="10" t="s">
        <v>4893</v>
      </c>
      <c r="H1667" s="10" t="s">
        <v>4894</v>
      </c>
      <c r="I1667" s="10" t="s">
        <v>304</v>
      </c>
    </row>
    <row r="1668" spans="1:9" x14ac:dyDescent="0.15">
      <c r="A1668" s="9">
        <v>1667</v>
      </c>
      <c r="B1668" s="10" t="s">
        <v>9</v>
      </c>
      <c r="C1668" s="10" t="s">
        <v>363</v>
      </c>
      <c r="D1668" s="10" t="s">
        <v>364</v>
      </c>
      <c r="E1668" s="11" t="str">
        <f>+HYPERLINK("http://trademark.i-assist.jp/data/china/image_1902th/79121750.pdf", "79121750")</f>
        <v>79121750</v>
      </c>
      <c r="F1668" s="10" t="s">
        <v>4895</v>
      </c>
      <c r="G1668" s="10" t="s">
        <v>4896</v>
      </c>
      <c r="H1668" s="10" t="s">
        <v>4897</v>
      </c>
      <c r="I1668" s="10" t="s">
        <v>304</v>
      </c>
    </row>
    <row r="1669" spans="1:9" x14ac:dyDescent="0.15">
      <c r="A1669" s="9">
        <v>1668</v>
      </c>
      <c r="B1669" s="10" t="s">
        <v>9</v>
      </c>
      <c r="C1669" s="10" t="s">
        <v>363</v>
      </c>
      <c r="D1669" s="10" t="s">
        <v>364</v>
      </c>
      <c r="E1669" s="11" t="str">
        <f>+HYPERLINK("http://trademark.i-assist.jp/data/china/image_1902th/79122307.pdf", "79122307")</f>
        <v>79122307</v>
      </c>
      <c r="F1669" s="10" t="s">
        <v>4898</v>
      </c>
      <c r="G1669" s="10" t="s">
        <v>4899</v>
      </c>
      <c r="H1669" s="10" t="s">
        <v>4900</v>
      </c>
      <c r="I1669" s="10" t="s">
        <v>304</v>
      </c>
    </row>
    <row r="1670" spans="1:9" x14ac:dyDescent="0.15">
      <c r="A1670" s="9">
        <v>1669</v>
      </c>
      <c r="B1670" s="10" t="s">
        <v>9</v>
      </c>
      <c r="C1670" s="10" t="s">
        <v>363</v>
      </c>
      <c r="D1670" s="10" t="s">
        <v>364</v>
      </c>
      <c r="E1670" s="11" t="str">
        <f>+HYPERLINK("http://trademark.i-assist.jp/data/china/image_1902th/79122550.pdf", "79122550")</f>
        <v>79122550</v>
      </c>
      <c r="F1670" s="10" t="s">
        <v>4901</v>
      </c>
      <c r="G1670" s="10" t="s">
        <v>4902</v>
      </c>
      <c r="H1670" s="10" t="s">
        <v>4903</v>
      </c>
      <c r="I1670" s="10" t="s">
        <v>304</v>
      </c>
    </row>
    <row r="1671" spans="1:9" x14ac:dyDescent="0.15">
      <c r="A1671" s="9">
        <v>1670</v>
      </c>
      <c r="B1671" s="10" t="s">
        <v>9</v>
      </c>
      <c r="C1671" s="10" t="s">
        <v>363</v>
      </c>
      <c r="D1671" s="10" t="s">
        <v>364</v>
      </c>
      <c r="E1671" s="11" t="str">
        <f>+HYPERLINK("http://trademark.i-assist.jp/data/china/image_1902th/79122703.pdf", "79122703")</f>
        <v>79122703</v>
      </c>
      <c r="F1671" s="10" t="s">
        <v>4904</v>
      </c>
      <c r="G1671" s="10" t="s">
        <v>4905</v>
      </c>
      <c r="H1671" s="10" t="s">
        <v>4906</v>
      </c>
      <c r="I1671" s="10" t="s">
        <v>307</v>
      </c>
    </row>
    <row r="1672" spans="1:9" x14ac:dyDescent="0.15">
      <c r="A1672" s="9">
        <v>1671</v>
      </c>
      <c r="B1672" s="10" t="s">
        <v>9</v>
      </c>
      <c r="C1672" s="10" t="s">
        <v>363</v>
      </c>
      <c r="D1672" s="10" t="s">
        <v>364</v>
      </c>
      <c r="E1672" s="11" t="str">
        <f>+HYPERLINK("http://trademark.i-assist.jp/data/china/image_1902th/79123202.pdf", "79123202")</f>
        <v>79123202</v>
      </c>
      <c r="F1672" s="10" t="s">
        <v>4907</v>
      </c>
      <c r="G1672" s="10" t="s">
        <v>4908</v>
      </c>
      <c r="H1672" s="10" t="s">
        <v>4909</v>
      </c>
      <c r="I1672" s="10" t="s">
        <v>307</v>
      </c>
    </row>
    <row r="1673" spans="1:9" x14ac:dyDescent="0.15">
      <c r="A1673" s="9">
        <v>1672</v>
      </c>
      <c r="B1673" s="10" t="s">
        <v>9</v>
      </c>
      <c r="C1673" s="10" t="s">
        <v>363</v>
      </c>
      <c r="D1673" s="10" t="s">
        <v>364</v>
      </c>
      <c r="E1673" s="11" t="str">
        <f>+HYPERLINK("http://trademark.i-assist.jp/data/china/image_1902th/79123513.pdf", "79123513")</f>
        <v>79123513</v>
      </c>
      <c r="F1673" s="10" t="s">
        <v>4910</v>
      </c>
      <c r="G1673" s="10" t="s">
        <v>306</v>
      </c>
      <c r="H1673" s="10" t="s">
        <v>4911</v>
      </c>
      <c r="I1673" s="10" t="s">
        <v>307</v>
      </c>
    </row>
    <row r="1674" spans="1:9" x14ac:dyDescent="0.15">
      <c r="A1674" s="9">
        <v>1673</v>
      </c>
      <c r="B1674" s="10" t="s">
        <v>9</v>
      </c>
      <c r="C1674" s="10" t="s">
        <v>363</v>
      </c>
      <c r="D1674" s="10" t="s">
        <v>364</v>
      </c>
      <c r="E1674" s="11" t="str">
        <f>+HYPERLINK("http://trademark.i-assist.jp/data/china/image_1902th/79123757.pdf", "79123757")</f>
        <v>79123757</v>
      </c>
      <c r="F1674" s="10" t="s">
        <v>4912</v>
      </c>
      <c r="G1674" s="10" t="s">
        <v>77</v>
      </c>
      <c r="H1674" s="10" t="s">
        <v>4913</v>
      </c>
      <c r="I1674" s="10" t="s">
        <v>307</v>
      </c>
    </row>
    <row r="1675" spans="1:9" x14ac:dyDescent="0.15">
      <c r="A1675" s="9">
        <v>1674</v>
      </c>
      <c r="B1675" s="10" t="s">
        <v>9</v>
      </c>
      <c r="C1675" s="10" t="s">
        <v>363</v>
      </c>
      <c r="D1675" s="10" t="s">
        <v>364</v>
      </c>
      <c r="E1675" s="11" t="str">
        <f>+HYPERLINK("http://trademark.i-assist.jp/data/china/image_1902th/79124092.pdf", "79124092")</f>
        <v>79124092</v>
      </c>
      <c r="F1675" s="10" t="s">
        <v>4914</v>
      </c>
      <c r="G1675" s="10" t="s">
        <v>4915</v>
      </c>
      <c r="H1675" s="10" t="s">
        <v>4916</v>
      </c>
      <c r="I1675" s="10" t="s">
        <v>307</v>
      </c>
    </row>
    <row r="1676" spans="1:9" x14ac:dyDescent="0.15">
      <c r="A1676" s="9">
        <v>1675</v>
      </c>
      <c r="B1676" s="10" t="s">
        <v>9</v>
      </c>
      <c r="C1676" s="10" t="s">
        <v>363</v>
      </c>
      <c r="D1676" s="10" t="s">
        <v>364</v>
      </c>
      <c r="E1676" s="11" t="str">
        <f>+HYPERLINK("http://trademark.i-assist.jp/data/china/image_1902th/79124216.pdf", "79124216")</f>
        <v>79124216</v>
      </c>
      <c r="F1676" s="10" t="s">
        <v>4917</v>
      </c>
      <c r="G1676" s="10" t="s">
        <v>4918</v>
      </c>
      <c r="H1676" s="10" t="s">
        <v>4919</v>
      </c>
      <c r="I1676" s="10" t="s">
        <v>307</v>
      </c>
    </row>
    <row r="1677" spans="1:9" x14ac:dyDescent="0.15">
      <c r="A1677" s="9">
        <v>1676</v>
      </c>
      <c r="B1677" s="10" t="s">
        <v>9</v>
      </c>
      <c r="C1677" s="10" t="s">
        <v>363</v>
      </c>
      <c r="D1677" s="10" t="s">
        <v>364</v>
      </c>
      <c r="E1677" s="11" t="str">
        <f>+HYPERLINK("http://trademark.i-assist.jp/data/china/image_1902th/79124376.pdf", "79124376")</f>
        <v>79124376</v>
      </c>
      <c r="F1677" s="10" t="s">
        <v>4920</v>
      </c>
      <c r="G1677" s="10" t="s">
        <v>308</v>
      </c>
      <c r="H1677" s="10" t="s">
        <v>4921</v>
      </c>
      <c r="I1677" s="10" t="s">
        <v>307</v>
      </c>
    </row>
    <row r="1678" spans="1:9" x14ac:dyDescent="0.15">
      <c r="A1678" s="9">
        <v>1677</v>
      </c>
      <c r="B1678" s="10" t="s">
        <v>9</v>
      </c>
      <c r="C1678" s="10" t="s">
        <v>363</v>
      </c>
      <c r="D1678" s="10" t="s">
        <v>364</v>
      </c>
      <c r="E1678" s="11" t="str">
        <f>+HYPERLINK("http://trademark.i-assist.jp/data/china/image_1902th/79124541.pdf", "79124541")</f>
        <v>79124541</v>
      </c>
      <c r="F1678" s="10" t="s">
        <v>4922</v>
      </c>
      <c r="G1678" s="10" t="s">
        <v>4923</v>
      </c>
      <c r="H1678" s="10" t="s">
        <v>4924</v>
      </c>
      <c r="I1678" s="10" t="s">
        <v>310</v>
      </c>
    </row>
    <row r="1679" spans="1:9" x14ac:dyDescent="0.15">
      <c r="A1679" s="9">
        <v>1678</v>
      </c>
      <c r="B1679" s="10" t="s">
        <v>9</v>
      </c>
      <c r="C1679" s="10" t="s">
        <v>363</v>
      </c>
      <c r="D1679" s="10" t="s">
        <v>364</v>
      </c>
      <c r="E1679" s="11" t="str">
        <f>+HYPERLINK("http://trademark.i-assist.jp/data/china/image_1902th/79124882.pdf", "79124882")</f>
        <v>79124882</v>
      </c>
      <c r="F1679" s="10" t="s">
        <v>4925</v>
      </c>
      <c r="G1679" s="10" t="s">
        <v>4926</v>
      </c>
      <c r="H1679" s="10" t="s">
        <v>4927</v>
      </c>
      <c r="I1679" s="10" t="s">
        <v>310</v>
      </c>
    </row>
    <row r="1680" spans="1:9" x14ac:dyDescent="0.15">
      <c r="A1680" s="9">
        <v>1679</v>
      </c>
      <c r="B1680" s="10" t="s">
        <v>9</v>
      </c>
      <c r="C1680" s="10" t="s">
        <v>363</v>
      </c>
      <c r="D1680" s="10" t="s">
        <v>364</v>
      </c>
      <c r="E1680" s="11" t="str">
        <f>+HYPERLINK("http://trademark.i-assist.jp/data/china/image_1902th/79125264.pdf", "79125264")</f>
        <v>79125264</v>
      </c>
      <c r="F1680" s="10" t="s">
        <v>4928</v>
      </c>
      <c r="G1680" s="10" t="s">
        <v>4929</v>
      </c>
      <c r="H1680" s="10" t="s">
        <v>4930</v>
      </c>
      <c r="I1680" s="10" t="s">
        <v>310</v>
      </c>
    </row>
    <row r="1681" spans="1:9" x14ac:dyDescent="0.15">
      <c r="A1681" s="9">
        <v>1680</v>
      </c>
      <c r="B1681" s="10" t="s">
        <v>9</v>
      </c>
      <c r="C1681" s="10" t="s">
        <v>363</v>
      </c>
      <c r="D1681" s="10" t="s">
        <v>364</v>
      </c>
      <c r="E1681" s="11" t="str">
        <f>+HYPERLINK("http://trademark.i-assist.jp/data/china/image_1902th/79125272.pdf", "79125272")</f>
        <v>79125272</v>
      </c>
      <c r="F1681" s="10" t="s">
        <v>4931</v>
      </c>
      <c r="G1681" s="10" t="s">
        <v>4932</v>
      </c>
      <c r="H1681" s="10" t="s">
        <v>4933</v>
      </c>
      <c r="I1681" s="10" t="s">
        <v>310</v>
      </c>
    </row>
    <row r="1682" spans="1:9" x14ac:dyDescent="0.15">
      <c r="A1682" s="9">
        <v>1681</v>
      </c>
      <c r="B1682" s="10" t="s">
        <v>9</v>
      </c>
      <c r="C1682" s="10" t="s">
        <v>363</v>
      </c>
      <c r="D1682" s="10" t="s">
        <v>364</v>
      </c>
      <c r="E1682" s="11" t="str">
        <f>+HYPERLINK("http://trademark.i-assist.jp/data/china/image_1902th/79125451.pdf", "79125451")</f>
        <v>79125451</v>
      </c>
      <c r="F1682" s="10" t="s">
        <v>4934</v>
      </c>
      <c r="G1682" s="10" t="s">
        <v>168</v>
      </c>
      <c r="H1682" s="10" t="s">
        <v>4935</v>
      </c>
      <c r="I1682" s="10" t="s">
        <v>310</v>
      </c>
    </row>
    <row r="1683" spans="1:9" x14ac:dyDescent="0.15">
      <c r="A1683" s="9">
        <v>1682</v>
      </c>
      <c r="B1683" s="10" t="s">
        <v>9</v>
      </c>
      <c r="C1683" s="10" t="s">
        <v>363</v>
      </c>
      <c r="D1683" s="10" t="s">
        <v>364</v>
      </c>
      <c r="E1683" s="11" t="str">
        <f>+HYPERLINK("http://trademark.i-assist.jp/data/china/image_1902th/79125588.pdf", "79125588")</f>
        <v>79125588</v>
      </c>
      <c r="F1683" s="10" t="s">
        <v>4936</v>
      </c>
      <c r="G1683" s="10" t="s">
        <v>311</v>
      </c>
      <c r="H1683" s="10" t="s">
        <v>4937</v>
      </c>
      <c r="I1683" s="10" t="s">
        <v>310</v>
      </c>
    </row>
    <row r="1684" spans="1:9" x14ac:dyDescent="0.15">
      <c r="A1684" s="9">
        <v>1683</v>
      </c>
      <c r="B1684" s="10" t="s">
        <v>9</v>
      </c>
      <c r="C1684" s="10" t="s">
        <v>363</v>
      </c>
      <c r="D1684" s="10" t="s">
        <v>364</v>
      </c>
      <c r="E1684" s="11" t="str">
        <f>+HYPERLINK("http://trademark.i-assist.jp/data/china/image_1902th/79125638.pdf", "79125638")</f>
        <v>79125638</v>
      </c>
      <c r="F1684" s="10" t="s">
        <v>4938</v>
      </c>
      <c r="G1684" s="10" t="s">
        <v>4939</v>
      </c>
      <c r="H1684" s="10" t="s">
        <v>4940</v>
      </c>
      <c r="I1684" s="10" t="s">
        <v>310</v>
      </c>
    </row>
    <row r="1685" spans="1:9" x14ac:dyDescent="0.15">
      <c r="A1685" s="9">
        <v>1684</v>
      </c>
      <c r="B1685" s="10" t="s">
        <v>9</v>
      </c>
      <c r="C1685" s="10" t="s">
        <v>363</v>
      </c>
      <c r="D1685" s="10" t="s">
        <v>364</v>
      </c>
      <c r="E1685" s="11" t="str">
        <f>+HYPERLINK("http://trademark.i-assist.jp/data/china/image_1902th/79125798.pdf", "79125798")</f>
        <v>79125798</v>
      </c>
      <c r="F1685" s="10" t="s">
        <v>4941</v>
      </c>
      <c r="G1685" s="10" t="s">
        <v>72</v>
      </c>
      <c r="H1685" s="10" t="s">
        <v>4942</v>
      </c>
      <c r="I1685" s="10" t="s">
        <v>310</v>
      </c>
    </row>
    <row r="1686" spans="1:9" x14ac:dyDescent="0.15">
      <c r="A1686" s="9">
        <v>1685</v>
      </c>
      <c r="B1686" s="10" t="s">
        <v>9</v>
      </c>
      <c r="C1686" s="10" t="s">
        <v>363</v>
      </c>
      <c r="D1686" s="10" t="s">
        <v>364</v>
      </c>
      <c r="E1686" s="11" t="str">
        <f>+HYPERLINK("http://trademark.i-assist.jp/data/china/image_1902th/79125883.pdf", "79125883")</f>
        <v>79125883</v>
      </c>
      <c r="F1686" s="10" t="s">
        <v>4943</v>
      </c>
      <c r="G1686" s="10" t="s">
        <v>4944</v>
      </c>
      <c r="H1686" s="10" t="s">
        <v>4945</v>
      </c>
      <c r="I1686" s="10" t="s">
        <v>310</v>
      </c>
    </row>
    <row r="1687" spans="1:9" x14ac:dyDescent="0.15">
      <c r="A1687" s="9">
        <v>1686</v>
      </c>
      <c r="B1687" s="10" t="s">
        <v>9</v>
      </c>
      <c r="C1687" s="10" t="s">
        <v>363</v>
      </c>
      <c r="D1687" s="10" t="s">
        <v>364</v>
      </c>
      <c r="E1687" s="11" t="str">
        <f>+HYPERLINK("http://trademark.i-assist.jp/data/china/image_1902th/79126225.pdf", "79126225")</f>
        <v>79126225</v>
      </c>
      <c r="F1687" s="10" t="s">
        <v>4946</v>
      </c>
      <c r="G1687" s="10" t="s">
        <v>4947</v>
      </c>
      <c r="H1687" s="10" t="s">
        <v>4948</v>
      </c>
      <c r="I1687" s="10" t="s">
        <v>312</v>
      </c>
    </row>
    <row r="1688" spans="1:9" x14ac:dyDescent="0.15">
      <c r="A1688" s="9">
        <v>1687</v>
      </c>
      <c r="B1688" s="10" t="s">
        <v>9</v>
      </c>
      <c r="C1688" s="10" t="s">
        <v>363</v>
      </c>
      <c r="D1688" s="10" t="s">
        <v>364</v>
      </c>
      <c r="E1688" s="11" t="str">
        <f>+HYPERLINK("http://trademark.i-assist.jp/data/china/image_1902th/79126467.pdf", "79126467")</f>
        <v>79126467</v>
      </c>
      <c r="F1688" s="10" t="s">
        <v>4949</v>
      </c>
      <c r="G1688" s="10" t="s">
        <v>4950</v>
      </c>
      <c r="H1688" s="10" t="s">
        <v>4951</v>
      </c>
      <c r="I1688" s="10" t="s">
        <v>312</v>
      </c>
    </row>
    <row r="1689" spans="1:9" x14ac:dyDescent="0.15">
      <c r="A1689" s="9">
        <v>1688</v>
      </c>
      <c r="B1689" s="10" t="s">
        <v>9</v>
      </c>
      <c r="C1689" s="10" t="s">
        <v>363</v>
      </c>
      <c r="D1689" s="10" t="s">
        <v>364</v>
      </c>
      <c r="E1689" s="11" t="str">
        <f>+HYPERLINK("http://trademark.i-assist.jp/data/china/image_1902th/79126508.pdf", "79126508")</f>
        <v>79126508</v>
      </c>
      <c r="F1689" s="10" t="s">
        <v>4952</v>
      </c>
      <c r="G1689" s="10" t="s">
        <v>4953</v>
      </c>
      <c r="H1689" s="10" t="s">
        <v>4954</v>
      </c>
      <c r="I1689" s="10" t="s">
        <v>312</v>
      </c>
    </row>
    <row r="1690" spans="1:9" x14ac:dyDescent="0.15">
      <c r="A1690" s="9">
        <v>1689</v>
      </c>
      <c r="B1690" s="10" t="s">
        <v>9</v>
      </c>
      <c r="C1690" s="10" t="s">
        <v>363</v>
      </c>
      <c r="D1690" s="10" t="s">
        <v>364</v>
      </c>
      <c r="E1690" s="11" t="str">
        <f>+HYPERLINK("http://trademark.i-assist.jp/data/china/image_1902th/79126587.pdf", "79126587")</f>
        <v>79126587</v>
      </c>
      <c r="F1690" s="10" t="s">
        <v>4955</v>
      </c>
      <c r="G1690" s="10" t="s">
        <v>4956</v>
      </c>
      <c r="H1690" s="10" t="s">
        <v>4957</v>
      </c>
      <c r="I1690" s="10" t="s">
        <v>312</v>
      </c>
    </row>
    <row r="1691" spans="1:9" x14ac:dyDescent="0.15">
      <c r="A1691" s="9">
        <v>1690</v>
      </c>
      <c r="B1691" s="10" t="s">
        <v>9</v>
      </c>
      <c r="C1691" s="10" t="s">
        <v>363</v>
      </c>
      <c r="D1691" s="10" t="s">
        <v>364</v>
      </c>
      <c r="E1691" s="11" t="str">
        <f>+HYPERLINK("http://trademark.i-assist.jp/data/china/image_1902th/79126663.pdf", "79126663")</f>
        <v>79126663</v>
      </c>
      <c r="F1691" s="10" t="s">
        <v>4958</v>
      </c>
      <c r="G1691" s="10" t="s">
        <v>4959</v>
      </c>
      <c r="H1691" s="10" t="s">
        <v>4960</v>
      </c>
      <c r="I1691" s="10" t="s">
        <v>312</v>
      </c>
    </row>
    <row r="1692" spans="1:9" x14ac:dyDescent="0.15">
      <c r="A1692" s="9">
        <v>1691</v>
      </c>
      <c r="B1692" s="10" t="s">
        <v>9</v>
      </c>
      <c r="C1692" s="10" t="s">
        <v>363</v>
      </c>
      <c r="D1692" s="10" t="s">
        <v>364</v>
      </c>
      <c r="E1692" s="11" t="str">
        <f>+HYPERLINK("http://trademark.i-assist.jp/data/china/image_1902th/79127046.pdf", "79127046")</f>
        <v>79127046</v>
      </c>
      <c r="F1692" s="10" t="s">
        <v>4961</v>
      </c>
      <c r="G1692" s="10" t="s">
        <v>4962</v>
      </c>
      <c r="H1692" s="10" t="s">
        <v>4963</v>
      </c>
      <c r="I1692" s="10" t="s">
        <v>312</v>
      </c>
    </row>
    <row r="1693" spans="1:9" x14ac:dyDescent="0.15">
      <c r="A1693" s="9">
        <v>1692</v>
      </c>
      <c r="B1693" s="10" t="s">
        <v>9</v>
      </c>
      <c r="C1693" s="10" t="s">
        <v>363</v>
      </c>
      <c r="D1693" s="10" t="s">
        <v>364</v>
      </c>
      <c r="E1693" s="11" t="str">
        <f>+HYPERLINK("http://trademark.i-assist.jp/data/china/image_1902th/79127155.pdf", "79127155")</f>
        <v>79127155</v>
      </c>
      <c r="F1693" s="10" t="s">
        <v>4964</v>
      </c>
      <c r="G1693" s="10" t="s">
        <v>4965</v>
      </c>
      <c r="H1693" s="10" t="s">
        <v>4966</v>
      </c>
      <c r="I1693" s="10" t="s">
        <v>312</v>
      </c>
    </row>
    <row r="1694" spans="1:9" x14ac:dyDescent="0.15">
      <c r="A1694" s="9">
        <v>1693</v>
      </c>
      <c r="B1694" s="10" t="s">
        <v>9</v>
      </c>
      <c r="C1694" s="10" t="s">
        <v>363</v>
      </c>
      <c r="D1694" s="10" t="s">
        <v>364</v>
      </c>
      <c r="E1694" s="11" t="str">
        <f>+HYPERLINK("http://trademark.i-assist.jp/data/china/image_1902th/79127229.pdf", "79127229")</f>
        <v>79127229</v>
      </c>
      <c r="F1694" s="10" t="s">
        <v>4967</v>
      </c>
      <c r="G1694" s="10" t="s">
        <v>4968</v>
      </c>
      <c r="H1694" s="10" t="s">
        <v>4969</v>
      </c>
      <c r="I1694" s="10" t="s">
        <v>312</v>
      </c>
    </row>
    <row r="1695" spans="1:9" x14ac:dyDescent="0.15">
      <c r="A1695" s="9">
        <v>1694</v>
      </c>
      <c r="B1695" s="10" t="s">
        <v>9</v>
      </c>
      <c r="C1695" s="10" t="s">
        <v>363</v>
      </c>
      <c r="D1695" s="10" t="s">
        <v>364</v>
      </c>
      <c r="E1695" s="11" t="str">
        <f>+HYPERLINK("http://trademark.i-assist.jp/data/china/image_1902th/79127473.pdf", "79127473")</f>
        <v>79127473</v>
      </c>
      <c r="F1695" s="10" t="s">
        <v>4970</v>
      </c>
      <c r="G1695" s="10" t="s">
        <v>4971</v>
      </c>
      <c r="H1695" s="10" t="s">
        <v>4972</v>
      </c>
      <c r="I1695" s="10" t="s">
        <v>312</v>
      </c>
    </row>
    <row r="1696" spans="1:9" x14ac:dyDescent="0.15">
      <c r="A1696" s="9">
        <v>1695</v>
      </c>
      <c r="B1696" s="10" t="s">
        <v>9</v>
      </c>
      <c r="C1696" s="10" t="s">
        <v>363</v>
      </c>
      <c r="D1696" s="10" t="s">
        <v>364</v>
      </c>
      <c r="E1696" s="11" t="str">
        <f>+HYPERLINK("http://trademark.i-assist.jp/data/china/image_1902th/79127506.pdf", "79127506")</f>
        <v>79127506</v>
      </c>
      <c r="F1696" s="10" t="s">
        <v>4973</v>
      </c>
      <c r="G1696" s="10" t="s">
        <v>4974</v>
      </c>
      <c r="H1696" s="10" t="s">
        <v>4975</v>
      </c>
      <c r="I1696" s="10" t="s">
        <v>312</v>
      </c>
    </row>
    <row r="1697" spans="1:9" x14ac:dyDescent="0.15">
      <c r="A1697" s="9">
        <v>1696</v>
      </c>
      <c r="B1697" s="10" t="s">
        <v>9</v>
      </c>
      <c r="C1697" s="10" t="s">
        <v>363</v>
      </c>
      <c r="D1697" s="10" t="s">
        <v>364</v>
      </c>
      <c r="E1697" s="11" t="str">
        <f>+HYPERLINK("http://trademark.i-assist.jp/data/china/image_1902th/79127544.pdf", "79127544")</f>
        <v>79127544</v>
      </c>
      <c r="F1697" s="10" t="s">
        <v>4976</v>
      </c>
      <c r="G1697" s="10" t="s">
        <v>336</v>
      </c>
      <c r="H1697" s="10" t="s">
        <v>4977</v>
      </c>
      <c r="I1697" s="10" t="s">
        <v>312</v>
      </c>
    </row>
    <row r="1698" spans="1:9" x14ac:dyDescent="0.15">
      <c r="A1698" s="9">
        <v>1697</v>
      </c>
      <c r="B1698" s="10" t="s">
        <v>9</v>
      </c>
      <c r="C1698" s="10" t="s">
        <v>363</v>
      </c>
      <c r="D1698" s="10" t="s">
        <v>364</v>
      </c>
      <c r="E1698" s="11" t="str">
        <f>+HYPERLINK("http://trademark.i-assist.jp/data/china/image_1902th/79127569.pdf", "79127569")</f>
        <v>79127569</v>
      </c>
      <c r="F1698" s="10" t="s">
        <v>4978</v>
      </c>
      <c r="G1698" s="10" t="s">
        <v>4979</v>
      </c>
      <c r="H1698" s="10" t="s">
        <v>4980</v>
      </c>
      <c r="I1698" s="10" t="s">
        <v>312</v>
      </c>
    </row>
    <row r="1699" spans="1:9" x14ac:dyDescent="0.15">
      <c r="A1699" s="9">
        <v>1698</v>
      </c>
      <c r="B1699" s="10" t="s">
        <v>9</v>
      </c>
      <c r="C1699" s="10" t="s">
        <v>363</v>
      </c>
      <c r="D1699" s="10" t="s">
        <v>364</v>
      </c>
      <c r="E1699" s="11" t="str">
        <f>+HYPERLINK("http://trademark.i-assist.jp/data/china/image_1902th/79127641.pdf", "79127641")</f>
        <v>79127641</v>
      </c>
      <c r="F1699" s="10" t="s">
        <v>4981</v>
      </c>
      <c r="G1699" s="10" t="s">
        <v>4045</v>
      </c>
      <c r="H1699" s="10" t="s">
        <v>4982</v>
      </c>
      <c r="I1699" s="10" t="s">
        <v>312</v>
      </c>
    </row>
    <row r="1700" spans="1:9" x14ac:dyDescent="0.15">
      <c r="A1700" s="9">
        <v>1699</v>
      </c>
      <c r="B1700" s="10" t="s">
        <v>9</v>
      </c>
      <c r="C1700" s="10" t="s">
        <v>363</v>
      </c>
      <c r="D1700" s="10" t="s">
        <v>364</v>
      </c>
      <c r="E1700" s="11" t="str">
        <f>+HYPERLINK("http://trademark.i-assist.jp/data/china/image_1902th/79127895.pdf", "79127895")</f>
        <v>79127895</v>
      </c>
      <c r="F1700" s="10" t="s">
        <v>4983</v>
      </c>
      <c r="G1700" s="10" t="s">
        <v>4984</v>
      </c>
      <c r="H1700" s="10" t="s">
        <v>4985</v>
      </c>
      <c r="I1700" s="10" t="s">
        <v>312</v>
      </c>
    </row>
    <row r="1701" spans="1:9" x14ac:dyDescent="0.15">
      <c r="A1701" s="9">
        <v>1700</v>
      </c>
      <c r="B1701" s="10" t="s">
        <v>9</v>
      </c>
      <c r="C1701" s="10" t="s">
        <v>363</v>
      </c>
      <c r="D1701" s="10" t="s">
        <v>364</v>
      </c>
      <c r="E1701" s="11" t="str">
        <f>+HYPERLINK("http://trademark.i-assist.jp/data/china/image_1902th/79128540.pdf", "79128540")</f>
        <v>79128540</v>
      </c>
      <c r="F1701" s="10" t="s">
        <v>4986</v>
      </c>
      <c r="G1701" s="10" t="s">
        <v>4987</v>
      </c>
      <c r="H1701" s="10" t="s">
        <v>4988</v>
      </c>
      <c r="I1701" s="10" t="s">
        <v>312</v>
      </c>
    </row>
    <row r="1702" spans="1:9" x14ac:dyDescent="0.15">
      <c r="A1702" s="9">
        <v>1701</v>
      </c>
      <c r="B1702" s="10" t="s">
        <v>9</v>
      </c>
      <c r="C1702" s="10" t="s">
        <v>363</v>
      </c>
      <c r="D1702" s="10" t="s">
        <v>364</v>
      </c>
      <c r="E1702" s="11" t="str">
        <f>+HYPERLINK("http://trademark.i-assist.jp/data/china/image_1902th/79128558.pdf", "79128558")</f>
        <v>79128558</v>
      </c>
      <c r="F1702" s="10" t="s">
        <v>4989</v>
      </c>
      <c r="G1702" s="10" t="s">
        <v>334</v>
      </c>
      <c r="H1702" s="10" t="s">
        <v>4990</v>
      </c>
      <c r="I1702" s="10" t="s">
        <v>312</v>
      </c>
    </row>
    <row r="1703" spans="1:9" x14ac:dyDescent="0.15">
      <c r="A1703" s="9">
        <v>1702</v>
      </c>
      <c r="B1703" s="10" t="s">
        <v>9</v>
      </c>
      <c r="C1703" s="10" t="s">
        <v>363</v>
      </c>
      <c r="D1703" s="10" t="s">
        <v>364</v>
      </c>
      <c r="E1703" s="11" t="str">
        <f>+HYPERLINK("http://trademark.i-assist.jp/data/china/image_1902th/79128632.pdf", "79128632")</f>
        <v>79128632</v>
      </c>
      <c r="F1703" s="10" t="s">
        <v>4991</v>
      </c>
      <c r="G1703" s="10" t="s">
        <v>4992</v>
      </c>
      <c r="H1703" s="10" t="s">
        <v>4993</v>
      </c>
      <c r="I1703" s="10" t="s">
        <v>312</v>
      </c>
    </row>
    <row r="1704" spans="1:9" x14ac:dyDescent="0.15">
      <c r="A1704" s="9">
        <v>1703</v>
      </c>
      <c r="B1704" s="10" t="s">
        <v>9</v>
      </c>
      <c r="C1704" s="10" t="s">
        <v>363</v>
      </c>
      <c r="D1704" s="10" t="s">
        <v>364</v>
      </c>
      <c r="E1704" s="11" t="str">
        <f>+HYPERLINK("http://trademark.i-assist.jp/data/china/image_1902th/79129343.pdf", "79129343")</f>
        <v>79129343</v>
      </c>
      <c r="F1704" s="10" t="s">
        <v>12</v>
      </c>
      <c r="G1704" s="10" t="s">
        <v>4994</v>
      </c>
      <c r="H1704" s="10" t="s">
        <v>4995</v>
      </c>
      <c r="I1704" s="10" t="s">
        <v>312</v>
      </c>
    </row>
    <row r="1705" spans="1:9" x14ac:dyDescent="0.15">
      <c r="A1705" s="9">
        <v>1704</v>
      </c>
      <c r="B1705" s="10" t="s">
        <v>9</v>
      </c>
      <c r="C1705" s="10" t="s">
        <v>363</v>
      </c>
      <c r="D1705" s="10" t="s">
        <v>364</v>
      </c>
      <c r="E1705" s="11" t="str">
        <f>+HYPERLINK("http://trademark.i-assist.jp/data/china/image_1902th/79129370.pdf", "79129370")</f>
        <v>79129370</v>
      </c>
      <c r="F1705" s="10" t="s">
        <v>4996</v>
      </c>
      <c r="G1705" s="10" t="s">
        <v>4997</v>
      </c>
      <c r="H1705" s="10" t="s">
        <v>4998</v>
      </c>
      <c r="I1705" s="10" t="s">
        <v>312</v>
      </c>
    </row>
    <row r="1706" spans="1:9" x14ac:dyDescent="0.15">
      <c r="A1706" s="9">
        <v>1705</v>
      </c>
      <c r="B1706" s="10" t="s">
        <v>9</v>
      </c>
      <c r="C1706" s="10" t="s">
        <v>363</v>
      </c>
      <c r="D1706" s="10" t="s">
        <v>364</v>
      </c>
      <c r="E1706" s="11" t="str">
        <f>+HYPERLINK("http://trademark.i-assist.jp/data/china/image_1902th/79129527.pdf", "79129527")</f>
        <v>79129527</v>
      </c>
      <c r="F1706" s="10" t="s">
        <v>4999</v>
      </c>
      <c r="G1706" s="10" t="s">
        <v>5000</v>
      </c>
      <c r="H1706" s="10" t="s">
        <v>5001</v>
      </c>
      <c r="I1706" s="10" t="s">
        <v>312</v>
      </c>
    </row>
    <row r="1707" spans="1:9" x14ac:dyDescent="0.15">
      <c r="A1707" s="9">
        <v>1706</v>
      </c>
      <c r="B1707" s="10" t="s">
        <v>9</v>
      </c>
      <c r="C1707" s="10" t="s">
        <v>363</v>
      </c>
      <c r="D1707" s="10" t="s">
        <v>364</v>
      </c>
      <c r="E1707" s="11" t="str">
        <f>+HYPERLINK("http://trademark.i-assist.jp/data/china/image_1902th/79130066.pdf", "79130066")</f>
        <v>79130066</v>
      </c>
      <c r="F1707" s="10" t="s">
        <v>5002</v>
      </c>
      <c r="G1707" s="10" t="s">
        <v>5003</v>
      </c>
      <c r="H1707" s="10" t="s">
        <v>5004</v>
      </c>
      <c r="I1707" s="10" t="s">
        <v>312</v>
      </c>
    </row>
    <row r="1708" spans="1:9" x14ac:dyDescent="0.15">
      <c r="A1708" s="9">
        <v>1707</v>
      </c>
      <c r="B1708" s="10" t="s">
        <v>9</v>
      </c>
      <c r="C1708" s="10" t="s">
        <v>363</v>
      </c>
      <c r="D1708" s="10" t="s">
        <v>364</v>
      </c>
      <c r="E1708" s="11" t="str">
        <f>+HYPERLINK("http://trademark.i-assist.jp/data/china/image_1902th/79130237.pdf", "79130237")</f>
        <v>79130237</v>
      </c>
      <c r="F1708" s="10" t="s">
        <v>5005</v>
      </c>
      <c r="G1708" s="10" t="s">
        <v>5006</v>
      </c>
      <c r="H1708" s="10" t="s">
        <v>5007</v>
      </c>
      <c r="I1708" s="10" t="s">
        <v>312</v>
      </c>
    </row>
    <row r="1709" spans="1:9" x14ac:dyDescent="0.15">
      <c r="A1709" s="9">
        <v>1708</v>
      </c>
      <c r="B1709" s="10" t="s">
        <v>9</v>
      </c>
      <c r="C1709" s="10" t="s">
        <v>363</v>
      </c>
      <c r="D1709" s="10" t="s">
        <v>364</v>
      </c>
      <c r="E1709" s="11" t="str">
        <f>+HYPERLINK("http://trademark.i-assist.jp/data/china/image_1902th/79130240.pdf", "79130240")</f>
        <v>79130240</v>
      </c>
      <c r="F1709" s="10" t="s">
        <v>5008</v>
      </c>
      <c r="G1709" s="10" t="s">
        <v>4962</v>
      </c>
      <c r="H1709" s="10" t="s">
        <v>5009</v>
      </c>
      <c r="I1709" s="10" t="s">
        <v>312</v>
      </c>
    </row>
    <row r="1710" spans="1:9" x14ac:dyDescent="0.15">
      <c r="A1710" s="9">
        <v>1709</v>
      </c>
      <c r="B1710" s="10" t="s">
        <v>9</v>
      </c>
      <c r="C1710" s="10" t="s">
        <v>363</v>
      </c>
      <c r="D1710" s="10" t="s">
        <v>364</v>
      </c>
      <c r="E1710" s="11" t="str">
        <f>+HYPERLINK("http://trademark.i-assist.jp/data/china/image_1902th/79130291.pdf", "79130291")</f>
        <v>79130291</v>
      </c>
      <c r="F1710" s="10" t="s">
        <v>5010</v>
      </c>
      <c r="G1710" s="10" t="s">
        <v>5011</v>
      </c>
      <c r="H1710" s="10" t="s">
        <v>5012</v>
      </c>
      <c r="I1710" s="10" t="s">
        <v>312</v>
      </c>
    </row>
    <row r="1711" spans="1:9" x14ac:dyDescent="0.15">
      <c r="A1711" s="9">
        <v>1710</v>
      </c>
      <c r="B1711" s="10" t="s">
        <v>9</v>
      </c>
      <c r="C1711" s="10" t="s">
        <v>363</v>
      </c>
      <c r="D1711" s="10" t="s">
        <v>364</v>
      </c>
      <c r="E1711" s="11" t="str">
        <f>+HYPERLINK("http://trademark.i-assist.jp/data/china/image_1902th/79130693.pdf", "79130693")</f>
        <v>79130693</v>
      </c>
      <c r="F1711" s="10" t="s">
        <v>5013</v>
      </c>
      <c r="G1711" s="10" t="s">
        <v>5014</v>
      </c>
      <c r="H1711" s="10" t="s">
        <v>5015</v>
      </c>
      <c r="I1711" s="10" t="s">
        <v>312</v>
      </c>
    </row>
    <row r="1712" spans="1:9" x14ac:dyDescent="0.15">
      <c r="A1712" s="9">
        <v>1711</v>
      </c>
      <c r="B1712" s="10" t="s">
        <v>9</v>
      </c>
      <c r="C1712" s="10" t="s">
        <v>363</v>
      </c>
      <c r="D1712" s="10" t="s">
        <v>364</v>
      </c>
      <c r="E1712" s="11" t="str">
        <f>+HYPERLINK("http://trademark.i-assist.jp/data/china/image_1902th/79130751.pdf", "79130751")</f>
        <v>79130751</v>
      </c>
      <c r="F1712" s="10" t="s">
        <v>5016</v>
      </c>
      <c r="G1712" s="10" t="s">
        <v>5017</v>
      </c>
      <c r="H1712" s="10" t="s">
        <v>5018</v>
      </c>
      <c r="I1712" s="10" t="s">
        <v>312</v>
      </c>
    </row>
    <row r="1713" spans="1:9" x14ac:dyDescent="0.15">
      <c r="A1713" s="9">
        <v>1712</v>
      </c>
      <c r="B1713" s="10" t="s">
        <v>9</v>
      </c>
      <c r="C1713" s="10" t="s">
        <v>363</v>
      </c>
      <c r="D1713" s="10" t="s">
        <v>364</v>
      </c>
      <c r="E1713" s="11" t="str">
        <f>+HYPERLINK("http://trademark.i-assist.jp/data/china/image_1902th/79130814.pdf", "79130814")</f>
        <v>79130814</v>
      </c>
      <c r="F1713" s="10" t="s">
        <v>5019</v>
      </c>
      <c r="G1713" s="10" t="s">
        <v>4503</v>
      </c>
      <c r="H1713" s="10" t="s">
        <v>5020</v>
      </c>
      <c r="I1713" s="10" t="s">
        <v>312</v>
      </c>
    </row>
    <row r="1714" spans="1:9" x14ac:dyDescent="0.15">
      <c r="A1714" s="9">
        <v>1713</v>
      </c>
      <c r="B1714" s="10" t="s">
        <v>9</v>
      </c>
      <c r="C1714" s="10" t="s">
        <v>363</v>
      </c>
      <c r="D1714" s="10" t="s">
        <v>364</v>
      </c>
      <c r="E1714" s="11" t="str">
        <f>+HYPERLINK("http://trademark.i-assist.jp/data/china/image_1902th/79130951.pdf", "79130951")</f>
        <v>79130951</v>
      </c>
      <c r="F1714" s="10" t="s">
        <v>5021</v>
      </c>
      <c r="G1714" s="10" t="s">
        <v>5022</v>
      </c>
      <c r="H1714" s="10" t="s">
        <v>5023</v>
      </c>
      <c r="I1714" s="10" t="s">
        <v>312</v>
      </c>
    </row>
    <row r="1715" spans="1:9" x14ac:dyDescent="0.15">
      <c r="A1715" s="9">
        <v>1714</v>
      </c>
      <c r="B1715" s="10" t="s">
        <v>9</v>
      </c>
      <c r="C1715" s="10" t="s">
        <v>363</v>
      </c>
      <c r="D1715" s="10" t="s">
        <v>364</v>
      </c>
      <c r="E1715" s="11" t="str">
        <f>+HYPERLINK("http://trademark.i-assist.jp/data/china/image_1902th/79130996.pdf", "79130996")</f>
        <v>79130996</v>
      </c>
      <c r="F1715" s="10" t="s">
        <v>5024</v>
      </c>
      <c r="G1715" s="10" t="s">
        <v>5025</v>
      </c>
      <c r="H1715" s="10" t="s">
        <v>5026</v>
      </c>
      <c r="I1715" s="10" t="s">
        <v>312</v>
      </c>
    </row>
    <row r="1716" spans="1:9" x14ac:dyDescent="0.15">
      <c r="A1716" s="9">
        <v>1715</v>
      </c>
      <c r="B1716" s="10" t="s">
        <v>9</v>
      </c>
      <c r="C1716" s="10" t="s">
        <v>363</v>
      </c>
      <c r="D1716" s="10" t="s">
        <v>364</v>
      </c>
      <c r="E1716" s="11" t="str">
        <f>+HYPERLINK("http://trademark.i-assist.jp/data/china/image_1902th/79131000.pdf", "79131000")</f>
        <v>79131000</v>
      </c>
      <c r="F1716" s="10" t="s">
        <v>5027</v>
      </c>
      <c r="G1716" s="10" t="s">
        <v>5028</v>
      </c>
      <c r="H1716" s="10" t="s">
        <v>5029</v>
      </c>
      <c r="I1716" s="10" t="s">
        <v>312</v>
      </c>
    </row>
    <row r="1717" spans="1:9" x14ac:dyDescent="0.15">
      <c r="A1717" s="9">
        <v>1716</v>
      </c>
      <c r="B1717" s="10" t="s">
        <v>9</v>
      </c>
      <c r="C1717" s="10" t="s">
        <v>363</v>
      </c>
      <c r="D1717" s="10" t="s">
        <v>364</v>
      </c>
      <c r="E1717" s="11" t="str">
        <f>+HYPERLINK("http://trademark.i-assist.jp/data/china/image_1902th/79131018.pdf", "79131018")</f>
        <v>79131018</v>
      </c>
      <c r="F1717" s="10" t="s">
        <v>5030</v>
      </c>
      <c r="G1717" s="10" t="s">
        <v>5031</v>
      </c>
      <c r="H1717" s="10" t="s">
        <v>5032</v>
      </c>
      <c r="I1717" s="10" t="s">
        <v>312</v>
      </c>
    </row>
    <row r="1718" spans="1:9" x14ac:dyDescent="0.15">
      <c r="A1718" s="9">
        <v>1717</v>
      </c>
      <c r="B1718" s="10" t="s">
        <v>9</v>
      </c>
      <c r="C1718" s="10" t="s">
        <v>363</v>
      </c>
      <c r="D1718" s="10" t="s">
        <v>364</v>
      </c>
      <c r="E1718" s="11" t="str">
        <f>+HYPERLINK("http://trademark.i-assist.jp/data/china/image_1902th/79131063.pdf", "79131063")</f>
        <v>79131063</v>
      </c>
      <c r="F1718" s="10" t="s">
        <v>5033</v>
      </c>
      <c r="G1718" s="10" t="s">
        <v>5034</v>
      </c>
      <c r="H1718" s="10" t="s">
        <v>5035</v>
      </c>
      <c r="I1718" s="10" t="s">
        <v>312</v>
      </c>
    </row>
    <row r="1719" spans="1:9" x14ac:dyDescent="0.15">
      <c r="A1719" s="9">
        <v>1718</v>
      </c>
      <c r="B1719" s="10" t="s">
        <v>9</v>
      </c>
      <c r="C1719" s="10" t="s">
        <v>363</v>
      </c>
      <c r="D1719" s="10" t="s">
        <v>364</v>
      </c>
      <c r="E1719" s="11" t="str">
        <f>+HYPERLINK("http://trademark.i-assist.jp/data/china/image_1902th/79131079.pdf", "79131079")</f>
        <v>79131079</v>
      </c>
      <c r="F1719" s="10" t="s">
        <v>5036</v>
      </c>
      <c r="G1719" s="10" t="s">
        <v>5037</v>
      </c>
      <c r="H1719" s="10" t="s">
        <v>5038</v>
      </c>
      <c r="I1719" s="10" t="s">
        <v>312</v>
      </c>
    </row>
    <row r="1720" spans="1:9" x14ac:dyDescent="0.15">
      <c r="A1720" s="9">
        <v>1719</v>
      </c>
      <c r="B1720" s="10" t="s">
        <v>9</v>
      </c>
      <c r="C1720" s="10" t="s">
        <v>363</v>
      </c>
      <c r="D1720" s="10" t="s">
        <v>364</v>
      </c>
      <c r="E1720" s="11" t="str">
        <f>+HYPERLINK("http://trademark.i-assist.jp/data/china/image_1902th/79131599.pdf", "79131599")</f>
        <v>79131599</v>
      </c>
      <c r="F1720" s="10" t="s">
        <v>5039</v>
      </c>
      <c r="G1720" s="10" t="s">
        <v>5040</v>
      </c>
      <c r="H1720" s="10" t="s">
        <v>5041</v>
      </c>
      <c r="I1720" s="10" t="s">
        <v>312</v>
      </c>
    </row>
    <row r="1721" spans="1:9" x14ac:dyDescent="0.15">
      <c r="A1721" s="9">
        <v>1720</v>
      </c>
      <c r="B1721" s="10" t="s">
        <v>9</v>
      </c>
      <c r="C1721" s="10" t="s">
        <v>363</v>
      </c>
      <c r="D1721" s="10" t="s">
        <v>364</v>
      </c>
      <c r="E1721" s="11" t="str">
        <f>+HYPERLINK("http://trademark.i-assist.jp/data/china/image_1902th/79131710.pdf", "79131710")</f>
        <v>79131710</v>
      </c>
      <c r="F1721" s="10" t="s">
        <v>5042</v>
      </c>
      <c r="G1721" s="10" t="s">
        <v>4503</v>
      </c>
      <c r="H1721" s="10" t="s">
        <v>5043</v>
      </c>
      <c r="I1721" s="10" t="s">
        <v>312</v>
      </c>
    </row>
    <row r="1722" spans="1:9" x14ac:dyDescent="0.15">
      <c r="A1722" s="9">
        <v>1721</v>
      </c>
      <c r="B1722" s="10" t="s">
        <v>9</v>
      </c>
      <c r="C1722" s="10" t="s">
        <v>363</v>
      </c>
      <c r="D1722" s="10" t="s">
        <v>364</v>
      </c>
      <c r="E1722" s="11" t="str">
        <f>+HYPERLINK("http://trademark.i-assist.jp/data/china/image_1902th/79132114.pdf", "79132114")</f>
        <v>79132114</v>
      </c>
      <c r="F1722" s="10" t="s">
        <v>5044</v>
      </c>
      <c r="G1722" s="10" t="s">
        <v>5045</v>
      </c>
      <c r="H1722" s="10" t="s">
        <v>5046</v>
      </c>
      <c r="I1722" s="10" t="s">
        <v>312</v>
      </c>
    </row>
    <row r="1723" spans="1:9" x14ac:dyDescent="0.15">
      <c r="A1723" s="9">
        <v>1722</v>
      </c>
      <c r="B1723" s="10" t="s">
        <v>9</v>
      </c>
      <c r="C1723" s="10" t="s">
        <v>363</v>
      </c>
      <c r="D1723" s="10" t="s">
        <v>364</v>
      </c>
      <c r="E1723" s="11" t="str">
        <f>+HYPERLINK("http://trademark.i-assist.jp/data/china/image_1902th/79132875.pdf", "79132875")</f>
        <v>79132875</v>
      </c>
      <c r="F1723" s="10" t="s">
        <v>5047</v>
      </c>
      <c r="G1723" s="10" t="s">
        <v>5048</v>
      </c>
      <c r="H1723" s="10" t="s">
        <v>5049</v>
      </c>
      <c r="I1723" s="10" t="s">
        <v>312</v>
      </c>
    </row>
    <row r="1724" spans="1:9" x14ac:dyDescent="0.15">
      <c r="A1724" s="9">
        <v>1723</v>
      </c>
      <c r="B1724" s="10" t="s">
        <v>9</v>
      </c>
      <c r="C1724" s="10" t="s">
        <v>363</v>
      </c>
      <c r="D1724" s="10" t="s">
        <v>364</v>
      </c>
      <c r="E1724" s="11" t="str">
        <f>+HYPERLINK("http://trademark.i-assist.jp/data/china/image_1902th/79132890.pdf", "79132890")</f>
        <v>79132890</v>
      </c>
      <c r="F1724" s="10" t="s">
        <v>5050</v>
      </c>
      <c r="G1724" s="10" t="s">
        <v>234</v>
      </c>
      <c r="H1724" s="10" t="s">
        <v>5051</v>
      </c>
      <c r="I1724" s="10" t="s">
        <v>312</v>
      </c>
    </row>
    <row r="1725" spans="1:9" x14ac:dyDescent="0.15">
      <c r="A1725" s="9">
        <v>1724</v>
      </c>
      <c r="B1725" s="10" t="s">
        <v>9</v>
      </c>
      <c r="C1725" s="10" t="s">
        <v>363</v>
      </c>
      <c r="D1725" s="10" t="s">
        <v>364</v>
      </c>
      <c r="E1725" s="11" t="str">
        <f>+HYPERLINK("http://trademark.i-assist.jp/data/china/image_1902th/79133094.pdf", "79133094")</f>
        <v>79133094</v>
      </c>
      <c r="F1725" s="10" t="s">
        <v>5052</v>
      </c>
      <c r="G1725" s="10" t="s">
        <v>5037</v>
      </c>
      <c r="H1725" s="10" t="s">
        <v>5053</v>
      </c>
      <c r="I1725" s="10" t="s">
        <v>312</v>
      </c>
    </row>
    <row r="1726" spans="1:9" x14ac:dyDescent="0.15">
      <c r="A1726" s="9">
        <v>1725</v>
      </c>
      <c r="B1726" s="10" t="s">
        <v>9</v>
      </c>
      <c r="C1726" s="10" t="s">
        <v>363</v>
      </c>
      <c r="D1726" s="10" t="s">
        <v>364</v>
      </c>
      <c r="E1726" s="11" t="str">
        <f>+HYPERLINK("http://trademark.i-assist.jp/data/china/image_1902th/79133155.pdf", "79133155")</f>
        <v>79133155</v>
      </c>
      <c r="F1726" s="10" t="s">
        <v>5054</v>
      </c>
      <c r="G1726" s="10" t="s">
        <v>4979</v>
      </c>
      <c r="H1726" s="10" t="s">
        <v>5055</v>
      </c>
      <c r="I1726" s="10" t="s">
        <v>312</v>
      </c>
    </row>
    <row r="1727" spans="1:9" x14ac:dyDescent="0.15">
      <c r="A1727" s="9">
        <v>1726</v>
      </c>
      <c r="B1727" s="10" t="s">
        <v>9</v>
      </c>
      <c r="C1727" s="10" t="s">
        <v>363</v>
      </c>
      <c r="D1727" s="10" t="s">
        <v>364</v>
      </c>
      <c r="E1727" s="11" t="str">
        <f>+HYPERLINK("http://trademark.i-assist.jp/data/china/image_1902th/79133209.pdf", "79133209")</f>
        <v>79133209</v>
      </c>
      <c r="F1727" s="10" t="s">
        <v>5056</v>
      </c>
      <c r="G1727" s="10" t="s">
        <v>5057</v>
      </c>
      <c r="H1727" s="10" t="s">
        <v>5058</v>
      </c>
      <c r="I1727" s="10" t="s">
        <v>312</v>
      </c>
    </row>
    <row r="1728" spans="1:9" x14ac:dyDescent="0.15">
      <c r="A1728" s="9">
        <v>1727</v>
      </c>
      <c r="B1728" s="10" t="s">
        <v>9</v>
      </c>
      <c r="C1728" s="10" t="s">
        <v>363</v>
      </c>
      <c r="D1728" s="10" t="s">
        <v>364</v>
      </c>
      <c r="E1728" s="11" t="str">
        <f>+HYPERLINK("http://trademark.i-assist.jp/data/china/image_1902th/79133220.pdf", "79133220")</f>
        <v>79133220</v>
      </c>
      <c r="F1728" s="10" t="s">
        <v>5059</v>
      </c>
      <c r="G1728" s="10" t="s">
        <v>331</v>
      </c>
      <c r="H1728" s="10" t="s">
        <v>5060</v>
      </c>
      <c r="I1728" s="10" t="s">
        <v>312</v>
      </c>
    </row>
    <row r="1729" spans="1:9" x14ac:dyDescent="0.15">
      <c r="A1729" s="9">
        <v>1728</v>
      </c>
      <c r="B1729" s="10" t="s">
        <v>9</v>
      </c>
      <c r="C1729" s="10" t="s">
        <v>363</v>
      </c>
      <c r="D1729" s="10" t="s">
        <v>364</v>
      </c>
      <c r="E1729" s="11" t="str">
        <f>+HYPERLINK("http://trademark.i-assist.jp/data/china/image_1902th/79133223.pdf", "79133223")</f>
        <v>79133223</v>
      </c>
      <c r="F1729" s="10" t="s">
        <v>5061</v>
      </c>
      <c r="G1729" s="10" t="s">
        <v>330</v>
      </c>
      <c r="H1729" s="10" t="s">
        <v>5062</v>
      </c>
      <c r="I1729" s="10" t="s">
        <v>312</v>
      </c>
    </row>
    <row r="1730" spans="1:9" x14ac:dyDescent="0.15">
      <c r="A1730" s="9">
        <v>1729</v>
      </c>
      <c r="B1730" s="10" t="s">
        <v>9</v>
      </c>
      <c r="C1730" s="10" t="s">
        <v>363</v>
      </c>
      <c r="D1730" s="10" t="s">
        <v>364</v>
      </c>
      <c r="E1730" s="11" t="str">
        <f>+HYPERLINK("http://trademark.i-assist.jp/data/china/image_1902th/79133398.pdf", "79133398")</f>
        <v>79133398</v>
      </c>
      <c r="F1730" s="10" t="s">
        <v>5063</v>
      </c>
      <c r="G1730" s="10" t="s">
        <v>5064</v>
      </c>
      <c r="H1730" s="10" t="s">
        <v>5065</v>
      </c>
      <c r="I1730" s="10" t="s">
        <v>312</v>
      </c>
    </row>
    <row r="1731" spans="1:9" x14ac:dyDescent="0.15">
      <c r="A1731" s="9">
        <v>1730</v>
      </c>
      <c r="B1731" s="10" t="s">
        <v>9</v>
      </c>
      <c r="C1731" s="10" t="s">
        <v>363</v>
      </c>
      <c r="D1731" s="10" t="s">
        <v>364</v>
      </c>
      <c r="E1731" s="11" t="str">
        <f>+HYPERLINK("http://trademark.i-assist.jp/data/china/image_1902th/79133405.pdf", "79133405")</f>
        <v>79133405</v>
      </c>
      <c r="F1731" s="10" t="s">
        <v>5066</v>
      </c>
      <c r="G1731" s="10" t="s">
        <v>5067</v>
      </c>
      <c r="H1731" s="10" t="s">
        <v>5068</v>
      </c>
      <c r="I1731" s="10" t="s">
        <v>312</v>
      </c>
    </row>
    <row r="1732" spans="1:9" x14ac:dyDescent="0.15">
      <c r="A1732" s="9">
        <v>1731</v>
      </c>
      <c r="B1732" s="10" t="s">
        <v>9</v>
      </c>
      <c r="C1732" s="10" t="s">
        <v>363</v>
      </c>
      <c r="D1732" s="10" t="s">
        <v>364</v>
      </c>
      <c r="E1732" s="11" t="str">
        <f>+HYPERLINK("http://trademark.i-assist.jp/data/china/image_1902th/79133463.pdf", "79133463")</f>
        <v>79133463</v>
      </c>
      <c r="F1732" s="10" t="s">
        <v>5069</v>
      </c>
      <c r="G1732" s="10" t="s">
        <v>333</v>
      </c>
      <c r="H1732" s="10" t="s">
        <v>5070</v>
      </c>
      <c r="I1732" s="10" t="s">
        <v>312</v>
      </c>
    </row>
    <row r="1733" spans="1:9" x14ac:dyDescent="0.15">
      <c r="A1733" s="9">
        <v>1732</v>
      </c>
      <c r="B1733" s="10" t="s">
        <v>9</v>
      </c>
      <c r="C1733" s="10" t="s">
        <v>363</v>
      </c>
      <c r="D1733" s="10" t="s">
        <v>364</v>
      </c>
      <c r="E1733" s="11" t="str">
        <f>+HYPERLINK("http://trademark.i-assist.jp/data/china/image_1902th/79134144.pdf", "79134144")</f>
        <v>79134144</v>
      </c>
      <c r="F1733" s="10" t="s">
        <v>5071</v>
      </c>
      <c r="G1733" s="10" t="s">
        <v>5037</v>
      </c>
      <c r="H1733" s="10" t="s">
        <v>5072</v>
      </c>
      <c r="I1733" s="10" t="s">
        <v>312</v>
      </c>
    </row>
    <row r="1734" spans="1:9" x14ac:dyDescent="0.15">
      <c r="A1734" s="9">
        <v>1733</v>
      </c>
      <c r="B1734" s="10" t="s">
        <v>9</v>
      </c>
      <c r="C1734" s="10" t="s">
        <v>363</v>
      </c>
      <c r="D1734" s="10" t="s">
        <v>364</v>
      </c>
      <c r="E1734" s="11" t="str">
        <f>+HYPERLINK("http://trademark.i-assist.jp/data/china/image_1902th/79134161.pdf", "79134161")</f>
        <v>79134161</v>
      </c>
      <c r="F1734" s="10" t="s">
        <v>5073</v>
      </c>
      <c r="G1734" s="10" t="s">
        <v>286</v>
      </c>
      <c r="H1734" s="10" t="s">
        <v>5074</v>
      </c>
      <c r="I1734" s="10" t="s">
        <v>312</v>
      </c>
    </row>
    <row r="1735" spans="1:9" x14ac:dyDescent="0.15">
      <c r="A1735" s="9">
        <v>1734</v>
      </c>
      <c r="B1735" s="10" t="s">
        <v>9</v>
      </c>
      <c r="C1735" s="10" t="s">
        <v>363</v>
      </c>
      <c r="D1735" s="10" t="s">
        <v>364</v>
      </c>
      <c r="E1735" s="11" t="str">
        <f>+HYPERLINK("http://trademark.i-assist.jp/data/china/image_1902th/79134190.pdf", "79134190")</f>
        <v>79134190</v>
      </c>
      <c r="F1735" s="10" t="s">
        <v>5075</v>
      </c>
      <c r="G1735" s="10" t="s">
        <v>335</v>
      </c>
      <c r="H1735" s="10" t="s">
        <v>5076</v>
      </c>
      <c r="I1735" s="10" t="s">
        <v>312</v>
      </c>
    </row>
    <row r="1736" spans="1:9" x14ac:dyDescent="0.15">
      <c r="A1736" s="9">
        <v>1735</v>
      </c>
      <c r="B1736" s="10" t="s">
        <v>9</v>
      </c>
      <c r="C1736" s="10" t="s">
        <v>363</v>
      </c>
      <c r="D1736" s="10" t="s">
        <v>364</v>
      </c>
      <c r="E1736" s="11" t="str">
        <f>+HYPERLINK("http://trademark.i-assist.jp/data/china/image_1902th/79134244.pdf", "79134244")</f>
        <v>79134244</v>
      </c>
      <c r="F1736" s="10" t="s">
        <v>5077</v>
      </c>
      <c r="G1736" s="10" t="s">
        <v>5078</v>
      </c>
      <c r="H1736" s="10" t="s">
        <v>5079</v>
      </c>
      <c r="I1736" s="10" t="s">
        <v>312</v>
      </c>
    </row>
    <row r="1737" spans="1:9" x14ac:dyDescent="0.15">
      <c r="A1737" s="9">
        <v>1736</v>
      </c>
      <c r="B1737" s="10" t="s">
        <v>9</v>
      </c>
      <c r="C1737" s="10" t="s">
        <v>363</v>
      </c>
      <c r="D1737" s="10" t="s">
        <v>364</v>
      </c>
      <c r="E1737" s="11" t="str">
        <f>+HYPERLINK("http://trademark.i-assist.jp/data/china/image_1902th/79134543.pdf", "79134543")</f>
        <v>79134543</v>
      </c>
      <c r="F1737" s="10" t="s">
        <v>5080</v>
      </c>
      <c r="G1737" s="10" t="s">
        <v>336</v>
      </c>
      <c r="H1737" s="10" t="s">
        <v>5081</v>
      </c>
      <c r="I1737" s="10" t="s">
        <v>312</v>
      </c>
    </row>
    <row r="1738" spans="1:9" x14ac:dyDescent="0.15">
      <c r="A1738" s="9">
        <v>1737</v>
      </c>
      <c r="B1738" s="10" t="s">
        <v>9</v>
      </c>
      <c r="C1738" s="10" t="s">
        <v>363</v>
      </c>
      <c r="D1738" s="10" t="s">
        <v>364</v>
      </c>
      <c r="E1738" s="11" t="str">
        <f>+HYPERLINK("http://trademark.i-assist.jp/data/china/image_1902th/79134669.pdf", "79134669")</f>
        <v>79134669</v>
      </c>
      <c r="F1738" s="10" t="s">
        <v>5082</v>
      </c>
      <c r="G1738" s="10" t="s">
        <v>5083</v>
      </c>
      <c r="H1738" s="10" t="s">
        <v>5084</v>
      </c>
      <c r="I1738" s="10" t="s">
        <v>312</v>
      </c>
    </row>
    <row r="1739" spans="1:9" x14ac:dyDescent="0.15">
      <c r="A1739" s="9">
        <v>1738</v>
      </c>
      <c r="B1739" s="10" t="s">
        <v>9</v>
      </c>
      <c r="C1739" s="10" t="s">
        <v>363</v>
      </c>
      <c r="D1739" s="10" t="s">
        <v>364</v>
      </c>
      <c r="E1739" s="11" t="str">
        <f>+HYPERLINK("http://trademark.i-assist.jp/data/china/image_1902th/79134698.pdf", "79134698")</f>
        <v>79134698</v>
      </c>
      <c r="F1739" s="10" t="s">
        <v>5085</v>
      </c>
      <c r="G1739" s="10" t="s">
        <v>5086</v>
      </c>
      <c r="H1739" s="10" t="s">
        <v>5087</v>
      </c>
      <c r="I1739" s="10" t="s">
        <v>312</v>
      </c>
    </row>
    <row r="1740" spans="1:9" x14ac:dyDescent="0.15">
      <c r="A1740" s="9">
        <v>1739</v>
      </c>
      <c r="B1740" s="10" t="s">
        <v>9</v>
      </c>
      <c r="C1740" s="10" t="s">
        <v>363</v>
      </c>
      <c r="D1740" s="10" t="s">
        <v>364</v>
      </c>
      <c r="E1740" s="11" t="str">
        <f>+HYPERLINK("http://trademark.i-assist.jp/data/china/image_1902th/79134849.pdf", "79134849")</f>
        <v>79134849</v>
      </c>
      <c r="F1740" s="10" t="s">
        <v>12</v>
      </c>
      <c r="G1740" s="10" t="s">
        <v>5088</v>
      </c>
      <c r="H1740" s="10" t="s">
        <v>5089</v>
      </c>
      <c r="I1740" s="10" t="s">
        <v>312</v>
      </c>
    </row>
    <row r="1741" spans="1:9" x14ac:dyDescent="0.15">
      <c r="A1741" s="9">
        <v>1740</v>
      </c>
      <c r="B1741" s="10" t="s">
        <v>9</v>
      </c>
      <c r="C1741" s="10" t="s">
        <v>363</v>
      </c>
      <c r="D1741" s="10" t="s">
        <v>364</v>
      </c>
      <c r="E1741" s="11" t="str">
        <f>+HYPERLINK("http://trademark.i-assist.jp/data/china/image_1902th/79134881.pdf", "79134881")</f>
        <v>79134881</v>
      </c>
      <c r="F1741" s="10" t="s">
        <v>5090</v>
      </c>
      <c r="G1741" s="10" t="s">
        <v>5091</v>
      </c>
      <c r="H1741" s="10" t="s">
        <v>5092</v>
      </c>
      <c r="I1741" s="10" t="s">
        <v>312</v>
      </c>
    </row>
    <row r="1742" spans="1:9" x14ac:dyDescent="0.15">
      <c r="A1742" s="9">
        <v>1741</v>
      </c>
      <c r="B1742" s="10" t="s">
        <v>9</v>
      </c>
      <c r="C1742" s="10" t="s">
        <v>363</v>
      </c>
      <c r="D1742" s="10" t="s">
        <v>364</v>
      </c>
      <c r="E1742" s="11" t="str">
        <f>+HYPERLINK("http://trademark.i-assist.jp/data/china/image_1902th/79135136.pdf", "79135136")</f>
        <v>79135136</v>
      </c>
      <c r="F1742" s="10" t="s">
        <v>5093</v>
      </c>
      <c r="G1742" s="10" t="s">
        <v>5094</v>
      </c>
      <c r="H1742" s="10" t="s">
        <v>5095</v>
      </c>
      <c r="I1742" s="10" t="s">
        <v>312</v>
      </c>
    </row>
    <row r="1743" spans="1:9" x14ac:dyDescent="0.15">
      <c r="A1743" s="9">
        <v>1742</v>
      </c>
      <c r="B1743" s="10" t="s">
        <v>9</v>
      </c>
      <c r="C1743" s="10" t="s">
        <v>363</v>
      </c>
      <c r="D1743" s="10" t="s">
        <v>364</v>
      </c>
      <c r="E1743" s="11" t="str">
        <f>+HYPERLINK("http://trademark.i-assist.jp/data/china/image_1902th/79135301.pdf", "79135301")</f>
        <v>79135301</v>
      </c>
      <c r="F1743" s="10" t="s">
        <v>5096</v>
      </c>
      <c r="G1743" s="10" t="s">
        <v>2134</v>
      </c>
      <c r="H1743" s="10" t="s">
        <v>5097</v>
      </c>
      <c r="I1743" s="10" t="s">
        <v>312</v>
      </c>
    </row>
    <row r="1744" spans="1:9" x14ac:dyDescent="0.15">
      <c r="A1744" s="9">
        <v>1743</v>
      </c>
      <c r="B1744" s="10" t="s">
        <v>9</v>
      </c>
      <c r="C1744" s="10" t="s">
        <v>363</v>
      </c>
      <c r="D1744" s="10" t="s">
        <v>364</v>
      </c>
      <c r="E1744" s="11" t="str">
        <f>+HYPERLINK("http://trademark.i-assist.jp/data/china/image_1902th/79135407.pdf", "79135407")</f>
        <v>79135407</v>
      </c>
      <c r="F1744" s="10" t="s">
        <v>5098</v>
      </c>
      <c r="G1744" s="10" t="s">
        <v>309</v>
      </c>
      <c r="H1744" s="10" t="s">
        <v>5099</v>
      </c>
      <c r="I1744" s="10" t="s">
        <v>312</v>
      </c>
    </row>
    <row r="1745" spans="1:9" x14ac:dyDescent="0.15">
      <c r="A1745" s="9">
        <v>1744</v>
      </c>
      <c r="B1745" s="10" t="s">
        <v>9</v>
      </c>
      <c r="C1745" s="10" t="s">
        <v>363</v>
      </c>
      <c r="D1745" s="10" t="s">
        <v>364</v>
      </c>
      <c r="E1745" s="11" t="str">
        <f>+HYPERLINK("http://trademark.i-assist.jp/data/china/image_1902th/79135435.pdf", "79135435")</f>
        <v>79135435</v>
      </c>
      <c r="F1745" s="10" t="s">
        <v>5100</v>
      </c>
      <c r="G1745" s="10" t="s">
        <v>324</v>
      </c>
      <c r="H1745" s="10" t="s">
        <v>5101</v>
      </c>
      <c r="I1745" s="10" t="s">
        <v>312</v>
      </c>
    </row>
    <row r="1746" spans="1:9" x14ac:dyDescent="0.15">
      <c r="A1746" s="9">
        <v>1745</v>
      </c>
      <c r="B1746" s="10" t="s">
        <v>9</v>
      </c>
      <c r="C1746" s="10" t="s">
        <v>363</v>
      </c>
      <c r="D1746" s="10" t="s">
        <v>364</v>
      </c>
      <c r="E1746" s="11" t="str">
        <f>+HYPERLINK("http://trademark.i-assist.jp/data/china/image_1902th/79135579.pdf", "79135579")</f>
        <v>79135579</v>
      </c>
      <c r="F1746" s="10" t="s">
        <v>5102</v>
      </c>
      <c r="G1746" s="10" t="s">
        <v>4962</v>
      </c>
      <c r="H1746" s="10" t="s">
        <v>5103</v>
      </c>
      <c r="I1746" s="10" t="s">
        <v>312</v>
      </c>
    </row>
    <row r="1747" spans="1:9" x14ac:dyDescent="0.15">
      <c r="A1747" s="9">
        <v>1746</v>
      </c>
      <c r="B1747" s="10" t="s">
        <v>9</v>
      </c>
      <c r="C1747" s="10" t="s">
        <v>363</v>
      </c>
      <c r="D1747" s="10" t="s">
        <v>364</v>
      </c>
      <c r="E1747" s="11" t="str">
        <f>+HYPERLINK("http://trademark.i-assist.jp/data/china/image_1902th/79135743.pdf", "79135743")</f>
        <v>79135743</v>
      </c>
      <c r="F1747" s="10" t="s">
        <v>5104</v>
      </c>
      <c r="G1747" s="10" t="s">
        <v>331</v>
      </c>
      <c r="H1747" s="10" t="s">
        <v>5105</v>
      </c>
      <c r="I1747" s="10" t="s">
        <v>312</v>
      </c>
    </row>
    <row r="1748" spans="1:9" x14ac:dyDescent="0.15">
      <c r="A1748" s="9">
        <v>1747</v>
      </c>
      <c r="B1748" s="10" t="s">
        <v>9</v>
      </c>
      <c r="C1748" s="10" t="s">
        <v>363</v>
      </c>
      <c r="D1748" s="10" t="s">
        <v>364</v>
      </c>
      <c r="E1748" s="11" t="str">
        <f>+HYPERLINK("http://trademark.i-assist.jp/data/china/image_1902th/79135848.pdf", "79135848")</f>
        <v>79135848</v>
      </c>
      <c r="F1748" s="10" t="s">
        <v>5106</v>
      </c>
      <c r="G1748" s="10" t="s">
        <v>326</v>
      </c>
      <c r="H1748" s="10" t="s">
        <v>5107</v>
      </c>
      <c r="I1748" s="10" t="s">
        <v>312</v>
      </c>
    </row>
    <row r="1749" spans="1:9" x14ac:dyDescent="0.15">
      <c r="A1749" s="9">
        <v>1748</v>
      </c>
      <c r="B1749" s="10" t="s">
        <v>9</v>
      </c>
      <c r="C1749" s="10" t="s">
        <v>363</v>
      </c>
      <c r="D1749" s="10" t="s">
        <v>364</v>
      </c>
      <c r="E1749" s="11" t="str">
        <f>+HYPERLINK("http://trademark.i-assist.jp/data/china/image_1902th/79136183.pdf", "79136183")</f>
        <v>79136183</v>
      </c>
      <c r="F1749" s="10" t="s">
        <v>5108</v>
      </c>
      <c r="G1749" s="10" t="s">
        <v>5109</v>
      </c>
      <c r="H1749" s="10" t="s">
        <v>5110</v>
      </c>
      <c r="I1749" s="10" t="s">
        <v>312</v>
      </c>
    </row>
    <row r="1750" spans="1:9" x14ac:dyDescent="0.15">
      <c r="A1750" s="9">
        <v>1749</v>
      </c>
      <c r="B1750" s="10" t="s">
        <v>9</v>
      </c>
      <c r="C1750" s="10" t="s">
        <v>363</v>
      </c>
      <c r="D1750" s="10" t="s">
        <v>364</v>
      </c>
      <c r="E1750" s="11" t="str">
        <f>+HYPERLINK("http://trademark.i-assist.jp/data/china/image_1902th/79136221.pdf", "79136221")</f>
        <v>79136221</v>
      </c>
      <c r="F1750" s="10" t="s">
        <v>5111</v>
      </c>
      <c r="G1750" s="10" t="s">
        <v>31</v>
      </c>
      <c r="H1750" s="10" t="s">
        <v>5112</v>
      </c>
      <c r="I1750" s="10" t="s">
        <v>312</v>
      </c>
    </row>
    <row r="1751" spans="1:9" x14ac:dyDescent="0.15">
      <c r="A1751" s="9">
        <v>1750</v>
      </c>
      <c r="B1751" s="10" t="s">
        <v>9</v>
      </c>
      <c r="C1751" s="10" t="s">
        <v>363</v>
      </c>
      <c r="D1751" s="10" t="s">
        <v>364</v>
      </c>
      <c r="E1751" s="11" t="str">
        <f>+HYPERLINK("http://trademark.i-assist.jp/data/china/image_1902th/79136297.pdf", "79136297")</f>
        <v>79136297</v>
      </c>
      <c r="F1751" s="10" t="s">
        <v>5113</v>
      </c>
      <c r="G1751" s="10" t="s">
        <v>5114</v>
      </c>
      <c r="H1751" s="10" t="s">
        <v>5115</v>
      </c>
      <c r="I1751" s="10" t="s">
        <v>312</v>
      </c>
    </row>
    <row r="1752" spans="1:9" x14ac:dyDescent="0.15">
      <c r="A1752" s="9">
        <v>1751</v>
      </c>
      <c r="B1752" s="10" t="s">
        <v>9</v>
      </c>
      <c r="C1752" s="10" t="s">
        <v>363</v>
      </c>
      <c r="D1752" s="10" t="s">
        <v>364</v>
      </c>
      <c r="E1752" s="11" t="str">
        <f>+HYPERLINK("http://trademark.i-assist.jp/data/china/image_1902th/79136362.pdf", "79136362")</f>
        <v>79136362</v>
      </c>
      <c r="F1752" s="10" t="s">
        <v>5116</v>
      </c>
      <c r="G1752" s="10" t="s">
        <v>5117</v>
      </c>
      <c r="H1752" s="10" t="s">
        <v>5118</v>
      </c>
      <c r="I1752" s="10" t="s">
        <v>312</v>
      </c>
    </row>
    <row r="1753" spans="1:9" x14ac:dyDescent="0.15">
      <c r="A1753" s="9">
        <v>1752</v>
      </c>
      <c r="B1753" s="10" t="s">
        <v>9</v>
      </c>
      <c r="C1753" s="10" t="s">
        <v>363</v>
      </c>
      <c r="D1753" s="10" t="s">
        <v>364</v>
      </c>
      <c r="E1753" s="11" t="str">
        <f>+HYPERLINK("http://trademark.i-assist.jp/data/china/image_1902th/79136369.pdf", "79136369")</f>
        <v>79136369</v>
      </c>
      <c r="F1753" s="10" t="s">
        <v>5119</v>
      </c>
      <c r="G1753" s="10" t="s">
        <v>4956</v>
      </c>
      <c r="H1753" s="10" t="s">
        <v>5120</v>
      </c>
      <c r="I1753" s="10" t="s">
        <v>312</v>
      </c>
    </row>
    <row r="1754" spans="1:9" x14ac:dyDescent="0.15">
      <c r="A1754" s="9">
        <v>1753</v>
      </c>
      <c r="B1754" s="10" t="s">
        <v>9</v>
      </c>
      <c r="C1754" s="10" t="s">
        <v>363</v>
      </c>
      <c r="D1754" s="10" t="s">
        <v>364</v>
      </c>
      <c r="E1754" s="11" t="str">
        <f>+HYPERLINK("http://trademark.i-assist.jp/data/china/image_1902th/79136655.pdf", "79136655")</f>
        <v>79136655</v>
      </c>
      <c r="F1754" s="10" t="s">
        <v>5121</v>
      </c>
      <c r="G1754" s="10" t="s">
        <v>5122</v>
      </c>
      <c r="H1754" s="10" t="s">
        <v>5123</v>
      </c>
      <c r="I1754" s="10" t="s">
        <v>312</v>
      </c>
    </row>
    <row r="1755" spans="1:9" x14ac:dyDescent="0.15">
      <c r="A1755" s="9">
        <v>1754</v>
      </c>
      <c r="B1755" s="10" t="s">
        <v>9</v>
      </c>
      <c r="C1755" s="10" t="s">
        <v>363</v>
      </c>
      <c r="D1755" s="10" t="s">
        <v>364</v>
      </c>
      <c r="E1755" s="11" t="str">
        <f>+HYPERLINK("http://trademark.i-assist.jp/data/china/image_1902th/79136871.pdf", "79136871")</f>
        <v>79136871</v>
      </c>
      <c r="F1755" s="10" t="s">
        <v>5124</v>
      </c>
      <c r="G1755" s="10" t="s">
        <v>4987</v>
      </c>
      <c r="H1755" s="10" t="s">
        <v>5125</v>
      </c>
      <c r="I1755" s="10" t="s">
        <v>312</v>
      </c>
    </row>
    <row r="1756" spans="1:9" x14ac:dyDescent="0.15">
      <c r="A1756" s="9">
        <v>1755</v>
      </c>
      <c r="B1756" s="10" t="s">
        <v>9</v>
      </c>
      <c r="C1756" s="10" t="s">
        <v>363</v>
      </c>
      <c r="D1756" s="10" t="s">
        <v>364</v>
      </c>
      <c r="E1756" s="11" t="str">
        <f>+HYPERLINK("http://trademark.i-assist.jp/data/china/image_1902th/79136997.pdf", "79136997")</f>
        <v>79136997</v>
      </c>
      <c r="F1756" s="10" t="s">
        <v>5126</v>
      </c>
      <c r="G1756" s="10" t="s">
        <v>5127</v>
      </c>
      <c r="H1756" s="10" t="s">
        <v>5128</v>
      </c>
      <c r="I1756" s="10" t="s">
        <v>312</v>
      </c>
    </row>
    <row r="1757" spans="1:9" x14ac:dyDescent="0.15">
      <c r="A1757" s="9">
        <v>1756</v>
      </c>
      <c r="B1757" s="10" t="s">
        <v>9</v>
      </c>
      <c r="C1757" s="10" t="s">
        <v>363</v>
      </c>
      <c r="D1757" s="10" t="s">
        <v>364</v>
      </c>
      <c r="E1757" s="11" t="str">
        <f>+HYPERLINK("http://trademark.i-assist.jp/data/china/image_1902th/79137010.pdf", "79137010")</f>
        <v>79137010</v>
      </c>
      <c r="F1757" s="10" t="s">
        <v>5129</v>
      </c>
      <c r="G1757" s="10" t="s">
        <v>286</v>
      </c>
      <c r="H1757" s="10" t="s">
        <v>5130</v>
      </c>
      <c r="I1757" s="10" t="s">
        <v>312</v>
      </c>
    </row>
    <row r="1758" spans="1:9" x14ac:dyDescent="0.15">
      <c r="A1758" s="9">
        <v>1757</v>
      </c>
      <c r="B1758" s="10" t="s">
        <v>9</v>
      </c>
      <c r="C1758" s="10" t="s">
        <v>363</v>
      </c>
      <c r="D1758" s="10" t="s">
        <v>364</v>
      </c>
      <c r="E1758" s="11" t="str">
        <f>+HYPERLINK("http://trademark.i-assist.jp/data/china/image_1902th/79137024.pdf", "79137024")</f>
        <v>79137024</v>
      </c>
      <c r="F1758" s="10" t="s">
        <v>5131</v>
      </c>
      <c r="G1758" s="10" t="s">
        <v>5132</v>
      </c>
      <c r="H1758" s="10" t="s">
        <v>5133</v>
      </c>
      <c r="I1758" s="10" t="s">
        <v>312</v>
      </c>
    </row>
    <row r="1759" spans="1:9" x14ac:dyDescent="0.15">
      <c r="A1759" s="9">
        <v>1758</v>
      </c>
      <c r="B1759" s="10" t="s">
        <v>9</v>
      </c>
      <c r="C1759" s="10" t="s">
        <v>363</v>
      </c>
      <c r="D1759" s="10" t="s">
        <v>364</v>
      </c>
      <c r="E1759" s="11" t="str">
        <f>+HYPERLINK("http://trademark.i-assist.jp/data/china/image_1902th/79137052.pdf", "79137052")</f>
        <v>79137052</v>
      </c>
      <c r="F1759" s="10" t="s">
        <v>5134</v>
      </c>
      <c r="G1759" s="10" t="s">
        <v>219</v>
      </c>
      <c r="H1759" s="10" t="s">
        <v>5135</v>
      </c>
      <c r="I1759" s="10" t="s">
        <v>312</v>
      </c>
    </row>
    <row r="1760" spans="1:9" x14ac:dyDescent="0.15">
      <c r="A1760" s="9">
        <v>1759</v>
      </c>
      <c r="B1760" s="10" t="s">
        <v>9</v>
      </c>
      <c r="C1760" s="10" t="s">
        <v>363</v>
      </c>
      <c r="D1760" s="10" t="s">
        <v>364</v>
      </c>
      <c r="E1760" s="11" t="str">
        <f>+HYPERLINK("http://trademark.i-assist.jp/data/china/image_1902th/79137060.pdf", "79137060")</f>
        <v>79137060</v>
      </c>
      <c r="F1760" s="10" t="s">
        <v>5136</v>
      </c>
      <c r="G1760" s="10" t="s">
        <v>5137</v>
      </c>
      <c r="H1760" s="10" t="s">
        <v>5138</v>
      </c>
      <c r="I1760" s="10" t="s">
        <v>312</v>
      </c>
    </row>
    <row r="1761" spans="1:9" x14ac:dyDescent="0.15">
      <c r="A1761" s="9">
        <v>1760</v>
      </c>
      <c r="B1761" s="10" t="s">
        <v>9</v>
      </c>
      <c r="C1761" s="10" t="s">
        <v>363</v>
      </c>
      <c r="D1761" s="10" t="s">
        <v>364</v>
      </c>
      <c r="E1761" s="11" t="str">
        <f>+HYPERLINK("http://trademark.i-assist.jp/data/china/image_1902th/79137099.pdf", "79137099")</f>
        <v>79137099</v>
      </c>
      <c r="F1761" s="10" t="s">
        <v>5139</v>
      </c>
      <c r="G1761" s="10" t="s">
        <v>5140</v>
      </c>
      <c r="H1761" s="10" t="s">
        <v>5141</v>
      </c>
      <c r="I1761" s="10" t="s">
        <v>312</v>
      </c>
    </row>
    <row r="1762" spans="1:9" x14ac:dyDescent="0.15">
      <c r="A1762" s="9">
        <v>1761</v>
      </c>
      <c r="B1762" s="10" t="s">
        <v>9</v>
      </c>
      <c r="C1762" s="10" t="s">
        <v>363</v>
      </c>
      <c r="D1762" s="10" t="s">
        <v>364</v>
      </c>
      <c r="E1762" s="11" t="str">
        <f>+HYPERLINK("http://trademark.i-assist.jp/data/china/image_1902th/79137263.pdf", "79137263")</f>
        <v>79137263</v>
      </c>
      <c r="F1762" s="10" t="s">
        <v>5142</v>
      </c>
      <c r="G1762" s="10" t="s">
        <v>2785</v>
      </c>
      <c r="H1762" s="10" t="s">
        <v>5143</v>
      </c>
      <c r="I1762" s="10" t="s">
        <v>312</v>
      </c>
    </row>
    <row r="1763" spans="1:9" x14ac:dyDescent="0.15">
      <c r="A1763" s="9">
        <v>1762</v>
      </c>
      <c r="B1763" s="10" t="s">
        <v>9</v>
      </c>
      <c r="C1763" s="10" t="s">
        <v>363</v>
      </c>
      <c r="D1763" s="10" t="s">
        <v>364</v>
      </c>
      <c r="E1763" s="11" t="str">
        <f>+HYPERLINK("http://trademark.i-assist.jp/data/china/image_1902th/79137354.pdf", "79137354")</f>
        <v>79137354</v>
      </c>
      <c r="F1763" s="10" t="s">
        <v>5144</v>
      </c>
      <c r="G1763" s="10" t="s">
        <v>5145</v>
      </c>
      <c r="H1763" s="10" t="s">
        <v>5146</v>
      </c>
      <c r="I1763" s="10" t="s">
        <v>312</v>
      </c>
    </row>
    <row r="1764" spans="1:9" x14ac:dyDescent="0.15">
      <c r="A1764" s="9">
        <v>1763</v>
      </c>
      <c r="B1764" s="10" t="s">
        <v>9</v>
      </c>
      <c r="C1764" s="10" t="s">
        <v>363</v>
      </c>
      <c r="D1764" s="10" t="s">
        <v>364</v>
      </c>
      <c r="E1764" s="11" t="str">
        <f>+HYPERLINK("http://trademark.i-assist.jp/data/china/image_1902th/79137484.pdf", "79137484")</f>
        <v>79137484</v>
      </c>
      <c r="F1764" s="10" t="s">
        <v>5147</v>
      </c>
      <c r="G1764" s="10" t="s">
        <v>5148</v>
      </c>
      <c r="H1764" s="10" t="s">
        <v>5149</v>
      </c>
      <c r="I1764" s="10" t="s">
        <v>312</v>
      </c>
    </row>
    <row r="1765" spans="1:9" x14ac:dyDescent="0.15">
      <c r="A1765" s="9">
        <v>1764</v>
      </c>
      <c r="B1765" s="10" t="s">
        <v>9</v>
      </c>
      <c r="C1765" s="10" t="s">
        <v>363</v>
      </c>
      <c r="D1765" s="10" t="s">
        <v>364</v>
      </c>
      <c r="E1765" s="11" t="str">
        <f>+HYPERLINK("http://trademark.i-assist.jp/data/china/image_1902th/79137517.pdf", "79137517")</f>
        <v>79137517</v>
      </c>
      <c r="F1765" s="10" t="s">
        <v>5150</v>
      </c>
      <c r="G1765" s="10" t="s">
        <v>5151</v>
      </c>
      <c r="H1765" s="10" t="s">
        <v>5152</v>
      </c>
      <c r="I1765" s="10" t="s">
        <v>312</v>
      </c>
    </row>
    <row r="1766" spans="1:9" x14ac:dyDescent="0.15">
      <c r="A1766" s="9">
        <v>1765</v>
      </c>
      <c r="B1766" s="10" t="s">
        <v>9</v>
      </c>
      <c r="C1766" s="10" t="s">
        <v>363</v>
      </c>
      <c r="D1766" s="10" t="s">
        <v>364</v>
      </c>
      <c r="E1766" s="11" t="str">
        <f>+HYPERLINK("http://trademark.i-assist.jp/data/china/image_1902th/79137753.pdf", "79137753")</f>
        <v>79137753</v>
      </c>
      <c r="F1766" s="10" t="s">
        <v>5153</v>
      </c>
      <c r="G1766" s="10" t="s">
        <v>5154</v>
      </c>
      <c r="H1766" s="10" t="s">
        <v>5155</v>
      </c>
      <c r="I1766" s="10" t="s">
        <v>312</v>
      </c>
    </row>
    <row r="1767" spans="1:9" x14ac:dyDescent="0.15">
      <c r="A1767" s="9">
        <v>1766</v>
      </c>
      <c r="B1767" s="10" t="s">
        <v>9</v>
      </c>
      <c r="C1767" s="10" t="s">
        <v>363</v>
      </c>
      <c r="D1767" s="10" t="s">
        <v>364</v>
      </c>
      <c r="E1767" s="11" t="str">
        <f>+HYPERLINK("http://trademark.i-assist.jp/data/china/image_1902th/79137758.pdf", "79137758")</f>
        <v>79137758</v>
      </c>
      <c r="F1767" s="10" t="s">
        <v>5156</v>
      </c>
      <c r="G1767" s="10" t="s">
        <v>5157</v>
      </c>
      <c r="H1767" s="10" t="s">
        <v>5158</v>
      </c>
      <c r="I1767" s="10" t="s">
        <v>312</v>
      </c>
    </row>
    <row r="1768" spans="1:9" x14ac:dyDescent="0.15">
      <c r="A1768" s="9">
        <v>1767</v>
      </c>
      <c r="B1768" s="10" t="s">
        <v>9</v>
      </c>
      <c r="C1768" s="10" t="s">
        <v>363</v>
      </c>
      <c r="D1768" s="10" t="s">
        <v>364</v>
      </c>
      <c r="E1768" s="11" t="str">
        <f>+HYPERLINK("http://trademark.i-assist.jp/data/china/image_1902th/79137851.pdf", "79137851")</f>
        <v>79137851</v>
      </c>
      <c r="F1768" s="10" t="s">
        <v>5159</v>
      </c>
      <c r="G1768" s="10" t="s">
        <v>4503</v>
      </c>
      <c r="H1768" s="10" t="s">
        <v>5160</v>
      </c>
      <c r="I1768" s="10" t="s">
        <v>312</v>
      </c>
    </row>
    <row r="1769" spans="1:9" x14ac:dyDescent="0.15">
      <c r="A1769" s="9">
        <v>1768</v>
      </c>
      <c r="B1769" s="10" t="s">
        <v>9</v>
      </c>
      <c r="C1769" s="10" t="s">
        <v>363</v>
      </c>
      <c r="D1769" s="10" t="s">
        <v>364</v>
      </c>
      <c r="E1769" s="11" t="str">
        <f>+HYPERLINK("http://trademark.i-assist.jp/data/china/image_1902th/79137860.pdf", "79137860")</f>
        <v>79137860</v>
      </c>
      <c r="F1769" s="10" t="s">
        <v>5161</v>
      </c>
      <c r="G1769" s="10" t="s">
        <v>4997</v>
      </c>
      <c r="H1769" s="10" t="s">
        <v>5162</v>
      </c>
      <c r="I1769" s="10" t="s">
        <v>312</v>
      </c>
    </row>
    <row r="1770" spans="1:9" x14ac:dyDescent="0.15">
      <c r="A1770" s="9">
        <v>1769</v>
      </c>
      <c r="B1770" s="10" t="s">
        <v>9</v>
      </c>
      <c r="C1770" s="10" t="s">
        <v>363</v>
      </c>
      <c r="D1770" s="10" t="s">
        <v>364</v>
      </c>
      <c r="E1770" s="11" t="str">
        <f>+HYPERLINK("http://trademark.i-assist.jp/data/china/image_1902th/79138123.pdf", "79138123")</f>
        <v>79138123</v>
      </c>
      <c r="F1770" s="10" t="s">
        <v>5163</v>
      </c>
      <c r="G1770" s="10" t="s">
        <v>5164</v>
      </c>
      <c r="H1770" s="10" t="s">
        <v>5165</v>
      </c>
      <c r="I1770" s="10" t="s">
        <v>312</v>
      </c>
    </row>
    <row r="1771" spans="1:9" x14ac:dyDescent="0.15">
      <c r="A1771" s="9">
        <v>1770</v>
      </c>
      <c r="B1771" s="10" t="s">
        <v>9</v>
      </c>
      <c r="C1771" s="10" t="s">
        <v>363</v>
      </c>
      <c r="D1771" s="10" t="s">
        <v>364</v>
      </c>
      <c r="E1771" s="11" t="str">
        <f>+HYPERLINK("http://trademark.i-assist.jp/data/china/image_1902th/79138223.pdf", "79138223")</f>
        <v>79138223</v>
      </c>
      <c r="F1771" s="10" t="s">
        <v>5166</v>
      </c>
      <c r="G1771" s="10" t="s">
        <v>4962</v>
      </c>
      <c r="H1771" s="10" t="s">
        <v>5167</v>
      </c>
      <c r="I1771" s="10" t="s">
        <v>312</v>
      </c>
    </row>
    <row r="1772" spans="1:9" x14ac:dyDescent="0.15">
      <c r="A1772" s="9">
        <v>1771</v>
      </c>
      <c r="B1772" s="10" t="s">
        <v>9</v>
      </c>
      <c r="C1772" s="10" t="s">
        <v>363</v>
      </c>
      <c r="D1772" s="10" t="s">
        <v>364</v>
      </c>
      <c r="E1772" s="11" t="str">
        <f>+HYPERLINK("http://trademark.i-assist.jp/data/china/image_1902th/79138271.pdf", "79138271")</f>
        <v>79138271</v>
      </c>
      <c r="F1772" s="10" t="s">
        <v>5168</v>
      </c>
      <c r="G1772" s="10" t="s">
        <v>329</v>
      </c>
      <c r="H1772" s="10" t="s">
        <v>5169</v>
      </c>
      <c r="I1772" s="10" t="s">
        <v>312</v>
      </c>
    </row>
    <row r="1773" spans="1:9" x14ac:dyDescent="0.15">
      <c r="A1773" s="9">
        <v>1772</v>
      </c>
      <c r="B1773" s="10" t="s">
        <v>9</v>
      </c>
      <c r="C1773" s="10" t="s">
        <v>363</v>
      </c>
      <c r="D1773" s="10" t="s">
        <v>364</v>
      </c>
      <c r="E1773" s="11" t="str">
        <f>+HYPERLINK("http://trademark.i-assist.jp/data/china/image_1902th/79138492.pdf", "79138492")</f>
        <v>79138492</v>
      </c>
      <c r="F1773" s="10" t="s">
        <v>5170</v>
      </c>
      <c r="G1773" s="10" t="s">
        <v>5171</v>
      </c>
      <c r="H1773" s="10" t="s">
        <v>5172</v>
      </c>
      <c r="I1773" s="10" t="s">
        <v>312</v>
      </c>
    </row>
    <row r="1774" spans="1:9" x14ac:dyDescent="0.15">
      <c r="A1774" s="9">
        <v>1773</v>
      </c>
      <c r="B1774" s="10" t="s">
        <v>9</v>
      </c>
      <c r="C1774" s="10" t="s">
        <v>363</v>
      </c>
      <c r="D1774" s="10" t="s">
        <v>364</v>
      </c>
      <c r="E1774" s="11" t="str">
        <f>+HYPERLINK("http://trademark.i-assist.jp/data/china/image_1902th/79138504.pdf", "79138504")</f>
        <v>79138504</v>
      </c>
      <c r="F1774" s="10" t="s">
        <v>5173</v>
      </c>
      <c r="G1774" s="10" t="s">
        <v>5086</v>
      </c>
      <c r="H1774" s="10" t="s">
        <v>5174</v>
      </c>
      <c r="I1774" s="10" t="s">
        <v>312</v>
      </c>
    </row>
    <row r="1775" spans="1:9" x14ac:dyDescent="0.15">
      <c r="A1775" s="9">
        <v>1774</v>
      </c>
      <c r="B1775" s="10" t="s">
        <v>9</v>
      </c>
      <c r="C1775" s="10" t="s">
        <v>363</v>
      </c>
      <c r="D1775" s="10" t="s">
        <v>364</v>
      </c>
      <c r="E1775" s="11" t="str">
        <f>+HYPERLINK("http://trademark.i-assist.jp/data/china/image_1902th/79138649.pdf", "79138649")</f>
        <v>79138649</v>
      </c>
      <c r="F1775" s="10" t="s">
        <v>5175</v>
      </c>
      <c r="G1775" s="10" t="s">
        <v>5176</v>
      </c>
      <c r="H1775" s="10" t="s">
        <v>5177</v>
      </c>
      <c r="I1775" s="10" t="s">
        <v>312</v>
      </c>
    </row>
    <row r="1776" spans="1:9" x14ac:dyDescent="0.15">
      <c r="A1776" s="9">
        <v>1775</v>
      </c>
      <c r="B1776" s="10" t="s">
        <v>9</v>
      </c>
      <c r="C1776" s="10" t="s">
        <v>363</v>
      </c>
      <c r="D1776" s="10" t="s">
        <v>364</v>
      </c>
      <c r="E1776" s="11" t="str">
        <f>+HYPERLINK("http://trademark.i-assist.jp/data/china/image_1902th/79138729.pdf", "79138729")</f>
        <v>79138729</v>
      </c>
      <c r="F1776" s="10" t="s">
        <v>5178</v>
      </c>
      <c r="G1776" s="10" t="s">
        <v>5179</v>
      </c>
      <c r="H1776" s="10" t="s">
        <v>5180</v>
      </c>
      <c r="I1776" s="10" t="s">
        <v>312</v>
      </c>
    </row>
    <row r="1777" spans="1:9" x14ac:dyDescent="0.15">
      <c r="A1777" s="9">
        <v>1776</v>
      </c>
      <c r="B1777" s="10" t="s">
        <v>9</v>
      </c>
      <c r="C1777" s="10" t="s">
        <v>363</v>
      </c>
      <c r="D1777" s="10" t="s">
        <v>364</v>
      </c>
      <c r="E1777" s="11" t="str">
        <f>+HYPERLINK("http://trademark.i-assist.jp/data/china/image_1902th/79138807.pdf", "79138807")</f>
        <v>79138807</v>
      </c>
      <c r="F1777" s="10" t="s">
        <v>5181</v>
      </c>
      <c r="G1777" s="10" t="s">
        <v>5182</v>
      </c>
      <c r="H1777" s="10" t="s">
        <v>5183</v>
      </c>
      <c r="I1777" s="10" t="s">
        <v>312</v>
      </c>
    </row>
    <row r="1778" spans="1:9" x14ac:dyDescent="0.15">
      <c r="A1778" s="9">
        <v>1777</v>
      </c>
      <c r="B1778" s="10" t="s">
        <v>9</v>
      </c>
      <c r="C1778" s="10" t="s">
        <v>363</v>
      </c>
      <c r="D1778" s="10" t="s">
        <v>364</v>
      </c>
      <c r="E1778" s="11" t="str">
        <f>+HYPERLINK("http://trademark.i-assist.jp/data/china/image_1902th/79139366.pdf", "79139366")</f>
        <v>79139366</v>
      </c>
      <c r="F1778" s="10" t="s">
        <v>5184</v>
      </c>
      <c r="G1778" s="10" t="s">
        <v>321</v>
      </c>
      <c r="H1778" s="10" t="s">
        <v>5185</v>
      </c>
      <c r="I1778" s="10" t="s">
        <v>312</v>
      </c>
    </row>
    <row r="1779" spans="1:9" x14ac:dyDescent="0.15">
      <c r="A1779" s="9">
        <v>1778</v>
      </c>
      <c r="B1779" s="10" t="s">
        <v>9</v>
      </c>
      <c r="C1779" s="10" t="s">
        <v>363</v>
      </c>
      <c r="D1779" s="10" t="s">
        <v>364</v>
      </c>
      <c r="E1779" s="11" t="str">
        <f>+HYPERLINK("http://trademark.i-assist.jp/data/china/image_1902th/79139397.pdf", "79139397")</f>
        <v>79139397</v>
      </c>
      <c r="F1779" s="10" t="s">
        <v>5186</v>
      </c>
      <c r="G1779" s="10" t="s">
        <v>5187</v>
      </c>
      <c r="H1779" s="10" t="s">
        <v>5188</v>
      </c>
      <c r="I1779" s="10" t="s">
        <v>312</v>
      </c>
    </row>
    <row r="1780" spans="1:9" x14ac:dyDescent="0.15">
      <c r="A1780" s="9">
        <v>1779</v>
      </c>
      <c r="B1780" s="10" t="s">
        <v>9</v>
      </c>
      <c r="C1780" s="10" t="s">
        <v>363</v>
      </c>
      <c r="D1780" s="10" t="s">
        <v>364</v>
      </c>
      <c r="E1780" s="11" t="str">
        <f>+HYPERLINK("http://trademark.i-assist.jp/data/china/image_1902th/79139777.pdf", "79139777")</f>
        <v>79139777</v>
      </c>
      <c r="F1780" s="10" t="s">
        <v>5189</v>
      </c>
      <c r="G1780" s="10" t="s">
        <v>5190</v>
      </c>
      <c r="H1780" s="10" t="s">
        <v>5191</v>
      </c>
      <c r="I1780" s="10" t="s">
        <v>312</v>
      </c>
    </row>
    <row r="1781" spans="1:9" x14ac:dyDescent="0.15">
      <c r="A1781" s="9">
        <v>1780</v>
      </c>
      <c r="B1781" s="10" t="s">
        <v>9</v>
      </c>
      <c r="C1781" s="10" t="s">
        <v>363</v>
      </c>
      <c r="D1781" s="10" t="s">
        <v>364</v>
      </c>
      <c r="E1781" s="11" t="str">
        <f>+HYPERLINK("http://trademark.i-assist.jp/data/china/image_1902th/79139892.pdf", "79139892")</f>
        <v>79139892</v>
      </c>
      <c r="F1781" s="10" t="s">
        <v>5192</v>
      </c>
      <c r="G1781" s="10" t="s">
        <v>337</v>
      </c>
      <c r="H1781" s="10" t="s">
        <v>5193</v>
      </c>
      <c r="I1781" s="10" t="s">
        <v>312</v>
      </c>
    </row>
    <row r="1782" spans="1:9" x14ac:dyDescent="0.15">
      <c r="A1782" s="9">
        <v>1781</v>
      </c>
      <c r="B1782" s="10" t="s">
        <v>9</v>
      </c>
      <c r="C1782" s="10" t="s">
        <v>363</v>
      </c>
      <c r="D1782" s="10" t="s">
        <v>364</v>
      </c>
      <c r="E1782" s="11" t="str">
        <f>+HYPERLINK("http://trademark.i-assist.jp/data/china/image_1902th/79139952.pdf", "79139952")</f>
        <v>79139952</v>
      </c>
      <c r="F1782" s="10" t="s">
        <v>5194</v>
      </c>
      <c r="G1782" s="10" t="s">
        <v>5122</v>
      </c>
      <c r="H1782" s="10" t="s">
        <v>5195</v>
      </c>
      <c r="I1782" s="10" t="s">
        <v>312</v>
      </c>
    </row>
    <row r="1783" spans="1:9" x14ac:dyDescent="0.15">
      <c r="A1783" s="9">
        <v>1782</v>
      </c>
      <c r="B1783" s="10" t="s">
        <v>9</v>
      </c>
      <c r="C1783" s="10" t="s">
        <v>363</v>
      </c>
      <c r="D1783" s="10" t="s">
        <v>364</v>
      </c>
      <c r="E1783" s="11" t="str">
        <f>+HYPERLINK("http://trademark.i-assist.jp/data/china/image_1902th/79140338.pdf", "79140338")</f>
        <v>79140338</v>
      </c>
      <c r="F1783" s="10" t="s">
        <v>5196</v>
      </c>
      <c r="G1783" s="10" t="s">
        <v>5197</v>
      </c>
      <c r="H1783" s="10" t="s">
        <v>5198</v>
      </c>
      <c r="I1783" s="10" t="s">
        <v>312</v>
      </c>
    </row>
    <row r="1784" spans="1:9" x14ac:dyDescent="0.15">
      <c r="A1784" s="9">
        <v>1783</v>
      </c>
      <c r="B1784" s="10" t="s">
        <v>9</v>
      </c>
      <c r="C1784" s="10" t="s">
        <v>363</v>
      </c>
      <c r="D1784" s="10" t="s">
        <v>364</v>
      </c>
      <c r="E1784" s="11" t="str">
        <f>+HYPERLINK("http://trademark.i-assist.jp/data/china/image_1902th/79140382.pdf", "79140382")</f>
        <v>79140382</v>
      </c>
      <c r="F1784" s="10" t="s">
        <v>5199</v>
      </c>
      <c r="G1784" s="10" t="s">
        <v>219</v>
      </c>
      <c r="H1784" s="10" t="s">
        <v>5200</v>
      </c>
      <c r="I1784" s="10" t="s">
        <v>312</v>
      </c>
    </row>
    <row r="1785" spans="1:9" x14ac:dyDescent="0.15">
      <c r="A1785" s="9">
        <v>1784</v>
      </c>
      <c r="B1785" s="10" t="s">
        <v>9</v>
      </c>
      <c r="C1785" s="10" t="s">
        <v>363</v>
      </c>
      <c r="D1785" s="10" t="s">
        <v>364</v>
      </c>
      <c r="E1785" s="11" t="str">
        <f>+HYPERLINK("http://trademark.i-assist.jp/data/china/image_1902th/79140417.pdf", "79140417")</f>
        <v>79140417</v>
      </c>
      <c r="F1785" s="10" t="s">
        <v>5201</v>
      </c>
      <c r="G1785" s="10" t="s">
        <v>4987</v>
      </c>
      <c r="H1785" s="10" t="s">
        <v>5202</v>
      </c>
      <c r="I1785" s="10" t="s">
        <v>312</v>
      </c>
    </row>
    <row r="1786" spans="1:9" x14ac:dyDescent="0.15">
      <c r="A1786" s="9">
        <v>1785</v>
      </c>
      <c r="B1786" s="10" t="s">
        <v>9</v>
      </c>
      <c r="C1786" s="10" t="s">
        <v>363</v>
      </c>
      <c r="D1786" s="10" t="s">
        <v>364</v>
      </c>
      <c r="E1786" s="11" t="str">
        <f>+HYPERLINK("http://trademark.i-assist.jp/data/china/image_1902th/79140654.pdf", "79140654")</f>
        <v>79140654</v>
      </c>
      <c r="F1786" s="10" t="s">
        <v>5203</v>
      </c>
      <c r="G1786" s="10" t="s">
        <v>5204</v>
      </c>
      <c r="H1786" s="10" t="s">
        <v>5205</v>
      </c>
      <c r="I1786" s="10" t="s">
        <v>312</v>
      </c>
    </row>
    <row r="1787" spans="1:9" x14ac:dyDescent="0.15">
      <c r="A1787" s="9">
        <v>1786</v>
      </c>
      <c r="B1787" s="10" t="s">
        <v>9</v>
      </c>
      <c r="C1787" s="10" t="s">
        <v>363</v>
      </c>
      <c r="D1787" s="10" t="s">
        <v>364</v>
      </c>
      <c r="E1787" s="11" t="str">
        <f>+HYPERLINK("http://trademark.i-assist.jp/data/china/image_1902th/79140891.pdf", "79140891")</f>
        <v>79140891</v>
      </c>
      <c r="F1787" s="10" t="s">
        <v>5206</v>
      </c>
      <c r="G1787" s="10" t="s">
        <v>329</v>
      </c>
      <c r="H1787" s="10" t="s">
        <v>5207</v>
      </c>
      <c r="I1787" s="10" t="s">
        <v>312</v>
      </c>
    </row>
    <row r="1788" spans="1:9" x14ac:dyDescent="0.15">
      <c r="A1788" s="9">
        <v>1787</v>
      </c>
      <c r="B1788" s="10" t="s">
        <v>9</v>
      </c>
      <c r="C1788" s="10" t="s">
        <v>363</v>
      </c>
      <c r="D1788" s="10" t="s">
        <v>364</v>
      </c>
      <c r="E1788" s="11" t="str">
        <f>+HYPERLINK("http://trademark.i-assist.jp/data/china/image_1902th/79140999.pdf", "79140999")</f>
        <v>79140999</v>
      </c>
      <c r="F1788" s="10" t="s">
        <v>5208</v>
      </c>
      <c r="G1788" s="10" t="s">
        <v>4503</v>
      </c>
      <c r="H1788" s="10" t="s">
        <v>5209</v>
      </c>
      <c r="I1788" s="10" t="s">
        <v>312</v>
      </c>
    </row>
    <row r="1789" spans="1:9" x14ac:dyDescent="0.15">
      <c r="A1789" s="9">
        <v>1788</v>
      </c>
      <c r="B1789" s="10" t="s">
        <v>9</v>
      </c>
      <c r="C1789" s="10" t="s">
        <v>363</v>
      </c>
      <c r="D1789" s="10" t="s">
        <v>364</v>
      </c>
      <c r="E1789" s="11" t="str">
        <f>+HYPERLINK("http://trademark.i-assist.jp/data/china/image_1902th/79141047.pdf", "79141047")</f>
        <v>79141047</v>
      </c>
      <c r="F1789" s="10" t="s">
        <v>5210</v>
      </c>
      <c r="G1789" s="10" t="s">
        <v>5211</v>
      </c>
      <c r="H1789" s="10" t="s">
        <v>5212</v>
      </c>
      <c r="I1789" s="10" t="s">
        <v>312</v>
      </c>
    </row>
    <row r="1790" spans="1:9" x14ac:dyDescent="0.15">
      <c r="A1790" s="9">
        <v>1789</v>
      </c>
      <c r="B1790" s="10" t="s">
        <v>9</v>
      </c>
      <c r="C1790" s="10" t="s">
        <v>363</v>
      </c>
      <c r="D1790" s="10" t="s">
        <v>364</v>
      </c>
      <c r="E1790" s="11" t="str">
        <f>+HYPERLINK("http://trademark.i-assist.jp/data/china/image_1902th/79141076.pdf", "79141076")</f>
        <v>79141076</v>
      </c>
      <c r="F1790" s="10" t="s">
        <v>12</v>
      </c>
      <c r="G1790" s="10" t="s">
        <v>5088</v>
      </c>
      <c r="H1790" s="10" t="s">
        <v>5213</v>
      </c>
      <c r="I1790" s="10" t="s">
        <v>312</v>
      </c>
    </row>
    <row r="1791" spans="1:9" x14ac:dyDescent="0.15">
      <c r="A1791" s="9">
        <v>1790</v>
      </c>
      <c r="B1791" s="10" t="s">
        <v>9</v>
      </c>
      <c r="C1791" s="10" t="s">
        <v>363</v>
      </c>
      <c r="D1791" s="10" t="s">
        <v>364</v>
      </c>
      <c r="E1791" s="11" t="str">
        <f>+HYPERLINK("http://trademark.i-assist.jp/data/china/image_1902th/79141249.pdf", "79141249")</f>
        <v>79141249</v>
      </c>
      <c r="F1791" s="10" t="s">
        <v>5214</v>
      </c>
      <c r="G1791" s="10" t="s">
        <v>5215</v>
      </c>
      <c r="H1791" s="10" t="s">
        <v>5216</v>
      </c>
      <c r="I1791" s="10" t="s">
        <v>312</v>
      </c>
    </row>
    <row r="1792" spans="1:9" x14ac:dyDescent="0.15">
      <c r="A1792" s="9">
        <v>1791</v>
      </c>
      <c r="B1792" s="10" t="s">
        <v>9</v>
      </c>
      <c r="C1792" s="10" t="s">
        <v>363</v>
      </c>
      <c r="D1792" s="10" t="s">
        <v>364</v>
      </c>
      <c r="E1792" s="11" t="str">
        <f>+HYPERLINK("http://trademark.i-assist.jp/data/china/image_1902th/79141325.pdf", "79141325")</f>
        <v>79141325</v>
      </c>
      <c r="F1792" s="10" t="s">
        <v>5217</v>
      </c>
      <c r="G1792" s="10" t="s">
        <v>5218</v>
      </c>
      <c r="H1792" s="10" t="s">
        <v>5219</v>
      </c>
      <c r="I1792" s="10" t="s">
        <v>312</v>
      </c>
    </row>
    <row r="1793" spans="1:9" x14ac:dyDescent="0.15">
      <c r="A1793" s="9">
        <v>1792</v>
      </c>
      <c r="B1793" s="10" t="s">
        <v>9</v>
      </c>
      <c r="C1793" s="10" t="s">
        <v>363</v>
      </c>
      <c r="D1793" s="10" t="s">
        <v>364</v>
      </c>
      <c r="E1793" s="11" t="str">
        <f>+HYPERLINK("http://trademark.i-assist.jp/data/china/image_1902th/79141522.pdf", "79141522")</f>
        <v>79141522</v>
      </c>
      <c r="F1793" s="10" t="s">
        <v>5220</v>
      </c>
      <c r="G1793" s="10" t="s">
        <v>286</v>
      </c>
      <c r="H1793" s="10" t="s">
        <v>5221</v>
      </c>
      <c r="I1793" s="10" t="s">
        <v>312</v>
      </c>
    </row>
    <row r="1794" spans="1:9" x14ac:dyDescent="0.15">
      <c r="A1794" s="9">
        <v>1793</v>
      </c>
      <c r="B1794" s="10" t="s">
        <v>9</v>
      </c>
      <c r="C1794" s="10" t="s">
        <v>363</v>
      </c>
      <c r="D1794" s="10" t="s">
        <v>364</v>
      </c>
      <c r="E1794" s="11" t="str">
        <f>+HYPERLINK("http://trademark.i-assist.jp/data/china/image_1902th/79141613.pdf", "79141613")</f>
        <v>79141613</v>
      </c>
      <c r="F1794" s="10" t="s">
        <v>5222</v>
      </c>
      <c r="G1794" s="10" t="s">
        <v>57</v>
      </c>
      <c r="H1794" s="10" t="s">
        <v>5223</v>
      </c>
      <c r="I1794" s="10" t="s">
        <v>312</v>
      </c>
    </row>
    <row r="1795" spans="1:9" x14ac:dyDescent="0.15">
      <c r="A1795" s="9">
        <v>1794</v>
      </c>
      <c r="B1795" s="10" t="s">
        <v>9</v>
      </c>
      <c r="C1795" s="10" t="s">
        <v>363</v>
      </c>
      <c r="D1795" s="10" t="s">
        <v>364</v>
      </c>
      <c r="E1795" s="11" t="str">
        <f>+HYPERLINK("http://trademark.i-assist.jp/data/china/image_1902th/79141684.pdf", "79141684")</f>
        <v>79141684</v>
      </c>
      <c r="F1795" s="10" t="s">
        <v>5224</v>
      </c>
      <c r="G1795" s="10" t="s">
        <v>331</v>
      </c>
      <c r="H1795" s="10" t="s">
        <v>5225</v>
      </c>
      <c r="I1795" s="10" t="s">
        <v>312</v>
      </c>
    </row>
    <row r="1796" spans="1:9" x14ac:dyDescent="0.15">
      <c r="A1796" s="9">
        <v>1795</v>
      </c>
      <c r="B1796" s="10" t="s">
        <v>9</v>
      </c>
      <c r="C1796" s="10" t="s">
        <v>363</v>
      </c>
      <c r="D1796" s="10" t="s">
        <v>364</v>
      </c>
      <c r="E1796" s="11" t="str">
        <f>+HYPERLINK("http://trademark.i-assist.jp/data/china/image_1902th/79141876.pdf", "79141876")</f>
        <v>79141876</v>
      </c>
      <c r="F1796" s="10" t="s">
        <v>5226</v>
      </c>
      <c r="G1796" s="10" t="s">
        <v>5227</v>
      </c>
      <c r="H1796" s="10" t="s">
        <v>5228</v>
      </c>
      <c r="I1796" s="10" t="s">
        <v>312</v>
      </c>
    </row>
    <row r="1797" spans="1:9" x14ac:dyDescent="0.15">
      <c r="A1797" s="9">
        <v>1796</v>
      </c>
      <c r="B1797" s="10" t="s">
        <v>9</v>
      </c>
      <c r="C1797" s="10" t="s">
        <v>363</v>
      </c>
      <c r="D1797" s="10" t="s">
        <v>364</v>
      </c>
      <c r="E1797" s="11" t="str">
        <f>+HYPERLINK("http://trademark.i-assist.jp/data/china/image_1902th/79142215.pdf", "79142215")</f>
        <v>79142215</v>
      </c>
      <c r="F1797" s="10" t="s">
        <v>5229</v>
      </c>
      <c r="G1797" s="10" t="s">
        <v>5230</v>
      </c>
      <c r="H1797" s="10" t="s">
        <v>5231</v>
      </c>
      <c r="I1797" s="10" t="s">
        <v>312</v>
      </c>
    </row>
    <row r="1798" spans="1:9" x14ac:dyDescent="0.15">
      <c r="A1798" s="9">
        <v>1797</v>
      </c>
      <c r="B1798" s="10" t="s">
        <v>9</v>
      </c>
      <c r="C1798" s="10" t="s">
        <v>363</v>
      </c>
      <c r="D1798" s="10" t="s">
        <v>364</v>
      </c>
      <c r="E1798" s="11" t="str">
        <f>+HYPERLINK("http://trademark.i-assist.jp/data/china/image_1902th/79142250.pdf", "79142250")</f>
        <v>79142250</v>
      </c>
      <c r="F1798" s="10" t="s">
        <v>12</v>
      </c>
      <c r="G1798" s="10" t="s">
        <v>5232</v>
      </c>
      <c r="H1798" s="10" t="s">
        <v>5233</v>
      </c>
      <c r="I1798" s="10" t="s">
        <v>312</v>
      </c>
    </row>
    <row r="1799" spans="1:9" x14ac:dyDescent="0.15">
      <c r="A1799" s="9">
        <v>1798</v>
      </c>
      <c r="B1799" s="10" t="s">
        <v>9</v>
      </c>
      <c r="C1799" s="10" t="s">
        <v>363</v>
      </c>
      <c r="D1799" s="10" t="s">
        <v>364</v>
      </c>
      <c r="E1799" s="11" t="str">
        <f>+HYPERLINK("http://trademark.i-assist.jp/data/china/image_1902th/79142325.pdf", "79142325")</f>
        <v>79142325</v>
      </c>
      <c r="F1799" s="10" t="s">
        <v>5234</v>
      </c>
      <c r="G1799" s="10" t="s">
        <v>5235</v>
      </c>
      <c r="H1799" s="10" t="s">
        <v>5236</v>
      </c>
      <c r="I1799" s="10" t="s">
        <v>312</v>
      </c>
    </row>
    <row r="1800" spans="1:9" x14ac:dyDescent="0.15">
      <c r="A1800" s="9">
        <v>1799</v>
      </c>
      <c r="B1800" s="10" t="s">
        <v>9</v>
      </c>
      <c r="C1800" s="10" t="s">
        <v>363</v>
      </c>
      <c r="D1800" s="10" t="s">
        <v>364</v>
      </c>
      <c r="E1800" s="11" t="str">
        <f>+HYPERLINK("http://trademark.i-assist.jp/data/china/image_1902th/79142537.pdf", "79142537")</f>
        <v>79142537</v>
      </c>
      <c r="F1800" s="10" t="s">
        <v>5237</v>
      </c>
      <c r="G1800" s="10" t="s">
        <v>5083</v>
      </c>
      <c r="H1800" s="10" t="s">
        <v>5238</v>
      </c>
      <c r="I1800" s="10" t="s">
        <v>312</v>
      </c>
    </row>
    <row r="1801" spans="1:9" x14ac:dyDescent="0.15">
      <c r="A1801" s="9">
        <v>1800</v>
      </c>
      <c r="B1801" s="10" t="s">
        <v>9</v>
      </c>
      <c r="C1801" s="10" t="s">
        <v>363</v>
      </c>
      <c r="D1801" s="10" t="s">
        <v>364</v>
      </c>
      <c r="E1801" s="11" t="str">
        <f>+HYPERLINK("http://trademark.i-assist.jp/data/china/image_1902th/79142550.pdf", "79142550")</f>
        <v>79142550</v>
      </c>
      <c r="F1801" s="10" t="s">
        <v>5239</v>
      </c>
      <c r="G1801" s="10" t="s">
        <v>5240</v>
      </c>
      <c r="H1801" s="10" t="s">
        <v>5241</v>
      </c>
      <c r="I1801" s="10" t="s">
        <v>312</v>
      </c>
    </row>
    <row r="1802" spans="1:9" x14ac:dyDescent="0.15">
      <c r="A1802" s="9">
        <v>1801</v>
      </c>
      <c r="B1802" s="10" t="s">
        <v>9</v>
      </c>
      <c r="C1802" s="10" t="s">
        <v>363</v>
      </c>
      <c r="D1802" s="10" t="s">
        <v>364</v>
      </c>
      <c r="E1802" s="11" t="str">
        <f>+HYPERLINK("http://trademark.i-assist.jp/data/china/image_1902th/79142659.pdf", "79142659")</f>
        <v>79142659</v>
      </c>
      <c r="F1802" s="10" t="s">
        <v>5242</v>
      </c>
      <c r="G1802" s="10" t="s">
        <v>332</v>
      </c>
      <c r="H1802" s="10" t="s">
        <v>5243</v>
      </c>
      <c r="I1802" s="10" t="s">
        <v>312</v>
      </c>
    </row>
    <row r="1803" spans="1:9" x14ac:dyDescent="0.15">
      <c r="A1803" s="9">
        <v>1802</v>
      </c>
      <c r="B1803" s="10" t="s">
        <v>9</v>
      </c>
      <c r="C1803" s="10" t="s">
        <v>363</v>
      </c>
      <c r="D1803" s="10" t="s">
        <v>364</v>
      </c>
      <c r="E1803" s="11" t="str">
        <f>+HYPERLINK("http://trademark.i-assist.jp/data/china/image_1902th/79142736.pdf", "79142736")</f>
        <v>79142736</v>
      </c>
      <c r="F1803" s="10" t="s">
        <v>5244</v>
      </c>
      <c r="G1803" s="10" t="s">
        <v>326</v>
      </c>
      <c r="H1803" s="10" t="s">
        <v>5245</v>
      </c>
      <c r="I1803" s="10" t="s">
        <v>312</v>
      </c>
    </row>
    <row r="1804" spans="1:9" x14ac:dyDescent="0.15">
      <c r="A1804" s="9">
        <v>1803</v>
      </c>
      <c r="B1804" s="10" t="s">
        <v>9</v>
      </c>
      <c r="C1804" s="10" t="s">
        <v>363</v>
      </c>
      <c r="D1804" s="10" t="s">
        <v>364</v>
      </c>
      <c r="E1804" s="11" t="str">
        <f>+HYPERLINK("http://trademark.i-assist.jp/data/china/image_1902th/79142818.pdf", "79142818")</f>
        <v>79142818</v>
      </c>
      <c r="F1804" s="10" t="s">
        <v>5246</v>
      </c>
      <c r="G1804" s="10" t="s">
        <v>5247</v>
      </c>
      <c r="H1804" s="10" t="s">
        <v>5248</v>
      </c>
      <c r="I1804" s="10" t="s">
        <v>312</v>
      </c>
    </row>
    <row r="1805" spans="1:9" x14ac:dyDescent="0.15">
      <c r="A1805" s="9">
        <v>1804</v>
      </c>
      <c r="B1805" s="10" t="s">
        <v>9</v>
      </c>
      <c r="C1805" s="10" t="s">
        <v>363</v>
      </c>
      <c r="D1805" s="10" t="s">
        <v>364</v>
      </c>
      <c r="E1805" s="11" t="str">
        <f>+HYPERLINK("http://trademark.i-assist.jp/data/china/image_1902th/79143277.pdf", "79143277")</f>
        <v>79143277</v>
      </c>
      <c r="F1805" s="10" t="s">
        <v>5249</v>
      </c>
      <c r="G1805" s="10" t="s">
        <v>5250</v>
      </c>
      <c r="H1805" s="10" t="s">
        <v>5251</v>
      </c>
      <c r="I1805" s="10" t="s">
        <v>312</v>
      </c>
    </row>
    <row r="1806" spans="1:9" x14ac:dyDescent="0.15">
      <c r="A1806" s="9">
        <v>1805</v>
      </c>
      <c r="B1806" s="10" t="s">
        <v>9</v>
      </c>
      <c r="C1806" s="10" t="s">
        <v>363</v>
      </c>
      <c r="D1806" s="10" t="s">
        <v>364</v>
      </c>
      <c r="E1806" s="11" t="str">
        <f>+HYPERLINK("http://trademark.i-assist.jp/data/china/image_1902th/79143478.pdf", "79143478")</f>
        <v>79143478</v>
      </c>
      <c r="F1806" s="10" t="s">
        <v>5252</v>
      </c>
      <c r="G1806" s="10" t="s">
        <v>5006</v>
      </c>
      <c r="H1806" s="10" t="s">
        <v>5253</v>
      </c>
      <c r="I1806" s="10" t="s">
        <v>312</v>
      </c>
    </row>
    <row r="1807" spans="1:9" x14ac:dyDescent="0.15">
      <c r="A1807" s="9">
        <v>1806</v>
      </c>
      <c r="B1807" s="10" t="s">
        <v>9</v>
      </c>
      <c r="C1807" s="10" t="s">
        <v>363</v>
      </c>
      <c r="D1807" s="10" t="s">
        <v>364</v>
      </c>
      <c r="E1807" s="11" t="str">
        <f>+HYPERLINK("http://trademark.i-assist.jp/data/china/image_1902th/79144093.pdf", "79144093")</f>
        <v>79144093</v>
      </c>
      <c r="F1807" s="10" t="s">
        <v>5254</v>
      </c>
      <c r="G1807" s="10" t="s">
        <v>5255</v>
      </c>
      <c r="H1807" s="10" t="s">
        <v>5256</v>
      </c>
      <c r="I1807" s="10" t="s">
        <v>312</v>
      </c>
    </row>
    <row r="1808" spans="1:9" x14ac:dyDescent="0.15">
      <c r="A1808" s="9">
        <v>1807</v>
      </c>
      <c r="B1808" s="10" t="s">
        <v>9</v>
      </c>
      <c r="C1808" s="10" t="s">
        <v>363</v>
      </c>
      <c r="D1808" s="10" t="s">
        <v>364</v>
      </c>
      <c r="E1808" s="11" t="str">
        <f>+HYPERLINK("http://trademark.i-assist.jp/data/china/image_1902th/79144175.pdf", "79144175")</f>
        <v>79144175</v>
      </c>
      <c r="F1808" s="10" t="s">
        <v>12</v>
      </c>
      <c r="G1808" s="10" t="s">
        <v>5257</v>
      </c>
      <c r="H1808" s="10" t="s">
        <v>5258</v>
      </c>
      <c r="I1808" s="10" t="s">
        <v>312</v>
      </c>
    </row>
    <row r="1809" spans="1:9" x14ac:dyDescent="0.15">
      <c r="A1809" s="9">
        <v>1808</v>
      </c>
      <c r="B1809" s="10" t="s">
        <v>9</v>
      </c>
      <c r="C1809" s="10" t="s">
        <v>363</v>
      </c>
      <c r="D1809" s="10" t="s">
        <v>364</v>
      </c>
      <c r="E1809" s="11" t="str">
        <f>+HYPERLINK("http://trademark.i-assist.jp/data/china/image_1902th/79144536.pdf", "79144536")</f>
        <v>79144536</v>
      </c>
      <c r="F1809" s="10" t="s">
        <v>5259</v>
      </c>
      <c r="G1809" s="10" t="s">
        <v>5037</v>
      </c>
      <c r="H1809" s="10" t="s">
        <v>5260</v>
      </c>
      <c r="I1809" s="10" t="s">
        <v>312</v>
      </c>
    </row>
    <row r="1810" spans="1:9" x14ac:dyDescent="0.15">
      <c r="A1810" s="9">
        <v>1809</v>
      </c>
      <c r="B1810" s="10" t="s">
        <v>9</v>
      </c>
      <c r="C1810" s="10" t="s">
        <v>363</v>
      </c>
      <c r="D1810" s="10" t="s">
        <v>364</v>
      </c>
      <c r="E1810" s="11" t="str">
        <f>+HYPERLINK("http://trademark.i-assist.jp/data/china/image_1902th/79144747.pdf", "79144747")</f>
        <v>79144747</v>
      </c>
      <c r="F1810" s="10" t="s">
        <v>5261</v>
      </c>
      <c r="G1810" s="10" t="s">
        <v>5262</v>
      </c>
      <c r="H1810" s="10" t="s">
        <v>5263</v>
      </c>
      <c r="I1810" s="10" t="s">
        <v>312</v>
      </c>
    </row>
    <row r="1811" spans="1:9" x14ac:dyDescent="0.15">
      <c r="A1811" s="9">
        <v>1810</v>
      </c>
      <c r="B1811" s="10" t="s">
        <v>9</v>
      </c>
      <c r="C1811" s="10" t="s">
        <v>363</v>
      </c>
      <c r="D1811" s="10" t="s">
        <v>364</v>
      </c>
      <c r="E1811" s="11" t="str">
        <f>+HYPERLINK("http://trademark.i-assist.jp/data/china/image_1902th/79144853.pdf", "79144853")</f>
        <v>79144853</v>
      </c>
      <c r="F1811" s="10" t="s">
        <v>5264</v>
      </c>
      <c r="G1811" s="10" t="s">
        <v>5037</v>
      </c>
      <c r="H1811" s="10" t="s">
        <v>5265</v>
      </c>
      <c r="I1811" s="10" t="s">
        <v>312</v>
      </c>
    </row>
    <row r="1812" spans="1:9" x14ac:dyDescent="0.15">
      <c r="A1812" s="9">
        <v>1811</v>
      </c>
      <c r="B1812" s="10" t="s">
        <v>9</v>
      </c>
      <c r="C1812" s="10" t="s">
        <v>363</v>
      </c>
      <c r="D1812" s="10" t="s">
        <v>364</v>
      </c>
      <c r="E1812" s="11" t="str">
        <f>+HYPERLINK("http://trademark.i-assist.jp/data/china/image_1902th/79144895.pdf", "79144895")</f>
        <v>79144895</v>
      </c>
      <c r="F1812" s="10" t="s">
        <v>5266</v>
      </c>
      <c r="G1812" s="10" t="s">
        <v>4979</v>
      </c>
      <c r="H1812" s="10" t="s">
        <v>5267</v>
      </c>
      <c r="I1812" s="10" t="s">
        <v>312</v>
      </c>
    </row>
    <row r="1813" spans="1:9" x14ac:dyDescent="0.15">
      <c r="A1813" s="9">
        <v>1812</v>
      </c>
      <c r="B1813" s="10" t="s">
        <v>9</v>
      </c>
      <c r="C1813" s="10" t="s">
        <v>363</v>
      </c>
      <c r="D1813" s="10" t="s">
        <v>364</v>
      </c>
      <c r="E1813" s="11" t="str">
        <f>+HYPERLINK("http://trademark.i-assist.jp/data/china/image_1902th/79144977.pdf", "79144977")</f>
        <v>79144977</v>
      </c>
      <c r="F1813" s="10" t="s">
        <v>5268</v>
      </c>
      <c r="G1813" s="10" t="s">
        <v>313</v>
      </c>
      <c r="H1813" s="10" t="s">
        <v>5269</v>
      </c>
      <c r="I1813" s="10" t="s">
        <v>312</v>
      </c>
    </row>
    <row r="1814" spans="1:9" x14ac:dyDescent="0.15">
      <c r="A1814" s="9">
        <v>1813</v>
      </c>
      <c r="B1814" s="10" t="s">
        <v>9</v>
      </c>
      <c r="C1814" s="10" t="s">
        <v>363</v>
      </c>
      <c r="D1814" s="10" t="s">
        <v>364</v>
      </c>
      <c r="E1814" s="11" t="str">
        <f>+HYPERLINK("http://trademark.i-assist.jp/data/china/image_1902th/79145324.pdf", "79145324")</f>
        <v>79145324</v>
      </c>
      <c r="F1814" s="10" t="s">
        <v>5270</v>
      </c>
      <c r="G1814" s="10" t="s">
        <v>266</v>
      </c>
      <c r="H1814" s="10" t="s">
        <v>5271</v>
      </c>
      <c r="I1814" s="10" t="s">
        <v>312</v>
      </c>
    </row>
    <row r="1815" spans="1:9" x14ac:dyDescent="0.15">
      <c r="A1815" s="9">
        <v>1814</v>
      </c>
      <c r="B1815" s="10" t="s">
        <v>9</v>
      </c>
      <c r="C1815" s="10" t="s">
        <v>363</v>
      </c>
      <c r="D1815" s="10" t="s">
        <v>364</v>
      </c>
      <c r="E1815" s="11" t="str">
        <f>+HYPERLINK("http://trademark.i-assist.jp/data/china/image_1902th/79145420.pdf", "79145420")</f>
        <v>79145420</v>
      </c>
      <c r="F1815" s="10" t="s">
        <v>5272</v>
      </c>
      <c r="G1815" s="10" t="s">
        <v>5273</v>
      </c>
      <c r="H1815" s="10" t="s">
        <v>5274</v>
      </c>
      <c r="I1815" s="10" t="s">
        <v>312</v>
      </c>
    </row>
    <row r="1816" spans="1:9" x14ac:dyDescent="0.15">
      <c r="A1816" s="9">
        <v>1815</v>
      </c>
      <c r="B1816" s="10" t="s">
        <v>9</v>
      </c>
      <c r="C1816" s="10" t="s">
        <v>363</v>
      </c>
      <c r="D1816" s="10" t="s">
        <v>364</v>
      </c>
      <c r="E1816" s="11" t="str">
        <f>+HYPERLINK("http://trademark.i-assist.jp/data/china/image_1902th/79145424.pdf", "79145424")</f>
        <v>79145424</v>
      </c>
      <c r="F1816" s="10" t="s">
        <v>5275</v>
      </c>
      <c r="G1816" s="10" t="s">
        <v>5276</v>
      </c>
      <c r="H1816" s="10" t="s">
        <v>5277</v>
      </c>
      <c r="I1816" s="10" t="s">
        <v>312</v>
      </c>
    </row>
    <row r="1817" spans="1:9" x14ac:dyDescent="0.15">
      <c r="A1817" s="9">
        <v>1816</v>
      </c>
      <c r="B1817" s="10" t="s">
        <v>9</v>
      </c>
      <c r="C1817" s="10" t="s">
        <v>363</v>
      </c>
      <c r="D1817" s="10" t="s">
        <v>364</v>
      </c>
      <c r="E1817" s="11" t="str">
        <f>+HYPERLINK("http://trademark.i-assist.jp/data/china/image_1902th/79145578.pdf", "79145578")</f>
        <v>79145578</v>
      </c>
      <c r="F1817" s="10" t="s">
        <v>5278</v>
      </c>
      <c r="G1817" s="10" t="s">
        <v>5279</v>
      </c>
      <c r="H1817" s="10" t="s">
        <v>5280</v>
      </c>
      <c r="I1817" s="10" t="s">
        <v>312</v>
      </c>
    </row>
    <row r="1818" spans="1:9" x14ac:dyDescent="0.15">
      <c r="A1818" s="9">
        <v>1817</v>
      </c>
      <c r="B1818" s="10" t="s">
        <v>9</v>
      </c>
      <c r="C1818" s="10" t="s">
        <v>363</v>
      </c>
      <c r="D1818" s="10" t="s">
        <v>364</v>
      </c>
      <c r="E1818" s="11" t="str">
        <f>+HYPERLINK("http://trademark.i-assist.jp/data/china/image_1902th/79145625.pdf", "79145625")</f>
        <v>79145625</v>
      </c>
      <c r="F1818" s="10" t="s">
        <v>5281</v>
      </c>
      <c r="G1818" s="10" t="s">
        <v>4962</v>
      </c>
      <c r="H1818" s="10" t="s">
        <v>5282</v>
      </c>
      <c r="I1818" s="10" t="s">
        <v>312</v>
      </c>
    </row>
    <row r="1819" spans="1:9" x14ac:dyDescent="0.15">
      <c r="A1819" s="9">
        <v>1818</v>
      </c>
      <c r="B1819" s="10" t="s">
        <v>9</v>
      </c>
      <c r="C1819" s="10" t="s">
        <v>363</v>
      </c>
      <c r="D1819" s="10" t="s">
        <v>364</v>
      </c>
      <c r="E1819" s="11" t="str">
        <f>+HYPERLINK("http://trademark.i-assist.jp/data/china/image_1902th/79145763.pdf", "79145763")</f>
        <v>79145763</v>
      </c>
      <c r="F1819" s="10" t="s">
        <v>5283</v>
      </c>
      <c r="G1819" s="10" t="s">
        <v>5284</v>
      </c>
      <c r="H1819" s="10" t="s">
        <v>5285</v>
      </c>
      <c r="I1819" s="10" t="s">
        <v>312</v>
      </c>
    </row>
    <row r="1820" spans="1:9" x14ac:dyDescent="0.15">
      <c r="A1820" s="9">
        <v>1819</v>
      </c>
      <c r="B1820" s="10" t="s">
        <v>9</v>
      </c>
      <c r="C1820" s="10" t="s">
        <v>363</v>
      </c>
      <c r="D1820" s="10" t="s">
        <v>364</v>
      </c>
      <c r="E1820" s="11" t="str">
        <f>+HYPERLINK("http://trademark.i-assist.jp/data/china/image_1902th/79145790.pdf", "79145790")</f>
        <v>79145790</v>
      </c>
      <c r="F1820" s="10" t="s">
        <v>5286</v>
      </c>
      <c r="G1820" s="10" t="s">
        <v>286</v>
      </c>
      <c r="H1820" s="10" t="s">
        <v>5287</v>
      </c>
      <c r="I1820" s="10" t="s">
        <v>312</v>
      </c>
    </row>
    <row r="1821" spans="1:9" x14ac:dyDescent="0.15">
      <c r="A1821" s="9">
        <v>1820</v>
      </c>
      <c r="B1821" s="10" t="s">
        <v>9</v>
      </c>
      <c r="C1821" s="10" t="s">
        <v>363</v>
      </c>
      <c r="D1821" s="10" t="s">
        <v>364</v>
      </c>
      <c r="E1821" s="11" t="str">
        <f>+HYPERLINK("http://trademark.i-assist.jp/data/china/image_1902th/79145871.pdf", "79145871")</f>
        <v>79145871</v>
      </c>
      <c r="F1821" s="10" t="s">
        <v>5288</v>
      </c>
      <c r="G1821" s="10" t="s">
        <v>5289</v>
      </c>
      <c r="H1821" s="10" t="s">
        <v>5290</v>
      </c>
      <c r="I1821" s="10" t="s">
        <v>312</v>
      </c>
    </row>
    <row r="1822" spans="1:9" x14ac:dyDescent="0.15">
      <c r="A1822" s="9">
        <v>1821</v>
      </c>
      <c r="B1822" s="10" t="s">
        <v>9</v>
      </c>
      <c r="C1822" s="10" t="s">
        <v>363</v>
      </c>
      <c r="D1822" s="10" t="s">
        <v>364</v>
      </c>
      <c r="E1822" s="11" t="str">
        <f>+HYPERLINK("http://trademark.i-assist.jp/data/china/image_1902th/79146058.pdf", "79146058")</f>
        <v>79146058</v>
      </c>
      <c r="F1822" s="10" t="s">
        <v>5291</v>
      </c>
      <c r="G1822" s="10" t="s">
        <v>5292</v>
      </c>
      <c r="H1822" s="10" t="s">
        <v>5293</v>
      </c>
      <c r="I1822" s="10" t="s">
        <v>312</v>
      </c>
    </row>
    <row r="1823" spans="1:9" x14ac:dyDescent="0.15">
      <c r="A1823" s="9">
        <v>1822</v>
      </c>
      <c r="B1823" s="10" t="s">
        <v>9</v>
      </c>
      <c r="C1823" s="10" t="s">
        <v>363</v>
      </c>
      <c r="D1823" s="10" t="s">
        <v>364</v>
      </c>
      <c r="E1823" s="11" t="str">
        <f>+HYPERLINK("http://trademark.i-assist.jp/data/china/image_1902th/79146165.pdf", "79146165")</f>
        <v>79146165</v>
      </c>
      <c r="F1823" s="10" t="s">
        <v>5294</v>
      </c>
      <c r="G1823" s="10" t="s">
        <v>5295</v>
      </c>
      <c r="H1823" s="10" t="s">
        <v>5296</v>
      </c>
      <c r="I1823" s="10" t="s">
        <v>312</v>
      </c>
    </row>
    <row r="1824" spans="1:9" x14ac:dyDescent="0.15">
      <c r="A1824" s="9">
        <v>1823</v>
      </c>
      <c r="B1824" s="10" t="s">
        <v>9</v>
      </c>
      <c r="C1824" s="10" t="s">
        <v>363</v>
      </c>
      <c r="D1824" s="10" t="s">
        <v>364</v>
      </c>
      <c r="E1824" s="11" t="str">
        <f>+HYPERLINK("http://trademark.i-assist.jp/data/china/image_1902th/79146170.pdf", "79146170")</f>
        <v>79146170</v>
      </c>
      <c r="F1824" s="10" t="s">
        <v>5297</v>
      </c>
      <c r="G1824" s="10" t="s">
        <v>5295</v>
      </c>
      <c r="H1824" s="10" t="s">
        <v>5298</v>
      </c>
      <c r="I1824" s="10" t="s">
        <v>312</v>
      </c>
    </row>
    <row r="1825" spans="1:9" x14ac:dyDescent="0.15">
      <c r="A1825" s="9">
        <v>1824</v>
      </c>
      <c r="B1825" s="10" t="s">
        <v>9</v>
      </c>
      <c r="C1825" s="10" t="s">
        <v>363</v>
      </c>
      <c r="D1825" s="10" t="s">
        <v>364</v>
      </c>
      <c r="E1825" s="11" t="str">
        <f>+HYPERLINK("http://trademark.i-assist.jp/data/china/image_1902th/79146206.pdf", "79146206")</f>
        <v>79146206</v>
      </c>
      <c r="F1825" s="10" t="s">
        <v>5299</v>
      </c>
      <c r="G1825" s="10" t="s">
        <v>328</v>
      </c>
      <c r="H1825" s="10" t="s">
        <v>5300</v>
      </c>
      <c r="I1825" s="10" t="s">
        <v>312</v>
      </c>
    </row>
    <row r="1826" spans="1:9" x14ac:dyDescent="0.15">
      <c r="A1826" s="9">
        <v>1825</v>
      </c>
      <c r="B1826" s="10" t="s">
        <v>9</v>
      </c>
      <c r="C1826" s="10" t="s">
        <v>363</v>
      </c>
      <c r="D1826" s="10" t="s">
        <v>364</v>
      </c>
      <c r="E1826" s="11" t="str">
        <f>+HYPERLINK("http://trademark.i-assist.jp/data/china/image_1902th/79146266.pdf", "79146266")</f>
        <v>79146266</v>
      </c>
      <c r="F1826" s="10" t="s">
        <v>5301</v>
      </c>
      <c r="G1826" s="10" t="s">
        <v>286</v>
      </c>
      <c r="H1826" s="10" t="s">
        <v>5302</v>
      </c>
      <c r="I1826" s="10" t="s">
        <v>312</v>
      </c>
    </row>
    <row r="1827" spans="1:9" x14ac:dyDescent="0.15">
      <c r="A1827" s="9">
        <v>1826</v>
      </c>
      <c r="B1827" s="10" t="s">
        <v>9</v>
      </c>
      <c r="C1827" s="10" t="s">
        <v>363</v>
      </c>
      <c r="D1827" s="10" t="s">
        <v>364</v>
      </c>
      <c r="E1827" s="11" t="str">
        <f>+HYPERLINK("http://trademark.i-assist.jp/data/china/image_1902th/79146491.pdf", "79146491")</f>
        <v>79146491</v>
      </c>
      <c r="F1827" s="10" t="s">
        <v>5303</v>
      </c>
      <c r="G1827" s="10" t="s">
        <v>5304</v>
      </c>
      <c r="H1827" s="10" t="s">
        <v>5305</v>
      </c>
      <c r="I1827" s="10" t="s">
        <v>312</v>
      </c>
    </row>
    <row r="1828" spans="1:9" x14ac:dyDescent="0.15">
      <c r="A1828" s="9">
        <v>1827</v>
      </c>
      <c r="B1828" s="10" t="s">
        <v>9</v>
      </c>
      <c r="C1828" s="10" t="s">
        <v>363</v>
      </c>
      <c r="D1828" s="10" t="s">
        <v>364</v>
      </c>
      <c r="E1828" s="11" t="str">
        <f>+HYPERLINK("http://trademark.i-assist.jp/data/china/image_1902th/79146649.pdf", "79146649")</f>
        <v>79146649</v>
      </c>
      <c r="F1828" s="10" t="s">
        <v>5306</v>
      </c>
      <c r="G1828" s="10" t="s">
        <v>4503</v>
      </c>
      <c r="H1828" s="10" t="s">
        <v>5307</v>
      </c>
      <c r="I1828" s="10" t="s">
        <v>312</v>
      </c>
    </row>
    <row r="1829" spans="1:9" x14ac:dyDescent="0.15">
      <c r="A1829" s="9">
        <v>1828</v>
      </c>
      <c r="B1829" s="10" t="s">
        <v>9</v>
      </c>
      <c r="C1829" s="10" t="s">
        <v>363</v>
      </c>
      <c r="D1829" s="10" t="s">
        <v>364</v>
      </c>
      <c r="E1829" s="11" t="str">
        <f>+HYPERLINK("http://trademark.i-assist.jp/data/china/image_1902th/79146801.pdf", "79146801")</f>
        <v>79146801</v>
      </c>
      <c r="F1829" s="10" t="s">
        <v>5308</v>
      </c>
      <c r="G1829" s="10" t="s">
        <v>332</v>
      </c>
      <c r="H1829" s="10" t="s">
        <v>5309</v>
      </c>
      <c r="I1829" s="10" t="s">
        <v>312</v>
      </c>
    </row>
    <row r="1830" spans="1:9" x14ac:dyDescent="0.15">
      <c r="A1830" s="9">
        <v>1829</v>
      </c>
      <c r="B1830" s="10" t="s">
        <v>9</v>
      </c>
      <c r="C1830" s="10" t="s">
        <v>363</v>
      </c>
      <c r="D1830" s="10" t="s">
        <v>364</v>
      </c>
      <c r="E1830" s="11" t="str">
        <f>+HYPERLINK("http://trademark.i-assist.jp/data/china/image_1902th/79147083.pdf", "79147083")</f>
        <v>79147083</v>
      </c>
      <c r="F1830" s="10" t="s">
        <v>5310</v>
      </c>
      <c r="G1830" s="10" t="s">
        <v>326</v>
      </c>
      <c r="H1830" s="10" t="s">
        <v>5311</v>
      </c>
      <c r="I1830" s="10" t="s">
        <v>312</v>
      </c>
    </row>
    <row r="1831" spans="1:9" x14ac:dyDescent="0.15">
      <c r="A1831" s="9">
        <v>1830</v>
      </c>
      <c r="B1831" s="10" t="s">
        <v>9</v>
      </c>
      <c r="C1831" s="10" t="s">
        <v>363</v>
      </c>
      <c r="D1831" s="10" t="s">
        <v>364</v>
      </c>
      <c r="E1831" s="11" t="str">
        <f>+HYPERLINK("http://trademark.i-assist.jp/data/china/image_1902th/79147103.pdf", "79147103")</f>
        <v>79147103</v>
      </c>
      <c r="F1831" s="10" t="s">
        <v>5312</v>
      </c>
      <c r="G1831" s="10" t="s">
        <v>5313</v>
      </c>
      <c r="H1831" s="10" t="s">
        <v>5314</v>
      </c>
      <c r="I1831" s="10" t="s">
        <v>312</v>
      </c>
    </row>
    <row r="1832" spans="1:9" x14ac:dyDescent="0.15">
      <c r="A1832" s="9">
        <v>1831</v>
      </c>
      <c r="B1832" s="10" t="s">
        <v>9</v>
      </c>
      <c r="C1832" s="10" t="s">
        <v>363</v>
      </c>
      <c r="D1832" s="10" t="s">
        <v>364</v>
      </c>
      <c r="E1832" s="11" t="str">
        <f>+HYPERLINK("http://trademark.i-assist.jp/data/china/image_1902th/79147129.pdf", "79147129")</f>
        <v>79147129</v>
      </c>
      <c r="F1832" s="10" t="s">
        <v>5315</v>
      </c>
      <c r="G1832" s="10" t="s">
        <v>5083</v>
      </c>
      <c r="H1832" s="10" t="s">
        <v>5316</v>
      </c>
      <c r="I1832" s="10" t="s">
        <v>312</v>
      </c>
    </row>
    <row r="1833" spans="1:9" x14ac:dyDescent="0.15">
      <c r="A1833" s="9">
        <v>1832</v>
      </c>
      <c r="B1833" s="10" t="s">
        <v>9</v>
      </c>
      <c r="C1833" s="10" t="s">
        <v>363</v>
      </c>
      <c r="D1833" s="10" t="s">
        <v>364</v>
      </c>
      <c r="E1833" s="11" t="str">
        <f>+HYPERLINK("http://trademark.i-assist.jp/data/china/image_1902th/79147636.pdf", "79147636")</f>
        <v>79147636</v>
      </c>
      <c r="F1833" s="10" t="s">
        <v>5317</v>
      </c>
      <c r="G1833" s="10" t="s">
        <v>5262</v>
      </c>
      <c r="H1833" s="10" t="s">
        <v>5318</v>
      </c>
      <c r="I1833" s="10" t="s">
        <v>312</v>
      </c>
    </row>
    <row r="1834" spans="1:9" x14ac:dyDescent="0.15">
      <c r="A1834" s="9">
        <v>1833</v>
      </c>
      <c r="B1834" s="10" t="s">
        <v>9</v>
      </c>
      <c r="C1834" s="10" t="s">
        <v>363</v>
      </c>
      <c r="D1834" s="10" t="s">
        <v>364</v>
      </c>
      <c r="E1834" s="11" t="str">
        <f>+HYPERLINK("http://trademark.i-assist.jp/data/china/image_1902th/79147656.pdf", "79147656")</f>
        <v>79147656</v>
      </c>
      <c r="F1834" s="10" t="s">
        <v>5319</v>
      </c>
      <c r="G1834" s="10" t="s">
        <v>5262</v>
      </c>
      <c r="H1834" s="10" t="s">
        <v>5320</v>
      </c>
      <c r="I1834" s="10" t="s">
        <v>312</v>
      </c>
    </row>
    <row r="1835" spans="1:9" x14ac:dyDescent="0.15">
      <c r="A1835" s="9">
        <v>1834</v>
      </c>
      <c r="B1835" s="10" t="s">
        <v>9</v>
      </c>
      <c r="C1835" s="10" t="s">
        <v>363</v>
      </c>
      <c r="D1835" s="10" t="s">
        <v>364</v>
      </c>
      <c r="E1835" s="11" t="str">
        <f>+HYPERLINK("http://trademark.i-assist.jp/data/china/image_1902th/79147689.pdf", "79147689")</f>
        <v>79147689</v>
      </c>
      <c r="F1835" s="10" t="s">
        <v>5321</v>
      </c>
      <c r="G1835" s="10" t="s">
        <v>5322</v>
      </c>
      <c r="H1835" s="10" t="s">
        <v>5323</v>
      </c>
      <c r="I1835" s="10" t="s">
        <v>312</v>
      </c>
    </row>
    <row r="1836" spans="1:9" x14ac:dyDescent="0.15">
      <c r="A1836" s="9">
        <v>1835</v>
      </c>
      <c r="B1836" s="10" t="s">
        <v>9</v>
      </c>
      <c r="C1836" s="10" t="s">
        <v>363</v>
      </c>
      <c r="D1836" s="10" t="s">
        <v>364</v>
      </c>
      <c r="E1836" s="11" t="str">
        <f>+HYPERLINK("http://trademark.i-assist.jp/data/china/image_1902th/79148438.pdf", "79148438")</f>
        <v>79148438</v>
      </c>
      <c r="F1836" s="10" t="s">
        <v>5324</v>
      </c>
      <c r="G1836" s="10" t="s">
        <v>219</v>
      </c>
      <c r="H1836" s="10" t="s">
        <v>5325</v>
      </c>
      <c r="I1836" s="10" t="s">
        <v>312</v>
      </c>
    </row>
    <row r="1837" spans="1:9" x14ac:dyDescent="0.15">
      <c r="A1837" s="9">
        <v>1836</v>
      </c>
      <c r="B1837" s="10" t="s">
        <v>9</v>
      </c>
      <c r="C1837" s="10" t="s">
        <v>363</v>
      </c>
      <c r="D1837" s="10" t="s">
        <v>364</v>
      </c>
      <c r="E1837" s="11" t="str">
        <f>+HYPERLINK("http://trademark.i-assist.jp/data/china/image_1902th/79148708.pdf", "79148708")</f>
        <v>79148708</v>
      </c>
      <c r="F1837" s="10" t="s">
        <v>5326</v>
      </c>
      <c r="G1837" s="10" t="s">
        <v>5327</v>
      </c>
      <c r="H1837" s="10" t="s">
        <v>5328</v>
      </c>
      <c r="I1837" s="10" t="s">
        <v>312</v>
      </c>
    </row>
    <row r="1838" spans="1:9" x14ac:dyDescent="0.15">
      <c r="A1838" s="9">
        <v>1837</v>
      </c>
      <c r="B1838" s="10" t="s">
        <v>9</v>
      </c>
      <c r="C1838" s="10" t="s">
        <v>363</v>
      </c>
      <c r="D1838" s="10" t="s">
        <v>364</v>
      </c>
      <c r="E1838" s="11" t="str">
        <f>+HYPERLINK("http://trademark.i-assist.jp/data/china/image_1902th/79148862.pdf", "79148862")</f>
        <v>79148862</v>
      </c>
      <c r="F1838" s="10" t="s">
        <v>5329</v>
      </c>
      <c r="G1838" s="10" t="s">
        <v>5330</v>
      </c>
      <c r="H1838" s="10" t="s">
        <v>5331</v>
      </c>
      <c r="I1838" s="10" t="s">
        <v>312</v>
      </c>
    </row>
    <row r="1839" spans="1:9" x14ac:dyDescent="0.15">
      <c r="A1839" s="9">
        <v>1838</v>
      </c>
      <c r="B1839" s="10" t="s">
        <v>9</v>
      </c>
      <c r="C1839" s="10" t="s">
        <v>363</v>
      </c>
      <c r="D1839" s="10" t="s">
        <v>364</v>
      </c>
      <c r="E1839" s="11" t="str">
        <f>+HYPERLINK("http://trademark.i-assist.jp/data/china/image_1902th/79149110.pdf", "79149110")</f>
        <v>79149110</v>
      </c>
      <c r="F1839" s="10" t="s">
        <v>5332</v>
      </c>
      <c r="G1839" s="10" t="s">
        <v>5333</v>
      </c>
      <c r="H1839" s="10" t="s">
        <v>5334</v>
      </c>
      <c r="I1839" s="10" t="s">
        <v>312</v>
      </c>
    </row>
    <row r="1840" spans="1:9" x14ac:dyDescent="0.15">
      <c r="A1840" s="9">
        <v>1839</v>
      </c>
      <c r="B1840" s="10" t="s">
        <v>9</v>
      </c>
      <c r="C1840" s="10" t="s">
        <v>363</v>
      </c>
      <c r="D1840" s="10" t="s">
        <v>364</v>
      </c>
      <c r="E1840" s="11" t="str">
        <f>+HYPERLINK("http://trademark.i-assist.jp/data/china/image_1902th/79149308.pdf", "79149308")</f>
        <v>79149308</v>
      </c>
      <c r="F1840" s="10" t="s">
        <v>5335</v>
      </c>
      <c r="G1840" s="10" t="s">
        <v>319</v>
      </c>
      <c r="H1840" s="10" t="s">
        <v>5336</v>
      </c>
      <c r="I1840" s="10" t="s">
        <v>312</v>
      </c>
    </row>
    <row r="1841" spans="1:9" x14ac:dyDescent="0.15">
      <c r="A1841" s="9">
        <v>1840</v>
      </c>
      <c r="B1841" s="10" t="s">
        <v>9</v>
      </c>
      <c r="C1841" s="10" t="s">
        <v>363</v>
      </c>
      <c r="D1841" s="10" t="s">
        <v>364</v>
      </c>
      <c r="E1841" s="11" t="str">
        <f>+HYPERLINK("http://trademark.i-assist.jp/data/china/image_1902th/79149479.pdf", "79149479")</f>
        <v>79149479</v>
      </c>
      <c r="F1841" s="10" t="s">
        <v>5337</v>
      </c>
      <c r="G1841" s="10" t="s">
        <v>5338</v>
      </c>
      <c r="H1841" s="10" t="s">
        <v>5339</v>
      </c>
      <c r="I1841" s="10" t="s">
        <v>312</v>
      </c>
    </row>
    <row r="1842" spans="1:9" x14ac:dyDescent="0.15">
      <c r="A1842" s="9">
        <v>1841</v>
      </c>
      <c r="B1842" s="10" t="s">
        <v>9</v>
      </c>
      <c r="C1842" s="10" t="s">
        <v>363</v>
      </c>
      <c r="D1842" s="10" t="s">
        <v>364</v>
      </c>
      <c r="E1842" s="11" t="str">
        <f>+HYPERLINK("http://trademark.i-assist.jp/data/china/image_1902th/79149499.pdf", "79149499")</f>
        <v>79149499</v>
      </c>
      <c r="F1842" s="10" t="s">
        <v>5340</v>
      </c>
      <c r="G1842" s="10" t="s">
        <v>5341</v>
      </c>
      <c r="H1842" s="10" t="s">
        <v>5342</v>
      </c>
      <c r="I1842" s="10" t="s">
        <v>312</v>
      </c>
    </row>
    <row r="1843" spans="1:9" x14ac:dyDescent="0.15">
      <c r="A1843" s="9">
        <v>1842</v>
      </c>
      <c r="B1843" s="10" t="s">
        <v>9</v>
      </c>
      <c r="C1843" s="10" t="s">
        <v>363</v>
      </c>
      <c r="D1843" s="10" t="s">
        <v>364</v>
      </c>
      <c r="E1843" s="11" t="str">
        <f>+HYPERLINK("http://trademark.i-assist.jp/data/china/image_1902th/79149641.pdf", "79149641")</f>
        <v>79149641</v>
      </c>
      <c r="F1843" s="10" t="s">
        <v>5343</v>
      </c>
      <c r="G1843" s="10" t="s">
        <v>5037</v>
      </c>
      <c r="H1843" s="10" t="s">
        <v>5344</v>
      </c>
      <c r="I1843" s="10" t="s">
        <v>312</v>
      </c>
    </row>
    <row r="1844" spans="1:9" x14ac:dyDescent="0.15">
      <c r="A1844" s="9">
        <v>1843</v>
      </c>
      <c r="B1844" s="10" t="s">
        <v>9</v>
      </c>
      <c r="C1844" s="10" t="s">
        <v>363</v>
      </c>
      <c r="D1844" s="10" t="s">
        <v>364</v>
      </c>
      <c r="E1844" s="11" t="str">
        <f>+HYPERLINK("http://trademark.i-assist.jp/data/china/image_1902th/79149768.pdf", "79149768")</f>
        <v>79149768</v>
      </c>
      <c r="F1844" s="10" t="s">
        <v>5345</v>
      </c>
      <c r="G1844" s="10" t="s">
        <v>5346</v>
      </c>
      <c r="H1844" s="10" t="s">
        <v>5347</v>
      </c>
      <c r="I1844" s="10" t="s">
        <v>312</v>
      </c>
    </row>
    <row r="1845" spans="1:9" x14ac:dyDescent="0.15">
      <c r="A1845" s="9">
        <v>1844</v>
      </c>
      <c r="B1845" s="10" t="s">
        <v>9</v>
      </c>
      <c r="C1845" s="10" t="s">
        <v>363</v>
      </c>
      <c r="D1845" s="10" t="s">
        <v>364</v>
      </c>
      <c r="E1845" s="11" t="str">
        <f>+HYPERLINK("http://trademark.i-assist.jp/data/china/image_1902th/79149891.pdf", "79149891")</f>
        <v>79149891</v>
      </c>
      <c r="F1845" s="10" t="s">
        <v>5348</v>
      </c>
      <c r="G1845" s="10" t="s">
        <v>5349</v>
      </c>
      <c r="H1845" s="10" t="s">
        <v>5350</v>
      </c>
      <c r="I1845" s="10" t="s">
        <v>312</v>
      </c>
    </row>
    <row r="1846" spans="1:9" x14ac:dyDescent="0.15">
      <c r="A1846" s="9">
        <v>1845</v>
      </c>
      <c r="B1846" s="10" t="s">
        <v>9</v>
      </c>
      <c r="C1846" s="10" t="s">
        <v>363</v>
      </c>
      <c r="D1846" s="10" t="s">
        <v>364</v>
      </c>
      <c r="E1846" s="11" t="str">
        <f>+HYPERLINK("http://trademark.i-assist.jp/data/china/image_1902th/79149901.pdf", "79149901")</f>
        <v>79149901</v>
      </c>
      <c r="F1846" s="10" t="s">
        <v>12</v>
      </c>
      <c r="G1846" s="10" t="s">
        <v>5351</v>
      </c>
      <c r="H1846" s="10" t="s">
        <v>5352</v>
      </c>
      <c r="I1846" s="10" t="s">
        <v>312</v>
      </c>
    </row>
    <row r="1847" spans="1:9" x14ac:dyDescent="0.15">
      <c r="A1847" s="9">
        <v>1846</v>
      </c>
      <c r="B1847" s="10" t="s">
        <v>9</v>
      </c>
      <c r="C1847" s="10" t="s">
        <v>363</v>
      </c>
      <c r="D1847" s="10" t="s">
        <v>364</v>
      </c>
      <c r="E1847" s="11" t="str">
        <f>+HYPERLINK("http://trademark.i-assist.jp/data/china/image_1902th/79150030.pdf", "79150030")</f>
        <v>79150030</v>
      </c>
      <c r="F1847" s="10" t="s">
        <v>5353</v>
      </c>
      <c r="G1847" s="10" t="s">
        <v>286</v>
      </c>
      <c r="H1847" s="10" t="s">
        <v>5354</v>
      </c>
      <c r="I1847" s="10" t="s">
        <v>312</v>
      </c>
    </row>
    <row r="1848" spans="1:9" x14ac:dyDescent="0.15">
      <c r="A1848" s="9">
        <v>1847</v>
      </c>
      <c r="B1848" s="10" t="s">
        <v>9</v>
      </c>
      <c r="C1848" s="10" t="s">
        <v>363</v>
      </c>
      <c r="D1848" s="10" t="s">
        <v>364</v>
      </c>
      <c r="E1848" s="11" t="str">
        <f>+HYPERLINK("http://trademark.i-assist.jp/data/china/image_1902th/79150057.pdf", "79150057")</f>
        <v>79150057</v>
      </c>
      <c r="F1848" s="10" t="s">
        <v>5355</v>
      </c>
      <c r="G1848" s="10" t="s">
        <v>4962</v>
      </c>
      <c r="H1848" s="10" t="s">
        <v>5356</v>
      </c>
      <c r="I1848" s="10" t="s">
        <v>312</v>
      </c>
    </row>
    <row r="1849" spans="1:9" x14ac:dyDescent="0.15">
      <c r="A1849" s="9">
        <v>1848</v>
      </c>
      <c r="B1849" s="10" t="s">
        <v>9</v>
      </c>
      <c r="C1849" s="10" t="s">
        <v>363</v>
      </c>
      <c r="D1849" s="10" t="s">
        <v>364</v>
      </c>
      <c r="E1849" s="11" t="str">
        <f>+HYPERLINK("http://trademark.i-assist.jp/data/china/image_1902th/79150497.pdf", "79150497")</f>
        <v>79150497</v>
      </c>
      <c r="F1849" s="10" t="s">
        <v>5357</v>
      </c>
      <c r="G1849" s="10" t="s">
        <v>5358</v>
      </c>
      <c r="H1849" s="10" t="s">
        <v>5359</v>
      </c>
      <c r="I1849" s="10" t="s">
        <v>312</v>
      </c>
    </row>
    <row r="1850" spans="1:9" x14ac:dyDescent="0.15">
      <c r="A1850" s="9">
        <v>1849</v>
      </c>
      <c r="B1850" s="10" t="s">
        <v>9</v>
      </c>
      <c r="C1850" s="10" t="s">
        <v>363</v>
      </c>
      <c r="D1850" s="10" t="s">
        <v>364</v>
      </c>
      <c r="E1850" s="11" t="str">
        <f>+HYPERLINK("http://trademark.i-assist.jp/data/china/image_1902th/79150501.pdf", "79150501")</f>
        <v>79150501</v>
      </c>
      <c r="F1850" s="10" t="s">
        <v>5360</v>
      </c>
      <c r="G1850" s="10" t="s">
        <v>5361</v>
      </c>
      <c r="H1850" s="10" t="s">
        <v>5362</v>
      </c>
      <c r="I1850" s="10" t="s">
        <v>312</v>
      </c>
    </row>
    <row r="1851" spans="1:9" x14ac:dyDescent="0.15">
      <c r="A1851" s="9">
        <v>1850</v>
      </c>
      <c r="B1851" s="10" t="s">
        <v>9</v>
      </c>
      <c r="C1851" s="10" t="s">
        <v>363</v>
      </c>
      <c r="D1851" s="10" t="s">
        <v>364</v>
      </c>
      <c r="E1851" s="11" t="str">
        <f>+HYPERLINK("http://trademark.i-assist.jp/data/china/image_1902th/79150510.pdf", "79150510")</f>
        <v>79150510</v>
      </c>
      <c r="F1851" s="10" t="s">
        <v>5363</v>
      </c>
      <c r="G1851" s="10" t="s">
        <v>5322</v>
      </c>
      <c r="H1851" s="10" t="s">
        <v>5364</v>
      </c>
      <c r="I1851" s="10" t="s">
        <v>312</v>
      </c>
    </row>
    <row r="1852" spans="1:9" x14ac:dyDescent="0.15">
      <c r="A1852" s="9">
        <v>1851</v>
      </c>
      <c r="B1852" s="10" t="s">
        <v>9</v>
      </c>
      <c r="C1852" s="10" t="s">
        <v>363</v>
      </c>
      <c r="D1852" s="10" t="s">
        <v>364</v>
      </c>
      <c r="E1852" s="11" t="str">
        <f>+HYPERLINK("http://trademark.i-assist.jp/data/china/image_1902th/79150863.pdf", "79150863")</f>
        <v>79150863</v>
      </c>
      <c r="F1852" s="10" t="s">
        <v>5365</v>
      </c>
      <c r="G1852" s="10" t="s">
        <v>5366</v>
      </c>
      <c r="H1852" s="10" t="s">
        <v>5367</v>
      </c>
      <c r="I1852" s="10" t="s">
        <v>312</v>
      </c>
    </row>
    <row r="1853" spans="1:9" x14ac:dyDescent="0.15">
      <c r="A1853" s="9">
        <v>1852</v>
      </c>
      <c r="B1853" s="10" t="s">
        <v>9</v>
      </c>
      <c r="C1853" s="10" t="s">
        <v>363</v>
      </c>
      <c r="D1853" s="10" t="s">
        <v>364</v>
      </c>
      <c r="E1853" s="11" t="str">
        <f>+HYPERLINK("http://trademark.i-assist.jp/data/china/image_1902th/79151195.pdf", "79151195")</f>
        <v>79151195</v>
      </c>
      <c r="F1853" s="10" t="s">
        <v>5368</v>
      </c>
      <c r="G1853" s="10" t="s">
        <v>5145</v>
      </c>
      <c r="H1853" s="10" t="s">
        <v>5369</v>
      </c>
      <c r="I1853" s="10" t="s">
        <v>312</v>
      </c>
    </row>
    <row r="1854" spans="1:9" x14ac:dyDescent="0.15">
      <c r="A1854" s="9">
        <v>1853</v>
      </c>
      <c r="B1854" s="10" t="s">
        <v>9</v>
      </c>
      <c r="C1854" s="10" t="s">
        <v>363</v>
      </c>
      <c r="D1854" s="10" t="s">
        <v>364</v>
      </c>
      <c r="E1854" s="11" t="str">
        <f>+HYPERLINK("http://trademark.i-assist.jp/data/china/image_1902th/79151210.pdf", "79151210")</f>
        <v>79151210</v>
      </c>
      <c r="F1854" s="10" t="s">
        <v>5370</v>
      </c>
      <c r="G1854" s="10" t="s">
        <v>5371</v>
      </c>
      <c r="H1854" s="10" t="s">
        <v>5372</v>
      </c>
      <c r="I1854" s="10" t="s">
        <v>312</v>
      </c>
    </row>
    <row r="1855" spans="1:9" x14ac:dyDescent="0.15">
      <c r="A1855" s="9">
        <v>1854</v>
      </c>
      <c r="B1855" s="10" t="s">
        <v>9</v>
      </c>
      <c r="C1855" s="10" t="s">
        <v>363</v>
      </c>
      <c r="D1855" s="10" t="s">
        <v>364</v>
      </c>
      <c r="E1855" s="11" t="str">
        <f>+HYPERLINK("http://trademark.i-assist.jp/data/china/image_1902th/79151356.pdf", "79151356")</f>
        <v>79151356</v>
      </c>
      <c r="F1855" s="10" t="s">
        <v>5373</v>
      </c>
      <c r="G1855" s="10" t="s">
        <v>5374</v>
      </c>
      <c r="H1855" s="10" t="s">
        <v>5375</v>
      </c>
      <c r="I1855" s="10" t="s">
        <v>312</v>
      </c>
    </row>
    <row r="1856" spans="1:9" x14ac:dyDescent="0.15">
      <c r="A1856" s="9">
        <v>1855</v>
      </c>
      <c r="B1856" s="10" t="s">
        <v>9</v>
      </c>
      <c r="C1856" s="10" t="s">
        <v>363</v>
      </c>
      <c r="D1856" s="10" t="s">
        <v>364</v>
      </c>
      <c r="E1856" s="11" t="str">
        <f>+HYPERLINK("http://trademark.i-assist.jp/data/china/image_1902th/79151762.pdf", "79151762")</f>
        <v>79151762</v>
      </c>
      <c r="F1856" s="10" t="s">
        <v>5376</v>
      </c>
      <c r="G1856" s="10" t="s">
        <v>5377</v>
      </c>
      <c r="H1856" s="10" t="s">
        <v>5378</v>
      </c>
      <c r="I1856" s="10" t="s">
        <v>312</v>
      </c>
    </row>
    <row r="1857" spans="1:9" x14ac:dyDescent="0.15">
      <c r="A1857" s="9">
        <v>1856</v>
      </c>
      <c r="B1857" s="10" t="s">
        <v>9</v>
      </c>
      <c r="C1857" s="10" t="s">
        <v>363</v>
      </c>
      <c r="D1857" s="10" t="s">
        <v>364</v>
      </c>
      <c r="E1857" s="11" t="str">
        <f>+HYPERLINK("http://trademark.i-assist.jp/data/china/image_1902th/79151980.pdf", "79151980")</f>
        <v>79151980</v>
      </c>
      <c r="F1857" s="10" t="s">
        <v>5379</v>
      </c>
      <c r="G1857" s="10" t="s">
        <v>5037</v>
      </c>
      <c r="H1857" s="10" t="s">
        <v>5380</v>
      </c>
      <c r="I1857" s="10" t="s">
        <v>312</v>
      </c>
    </row>
    <row r="1858" spans="1:9" x14ac:dyDescent="0.15">
      <c r="A1858" s="9">
        <v>1857</v>
      </c>
      <c r="B1858" s="10" t="s">
        <v>9</v>
      </c>
      <c r="C1858" s="10" t="s">
        <v>363</v>
      </c>
      <c r="D1858" s="10" t="s">
        <v>364</v>
      </c>
      <c r="E1858" s="11" t="str">
        <f>+HYPERLINK("http://trademark.i-assist.jp/data/china/image_1902th/79152294.pdf", "79152294")</f>
        <v>79152294</v>
      </c>
      <c r="F1858" s="10" t="s">
        <v>12</v>
      </c>
      <c r="G1858" s="10" t="s">
        <v>5381</v>
      </c>
      <c r="H1858" s="10" t="s">
        <v>5382</v>
      </c>
      <c r="I1858" s="10" t="s">
        <v>312</v>
      </c>
    </row>
    <row r="1859" spans="1:9" x14ac:dyDescent="0.15">
      <c r="A1859" s="9">
        <v>1858</v>
      </c>
      <c r="B1859" s="10" t="s">
        <v>9</v>
      </c>
      <c r="C1859" s="10" t="s">
        <v>363</v>
      </c>
      <c r="D1859" s="10" t="s">
        <v>364</v>
      </c>
      <c r="E1859" s="11" t="str">
        <f>+HYPERLINK("http://trademark.i-assist.jp/data/china/image_1902th/79152319.pdf", "79152319")</f>
        <v>79152319</v>
      </c>
      <c r="F1859" s="10" t="s">
        <v>5383</v>
      </c>
      <c r="G1859" s="10" t="s">
        <v>286</v>
      </c>
      <c r="H1859" s="10" t="s">
        <v>5384</v>
      </c>
      <c r="I1859" s="10" t="s">
        <v>312</v>
      </c>
    </row>
    <row r="1860" spans="1:9" x14ac:dyDescent="0.15">
      <c r="A1860" s="9">
        <v>1859</v>
      </c>
      <c r="B1860" s="10" t="s">
        <v>9</v>
      </c>
      <c r="C1860" s="10" t="s">
        <v>363</v>
      </c>
      <c r="D1860" s="10" t="s">
        <v>364</v>
      </c>
      <c r="E1860" s="11" t="str">
        <f>+HYPERLINK("http://trademark.i-assist.jp/data/china/image_1902th/79152363.pdf", "79152363")</f>
        <v>79152363</v>
      </c>
      <c r="F1860" s="10" t="s">
        <v>5385</v>
      </c>
      <c r="G1860" s="10" t="s">
        <v>336</v>
      </c>
      <c r="H1860" s="10" t="s">
        <v>5386</v>
      </c>
      <c r="I1860" s="10" t="s">
        <v>312</v>
      </c>
    </row>
    <row r="1861" spans="1:9" x14ac:dyDescent="0.15">
      <c r="A1861" s="9">
        <v>1860</v>
      </c>
      <c r="B1861" s="10" t="s">
        <v>9</v>
      </c>
      <c r="C1861" s="10" t="s">
        <v>363</v>
      </c>
      <c r="D1861" s="10" t="s">
        <v>364</v>
      </c>
      <c r="E1861" s="11" t="str">
        <f>+HYPERLINK("http://trademark.i-assist.jp/data/china/image_1902th/79152482.pdf", "79152482")</f>
        <v>79152482</v>
      </c>
      <c r="F1861" s="10" t="s">
        <v>5387</v>
      </c>
      <c r="G1861" s="10" t="s">
        <v>5388</v>
      </c>
      <c r="H1861" s="10" t="s">
        <v>5389</v>
      </c>
      <c r="I1861" s="10" t="s">
        <v>312</v>
      </c>
    </row>
    <row r="1862" spans="1:9" x14ac:dyDescent="0.15">
      <c r="A1862" s="9">
        <v>1861</v>
      </c>
      <c r="B1862" s="10" t="s">
        <v>9</v>
      </c>
      <c r="C1862" s="10" t="s">
        <v>363</v>
      </c>
      <c r="D1862" s="10" t="s">
        <v>364</v>
      </c>
      <c r="E1862" s="11" t="str">
        <f>+HYPERLINK("http://trademark.i-assist.jp/data/china/image_1902th/79152638.pdf", "79152638")</f>
        <v>79152638</v>
      </c>
      <c r="F1862" s="10" t="s">
        <v>5390</v>
      </c>
      <c r="G1862" s="10" t="s">
        <v>5391</v>
      </c>
      <c r="H1862" s="10" t="s">
        <v>5392</v>
      </c>
      <c r="I1862" s="10" t="s">
        <v>312</v>
      </c>
    </row>
    <row r="1863" spans="1:9" x14ac:dyDescent="0.15">
      <c r="A1863" s="9">
        <v>1862</v>
      </c>
      <c r="B1863" s="10" t="s">
        <v>9</v>
      </c>
      <c r="C1863" s="10" t="s">
        <v>363</v>
      </c>
      <c r="D1863" s="10" t="s">
        <v>364</v>
      </c>
      <c r="E1863" s="11" t="str">
        <f>+HYPERLINK("http://trademark.i-assist.jp/data/china/image_1902th/79152820.pdf", "79152820")</f>
        <v>79152820</v>
      </c>
      <c r="F1863" s="10" t="s">
        <v>5393</v>
      </c>
      <c r="G1863" s="10" t="s">
        <v>5394</v>
      </c>
      <c r="H1863" s="10" t="s">
        <v>5395</v>
      </c>
      <c r="I1863" s="10" t="s">
        <v>312</v>
      </c>
    </row>
    <row r="1864" spans="1:9" x14ac:dyDescent="0.15">
      <c r="A1864" s="9">
        <v>1863</v>
      </c>
      <c r="B1864" s="10" t="s">
        <v>9</v>
      </c>
      <c r="C1864" s="10" t="s">
        <v>363</v>
      </c>
      <c r="D1864" s="10" t="s">
        <v>364</v>
      </c>
      <c r="E1864" s="11" t="str">
        <f>+HYPERLINK("http://trademark.i-assist.jp/data/china/image_1902th/79152851.pdf", "79152851")</f>
        <v>79152851</v>
      </c>
      <c r="F1864" s="10" t="s">
        <v>5396</v>
      </c>
      <c r="G1864" s="10" t="s">
        <v>5397</v>
      </c>
      <c r="H1864" s="10" t="s">
        <v>5398</v>
      </c>
      <c r="I1864" s="10" t="s">
        <v>312</v>
      </c>
    </row>
    <row r="1865" spans="1:9" x14ac:dyDescent="0.15">
      <c r="A1865" s="9">
        <v>1864</v>
      </c>
      <c r="B1865" s="10" t="s">
        <v>9</v>
      </c>
      <c r="C1865" s="10" t="s">
        <v>363</v>
      </c>
      <c r="D1865" s="10" t="s">
        <v>364</v>
      </c>
      <c r="E1865" s="11" t="str">
        <f>+HYPERLINK("http://trademark.i-assist.jp/data/china/image_1902th/79153050.pdf", "79153050")</f>
        <v>79153050</v>
      </c>
      <c r="F1865" s="10" t="s">
        <v>5399</v>
      </c>
      <c r="G1865" s="10" t="s">
        <v>4956</v>
      </c>
      <c r="H1865" s="10" t="s">
        <v>5400</v>
      </c>
      <c r="I1865" s="10" t="s">
        <v>312</v>
      </c>
    </row>
    <row r="1866" spans="1:9" x14ac:dyDescent="0.15">
      <c r="A1866" s="9">
        <v>1865</v>
      </c>
      <c r="B1866" s="10" t="s">
        <v>9</v>
      </c>
      <c r="C1866" s="10" t="s">
        <v>363</v>
      </c>
      <c r="D1866" s="10" t="s">
        <v>364</v>
      </c>
      <c r="E1866" s="11" t="str">
        <f>+HYPERLINK("http://trademark.i-assist.jp/data/china/image_1902th/79153562.pdf", "79153562")</f>
        <v>79153562</v>
      </c>
      <c r="F1866" s="10" t="s">
        <v>5401</v>
      </c>
      <c r="G1866" s="10" t="s">
        <v>5402</v>
      </c>
      <c r="H1866" s="10" t="s">
        <v>5403</v>
      </c>
      <c r="I1866" s="10" t="s">
        <v>338</v>
      </c>
    </row>
    <row r="1867" spans="1:9" x14ac:dyDescent="0.15">
      <c r="A1867" s="9">
        <v>1866</v>
      </c>
      <c r="B1867" s="10" t="s">
        <v>9</v>
      </c>
      <c r="C1867" s="10" t="s">
        <v>363</v>
      </c>
      <c r="D1867" s="10" t="s">
        <v>364</v>
      </c>
      <c r="E1867" s="11" t="str">
        <f>+HYPERLINK("http://trademark.i-assist.jp/data/china/image_1902th/79153673.pdf", "79153673")</f>
        <v>79153673</v>
      </c>
      <c r="F1867" s="10" t="s">
        <v>5404</v>
      </c>
      <c r="G1867" s="10" t="s">
        <v>5405</v>
      </c>
      <c r="H1867" s="10" t="s">
        <v>5406</v>
      </c>
      <c r="I1867" s="10" t="s">
        <v>338</v>
      </c>
    </row>
    <row r="1868" spans="1:9" x14ac:dyDescent="0.15">
      <c r="A1868" s="9">
        <v>1867</v>
      </c>
      <c r="B1868" s="10" t="s">
        <v>9</v>
      </c>
      <c r="C1868" s="10" t="s">
        <v>363</v>
      </c>
      <c r="D1868" s="10" t="s">
        <v>364</v>
      </c>
      <c r="E1868" s="11" t="str">
        <f>+HYPERLINK("http://trademark.i-assist.jp/data/china/image_1902th/79153705.pdf", "79153705")</f>
        <v>79153705</v>
      </c>
      <c r="F1868" s="10" t="s">
        <v>5407</v>
      </c>
      <c r="G1868" s="10" t="s">
        <v>342</v>
      </c>
      <c r="H1868" s="10" t="s">
        <v>5408</v>
      </c>
      <c r="I1868" s="10" t="s">
        <v>338</v>
      </c>
    </row>
    <row r="1869" spans="1:9" x14ac:dyDescent="0.15">
      <c r="A1869" s="9">
        <v>1868</v>
      </c>
      <c r="B1869" s="10" t="s">
        <v>9</v>
      </c>
      <c r="C1869" s="10" t="s">
        <v>363</v>
      </c>
      <c r="D1869" s="10" t="s">
        <v>364</v>
      </c>
      <c r="E1869" s="11" t="str">
        <f>+HYPERLINK("http://trademark.i-assist.jp/data/china/image_1902th/79153851.pdf", "79153851")</f>
        <v>79153851</v>
      </c>
      <c r="F1869" s="10" t="s">
        <v>5409</v>
      </c>
      <c r="G1869" s="10" t="s">
        <v>5410</v>
      </c>
      <c r="H1869" s="10" t="s">
        <v>5411</v>
      </c>
      <c r="I1869" s="10" t="s">
        <v>338</v>
      </c>
    </row>
    <row r="1870" spans="1:9" x14ac:dyDescent="0.15">
      <c r="A1870" s="9">
        <v>1869</v>
      </c>
      <c r="B1870" s="10" t="s">
        <v>9</v>
      </c>
      <c r="C1870" s="10" t="s">
        <v>363</v>
      </c>
      <c r="D1870" s="10" t="s">
        <v>364</v>
      </c>
      <c r="E1870" s="11" t="str">
        <f>+HYPERLINK("http://trademark.i-assist.jp/data/china/image_1902th/79153926.pdf", "79153926")</f>
        <v>79153926</v>
      </c>
      <c r="F1870" s="10" t="s">
        <v>5412</v>
      </c>
      <c r="G1870" s="10" t="s">
        <v>5413</v>
      </c>
      <c r="H1870" s="10" t="s">
        <v>5414</v>
      </c>
      <c r="I1870" s="10" t="s">
        <v>338</v>
      </c>
    </row>
    <row r="1871" spans="1:9" x14ac:dyDescent="0.15">
      <c r="A1871" s="9">
        <v>1870</v>
      </c>
      <c r="B1871" s="10" t="s">
        <v>9</v>
      </c>
      <c r="C1871" s="10" t="s">
        <v>363</v>
      </c>
      <c r="D1871" s="10" t="s">
        <v>364</v>
      </c>
      <c r="E1871" s="11" t="str">
        <f>+HYPERLINK("http://trademark.i-assist.jp/data/china/image_1902th/79154015.pdf", "79154015")</f>
        <v>79154015</v>
      </c>
      <c r="F1871" s="10" t="s">
        <v>5415</v>
      </c>
      <c r="G1871" s="10" t="s">
        <v>345</v>
      </c>
      <c r="H1871" s="10" t="s">
        <v>5416</v>
      </c>
      <c r="I1871" s="10" t="s">
        <v>338</v>
      </c>
    </row>
    <row r="1872" spans="1:9" x14ac:dyDescent="0.15">
      <c r="A1872" s="9">
        <v>1871</v>
      </c>
      <c r="B1872" s="10" t="s">
        <v>9</v>
      </c>
      <c r="C1872" s="10" t="s">
        <v>363</v>
      </c>
      <c r="D1872" s="10" t="s">
        <v>364</v>
      </c>
      <c r="E1872" s="11" t="str">
        <f>+HYPERLINK("http://trademark.i-assist.jp/data/china/image_1902th/79154035.pdf", "79154035")</f>
        <v>79154035</v>
      </c>
      <c r="F1872" s="10" t="s">
        <v>5417</v>
      </c>
      <c r="G1872" s="10" t="s">
        <v>5418</v>
      </c>
      <c r="H1872" s="10" t="s">
        <v>5419</v>
      </c>
      <c r="I1872" s="10" t="s">
        <v>338</v>
      </c>
    </row>
    <row r="1873" spans="1:9" x14ac:dyDescent="0.15">
      <c r="A1873" s="9">
        <v>1872</v>
      </c>
      <c r="B1873" s="10" t="s">
        <v>9</v>
      </c>
      <c r="C1873" s="10" t="s">
        <v>363</v>
      </c>
      <c r="D1873" s="10" t="s">
        <v>364</v>
      </c>
      <c r="E1873" s="11" t="str">
        <f>+HYPERLINK("http://trademark.i-assist.jp/data/china/image_1902th/79154697.pdf", "79154697")</f>
        <v>79154697</v>
      </c>
      <c r="F1873" s="10" t="s">
        <v>5420</v>
      </c>
      <c r="G1873" s="10" t="s">
        <v>5421</v>
      </c>
      <c r="H1873" s="10" t="s">
        <v>5422</v>
      </c>
      <c r="I1873" s="10" t="s">
        <v>338</v>
      </c>
    </row>
    <row r="1874" spans="1:9" x14ac:dyDescent="0.15">
      <c r="A1874" s="9">
        <v>1873</v>
      </c>
      <c r="B1874" s="10" t="s">
        <v>9</v>
      </c>
      <c r="C1874" s="10" t="s">
        <v>363</v>
      </c>
      <c r="D1874" s="10" t="s">
        <v>364</v>
      </c>
      <c r="E1874" s="11" t="str">
        <f>+HYPERLINK("http://trademark.i-assist.jp/data/china/image_1902th/79155113.pdf", "79155113")</f>
        <v>79155113</v>
      </c>
      <c r="F1874" s="10" t="s">
        <v>5423</v>
      </c>
      <c r="G1874" s="10" t="s">
        <v>5424</v>
      </c>
      <c r="H1874" s="10" t="s">
        <v>5425</v>
      </c>
      <c r="I1874" s="10" t="s">
        <v>338</v>
      </c>
    </row>
    <row r="1875" spans="1:9" x14ac:dyDescent="0.15">
      <c r="A1875" s="9">
        <v>1874</v>
      </c>
      <c r="B1875" s="10" t="s">
        <v>9</v>
      </c>
      <c r="C1875" s="10" t="s">
        <v>363</v>
      </c>
      <c r="D1875" s="10" t="s">
        <v>364</v>
      </c>
      <c r="E1875" s="11" t="str">
        <f>+HYPERLINK("http://trademark.i-assist.jp/data/china/image_1902th/79156236.pdf", "79156236")</f>
        <v>79156236</v>
      </c>
      <c r="F1875" s="10" t="s">
        <v>5426</v>
      </c>
      <c r="G1875" s="10" t="s">
        <v>5427</v>
      </c>
      <c r="H1875" s="10" t="s">
        <v>5428</v>
      </c>
      <c r="I1875" s="10" t="s">
        <v>338</v>
      </c>
    </row>
    <row r="1876" spans="1:9" x14ac:dyDescent="0.15">
      <c r="A1876" s="9">
        <v>1875</v>
      </c>
      <c r="B1876" s="10" t="s">
        <v>9</v>
      </c>
      <c r="C1876" s="10" t="s">
        <v>363</v>
      </c>
      <c r="D1876" s="10" t="s">
        <v>364</v>
      </c>
      <c r="E1876" s="11" t="str">
        <f>+HYPERLINK("http://trademark.i-assist.jp/data/china/image_1902th/79156739.pdf", "79156739")</f>
        <v>79156739</v>
      </c>
      <c r="F1876" s="10" t="s">
        <v>5429</v>
      </c>
      <c r="G1876" s="10" t="s">
        <v>5430</v>
      </c>
      <c r="H1876" s="10" t="s">
        <v>5431</v>
      </c>
      <c r="I1876" s="10" t="s">
        <v>338</v>
      </c>
    </row>
    <row r="1877" spans="1:9" x14ac:dyDescent="0.15">
      <c r="A1877" s="9">
        <v>1876</v>
      </c>
      <c r="B1877" s="10" t="s">
        <v>9</v>
      </c>
      <c r="C1877" s="10" t="s">
        <v>363</v>
      </c>
      <c r="D1877" s="10" t="s">
        <v>364</v>
      </c>
      <c r="E1877" s="11" t="str">
        <f>+HYPERLINK("http://trademark.i-assist.jp/data/china/image_1902th/79157060.pdf", "79157060")</f>
        <v>79157060</v>
      </c>
      <c r="F1877" s="10" t="s">
        <v>5432</v>
      </c>
      <c r="G1877" s="10" t="s">
        <v>5433</v>
      </c>
      <c r="H1877" s="10" t="s">
        <v>5434</v>
      </c>
      <c r="I1877" s="10" t="s">
        <v>338</v>
      </c>
    </row>
    <row r="1878" spans="1:9" x14ac:dyDescent="0.15">
      <c r="A1878" s="9">
        <v>1877</v>
      </c>
      <c r="B1878" s="10" t="s">
        <v>9</v>
      </c>
      <c r="C1878" s="10" t="s">
        <v>363</v>
      </c>
      <c r="D1878" s="10" t="s">
        <v>364</v>
      </c>
      <c r="E1878" s="11" t="str">
        <f>+HYPERLINK("http://trademark.i-assist.jp/data/china/image_1902th/79157580.pdf", "79157580")</f>
        <v>79157580</v>
      </c>
      <c r="F1878" s="10" t="s">
        <v>12</v>
      </c>
      <c r="G1878" s="10" t="s">
        <v>5435</v>
      </c>
      <c r="H1878" s="10" t="s">
        <v>5436</v>
      </c>
      <c r="I1878" s="10" t="s">
        <v>338</v>
      </c>
    </row>
    <row r="1879" spans="1:9" x14ac:dyDescent="0.15">
      <c r="A1879" s="9">
        <v>1878</v>
      </c>
      <c r="B1879" s="10" t="s">
        <v>9</v>
      </c>
      <c r="C1879" s="10" t="s">
        <v>363</v>
      </c>
      <c r="D1879" s="10" t="s">
        <v>364</v>
      </c>
      <c r="E1879" s="11" t="str">
        <f>+HYPERLINK("http://trademark.i-assist.jp/data/china/image_1902th/79157788.pdf", "79157788")</f>
        <v>79157788</v>
      </c>
      <c r="F1879" s="10" t="s">
        <v>5437</v>
      </c>
      <c r="G1879" s="10" t="s">
        <v>5438</v>
      </c>
      <c r="H1879" s="10" t="s">
        <v>5439</v>
      </c>
      <c r="I1879" s="10" t="s">
        <v>338</v>
      </c>
    </row>
    <row r="1880" spans="1:9" x14ac:dyDescent="0.15">
      <c r="A1880" s="9">
        <v>1879</v>
      </c>
      <c r="B1880" s="10" t="s">
        <v>9</v>
      </c>
      <c r="C1880" s="10" t="s">
        <v>363</v>
      </c>
      <c r="D1880" s="10" t="s">
        <v>364</v>
      </c>
      <c r="E1880" s="11" t="str">
        <f>+HYPERLINK("http://trademark.i-assist.jp/data/china/image_1902th/79157799.pdf", "79157799")</f>
        <v>79157799</v>
      </c>
      <c r="F1880" s="10" t="s">
        <v>5440</v>
      </c>
      <c r="G1880" s="10" t="s">
        <v>5441</v>
      </c>
      <c r="H1880" s="10" t="s">
        <v>5442</v>
      </c>
      <c r="I1880" s="10" t="s">
        <v>338</v>
      </c>
    </row>
    <row r="1881" spans="1:9" x14ac:dyDescent="0.15">
      <c r="A1881" s="9">
        <v>1880</v>
      </c>
      <c r="B1881" s="10" t="s">
        <v>9</v>
      </c>
      <c r="C1881" s="10" t="s">
        <v>363</v>
      </c>
      <c r="D1881" s="10" t="s">
        <v>364</v>
      </c>
      <c r="E1881" s="11" t="str">
        <f>+HYPERLINK("http://trademark.i-assist.jp/data/china/image_1902th/79157934.pdf", "79157934")</f>
        <v>79157934</v>
      </c>
      <c r="F1881" s="10" t="s">
        <v>5443</v>
      </c>
      <c r="G1881" s="10" t="s">
        <v>5444</v>
      </c>
      <c r="H1881" s="10" t="s">
        <v>5445</v>
      </c>
      <c r="I1881" s="10" t="s">
        <v>338</v>
      </c>
    </row>
    <row r="1882" spans="1:9" x14ac:dyDescent="0.15">
      <c r="A1882" s="9">
        <v>1881</v>
      </c>
      <c r="B1882" s="10" t="s">
        <v>9</v>
      </c>
      <c r="C1882" s="10" t="s">
        <v>363</v>
      </c>
      <c r="D1882" s="10" t="s">
        <v>364</v>
      </c>
      <c r="E1882" s="11" t="str">
        <f>+HYPERLINK("http://trademark.i-assist.jp/data/china/image_1902th/79158057.pdf", "79158057")</f>
        <v>79158057</v>
      </c>
      <c r="F1882" s="10" t="s">
        <v>12</v>
      </c>
      <c r="G1882" s="10" t="s">
        <v>5446</v>
      </c>
      <c r="H1882" s="10" t="s">
        <v>5447</v>
      </c>
      <c r="I1882" s="10" t="s">
        <v>338</v>
      </c>
    </row>
    <row r="1883" spans="1:9" x14ac:dyDescent="0.15">
      <c r="A1883" s="9">
        <v>1882</v>
      </c>
      <c r="B1883" s="10" t="s">
        <v>9</v>
      </c>
      <c r="C1883" s="10" t="s">
        <v>363</v>
      </c>
      <c r="D1883" s="10" t="s">
        <v>364</v>
      </c>
      <c r="E1883" s="11" t="str">
        <f>+HYPERLINK("http://trademark.i-assist.jp/data/china/image_1902th/79158298.pdf", "79158298")</f>
        <v>79158298</v>
      </c>
      <c r="F1883" s="10" t="s">
        <v>5448</v>
      </c>
      <c r="G1883" s="10" t="s">
        <v>5449</v>
      </c>
      <c r="H1883" s="10" t="s">
        <v>5450</v>
      </c>
      <c r="I1883" s="10" t="s">
        <v>338</v>
      </c>
    </row>
    <row r="1884" spans="1:9" x14ac:dyDescent="0.15">
      <c r="A1884" s="9">
        <v>1883</v>
      </c>
      <c r="B1884" s="10" t="s">
        <v>9</v>
      </c>
      <c r="C1884" s="10" t="s">
        <v>363</v>
      </c>
      <c r="D1884" s="10" t="s">
        <v>364</v>
      </c>
      <c r="E1884" s="11" t="str">
        <f>+HYPERLINK("http://trademark.i-assist.jp/data/china/image_1902th/79158302.pdf", "79158302")</f>
        <v>79158302</v>
      </c>
      <c r="F1884" s="10" t="s">
        <v>12</v>
      </c>
      <c r="G1884" s="10" t="s">
        <v>210</v>
      </c>
      <c r="H1884" s="10" t="s">
        <v>5451</v>
      </c>
      <c r="I1884" s="10" t="s">
        <v>338</v>
      </c>
    </row>
    <row r="1885" spans="1:9" x14ac:dyDescent="0.15">
      <c r="A1885" s="9">
        <v>1884</v>
      </c>
      <c r="B1885" s="10" t="s">
        <v>9</v>
      </c>
      <c r="C1885" s="10" t="s">
        <v>363</v>
      </c>
      <c r="D1885" s="10" t="s">
        <v>364</v>
      </c>
      <c r="E1885" s="11" t="str">
        <f>+HYPERLINK("http://trademark.i-assist.jp/data/china/image_1902th/79158679.pdf", "79158679")</f>
        <v>79158679</v>
      </c>
      <c r="F1885" s="10" t="s">
        <v>5452</v>
      </c>
      <c r="G1885" s="10" t="s">
        <v>5453</v>
      </c>
      <c r="H1885" s="10" t="s">
        <v>5454</v>
      </c>
      <c r="I1885" s="10" t="s">
        <v>338</v>
      </c>
    </row>
    <row r="1886" spans="1:9" x14ac:dyDescent="0.15">
      <c r="A1886" s="9">
        <v>1885</v>
      </c>
      <c r="B1886" s="10" t="s">
        <v>9</v>
      </c>
      <c r="C1886" s="10" t="s">
        <v>363</v>
      </c>
      <c r="D1886" s="10" t="s">
        <v>364</v>
      </c>
      <c r="E1886" s="11" t="str">
        <f>+HYPERLINK("http://trademark.i-assist.jp/data/china/image_1902th/79158688.pdf", "79158688")</f>
        <v>79158688</v>
      </c>
      <c r="F1886" s="10" t="s">
        <v>5455</v>
      </c>
      <c r="G1886" s="10" t="s">
        <v>316</v>
      </c>
      <c r="H1886" s="10" t="s">
        <v>5456</v>
      </c>
      <c r="I1886" s="10" t="s">
        <v>338</v>
      </c>
    </row>
    <row r="1887" spans="1:9" x14ac:dyDescent="0.15">
      <c r="A1887" s="9">
        <v>1886</v>
      </c>
      <c r="B1887" s="10" t="s">
        <v>9</v>
      </c>
      <c r="C1887" s="10" t="s">
        <v>363</v>
      </c>
      <c r="D1887" s="10" t="s">
        <v>364</v>
      </c>
      <c r="E1887" s="11" t="str">
        <f>+HYPERLINK("http://trademark.i-assist.jp/data/china/image_1902th/79158718.pdf", "79158718")</f>
        <v>79158718</v>
      </c>
      <c r="F1887" s="10" t="s">
        <v>5457</v>
      </c>
      <c r="G1887" s="10" t="s">
        <v>148</v>
      </c>
      <c r="H1887" s="10" t="s">
        <v>5458</v>
      </c>
      <c r="I1887" s="10" t="s">
        <v>338</v>
      </c>
    </row>
    <row r="1888" spans="1:9" x14ac:dyDescent="0.15">
      <c r="A1888" s="9">
        <v>1887</v>
      </c>
      <c r="B1888" s="10" t="s">
        <v>9</v>
      </c>
      <c r="C1888" s="10" t="s">
        <v>363</v>
      </c>
      <c r="D1888" s="10" t="s">
        <v>364</v>
      </c>
      <c r="E1888" s="11" t="str">
        <f>+HYPERLINK("http://trademark.i-assist.jp/data/china/image_1902th/79158818.pdf", "79158818")</f>
        <v>79158818</v>
      </c>
      <c r="F1888" s="10" t="s">
        <v>12</v>
      </c>
      <c r="G1888" s="10" t="s">
        <v>5459</v>
      </c>
      <c r="H1888" s="10" t="s">
        <v>5460</v>
      </c>
      <c r="I1888" s="10" t="s">
        <v>338</v>
      </c>
    </row>
    <row r="1889" spans="1:9" x14ac:dyDescent="0.15">
      <c r="A1889" s="9">
        <v>1888</v>
      </c>
      <c r="B1889" s="10" t="s">
        <v>9</v>
      </c>
      <c r="C1889" s="10" t="s">
        <v>363</v>
      </c>
      <c r="D1889" s="10" t="s">
        <v>364</v>
      </c>
      <c r="E1889" s="11" t="str">
        <f>+HYPERLINK("http://trademark.i-assist.jp/data/china/image_1902th/79158820.pdf", "79158820")</f>
        <v>79158820</v>
      </c>
      <c r="F1889" s="10" t="s">
        <v>5461</v>
      </c>
      <c r="G1889" s="10" t="s">
        <v>5462</v>
      </c>
      <c r="H1889" s="10" t="s">
        <v>5463</v>
      </c>
      <c r="I1889" s="10" t="s">
        <v>338</v>
      </c>
    </row>
    <row r="1890" spans="1:9" x14ac:dyDescent="0.15">
      <c r="A1890" s="9">
        <v>1889</v>
      </c>
      <c r="B1890" s="10" t="s">
        <v>9</v>
      </c>
      <c r="C1890" s="10" t="s">
        <v>363</v>
      </c>
      <c r="D1890" s="10" t="s">
        <v>364</v>
      </c>
      <c r="E1890" s="11" t="str">
        <f>+HYPERLINK("http://trademark.i-assist.jp/data/china/image_1902th/79159164.pdf", "79159164")</f>
        <v>79159164</v>
      </c>
      <c r="F1890" s="10" t="s">
        <v>5464</v>
      </c>
      <c r="G1890" s="10" t="s">
        <v>5465</v>
      </c>
      <c r="H1890" s="10" t="s">
        <v>5466</v>
      </c>
      <c r="I1890" s="10" t="s">
        <v>338</v>
      </c>
    </row>
    <row r="1891" spans="1:9" x14ac:dyDescent="0.15">
      <c r="A1891" s="9">
        <v>1890</v>
      </c>
      <c r="B1891" s="10" t="s">
        <v>9</v>
      </c>
      <c r="C1891" s="10" t="s">
        <v>363</v>
      </c>
      <c r="D1891" s="10" t="s">
        <v>364</v>
      </c>
      <c r="E1891" s="11" t="str">
        <f>+HYPERLINK("http://trademark.i-assist.jp/data/china/image_1902th/79159177.pdf", "79159177")</f>
        <v>79159177</v>
      </c>
      <c r="F1891" s="10" t="s">
        <v>5467</v>
      </c>
      <c r="G1891" s="10" t="s">
        <v>5468</v>
      </c>
      <c r="H1891" s="10" t="s">
        <v>5469</v>
      </c>
      <c r="I1891" s="10" t="s">
        <v>338</v>
      </c>
    </row>
    <row r="1892" spans="1:9" x14ac:dyDescent="0.15">
      <c r="A1892" s="9">
        <v>1891</v>
      </c>
      <c r="B1892" s="10" t="s">
        <v>9</v>
      </c>
      <c r="C1892" s="10" t="s">
        <v>363</v>
      </c>
      <c r="D1892" s="10" t="s">
        <v>364</v>
      </c>
      <c r="E1892" s="11" t="str">
        <f>+HYPERLINK("http://trademark.i-assist.jp/data/china/image_1902th/79159300.pdf", "79159300")</f>
        <v>79159300</v>
      </c>
      <c r="F1892" s="10" t="s">
        <v>5470</v>
      </c>
      <c r="G1892" s="10" t="s">
        <v>5471</v>
      </c>
      <c r="H1892" s="10" t="s">
        <v>5472</v>
      </c>
      <c r="I1892" s="10" t="s">
        <v>338</v>
      </c>
    </row>
    <row r="1893" spans="1:9" x14ac:dyDescent="0.15">
      <c r="A1893" s="9">
        <v>1892</v>
      </c>
      <c r="B1893" s="10" t="s">
        <v>9</v>
      </c>
      <c r="C1893" s="10" t="s">
        <v>363</v>
      </c>
      <c r="D1893" s="10" t="s">
        <v>364</v>
      </c>
      <c r="E1893" s="11" t="str">
        <f>+HYPERLINK("http://trademark.i-assist.jp/data/china/image_1902th/79159325.pdf", "79159325")</f>
        <v>79159325</v>
      </c>
      <c r="F1893" s="10" t="s">
        <v>5473</v>
      </c>
      <c r="G1893" s="10" t="s">
        <v>5474</v>
      </c>
      <c r="H1893" s="10" t="s">
        <v>5475</v>
      </c>
      <c r="I1893" s="10" t="s">
        <v>338</v>
      </c>
    </row>
    <row r="1894" spans="1:9" x14ac:dyDescent="0.15">
      <c r="A1894" s="9">
        <v>1893</v>
      </c>
      <c r="B1894" s="10" t="s">
        <v>9</v>
      </c>
      <c r="C1894" s="10" t="s">
        <v>363</v>
      </c>
      <c r="D1894" s="10" t="s">
        <v>364</v>
      </c>
      <c r="E1894" s="11" t="str">
        <f>+HYPERLINK("http://trademark.i-assist.jp/data/china/image_1902th/79159898.pdf", "79159898")</f>
        <v>79159898</v>
      </c>
      <c r="F1894" s="10" t="s">
        <v>5476</v>
      </c>
      <c r="G1894" s="10" t="s">
        <v>5477</v>
      </c>
      <c r="H1894" s="10" t="s">
        <v>5478</v>
      </c>
      <c r="I1894" s="10" t="s">
        <v>338</v>
      </c>
    </row>
    <row r="1895" spans="1:9" x14ac:dyDescent="0.15">
      <c r="A1895" s="9">
        <v>1894</v>
      </c>
      <c r="B1895" s="10" t="s">
        <v>9</v>
      </c>
      <c r="C1895" s="10" t="s">
        <v>363</v>
      </c>
      <c r="D1895" s="10" t="s">
        <v>364</v>
      </c>
      <c r="E1895" s="11" t="str">
        <f>+HYPERLINK("http://trademark.i-assist.jp/data/china/image_1902th/79159954.pdf", "79159954")</f>
        <v>79159954</v>
      </c>
      <c r="F1895" s="10" t="s">
        <v>5479</v>
      </c>
      <c r="G1895" s="10" t="s">
        <v>242</v>
      </c>
      <c r="H1895" s="10" t="s">
        <v>5480</v>
      </c>
      <c r="I1895" s="10" t="s">
        <v>338</v>
      </c>
    </row>
    <row r="1896" spans="1:9" x14ac:dyDescent="0.15">
      <c r="A1896" s="9">
        <v>1895</v>
      </c>
      <c r="B1896" s="10" t="s">
        <v>9</v>
      </c>
      <c r="C1896" s="10" t="s">
        <v>363</v>
      </c>
      <c r="D1896" s="10" t="s">
        <v>364</v>
      </c>
      <c r="E1896" s="11" t="str">
        <f>+HYPERLINK("http://trademark.i-assist.jp/data/china/image_1902th/79160032.pdf", "79160032")</f>
        <v>79160032</v>
      </c>
      <c r="F1896" s="10" t="s">
        <v>5481</v>
      </c>
      <c r="G1896" s="10" t="s">
        <v>5482</v>
      </c>
      <c r="H1896" s="10" t="s">
        <v>5483</v>
      </c>
      <c r="I1896" s="10" t="s">
        <v>338</v>
      </c>
    </row>
    <row r="1897" spans="1:9" x14ac:dyDescent="0.15">
      <c r="A1897" s="9">
        <v>1896</v>
      </c>
      <c r="B1897" s="10" t="s">
        <v>9</v>
      </c>
      <c r="C1897" s="10" t="s">
        <v>363</v>
      </c>
      <c r="D1897" s="10" t="s">
        <v>364</v>
      </c>
      <c r="E1897" s="11" t="str">
        <f>+HYPERLINK("http://trademark.i-assist.jp/data/china/image_1902th/79160042.pdf", "79160042")</f>
        <v>79160042</v>
      </c>
      <c r="F1897" s="10" t="s">
        <v>5484</v>
      </c>
      <c r="G1897" s="10" t="s">
        <v>5485</v>
      </c>
      <c r="H1897" s="10" t="s">
        <v>5486</v>
      </c>
      <c r="I1897" s="10" t="s">
        <v>338</v>
      </c>
    </row>
    <row r="1898" spans="1:9" x14ac:dyDescent="0.15">
      <c r="A1898" s="9">
        <v>1897</v>
      </c>
      <c r="B1898" s="10" t="s">
        <v>9</v>
      </c>
      <c r="C1898" s="10" t="s">
        <v>363</v>
      </c>
      <c r="D1898" s="10" t="s">
        <v>364</v>
      </c>
      <c r="E1898" s="11" t="str">
        <f>+HYPERLINK("http://trademark.i-assist.jp/data/china/image_1902th/79160161.pdf", "79160161")</f>
        <v>79160161</v>
      </c>
      <c r="F1898" s="10" t="s">
        <v>5487</v>
      </c>
      <c r="G1898" s="10" t="s">
        <v>345</v>
      </c>
      <c r="H1898" s="10" t="s">
        <v>5488</v>
      </c>
      <c r="I1898" s="10" t="s">
        <v>338</v>
      </c>
    </row>
    <row r="1899" spans="1:9" x14ac:dyDescent="0.15">
      <c r="A1899" s="9">
        <v>1898</v>
      </c>
      <c r="B1899" s="10" t="s">
        <v>9</v>
      </c>
      <c r="C1899" s="10" t="s">
        <v>363</v>
      </c>
      <c r="D1899" s="10" t="s">
        <v>364</v>
      </c>
      <c r="E1899" s="11" t="str">
        <f>+HYPERLINK("http://trademark.i-assist.jp/data/china/image_1902th/79160324.pdf", "79160324")</f>
        <v>79160324</v>
      </c>
      <c r="F1899" s="10" t="s">
        <v>5489</v>
      </c>
      <c r="G1899" s="10" t="s">
        <v>314</v>
      </c>
      <c r="H1899" s="10" t="s">
        <v>5490</v>
      </c>
      <c r="I1899" s="10" t="s">
        <v>338</v>
      </c>
    </row>
    <row r="1900" spans="1:9" x14ac:dyDescent="0.15">
      <c r="A1900" s="9">
        <v>1899</v>
      </c>
      <c r="B1900" s="10" t="s">
        <v>9</v>
      </c>
      <c r="C1900" s="10" t="s">
        <v>363</v>
      </c>
      <c r="D1900" s="10" t="s">
        <v>364</v>
      </c>
      <c r="E1900" s="11" t="str">
        <f>+HYPERLINK("http://trademark.i-assist.jp/data/china/image_1902th/79160327.pdf", "79160327")</f>
        <v>79160327</v>
      </c>
      <c r="F1900" s="10" t="s">
        <v>5491</v>
      </c>
      <c r="G1900" s="10" t="s">
        <v>5492</v>
      </c>
      <c r="H1900" s="10" t="s">
        <v>5493</v>
      </c>
      <c r="I1900" s="10" t="s">
        <v>338</v>
      </c>
    </row>
    <row r="1901" spans="1:9" x14ac:dyDescent="0.15">
      <c r="A1901" s="9">
        <v>1900</v>
      </c>
      <c r="B1901" s="10" t="s">
        <v>9</v>
      </c>
      <c r="C1901" s="10" t="s">
        <v>363</v>
      </c>
      <c r="D1901" s="10" t="s">
        <v>364</v>
      </c>
      <c r="E1901" s="11" t="str">
        <f>+HYPERLINK("http://trademark.i-assist.jp/data/china/image_1902th/79160824.pdf", "79160824")</f>
        <v>79160824</v>
      </c>
      <c r="F1901" s="10" t="s">
        <v>5494</v>
      </c>
      <c r="G1901" s="10" t="s">
        <v>5495</v>
      </c>
      <c r="H1901" s="10" t="s">
        <v>5496</v>
      </c>
      <c r="I1901" s="10" t="s">
        <v>338</v>
      </c>
    </row>
    <row r="1902" spans="1:9" x14ac:dyDescent="0.15">
      <c r="A1902" s="9">
        <v>1901</v>
      </c>
      <c r="B1902" s="10" t="s">
        <v>9</v>
      </c>
      <c r="C1902" s="10" t="s">
        <v>363</v>
      </c>
      <c r="D1902" s="10" t="s">
        <v>364</v>
      </c>
      <c r="E1902" s="11" t="str">
        <f>+HYPERLINK("http://trademark.i-assist.jp/data/china/image_1902th/79160860.pdf", "79160860")</f>
        <v>79160860</v>
      </c>
      <c r="F1902" s="10" t="s">
        <v>5497</v>
      </c>
      <c r="G1902" s="10" t="s">
        <v>5498</v>
      </c>
      <c r="H1902" s="10" t="s">
        <v>5499</v>
      </c>
      <c r="I1902" s="10" t="s">
        <v>338</v>
      </c>
    </row>
    <row r="1903" spans="1:9" x14ac:dyDescent="0.15">
      <c r="A1903" s="9">
        <v>1902</v>
      </c>
      <c r="B1903" s="10" t="s">
        <v>9</v>
      </c>
      <c r="C1903" s="10" t="s">
        <v>363</v>
      </c>
      <c r="D1903" s="10" t="s">
        <v>364</v>
      </c>
      <c r="E1903" s="11" t="str">
        <f>+HYPERLINK("http://trademark.i-assist.jp/data/china/image_1902th/79160919.pdf", "79160919")</f>
        <v>79160919</v>
      </c>
      <c r="F1903" s="10" t="s">
        <v>5500</v>
      </c>
      <c r="G1903" s="10" t="s">
        <v>5462</v>
      </c>
      <c r="H1903" s="10" t="s">
        <v>5501</v>
      </c>
      <c r="I1903" s="10" t="s">
        <v>338</v>
      </c>
    </row>
    <row r="1904" spans="1:9" x14ac:dyDescent="0.15">
      <c r="A1904" s="9">
        <v>1903</v>
      </c>
      <c r="B1904" s="10" t="s">
        <v>9</v>
      </c>
      <c r="C1904" s="10" t="s">
        <v>363</v>
      </c>
      <c r="D1904" s="10" t="s">
        <v>364</v>
      </c>
      <c r="E1904" s="11" t="str">
        <f>+HYPERLINK("http://trademark.i-assist.jp/data/china/image_1902th/79160927.pdf", "79160927")</f>
        <v>79160927</v>
      </c>
      <c r="F1904" s="10" t="s">
        <v>5502</v>
      </c>
      <c r="G1904" s="10" t="s">
        <v>5503</v>
      </c>
      <c r="H1904" s="10" t="s">
        <v>5504</v>
      </c>
      <c r="I1904" s="10" t="s">
        <v>338</v>
      </c>
    </row>
    <row r="1905" spans="1:9" x14ac:dyDescent="0.15">
      <c r="A1905" s="9">
        <v>1904</v>
      </c>
      <c r="B1905" s="10" t="s">
        <v>9</v>
      </c>
      <c r="C1905" s="10" t="s">
        <v>363</v>
      </c>
      <c r="D1905" s="10" t="s">
        <v>364</v>
      </c>
      <c r="E1905" s="11" t="str">
        <f>+HYPERLINK("http://trademark.i-assist.jp/data/china/image_1902th/79161125.pdf", "79161125")</f>
        <v>79161125</v>
      </c>
      <c r="F1905" s="10" t="s">
        <v>5505</v>
      </c>
      <c r="G1905" s="10" t="s">
        <v>5506</v>
      </c>
      <c r="H1905" s="10" t="s">
        <v>5507</v>
      </c>
      <c r="I1905" s="10" t="s">
        <v>338</v>
      </c>
    </row>
    <row r="1906" spans="1:9" x14ac:dyDescent="0.15">
      <c r="A1906" s="9">
        <v>1905</v>
      </c>
      <c r="B1906" s="10" t="s">
        <v>9</v>
      </c>
      <c r="C1906" s="10" t="s">
        <v>363</v>
      </c>
      <c r="D1906" s="10" t="s">
        <v>364</v>
      </c>
      <c r="E1906" s="11" t="str">
        <f>+HYPERLINK("http://trademark.i-assist.jp/data/china/image_1902th/79161737.pdf", "79161737")</f>
        <v>79161737</v>
      </c>
      <c r="F1906" s="10" t="s">
        <v>5508</v>
      </c>
      <c r="G1906" s="10" t="s">
        <v>5509</v>
      </c>
      <c r="H1906" s="10" t="s">
        <v>5510</v>
      </c>
      <c r="I1906" s="10" t="s">
        <v>338</v>
      </c>
    </row>
    <row r="1907" spans="1:9" x14ac:dyDescent="0.15">
      <c r="A1907" s="9">
        <v>1906</v>
      </c>
      <c r="B1907" s="10" t="s">
        <v>9</v>
      </c>
      <c r="C1907" s="10" t="s">
        <v>363</v>
      </c>
      <c r="D1907" s="10" t="s">
        <v>364</v>
      </c>
      <c r="E1907" s="11" t="str">
        <f>+HYPERLINK("http://trademark.i-assist.jp/data/china/image_1902th/79162620.pdf", "79162620")</f>
        <v>79162620</v>
      </c>
      <c r="F1907" s="10" t="s">
        <v>5511</v>
      </c>
      <c r="G1907" s="10" t="s">
        <v>71</v>
      </c>
      <c r="H1907" s="10" t="s">
        <v>5512</v>
      </c>
      <c r="I1907" s="10" t="s">
        <v>338</v>
      </c>
    </row>
    <row r="1908" spans="1:9" x14ac:dyDescent="0.15">
      <c r="A1908" s="9">
        <v>1907</v>
      </c>
      <c r="B1908" s="10" t="s">
        <v>9</v>
      </c>
      <c r="C1908" s="10" t="s">
        <v>363</v>
      </c>
      <c r="D1908" s="10" t="s">
        <v>364</v>
      </c>
      <c r="E1908" s="11" t="str">
        <f>+HYPERLINK("http://trademark.i-assist.jp/data/china/image_1902th/79162673.pdf", "79162673")</f>
        <v>79162673</v>
      </c>
      <c r="F1908" s="10" t="s">
        <v>5513</v>
      </c>
      <c r="G1908" s="10" t="s">
        <v>5514</v>
      </c>
      <c r="H1908" s="10" t="s">
        <v>5515</v>
      </c>
      <c r="I1908" s="10" t="s">
        <v>338</v>
      </c>
    </row>
    <row r="1909" spans="1:9" x14ac:dyDescent="0.15">
      <c r="A1909" s="9">
        <v>1908</v>
      </c>
      <c r="B1909" s="10" t="s">
        <v>9</v>
      </c>
      <c r="C1909" s="10" t="s">
        <v>363</v>
      </c>
      <c r="D1909" s="10" t="s">
        <v>364</v>
      </c>
      <c r="E1909" s="11" t="str">
        <f>+HYPERLINK("http://trademark.i-assist.jp/data/china/image_1902th/79162782.pdf", "79162782")</f>
        <v>79162782</v>
      </c>
      <c r="F1909" s="10" t="s">
        <v>5516</v>
      </c>
      <c r="G1909" s="10" t="s">
        <v>5517</v>
      </c>
      <c r="H1909" s="10" t="s">
        <v>5518</v>
      </c>
      <c r="I1909" s="10" t="s">
        <v>338</v>
      </c>
    </row>
    <row r="1910" spans="1:9" x14ac:dyDescent="0.15">
      <c r="A1910" s="9">
        <v>1909</v>
      </c>
      <c r="B1910" s="10" t="s">
        <v>9</v>
      </c>
      <c r="C1910" s="10" t="s">
        <v>363</v>
      </c>
      <c r="D1910" s="10" t="s">
        <v>364</v>
      </c>
      <c r="E1910" s="11" t="str">
        <f>+HYPERLINK("http://trademark.i-assist.jp/data/china/image_1902th/79162793.pdf", "79162793")</f>
        <v>79162793</v>
      </c>
      <c r="F1910" s="10" t="s">
        <v>5519</v>
      </c>
      <c r="G1910" s="10" t="s">
        <v>5520</v>
      </c>
      <c r="H1910" s="10" t="s">
        <v>5521</v>
      </c>
      <c r="I1910" s="10" t="s">
        <v>338</v>
      </c>
    </row>
    <row r="1911" spans="1:9" x14ac:dyDescent="0.15">
      <c r="A1911" s="9">
        <v>1910</v>
      </c>
      <c r="B1911" s="10" t="s">
        <v>9</v>
      </c>
      <c r="C1911" s="10" t="s">
        <v>363</v>
      </c>
      <c r="D1911" s="10" t="s">
        <v>364</v>
      </c>
      <c r="E1911" s="11" t="str">
        <f>+HYPERLINK("http://trademark.i-assist.jp/data/china/image_1902th/79163095.pdf", "79163095")</f>
        <v>79163095</v>
      </c>
      <c r="F1911" s="10" t="s">
        <v>5522</v>
      </c>
      <c r="G1911" s="10" t="s">
        <v>242</v>
      </c>
      <c r="H1911" s="10" t="s">
        <v>5523</v>
      </c>
      <c r="I1911" s="10" t="s">
        <v>338</v>
      </c>
    </row>
    <row r="1912" spans="1:9" x14ac:dyDescent="0.15">
      <c r="A1912" s="9">
        <v>1911</v>
      </c>
      <c r="B1912" s="10" t="s">
        <v>9</v>
      </c>
      <c r="C1912" s="10" t="s">
        <v>363</v>
      </c>
      <c r="D1912" s="10" t="s">
        <v>364</v>
      </c>
      <c r="E1912" s="11" t="str">
        <f>+HYPERLINK("http://trademark.i-assist.jp/data/china/image_1902th/79163206.pdf", "79163206")</f>
        <v>79163206</v>
      </c>
      <c r="F1912" s="10" t="s">
        <v>5524</v>
      </c>
      <c r="G1912" s="10" t="s">
        <v>5525</v>
      </c>
      <c r="H1912" s="10" t="s">
        <v>5526</v>
      </c>
      <c r="I1912" s="10" t="s">
        <v>338</v>
      </c>
    </row>
    <row r="1913" spans="1:9" x14ac:dyDescent="0.15">
      <c r="A1913" s="9">
        <v>1912</v>
      </c>
      <c r="B1913" s="10" t="s">
        <v>9</v>
      </c>
      <c r="C1913" s="10" t="s">
        <v>363</v>
      </c>
      <c r="D1913" s="10" t="s">
        <v>364</v>
      </c>
      <c r="E1913" s="11" t="str">
        <f>+HYPERLINK("http://trademark.i-assist.jp/data/china/image_1902th/79163586.pdf", "79163586")</f>
        <v>79163586</v>
      </c>
      <c r="F1913" s="10" t="s">
        <v>5527</v>
      </c>
      <c r="G1913" s="10" t="s">
        <v>5528</v>
      </c>
      <c r="H1913" s="10" t="s">
        <v>5529</v>
      </c>
      <c r="I1913" s="10" t="s">
        <v>338</v>
      </c>
    </row>
    <row r="1914" spans="1:9" x14ac:dyDescent="0.15">
      <c r="A1914" s="9">
        <v>1913</v>
      </c>
      <c r="B1914" s="10" t="s">
        <v>9</v>
      </c>
      <c r="C1914" s="10" t="s">
        <v>363</v>
      </c>
      <c r="D1914" s="10" t="s">
        <v>364</v>
      </c>
      <c r="E1914" s="11" t="str">
        <f>+HYPERLINK("http://trademark.i-assist.jp/data/china/image_1902th/79163806.pdf", "79163806")</f>
        <v>79163806</v>
      </c>
      <c r="F1914" s="10" t="s">
        <v>5530</v>
      </c>
      <c r="G1914" s="10" t="s">
        <v>83</v>
      </c>
      <c r="H1914" s="10" t="s">
        <v>5531</v>
      </c>
      <c r="I1914" s="10" t="s">
        <v>338</v>
      </c>
    </row>
    <row r="1915" spans="1:9" x14ac:dyDescent="0.15">
      <c r="A1915" s="9">
        <v>1914</v>
      </c>
      <c r="B1915" s="10" t="s">
        <v>9</v>
      </c>
      <c r="C1915" s="10" t="s">
        <v>363</v>
      </c>
      <c r="D1915" s="10" t="s">
        <v>364</v>
      </c>
      <c r="E1915" s="11" t="str">
        <f>+HYPERLINK("http://trademark.i-assist.jp/data/china/image_1902th/79164341.pdf", "79164341")</f>
        <v>79164341</v>
      </c>
      <c r="F1915" s="10" t="s">
        <v>5532</v>
      </c>
      <c r="G1915" s="10" t="s">
        <v>5533</v>
      </c>
      <c r="H1915" s="10" t="s">
        <v>5534</v>
      </c>
      <c r="I1915" s="10" t="s">
        <v>338</v>
      </c>
    </row>
    <row r="1916" spans="1:9" x14ac:dyDescent="0.15">
      <c r="A1916" s="9">
        <v>1915</v>
      </c>
      <c r="B1916" s="10" t="s">
        <v>9</v>
      </c>
      <c r="C1916" s="10" t="s">
        <v>363</v>
      </c>
      <c r="D1916" s="10" t="s">
        <v>364</v>
      </c>
      <c r="E1916" s="11" t="str">
        <f>+HYPERLINK("http://trademark.i-assist.jp/data/china/image_1902th/79164404.pdf", "79164404")</f>
        <v>79164404</v>
      </c>
      <c r="F1916" s="10" t="s">
        <v>5535</v>
      </c>
      <c r="G1916" s="10" t="s">
        <v>5536</v>
      </c>
      <c r="H1916" s="10" t="s">
        <v>5537</v>
      </c>
      <c r="I1916" s="10" t="s">
        <v>338</v>
      </c>
    </row>
    <row r="1917" spans="1:9" x14ac:dyDescent="0.15">
      <c r="A1917" s="9">
        <v>1916</v>
      </c>
      <c r="B1917" s="10" t="s">
        <v>9</v>
      </c>
      <c r="C1917" s="10" t="s">
        <v>363</v>
      </c>
      <c r="D1917" s="10" t="s">
        <v>364</v>
      </c>
      <c r="E1917" s="11" t="str">
        <f>+HYPERLINK("http://trademark.i-assist.jp/data/china/image_1902th/79165463.pdf", "79165463")</f>
        <v>79165463</v>
      </c>
      <c r="F1917" s="10" t="s">
        <v>5538</v>
      </c>
      <c r="G1917" s="10" t="s">
        <v>5539</v>
      </c>
      <c r="H1917" s="10" t="s">
        <v>5540</v>
      </c>
      <c r="I1917" s="10" t="s">
        <v>338</v>
      </c>
    </row>
    <row r="1918" spans="1:9" x14ac:dyDescent="0.15">
      <c r="A1918" s="9">
        <v>1917</v>
      </c>
      <c r="B1918" s="10" t="s">
        <v>9</v>
      </c>
      <c r="C1918" s="10" t="s">
        <v>363</v>
      </c>
      <c r="D1918" s="10" t="s">
        <v>364</v>
      </c>
      <c r="E1918" s="11" t="str">
        <f>+HYPERLINK("http://trademark.i-assist.jp/data/china/image_1902th/79165560.pdf", "79165560")</f>
        <v>79165560</v>
      </c>
      <c r="F1918" s="10" t="s">
        <v>5541</v>
      </c>
      <c r="G1918" s="10" t="s">
        <v>71</v>
      </c>
      <c r="H1918" s="10" t="s">
        <v>5542</v>
      </c>
      <c r="I1918" s="10" t="s">
        <v>338</v>
      </c>
    </row>
    <row r="1919" spans="1:9" x14ac:dyDescent="0.15">
      <c r="A1919" s="9">
        <v>1918</v>
      </c>
      <c r="B1919" s="10" t="s">
        <v>9</v>
      </c>
      <c r="C1919" s="10" t="s">
        <v>363</v>
      </c>
      <c r="D1919" s="10" t="s">
        <v>364</v>
      </c>
      <c r="E1919" s="11" t="str">
        <f>+HYPERLINK("http://trademark.i-assist.jp/data/china/image_1902th/79165773.pdf", "79165773")</f>
        <v>79165773</v>
      </c>
      <c r="F1919" s="10" t="s">
        <v>5543</v>
      </c>
      <c r="G1919" s="10" t="s">
        <v>5544</v>
      </c>
      <c r="H1919" s="10" t="s">
        <v>5545</v>
      </c>
      <c r="I1919" s="10" t="s">
        <v>338</v>
      </c>
    </row>
    <row r="1920" spans="1:9" x14ac:dyDescent="0.15">
      <c r="A1920" s="9">
        <v>1919</v>
      </c>
      <c r="B1920" s="10" t="s">
        <v>9</v>
      </c>
      <c r="C1920" s="10" t="s">
        <v>363</v>
      </c>
      <c r="D1920" s="10" t="s">
        <v>364</v>
      </c>
      <c r="E1920" s="11" t="str">
        <f>+HYPERLINK("http://trademark.i-assist.jp/data/china/image_1902th/79166060.pdf", "79166060")</f>
        <v>79166060</v>
      </c>
      <c r="F1920" s="10" t="s">
        <v>5546</v>
      </c>
      <c r="G1920" s="10" t="s">
        <v>5547</v>
      </c>
      <c r="H1920" s="10" t="s">
        <v>5548</v>
      </c>
      <c r="I1920" s="10" t="s">
        <v>338</v>
      </c>
    </row>
    <row r="1921" spans="1:9" x14ac:dyDescent="0.15">
      <c r="A1921" s="9">
        <v>1920</v>
      </c>
      <c r="B1921" s="10" t="s">
        <v>9</v>
      </c>
      <c r="C1921" s="10" t="s">
        <v>363</v>
      </c>
      <c r="D1921" s="10" t="s">
        <v>364</v>
      </c>
      <c r="E1921" s="11" t="str">
        <f>+HYPERLINK("http://trademark.i-assist.jp/data/china/image_1902th/79166075.pdf", "79166075")</f>
        <v>79166075</v>
      </c>
      <c r="F1921" s="10" t="s">
        <v>5549</v>
      </c>
      <c r="G1921" s="10" t="s">
        <v>5550</v>
      </c>
      <c r="H1921" s="10" t="s">
        <v>5551</v>
      </c>
      <c r="I1921" s="10" t="s">
        <v>338</v>
      </c>
    </row>
    <row r="1922" spans="1:9" x14ac:dyDescent="0.15">
      <c r="A1922" s="9">
        <v>1921</v>
      </c>
      <c r="B1922" s="10" t="s">
        <v>9</v>
      </c>
      <c r="C1922" s="10" t="s">
        <v>363</v>
      </c>
      <c r="D1922" s="10" t="s">
        <v>364</v>
      </c>
      <c r="E1922" s="11" t="str">
        <f>+HYPERLINK("http://trademark.i-assist.jp/data/china/image_1902th/79166365.pdf", "79166365")</f>
        <v>79166365</v>
      </c>
      <c r="F1922" s="10" t="s">
        <v>5552</v>
      </c>
      <c r="G1922" s="10" t="s">
        <v>5553</v>
      </c>
      <c r="H1922" s="10" t="s">
        <v>5554</v>
      </c>
      <c r="I1922" s="10" t="s">
        <v>338</v>
      </c>
    </row>
    <row r="1923" spans="1:9" x14ac:dyDescent="0.15">
      <c r="A1923" s="9">
        <v>1922</v>
      </c>
      <c r="B1923" s="10" t="s">
        <v>9</v>
      </c>
      <c r="C1923" s="10" t="s">
        <v>363</v>
      </c>
      <c r="D1923" s="10" t="s">
        <v>364</v>
      </c>
      <c r="E1923" s="11" t="str">
        <f>+HYPERLINK("http://trademark.i-assist.jp/data/china/image_1902th/79166438.pdf", "79166438")</f>
        <v>79166438</v>
      </c>
      <c r="F1923" s="10" t="s">
        <v>5555</v>
      </c>
      <c r="G1923" s="10" t="s">
        <v>340</v>
      </c>
      <c r="H1923" s="10" t="s">
        <v>5556</v>
      </c>
      <c r="I1923" s="10" t="s">
        <v>338</v>
      </c>
    </row>
    <row r="1924" spans="1:9" x14ac:dyDescent="0.15">
      <c r="A1924" s="9">
        <v>1923</v>
      </c>
      <c r="B1924" s="10" t="s">
        <v>9</v>
      </c>
      <c r="C1924" s="10" t="s">
        <v>363</v>
      </c>
      <c r="D1924" s="10" t="s">
        <v>364</v>
      </c>
      <c r="E1924" s="11" t="str">
        <f>+HYPERLINK("http://trademark.i-assist.jp/data/china/image_1902th/79166719.pdf", "79166719")</f>
        <v>79166719</v>
      </c>
      <c r="F1924" s="10" t="s">
        <v>5557</v>
      </c>
      <c r="G1924" s="10" t="s">
        <v>5558</v>
      </c>
      <c r="H1924" s="10" t="s">
        <v>5559</v>
      </c>
      <c r="I1924" s="10" t="s">
        <v>338</v>
      </c>
    </row>
    <row r="1925" spans="1:9" x14ac:dyDescent="0.15">
      <c r="A1925" s="9">
        <v>1924</v>
      </c>
      <c r="B1925" s="10" t="s">
        <v>9</v>
      </c>
      <c r="C1925" s="10" t="s">
        <v>363</v>
      </c>
      <c r="D1925" s="10" t="s">
        <v>364</v>
      </c>
      <c r="E1925" s="11" t="str">
        <f>+HYPERLINK("http://trademark.i-assist.jp/data/china/image_1902th/79167108.pdf", "79167108")</f>
        <v>79167108</v>
      </c>
      <c r="F1925" s="10" t="s">
        <v>5560</v>
      </c>
      <c r="G1925" s="10" t="s">
        <v>5433</v>
      </c>
      <c r="H1925" s="10" t="s">
        <v>5561</v>
      </c>
      <c r="I1925" s="10" t="s">
        <v>338</v>
      </c>
    </row>
    <row r="1926" spans="1:9" x14ac:dyDescent="0.15">
      <c r="A1926" s="9">
        <v>1925</v>
      </c>
      <c r="B1926" s="10" t="s">
        <v>9</v>
      </c>
      <c r="C1926" s="10" t="s">
        <v>363</v>
      </c>
      <c r="D1926" s="10" t="s">
        <v>364</v>
      </c>
      <c r="E1926" s="11" t="str">
        <f>+HYPERLINK("http://trademark.i-assist.jp/data/china/image_1902th/79167621.pdf", "79167621")</f>
        <v>79167621</v>
      </c>
      <c r="F1926" s="10" t="s">
        <v>5562</v>
      </c>
      <c r="G1926" s="10" t="s">
        <v>5563</v>
      </c>
      <c r="H1926" s="10" t="s">
        <v>5564</v>
      </c>
      <c r="I1926" s="10" t="s">
        <v>338</v>
      </c>
    </row>
    <row r="1927" spans="1:9" x14ac:dyDescent="0.15">
      <c r="A1927" s="9">
        <v>1926</v>
      </c>
      <c r="B1927" s="10" t="s">
        <v>9</v>
      </c>
      <c r="C1927" s="10" t="s">
        <v>363</v>
      </c>
      <c r="D1927" s="10" t="s">
        <v>364</v>
      </c>
      <c r="E1927" s="11" t="str">
        <f>+HYPERLINK("http://trademark.i-assist.jp/data/china/image_1902th/79167747.pdf", "79167747")</f>
        <v>79167747</v>
      </c>
      <c r="F1927" s="10" t="s">
        <v>5565</v>
      </c>
      <c r="G1927" s="10" t="s">
        <v>5566</v>
      </c>
      <c r="H1927" s="10" t="s">
        <v>5567</v>
      </c>
      <c r="I1927" s="10" t="s">
        <v>338</v>
      </c>
    </row>
    <row r="1928" spans="1:9" x14ac:dyDescent="0.15">
      <c r="A1928" s="9">
        <v>1927</v>
      </c>
      <c r="B1928" s="10" t="s">
        <v>9</v>
      </c>
      <c r="C1928" s="10" t="s">
        <v>363</v>
      </c>
      <c r="D1928" s="10" t="s">
        <v>364</v>
      </c>
      <c r="E1928" s="11" t="str">
        <f>+HYPERLINK("http://trademark.i-assist.jp/data/china/image_1902th/79167827.pdf", "79167827")</f>
        <v>79167827</v>
      </c>
      <c r="F1928" s="10" t="s">
        <v>5568</v>
      </c>
      <c r="G1928" s="10" t="s">
        <v>5569</v>
      </c>
      <c r="H1928" s="10" t="s">
        <v>5570</v>
      </c>
      <c r="I1928" s="10" t="s">
        <v>338</v>
      </c>
    </row>
    <row r="1929" spans="1:9" x14ac:dyDescent="0.15">
      <c r="A1929" s="9">
        <v>1928</v>
      </c>
      <c r="B1929" s="10" t="s">
        <v>9</v>
      </c>
      <c r="C1929" s="10" t="s">
        <v>363</v>
      </c>
      <c r="D1929" s="10" t="s">
        <v>364</v>
      </c>
      <c r="E1929" s="11" t="str">
        <f>+HYPERLINK("http://trademark.i-assist.jp/data/china/image_1902th/79167970.pdf", "79167970")</f>
        <v>79167970</v>
      </c>
      <c r="F1929" s="10" t="s">
        <v>5571</v>
      </c>
      <c r="G1929" s="10" t="s">
        <v>5572</v>
      </c>
      <c r="H1929" s="10" t="s">
        <v>15</v>
      </c>
      <c r="I1929" s="10" t="s">
        <v>338</v>
      </c>
    </row>
    <row r="1930" spans="1:9" x14ac:dyDescent="0.15">
      <c r="A1930" s="9">
        <v>1929</v>
      </c>
      <c r="B1930" s="10" t="s">
        <v>9</v>
      </c>
      <c r="C1930" s="10" t="s">
        <v>363</v>
      </c>
      <c r="D1930" s="10" t="s">
        <v>364</v>
      </c>
      <c r="E1930" s="11" t="str">
        <f>+HYPERLINK("http://trademark.i-assist.jp/data/china/image_1902th/79168459.pdf", "79168459")</f>
        <v>79168459</v>
      </c>
      <c r="F1930" s="10" t="s">
        <v>5573</v>
      </c>
      <c r="G1930" s="10" t="s">
        <v>339</v>
      </c>
      <c r="H1930" s="10" t="s">
        <v>5574</v>
      </c>
      <c r="I1930" s="10" t="s">
        <v>338</v>
      </c>
    </row>
    <row r="1931" spans="1:9" x14ac:dyDescent="0.15">
      <c r="A1931" s="9">
        <v>1930</v>
      </c>
      <c r="B1931" s="10" t="s">
        <v>9</v>
      </c>
      <c r="C1931" s="10" t="s">
        <v>363</v>
      </c>
      <c r="D1931" s="10" t="s">
        <v>364</v>
      </c>
      <c r="E1931" s="11" t="str">
        <f>+HYPERLINK("http://trademark.i-assist.jp/data/china/image_1902th/79168461.pdf", "79168461")</f>
        <v>79168461</v>
      </c>
      <c r="F1931" s="10" t="s">
        <v>5575</v>
      </c>
      <c r="G1931" s="10" t="s">
        <v>5576</v>
      </c>
      <c r="H1931" s="10" t="s">
        <v>5577</v>
      </c>
      <c r="I1931" s="10" t="s">
        <v>338</v>
      </c>
    </row>
    <row r="1932" spans="1:9" x14ac:dyDescent="0.15">
      <c r="A1932" s="9">
        <v>1931</v>
      </c>
      <c r="B1932" s="10" t="s">
        <v>9</v>
      </c>
      <c r="C1932" s="10" t="s">
        <v>363</v>
      </c>
      <c r="D1932" s="10" t="s">
        <v>364</v>
      </c>
      <c r="E1932" s="11" t="str">
        <f>+HYPERLINK("http://trademark.i-assist.jp/data/china/image_1902th/79168534.pdf", "79168534")</f>
        <v>79168534</v>
      </c>
      <c r="F1932" s="10" t="s">
        <v>5578</v>
      </c>
      <c r="G1932" s="10" t="s">
        <v>5579</v>
      </c>
      <c r="H1932" s="10" t="s">
        <v>5580</v>
      </c>
      <c r="I1932" s="10" t="s">
        <v>338</v>
      </c>
    </row>
    <row r="1933" spans="1:9" x14ac:dyDescent="0.15">
      <c r="A1933" s="9">
        <v>1932</v>
      </c>
      <c r="B1933" s="10" t="s">
        <v>9</v>
      </c>
      <c r="C1933" s="10" t="s">
        <v>363</v>
      </c>
      <c r="D1933" s="10" t="s">
        <v>364</v>
      </c>
      <c r="E1933" s="11" t="str">
        <f>+HYPERLINK("http://trademark.i-assist.jp/data/china/image_1902th/79168547.pdf", "79168547")</f>
        <v>79168547</v>
      </c>
      <c r="F1933" s="10" t="s">
        <v>5581</v>
      </c>
      <c r="G1933" s="10" t="s">
        <v>5037</v>
      </c>
      <c r="H1933" s="10" t="s">
        <v>5582</v>
      </c>
      <c r="I1933" s="10" t="s">
        <v>338</v>
      </c>
    </row>
    <row r="1934" spans="1:9" x14ac:dyDescent="0.15">
      <c r="A1934" s="9">
        <v>1933</v>
      </c>
      <c r="B1934" s="10" t="s">
        <v>9</v>
      </c>
      <c r="C1934" s="10" t="s">
        <v>363</v>
      </c>
      <c r="D1934" s="10" t="s">
        <v>364</v>
      </c>
      <c r="E1934" s="11" t="str">
        <f>+HYPERLINK("http://trademark.i-assist.jp/data/china/image_1902th/79168581.pdf", "79168581")</f>
        <v>79168581</v>
      </c>
      <c r="F1934" s="10" t="s">
        <v>12</v>
      </c>
      <c r="G1934" s="10" t="s">
        <v>5583</v>
      </c>
      <c r="H1934" s="10" t="s">
        <v>5584</v>
      </c>
      <c r="I1934" s="10" t="s">
        <v>338</v>
      </c>
    </row>
    <row r="1935" spans="1:9" x14ac:dyDescent="0.15">
      <c r="A1935" s="9">
        <v>1934</v>
      </c>
      <c r="B1935" s="10" t="s">
        <v>9</v>
      </c>
      <c r="C1935" s="10" t="s">
        <v>363</v>
      </c>
      <c r="D1935" s="10" t="s">
        <v>364</v>
      </c>
      <c r="E1935" s="11" t="str">
        <f>+HYPERLINK("http://trademark.i-assist.jp/data/china/image_1902th/79168812.pdf", "79168812")</f>
        <v>79168812</v>
      </c>
      <c r="F1935" s="10" t="s">
        <v>5585</v>
      </c>
      <c r="G1935" s="10" t="s">
        <v>5586</v>
      </c>
      <c r="H1935" s="10" t="s">
        <v>5587</v>
      </c>
      <c r="I1935" s="10" t="s">
        <v>338</v>
      </c>
    </row>
    <row r="1936" spans="1:9" x14ac:dyDescent="0.15">
      <c r="A1936" s="9">
        <v>1935</v>
      </c>
      <c r="B1936" s="10" t="s">
        <v>9</v>
      </c>
      <c r="C1936" s="10" t="s">
        <v>363</v>
      </c>
      <c r="D1936" s="10" t="s">
        <v>364</v>
      </c>
      <c r="E1936" s="11" t="str">
        <f>+HYPERLINK("http://trademark.i-assist.jp/data/china/image_1902th/79168868.pdf", "79168868")</f>
        <v>79168868</v>
      </c>
      <c r="F1936" s="10" t="s">
        <v>5588</v>
      </c>
      <c r="G1936" s="10" t="s">
        <v>5589</v>
      </c>
      <c r="H1936" s="10" t="s">
        <v>5590</v>
      </c>
      <c r="I1936" s="10" t="s">
        <v>338</v>
      </c>
    </row>
    <row r="1937" spans="1:9" x14ac:dyDescent="0.15">
      <c r="A1937" s="9">
        <v>1936</v>
      </c>
      <c r="B1937" s="10" t="s">
        <v>9</v>
      </c>
      <c r="C1937" s="10" t="s">
        <v>363</v>
      </c>
      <c r="D1937" s="10" t="s">
        <v>364</v>
      </c>
      <c r="E1937" s="11" t="str">
        <f>+HYPERLINK("http://trademark.i-assist.jp/data/china/image_1902th/79168870.pdf", "79168870")</f>
        <v>79168870</v>
      </c>
      <c r="F1937" s="10" t="s">
        <v>5591</v>
      </c>
      <c r="G1937" s="10" t="s">
        <v>5592</v>
      </c>
      <c r="H1937" s="10" t="s">
        <v>5593</v>
      </c>
      <c r="I1937" s="10" t="s">
        <v>338</v>
      </c>
    </row>
    <row r="1938" spans="1:9" x14ac:dyDescent="0.15">
      <c r="A1938" s="9">
        <v>1937</v>
      </c>
      <c r="B1938" s="10" t="s">
        <v>9</v>
      </c>
      <c r="C1938" s="10" t="s">
        <v>363</v>
      </c>
      <c r="D1938" s="10" t="s">
        <v>364</v>
      </c>
      <c r="E1938" s="11" t="str">
        <f>+HYPERLINK("http://trademark.i-assist.jp/data/china/image_1902th/79168888.pdf", "79168888")</f>
        <v>79168888</v>
      </c>
      <c r="F1938" s="10" t="s">
        <v>5594</v>
      </c>
      <c r="G1938" s="10" t="s">
        <v>5595</v>
      </c>
      <c r="H1938" s="10" t="s">
        <v>5596</v>
      </c>
      <c r="I1938" s="10" t="s">
        <v>338</v>
      </c>
    </row>
    <row r="1939" spans="1:9" x14ac:dyDescent="0.15">
      <c r="A1939" s="9">
        <v>1938</v>
      </c>
      <c r="B1939" s="10" t="s">
        <v>9</v>
      </c>
      <c r="C1939" s="10" t="s">
        <v>363</v>
      </c>
      <c r="D1939" s="10" t="s">
        <v>364</v>
      </c>
      <c r="E1939" s="11" t="str">
        <f>+HYPERLINK("http://trademark.i-assist.jp/data/china/image_1902th/79169361.pdf", "79169361")</f>
        <v>79169361</v>
      </c>
      <c r="F1939" s="10" t="s">
        <v>5597</v>
      </c>
      <c r="G1939" s="10" t="s">
        <v>5598</v>
      </c>
      <c r="H1939" s="10" t="s">
        <v>5599</v>
      </c>
      <c r="I1939" s="10" t="s">
        <v>338</v>
      </c>
    </row>
    <row r="1940" spans="1:9" x14ac:dyDescent="0.15">
      <c r="A1940" s="9">
        <v>1939</v>
      </c>
      <c r="B1940" s="10" t="s">
        <v>9</v>
      </c>
      <c r="C1940" s="10" t="s">
        <v>363</v>
      </c>
      <c r="D1940" s="10" t="s">
        <v>364</v>
      </c>
      <c r="E1940" s="11" t="str">
        <f>+HYPERLINK("http://trademark.i-assist.jp/data/china/image_1902th/79169526.pdf", "79169526")</f>
        <v>79169526</v>
      </c>
      <c r="F1940" s="10" t="s">
        <v>5600</v>
      </c>
      <c r="G1940" s="10" t="s">
        <v>5601</v>
      </c>
      <c r="H1940" s="10" t="s">
        <v>5602</v>
      </c>
      <c r="I1940" s="10" t="s">
        <v>338</v>
      </c>
    </row>
    <row r="1941" spans="1:9" x14ac:dyDescent="0.15">
      <c r="A1941" s="9">
        <v>1940</v>
      </c>
      <c r="B1941" s="10" t="s">
        <v>9</v>
      </c>
      <c r="C1941" s="10" t="s">
        <v>363</v>
      </c>
      <c r="D1941" s="10" t="s">
        <v>364</v>
      </c>
      <c r="E1941" s="11" t="str">
        <f>+HYPERLINK("http://trademark.i-assist.jp/data/china/image_1902th/79169648.pdf", "79169648")</f>
        <v>79169648</v>
      </c>
      <c r="F1941" s="10" t="s">
        <v>5603</v>
      </c>
      <c r="G1941" s="10" t="s">
        <v>2639</v>
      </c>
      <c r="H1941" s="10" t="s">
        <v>5604</v>
      </c>
      <c r="I1941" s="10" t="s">
        <v>338</v>
      </c>
    </row>
    <row r="1942" spans="1:9" x14ac:dyDescent="0.15">
      <c r="A1942" s="9">
        <v>1941</v>
      </c>
      <c r="B1942" s="10" t="s">
        <v>9</v>
      </c>
      <c r="C1942" s="10" t="s">
        <v>363</v>
      </c>
      <c r="D1942" s="10" t="s">
        <v>364</v>
      </c>
      <c r="E1942" s="11" t="str">
        <f>+HYPERLINK("http://trademark.i-assist.jp/data/china/image_1902th/79169715.pdf", "79169715")</f>
        <v>79169715</v>
      </c>
      <c r="F1942" s="10" t="s">
        <v>5605</v>
      </c>
      <c r="G1942" s="10" t="s">
        <v>5606</v>
      </c>
      <c r="H1942" s="10" t="s">
        <v>5607</v>
      </c>
      <c r="I1942" s="10" t="s">
        <v>338</v>
      </c>
    </row>
    <row r="1943" spans="1:9" x14ac:dyDescent="0.15">
      <c r="A1943" s="9">
        <v>1942</v>
      </c>
      <c r="B1943" s="10" t="s">
        <v>9</v>
      </c>
      <c r="C1943" s="10" t="s">
        <v>363</v>
      </c>
      <c r="D1943" s="10" t="s">
        <v>364</v>
      </c>
      <c r="E1943" s="11" t="str">
        <f>+HYPERLINK("http://trademark.i-assist.jp/data/china/image_1902th/79169864.pdf", "79169864")</f>
        <v>79169864</v>
      </c>
      <c r="F1943" s="10" t="s">
        <v>5608</v>
      </c>
      <c r="G1943" s="10" t="s">
        <v>5609</v>
      </c>
      <c r="H1943" s="10" t="s">
        <v>5610</v>
      </c>
      <c r="I1943" s="10" t="s">
        <v>338</v>
      </c>
    </row>
    <row r="1944" spans="1:9" x14ac:dyDescent="0.15">
      <c r="A1944" s="9">
        <v>1943</v>
      </c>
      <c r="B1944" s="10" t="s">
        <v>9</v>
      </c>
      <c r="C1944" s="10" t="s">
        <v>363</v>
      </c>
      <c r="D1944" s="10" t="s">
        <v>364</v>
      </c>
      <c r="E1944" s="11" t="str">
        <f>+HYPERLINK("http://trademark.i-assist.jp/data/china/image_1902th/79169916.pdf", "79169916")</f>
        <v>79169916</v>
      </c>
      <c r="F1944" s="10" t="s">
        <v>5611</v>
      </c>
      <c r="G1944" s="10" t="s">
        <v>5612</v>
      </c>
      <c r="H1944" s="10" t="s">
        <v>5613</v>
      </c>
      <c r="I1944" s="10" t="s">
        <v>338</v>
      </c>
    </row>
    <row r="1945" spans="1:9" x14ac:dyDescent="0.15">
      <c r="A1945" s="9">
        <v>1944</v>
      </c>
      <c r="B1945" s="10" t="s">
        <v>9</v>
      </c>
      <c r="C1945" s="10" t="s">
        <v>363</v>
      </c>
      <c r="D1945" s="10" t="s">
        <v>364</v>
      </c>
      <c r="E1945" s="11" t="str">
        <f>+HYPERLINK("http://trademark.i-assist.jp/data/china/image_1902th/79170009.pdf", "79170009")</f>
        <v>79170009</v>
      </c>
      <c r="F1945" s="10" t="s">
        <v>5614</v>
      </c>
      <c r="G1945" s="10" t="s">
        <v>5444</v>
      </c>
      <c r="H1945" s="10" t="s">
        <v>5615</v>
      </c>
      <c r="I1945" s="10" t="s">
        <v>338</v>
      </c>
    </row>
    <row r="1946" spans="1:9" x14ac:dyDescent="0.15">
      <c r="A1946" s="9">
        <v>1945</v>
      </c>
      <c r="B1946" s="10" t="s">
        <v>9</v>
      </c>
      <c r="C1946" s="10" t="s">
        <v>363</v>
      </c>
      <c r="D1946" s="10" t="s">
        <v>364</v>
      </c>
      <c r="E1946" s="11" t="str">
        <f>+HYPERLINK("http://trademark.i-assist.jp/data/china/image_1902th/79170598.pdf", "79170598")</f>
        <v>79170598</v>
      </c>
      <c r="F1946" s="10" t="s">
        <v>5616</v>
      </c>
      <c r="G1946" s="10" t="s">
        <v>5617</v>
      </c>
      <c r="H1946" s="10" t="s">
        <v>5618</v>
      </c>
      <c r="I1946" s="10" t="s">
        <v>338</v>
      </c>
    </row>
    <row r="1947" spans="1:9" x14ac:dyDescent="0.15">
      <c r="A1947" s="9">
        <v>1946</v>
      </c>
      <c r="B1947" s="10" t="s">
        <v>9</v>
      </c>
      <c r="C1947" s="10" t="s">
        <v>363</v>
      </c>
      <c r="D1947" s="10" t="s">
        <v>364</v>
      </c>
      <c r="E1947" s="11" t="str">
        <f>+HYPERLINK("http://trademark.i-assist.jp/data/china/image_1902th/79170616.pdf", "79170616")</f>
        <v>79170616</v>
      </c>
      <c r="F1947" s="10" t="s">
        <v>5619</v>
      </c>
      <c r="G1947" s="10" t="s">
        <v>5563</v>
      </c>
      <c r="H1947" s="10" t="s">
        <v>5620</v>
      </c>
      <c r="I1947" s="10" t="s">
        <v>338</v>
      </c>
    </row>
    <row r="1948" spans="1:9" x14ac:dyDescent="0.15">
      <c r="A1948" s="9">
        <v>1947</v>
      </c>
      <c r="B1948" s="10" t="s">
        <v>9</v>
      </c>
      <c r="C1948" s="10" t="s">
        <v>363</v>
      </c>
      <c r="D1948" s="10" t="s">
        <v>364</v>
      </c>
      <c r="E1948" s="11" t="str">
        <f>+HYPERLINK("http://trademark.i-assist.jp/data/china/image_1902th/79170641.pdf", "79170641")</f>
        <v>79170641</v>
      </c>
      <c r="F1948" s="10" t="s">
        <v>5621</v>
      </c>
      <c r="G1948" s="10" t="s">
        <v>5622</v>
      </c>
      <c r="H1948" s="10" t="s">
        <v>5623</v>
      </c>
      <c r="I1948" s="10" t="s">
        <v>338</v>
      </c>
    </row>
    <row r="1949" spans="1:9" x14ac:dyDescent="0.15">
      <c r="A1949" s="9">
        <v>1948</v>
      </c>
      <c r="B1949" s="10" t="s">
        <v>9</v>
      </c>
      <c r="C1949" s="10" t="s">
        <v>363</v>
      </c>
      <c r="D1949" s="10" t="s">
        <v>364</v>
      </c>
      <c r="E1949" s="11" t="str">
        <f>+HYPERLINK("http://trademark.i-assist.jp/data/china/image_1902th/79171327.pdf", "79171327")</f>
        <v>79171327</v>
      </c>
      <c r="F1949" s="10" t="s">
        <v>5624</v>
      </c>
      <c r="G1949" s="10" t="s">
        <v>5031</v>
      </c>
      <c r="H1949" s="10" t="s">
        <v>5625</v>
      </c>
      <c r="I1949" s="10" t="s">
        <v>338</v>
      </c>
    </row>
    <row r="1950" spans="1:9" x14ac:dyDescent="0.15">
      <c r="A1950" s="9">
        <v>1949</v>
      </c>
      <c r="B1950" s="10" t="s">
        <v>9</v>
      </c>
      <c r="C1950" s="10" t="s">
        <v>363</v>
      </c>
      <c r="D1950" s="10" t="s">
        <v>364</v>
      </c>
      <c r="E1950" s="11" t="str">
        <f>+HYPERLINK("http://trademark.i-assist.jp/data/china/image_1902th/79171341.pdf", "79171341")</f>
        <v>79171341</v>
      </c>
      <c r="F1950" s="10" t="s">
        <v>5626</v>
      </c>
      <c r="G1950" s="10" t="s">
        <v>1162</v>
      </c>
      <c r="H1950" s="10" t="s">
        <v>5627</v>
      </c>
      <c r="I1950" s="10" t="s">
        <v>338</v>
      </c>
    </row>
    <row r="1951" spans="1:9" x14ac:dyDescent="0.15">
      <c r="A1951" s="9">
        <v>1950</v>
      </c>
      <c r="B1951" s="10" t="s">
        <v>9</v>
      </c>
      <c r="C1951" s="10" t="s">
        <v>363</v>
      </c>
      <c r="D1951" s="10" t="s">
        <v>364</v>
      </c>
      <c r="E1951" s="11" t="str">
        <f>+HYPERLINK("http://trademark.i-assist.jp/data/china/image_1902th/79171617.pdf", "79171617")</f>
        <v>79171617</v>
      </c>
      <c r="F1951" s="10" t="s">
        <v>5628</v>
      </c>
      <c r="G1951" s="10" t="s">
        <v>5629</v>
      </c>
      <c r="H1951" s="10" t="s">
        <v>5630</v>
      </c>
      <c r="I1951" s="10" t="s">
        <v>338</v>
      </c>
    </row>
    <row r="1952" spans="1:9" x14ac:dyDescent="0.15">
      <c r="A1952" s="9">
        <v>1951</v>
      </c>
      <c r="B1952" s="10" t="s">
        <v>9</v>
      </c>
      <c r="C1952" s="10" t="s">
        <v>363</v>
      </c>
      <c r="D1952" s="10" t="s">
        <v>364</v>
      </c>
      <c r="E1952" s="11" t="str">
        <f>+HYPERLINK("http://trademark.i-assist.jp/data/china/image_1902th/79172168.pdf", "79172168")</f>
        <v>79172168</v>
      </c>
      <c r="F1952" s="10" t="s">
        <v>5631</v>
      </c>
      <c r="G1952" s="10" t="s">
        <v>5632</v>
      </c>
      <c r="H1952" s="10" t="s">
        <v>5633</v>
      </c>
      <c r="I1952" s="10" t="s">
        <v>338</v>
      </c>
    </row>
    <row r="1953" spans="1:9" x14ac:dyDescent="0.15">
      <c r="A1953" s="9">
        <v>1952</v>
      </c>
      <c r="B1953" s="10" t="s">
        <v>9</v>
      </c>
      <c r="C1953" s="10" t="s">
        <v>363</v>
      </c>
      <c r="D1953" s="10" t="s">
        <v>364</v>
      </c>
      <c r="E1953" s="11" t="str">
        <f>+HYPERLINK("http://trademark.i-assist.jp/data/china/image_1902th/79172211.pdf", "79172211")</f>
        <v>79172211</v>
      </c>
      <c r="F1953" s="10" t="s">
        <v>5634</v>
      </c>
      <c r="G1953" s="10" t="s">
        <v>5433</v>
      </c>
      <c r="H1953" s="10" t="s">
        <v>5635</v>
      </c>
      <c r="I1953" s="10" t="s">
        <v>338</v>
      </c>
    </row>
    <row r="1954" spans="1:9" x14ac:dyDescent="0.15">
      <c r="A1954" s="9">
        <v>1953</v>
      </c>
      <c r="B1954" s="10" t="s">
        <v>9</v>
      </c>
      <c r="C1954" s="10" t="s">
        <v>363</v>
      </c>
      <c r="D1954" s="10" t="s">
        <v>364</v>
      </c>
      <c r="E1954" s="11" t="str">
        <f>+HYPERLINK("http://trademark.i-assist.jp/data/china/image_1902th/79172387.pdf", "79172387")</f>
        <v>79172387</v>
      </c>
      <c r="F1954" s="10" t="s">
        <v>5636</v>
      </c>
      <c r="G1954" s="10" t="s">
        <v>5637</v>
      </c>
      <c r="H1954" s="10" t="s">
        <v>5638</v>
      </c>
      <c r="I1954" s="10" t="s">
        <v>338</v>
      </c>
    </row>
    <row r="1955" spans="1:9" x14ac:dyDescent="0.15">
      <c r="A1955" s="9">
        <v>1954</v>
      </c>
      <c r="B1955" s="10" t="s">
        <v>9</v>
      </c>
      <c r="C1955" s="10" t="s">
        <v>363</v>
      </c>
      <c r="D1955" s="10" t="s">
        <v>364</v>
      </c>
      <c r="E1955" s="11" t="str">
        <f>+HYPERLINK("http://trademark.i-assist.jp/data/china/image_1902th/79172451.pdf", "79172451")</f>
        <v>79172451</v>
      </c>
      <c r="F1955" s="10" t="s">
        <v>5639</v>
      </c>
      <c r="G1955" s="10" t="s">
        <v>5640</v>
      </c>
      <c r="H1955" s="10" t="s">
        <v>5641</v>
      </c>
      <c r="I1955" s="10" t="s">
        <v>338</v>
      </c>
    </row>
    <row r="1956" spans="1:9" x14ac:dyDescent="0.15">
      <c r="A1956" s="9">
        <v>1955</v>
      </c>
      <c r="B1956" s="10" t="s">
        <v>9</v>
      </c>
      <c r="C1956" s="10" t="s">
        <v>363</v>
      </c>
      <c r="D1956" s="10" t="s">
        <v>364</v>
      </c>
      <c r="E1956" s="11" t="str">
        <f>+HYPERLINK("http://trademark.i-assist.jp/data/china/image_1902th/79172464.pdf", "79172464")</f>
        <v>79172464</v>
      </c>
      <c r="F1956" s="10" t="s">
        <v>5642</v>
      </c>
      <c r="G1956" s="10" t="s">
        <v>340</v>
      </c>
      <c r="H1956" s="10" t="s">
        <v>5643</v>
      </c>
      <c r="I1956" s="10" t="s">
        <v>338</v>
      </c>
    </row>
    <row r="1957" spans="1:9" x14ac:dyDescent="0.15">
      <c r="A1957" s="9">
        <v>1956</v>
      </c>
      <c r="B1957" s="10" t="s">
        <v>9</v>
      </c>
      <c r="C1957" s="10" t="s">
        <v>363</v>
      </c>
      <c r="D1957" s="10" t="s">
        <v>364</v>
      </c>
      <c r="E1957" s="11" t="str">
        <f>+HYPERLINK("http://trademark.i-assist.jp/data/china/image_1902th/79172468.pdf", "79172468")</f>
        <v>79172468</v>
      </c>
      <c r="F1957" s="10" t="s">
        <v>5644</v>
      </c>
      <c r="G1957" s="10" t="s">
        <v>5645</v>
      </c>
      <c r="H1957" s="10" t="s">
        <v>5646</v>
      </c>
      <c r="I1957" s="10" t="s">
        <v>338</v>
      </c>
    </row>
    <row r="1958" spans="1:9" x14ac:dyDescent="0.15">
      <c r="A1958" s="9">
        <v>1957</v>
      </c>
      <c r="B1958" s="10" t="s">
        <v>9</v>
      </c>
      <c r="C1958" s="10" t="s">
        <v>363</v>
      </c>
      <c r="D1958" s="10" t="s">
        <v>364</v>
      </c>
      <c r="E1958" s="11" t="str">
        <f>+HYPERLINK("http://trademark.i-assist.jp/data/china/image_1902th/79172667.pdf", "79172667")</f>
        <v>79172667</v>
      </c>
      <c r="F1958" s="10" t="s">
        <v>5647</v>
      </c>
      <c r="G1958" s="10" t="s">
        <v>5648</v>
      </c>
      <c r="H1958" s="10" t="s">
        <v>5649</v>
      </c>
      <c r="I1958" s="10" t="s">
        <v>338</v>
      </c>
    </row>
    <row r="1959" spans="1:9" x14ac:dyDescent="0.15">
      <c r="A1959" s="9">
        <v>1958</v>
      </c>
      <c r="B1959" s="10" t="s">
        <v>9</v>
      </c>
      <c r="C1959" s="10" t="s">
        <v>363</v>
      </c>
      <c r="D1959" s="10" t="s">
        <v>364</v>
      </c>
      <c r="E1959" s="11" t="str">
        <f>+HYPERLINK("http://trademark.i-assist.jp/data/china/image_1902th/79172711.pdf", "79172711")</f>
        <v>79172711</v>
      </c>
      <c r="F1959" s="10" t="s">
        <v>5650</v>
      </c>
      <c r="G1959" s="10" t="s">
        <v>5651</v>
      </c>
      <c r="H1959" s="10" t="s">
        <v>5652</v>
      </c>
      <c r="I1959" s="10" t="s">
        <v>338</v>
      </c>
    </row>
    <row r="1960" spans="1:9" x14ac:dyDescent="0.15">
      <c r="A1960" s="9">
        <v>1959</v>
      </c>
      <c r="B1960" s="10" t="s">
        <v>9</v>
      </c>
      <c r="C1960" s="10" t="s">
        <v>363</v>
      </c>
      <c r="D1960" s="10" t="s">
        <v>364</v>
      </c>
      <c r="E1960" s="11" t="str">
        <f>+HYPERLINK("http://trademark.i-assist.jp/data/china/image_1902th/79172934.pdf", "79172934")</f>
        <v>79172934</v>
      </c>
      <c r="F1960" s="10" t="s">
        <v>5653</v>
      </c>
      <c r="G1960" s="10" t="s">
        <v>5654</v>
      </c>
      <c r="H1960" s="10" t="s">
        <v>5655</v>
      </c>
      <c r="I1960" s="10" t="s">
        <v>338</v>
      </c>
    </row>
    <row r="1961" spans="1:9" x14ac:dyDescent="0.15">
      <c r="A1961" s="9">
        <v>1960</v>
      </c>
      <c r="B1961" s="10" t="s">
        <v>9</v>
      </c>
      <c r="C1961" s="10" t="s">
        <v>363</v>
      </c>
      <c r="D1961" s="10" t="s">
        <v>364</v>
      </c>
      <c r="E1961" s="11" t="str">
        <f>+HYPERLINK("http://trademark.i-assist.jp/data/china/image_1902th/79173348.pdf", "79173348")</f>
        <v>79173348</v>
      </c>
      <c r="F1961" s="10" t="s">
        <v>5656</v>
      </c>
      <c r="G1961" s="10" t="s">
        <v>5657</v>
      </c>
      <c r="H1961" s="10" t="s">
        <v>5658</v>
      </c>
      <c r="I1961" s="10" t="s">
        <v>338</v>
      </c>
    </row>
    <row r="1962" spans="1:9" x14ac:dyDescent="0.15">
      <c r="A1962" s="9">
        <v>1961</v>
      </c>
      <c r="B1962" s="10" t="s">
        <v>9</v>
      </c>
      <c r="C1962" s="10" t="s">
        <v>363</v>
      </c>
      <c r="D1962" s="10" t="s">
        <v>364</v>
      </c>
      <c r="E1962" s="11" t="str">
        <f>+HYPERLINK("http://trademark.i-assist.jp/data/china/image_1902th/79173903.pdf", "79173903")</f>
        <v>79173903</v>
      </c>
      <c r="F1962" s="10" t="s">
        <v>5659</v>
      </c>
      <c r="G1962" s="10" t="s">
        <v>5660</v>
      </c>
      <c r="H1962" s="10" t="s">
        <v>5661</v>
      </c>
      <c r="I1962" s="10" t="s">
        <v>338</v>
      </c>
    </row>
    <row r="1963" spans="1:9" x14ac:dyDescent="0.15">
      <c r="A1963" s="9">
        <v>1962</v>
      </c>
      <c r="B1963" s="10" t="s">
        <v>9</v>
      </c>
      <c r="C1963" s="10" t="s">
        <v>363</v>
      </c>
      <c r="D1963" s="10" t="s">
        <v>364</v>
      </c>
      <c r="E1963" s="11" t="str">
        <f>+HYPERLINK("http://trademark.i-assist.jp/data/china/image_1902th/79173961.pdf", "79173961")</f>
        <v>79173961</v>
      </c>
      <c r="F1963" s="10" t="s">
        <v>5662</v>
      </c>
      <c r="G1963" s="10" t="s">
        <v>5553</v>
      </c>
      <c r="H1963" s="10" t="s">
        <v>5663</v>
      </c>
      <c r="I1963" s="10" t="s">
        <v>338</v>
      </c>
    </row>
    <row r="1964" spans="1:9" x14ac:dyDescent="0.15">
      <c r="A1964" s="9">
        <v>1963</v>
      </c>
      <c r="B1964" s="10" t="s">
        <v>9</v>
      </c>
      <c r="C1964" s="10" t="s">
        <v>363</v>
      </c>
      <c r="D1964" s="10" t="s">
        <v>364</v>
      </c>
      <c r="E1964" s="11" t="str">
        <f>+HYPERLINK("http://trademark.i-assist.jp/data/china/image_1902th/79173994.pdf", "79173994")</f>
        <v>79173994</v>
      </c>
      <c r="F1964" s="10" t="s">
        <v>5664</v>
      </c>
      <c r="G1964" s="10" t="s">
        <v>5665</v>
      </c>
      <c r="H1964" s="10" t="s">
        <v>5666</v>
      </c>
      <c r="I1964" s="10" t="s">
        <v>338</v>
      </c>
    </row>
    <row r="1965" spans="1:9" x14ac:dyDescent="0.15">
      <c r="A1965" s="9">
        <v>1964</v>
      </c>
      <c r="B1965" s="10" t="s">
        <v>9</v>
      </c>
      <c r="C1965" s="10" t="s">
        <v>363</v>
      </c>
      <c r="D1965" s="10" t="s">
        <v>364</v>
      </c>
      <c r="E1965" s="11" t="str">
        <f>+HYPERLINK("http://trademark.i-assist.jp/data/china/image_1902th/79174102.pdf", "79174102")</f>
        <v>79174102</v>
      </c>
      <c r="F1965" s="10" t="s">
        <v>5667</v>
      </c>
      <c r="G1965" s="10" t="s">
        <v>242</v>
      </c>
      <c r="H1965" s="10" t="s">
        <v>5668</v>
      </c>
      <c r="I1965" s="10" t="s">
        <v>338</v>
      </c>
    </row>
    <row r="1966" spans="1:9" x14ac:dyDescent="0.15">
      <c r="A1966" s="9">
        <v>1965</v>
      </c>
      <c r="B1966" s="10" t="s">
        <v>9</v>
      </c>
      <c r="C1966" s="10" t="s">
        <v>363</v>
      </c>
      <c r="D1966" s="10" t="s">
        <v>364</v>
      </c>
      <c r="E1966" s="11" t="str">
        <f>+HYPERLINK("http://trademark.i-assist.jp/data/china/image_1902th/79174156.pdf", "79174156")</f>
        <v>79174156</v>
      </c>
      <c r="F1966" s="10" t="s">
        <v>5669</v>
      </c>
      <c r="G1966" s="10" t="s">
        <v>5670</v>
      </c>
      <c r="H1966" s="10" t="s">
        <v>5671</v>
      </c>
      <c r="I1966" s="10" t="s">
        <v>338</v>
      </c>
    </row>
    <row r="1967" spans="1:9" x14ac:dyDescent="0.15">
      <c r="A1967" s="9">
        <v>1966</v>
      </c>
      <c r="B1967" s="10" t="s">
        <v>9</v>
      </c>
      <c r="C1967" s="10" t="s">
        <v>363</v>
      </c>
      <c r="D1967" s="10" t="s">
        <v>364</v>
      </c>
      <c r="E1967" s="11" t="str">
        <f>+HYPERLINK("http://trademark.i-assist.jp/data/china/image_1902th/79174504.pdf", "79174504")</f>
        <v>79174504</v>
      </c>
      <c r="F1967" s="10" t="s">
        <v>5672</v>
      </c>
      <c r="G1967" s="10" t="s">
        <v>5673</v>
      </c>
      <c r="H1967" s="10" t="s">
        <v>5674</v>
      </c>
      <c r="I1967" s="10" t="s">
        <v>338</v>
      </c>
    </row>
    <row r="1968" spans="1:9" x14ac:dyDescent="0.15">
      <c r="A1968" s="9">
        <v>1967</v>
      </c>
      <c r="B1968" s="10" t="s">
        <v>9</v>
      </c>
      <c r="C1968" s="10" t="s">
        <v>363</v>
      </c>
      <c r="D1968" s="10" t="s">
        <v>364</v>
      </c>
      <c r="E1968" s="11" t="str">
        <f>+HYPERLINK("http://trademark.i-assist.jp/data/china/image_1902th/79174619.pdf", "79174619")</f>
        <v>79174619</v>
      </c>
      <c r="F1968" s="10" t="s">
        <v>5675</v>
      </c>
      <c r="G1968" s="10" t="s">
        <v>341</v>
      </c>
      <c r="H1968" s="10" t="s">
        <v>5676</v>
      </c>
      <c r="I1968" s="10" t="s">
        <v>338</v>
      </c>
    </row>
    <row r="1969" spans="1:9" x14ac:dyDescent="0.15">
      <c r="A1969" s="9">
        <v>1968</v>
      </c>
      <c r="B1969" s="10" t="s">
        <v>9</v>
      </c>
      <c r="C1969" s="10" t="s">
        <v>363</v>
      </c>
      <c r="D1969" s="10" t="s">
        <v>364</v>
      </c>
      <c r="E1969" s="11" t="str">
        <f>+HYPERLINK("http://trademark.i-assist.jp/data/china/image_1902th/79174640.pdf", "79174640")</f>
        <v>79174640</v>
      </c>
      <c r="F1969" s="10" t="s">
        <v>5677</v>
      </c>
      <c r="G1969" s="10" t="s">
        <v>5678</v>
      </c>
      <c r="H1969" s="10" t="s">
        <v>5679</v>
      </c>
      <c r="I1969" s="10" t="s">
        <v>338</v>
      </c>
    </row>
    <row r="1970" spans="1:9" x14ac:dyDescent="0.15">
      <c r="A1970" s="9">
        <v>1969</v>
      </c>
      <c r="B1970" s="10" t="s">
        <v>9</v>
      </c>
      <c r="C1970" s="10" t="s">
        <v>363</v>
      </c>
      <c r="D1970" s="10" t="s">
        <v>364</v>
      </c>
      <c r="E1970" s="11" t="str">
        <f>+HYPERLINK("http://trademark.i-assist.jp/data/china/image_1902th/79174668.pdf", "79174668")</f>
        <v>79174668</v>
      </c>
      <c r="F1970" s="10" t="s">
        <v>5680</v>
      </c>
      <c r="G1970" s="10" t="s">
        <v>5681</v>
      </c>
      <c r="H1970" s="10" t="s">
        <v>5682</v>
      </c>
      <c r="I1970" s="10" t="s">
        <v>338</v>
      </c>
    </row>
    <row r="1971" spans="1:9" x14ac:dyDescent="0.15">
      <c r="A1971" s="9">
        <v>1970</v>
      </c>
      <c r="B1971" s="10" t="s">
        <v>9</v>
      </c>
      <c r="C1971" s="10" t="s">
        <v>363</v>
      </c>
      <c r="D1971" s="10" t="s">
        <v>364</v>
      </c>
      <c r="E1971" s="11" t="str">
        <f>+HYPERLINK("http://trademark.i-assist.jp/data/china/image_1902th/79174930.pdf", "79174930")</f>
        <v>79174930</v>
      </c>
      <c r="F1971" s="10" t="s">
        <v>5683</v>
      </c>
      <c r="G1971" s="10" t="s">
        <v>178</v>
      </c>
      <c r="H1971" s="10" t="s">
        <v>5684</v>
      </c>
      <c r="I1971" s="10" t="s">
        <v>338</v>
      </c>
    </row>
    <row r="1972" spans="1:9" x14ac:dyDescent="0.15">
      <c r="A1972" s="9">
        <v>1971</v>
      </c>
      <c r="B1972" s="10" t="s">
        <v>9</v>
      </c>
      <c r="C1972" s="10" t="s">
        <v>363</v>
      </c>
      <c r="D1972" s="10" t="s">
        <v>364</v>
      </c>
      <c r="E1972" s="11" t="str">
        <f>+HYPERLINK("http://trademark.i-assist.jp/data/china/image_1902th/79175136.pdf", "79175136")</f>
        <v>79175136</v>
      </c>
      <c r="F1972" s="10" t="s">
        <v>5685</v>
      </c>
      <c r="G1972" s="10" t="s">
        <v>5686</v>
      </c>
      <c r="H1972" s="10" t="s">
        <v>5687</v>
      </c>
      <c r="I1972" s="10" t="s">
        <v>338</v>
      </c>
    </row>
    <row r="1973" spans="1:9" x14ac:dyDescent="0.15">
      <c r="A1973" s="9">
        <v>1972</v>
      </c>
      <c r="B1973" s="10" t="s">
        <v>9</v>
      </c>
      <c r="C1973" s="10" t="s">
        <v>363</v>
      </c>
      <c r="D1973" s="10" t="s">
        <v>364</v>
      </c>
      <c r="E1973" s="11" t="str">
        <f>+HYPERLINK("http://trademark.i-assist.jp/data/china/image_1902th/79175324.pdf", "79175324")</f>
        <v>79175324</v>
      </c>
      <c r="F1973" s="10" t="s">
        <v>5688</v>
      </c>
      <c r="G1973" s="10" t="s">
        <v>5689</v>
      </c>
      <c r="H1973" s="10" t="s">
        <v>5690</v>
      </c>
      <c r="I1973" s="10" t="s">
        <v>338</v>
      </c>
    </row>
    <row r="1974" spans="1:9" x14ac:dyDescent="0.15">
      <c r="A1974" s="9">
        <v>1973</v>
      </c>
      <c r="B1974" s="10" t="s">
        <v>9</v>
      </c>
      <c r="C1974" s="10" t="s">
        <v>363</v>
      </c>
      <c r="D1974" s="10" t="s">
        <v>364</v>
      </c>
      <c r="E1974" s="11" t="str">
        <f>+HYPERLINK("http://trademark.i-assist.jp/data/china/image_1902th/79175332.pdf", "79175332")</f>
        <v>79175332</v>
      </c>
      <c r="F1974" s="10" t="s">
        <v>5691</v>
      </c>
      <c r="G1974" s="10" t="s">
        <v>5692</v>
      </c>
      <c r="H1974" s="10" t="s">
        <v>5693</v>
      </c>
      <c r="I1974" s="10" t="s">
        <v>338</v>
      </c>
    </row>
    <row r="1975" spans="1:9" x14ac:dyDescent="0.15">
      <c r="A1975" s="9">
        <v>1974</v>
      </c>
      <c r="B1975" s="10" t="s">
        <v>9</v>
      </c>
      <c r="C1975" s="10" t="s">
        <v>363</v>
      </c>
      <c r="D1975" s="10" t="s">
        <v>364</v>
      </c>
      <c r="E1975" s="11" t="str">
        <f>+HYPERLINK("http://trademark.i-assist.jp/data/china/image_1902th/79175624.pdf", "79175624")</f>
        <v>79175624</v>
      </c>
      <c r="F1975" s="10" t="s">
        <v>5694</v>
      </c>
      <c r="G1975" s="10" t="s">
        <v>5695</v>
      </c>
      <c r="H1975" s="10" t="s">
        <v>5696</v>
      </c>
      <c r="I1975" s="10" t="s">
        <v>338</v>
      </c>
    </row>
    <row r="1976" spans="1:9" x14ac:dyDescent="0.15">
      <c r="A1976" s="9">
        <v>1975</v>
      </c>
      <c r="B1976" s="10" t="s">
        <v>9</v>
      </c>
      <c r="C1976" s="10" t="s">
        <v>363</v>
      </c>
      <c r="D1976" s="10" t="s">
        <v>364</v>
      </c>
      <c r="E1976" s="11" t="str">
        <f>+HYPERLINK("http://trademark.i-assist.jp/data/china/image_1902th/79176094.pdf", "79176094")</f>
        <v>79176094</v>
      </c>
      <c r="F1976" s="10" t="s">
        <v>5697</v>
      </c>
      <c r="G1976" s="10" t="s">
        <v>5418</v>
      </c>
      <c r="H1976" s="10" t="s">
        <v>5698</v>
      </c>
      <c r="I1976" s="10" t="s">
        <v>338</v>
      </c>
    </row>
    <row r="1977" spans="1:9" x14ac:dyDescent="0.15">
      <c r="A1977" s="9">
        <v>1976</v>
      </c>
      <c r="B1977" s="10" t="s">
        <v>9</v>
      </c>
      <c r="C1977" s="10" t="s">
        <v>363</v>
      </c>
      <c r="D1977" s="10" t="s">
        <v>364</v>
      </c>
      <c r="E1977" s="11" t="str">
        <f>+HYPERLINK("http://trademark.i-assist.jp/data/china/image_1902th/79176180.pdf", "79176180")</f>
        <v>79176180</v>
      </c>
      <c r="F1977" s="10" t="s">
        <v>5699</v>
      </c>
      <c r="G1977" s="10" t="s">
        <v>5700</v>
      </c>
      <c r="H1977" s="10" t="s">
        <v>5701</v>
      </c>
      <c r="I1977" s="10" t="s">
        <v>338</v>
      </c>
    </row>
    <row r="1978" spans="1:9" x14ac:dyDescent="0.15">
      <c r="A1978" s="9">
        <v>1977</v>
      </c>
      <c r="B1978" s="10" t="s">
        <v>9</v>
      </c>
      <c r="C1978" s="10" t="s">
        <v>363</v>
      </c>
      <c r="D1978" s="10" t="s">
        <v>364</v>
      </c>
      <c r="E1978" s="11" t="str">
        <f>+HYPERLINK("http://trademark.i-assist.jp/data/china/image_1902th/79176422.pdf", "79176422")</f>
        <v>79176422</v>
      </c>
      <c r="F1978" s="10" t="s">
        <v>5702</v>
      </c>
      <c r="G1978" s="10" t="s">
        <v>5606</v>
      </c>
      <c r="H1978" s="10" t="s">
        <v>5703</v>
      </c>
      <c r="I1978" s="10" t="s">
        <v>338</v>
      </c>
    </row>
    <row r="1979" spans="1:9" x14ac:dyDescent="0.15">
      <c r="A1979" s="9">
        <v>1978</v>
      </c>
      <c r="B1979" s="10" t="s">
        <v>9</v>
      </c>
      <c r="C1979" s="10" t="s">
        <v>363</v>
      </c>
      <c r="D1979" s="10" t="s">
        <v>364</v>
      </c>
      <c r="E1979" s="11" t="str">
        <f>+HYPERLINK("http://trademark.i-assist.jp/data/china/image_1902th/79176448.pdf", "79176448")</f>
        <v>79176448</v>
      </c>
      <c r="F1979" s="10" t="s">
        <v>5704</v>
      </c>
      <c r="G1979" s="10" t="s">
        <v>5705</v>
      </c>
      <c r="H1979" s="10" t="s">
        <v>5706</v>
      </c>
      <c r="I1979" s="10" t="s">
        <v>338</v>
      </c>
    </row>
    <row r="1980" spans="1:9" x14ac:dyDescent="0.15">
      <c r="A1980" s="9">
        <v>1979</v>
      </c>
      <c r="B1980" s="10" t="s">
        <v>9</v>
      </c>
      <c r="C1980" s="10" t="s">
        <v>363</v>
      </c>
      <c r="D1980" s="10" t="s">
        <v>364</v>
      </c>
      <c r="E1980" s="11" t="str">
        <f>+HYPERLINK("http://trademark.i-assist.jp/data/china/image_1902th/79176857.pdf", "79176857")</f>
        <v>79176857</v>
      </c>
      <c r="F1980" s="10" t="s">
        <v>5707</v>
      </c>
      <c r="G1980" s="10" t="s">
        <v>5708</v>
      </c>
      <c r="H1980" s="10" t="s">
        <v>5709</v>
      </c>
      <c r="I1980" s="10" t="s">
        <v>338</v>
      </c>
    </row>
    <row r="1981" spans="1:9" x14ac:dyDescent="0.15">
      <c r="A1981" s="9">
        <v>1980</v>
      </c>
      <c r="B1981" s="10" t="s">
        <v>9</v>
      </c>
      <c r="C1981" s="10" t="s">
        <v>363</v>
      </c>
      <c r="D1981" s="10" t="s">
        <v>364</v>
      </c>
      <c r="E1981" s="11" t="str">
        <f>+HYPERLINK("http://trademark.i-assist.jp/data/china/image_1902th/79176956.pdf", "79176956")</f>
        <v>79176956</v>
      </c>
      <c r="F1981" s="10" t="s">
        <v>5710</v>
      </c>
      <c r="G1981" s="10" t="s">
        <v>5592</v>
      </c>
      <c r="H1981" s="10" t="s">
        <v>5593</v>
      </c>
      <c r="I1981" s="10" t="s">
        <v>338</v>
      </c>
    </row>
    <row r="1982" spans="1:9" x14ac:dyDescent="0.15">
      <c r="A1982" s="9">
        <v>1981</v>
      </c>
      <c r="B1982" s="10" t="s">
        <v>9</v>
      </c>
      <c r="C1982" s="10" t="s">
        <v>363</v>
      </c>
      <c r="D1982" s="10" t="s">
        <v>364</v>
      </c>
      <c r="E1982" s="11" t="str">
        <f>+HYPERLINK("http://trademark.i-assist.jp/data/china/image_1902th/79177084.pdf", "79177084")</f>
        <v>79177084</v>
      </c>
      <c r="F1982" s="10" t="s">
        <v>5711</v>
      </c>
      <c r="G1982" s="10" t="s">
        <v>5712</v>
      </c>
      <c r="H1982" s="10" t="s">
        <v>5713</v>
      </c>
      <c r="I1982" s="10" t="s">
        <v>338</v>
      </c>
    </row>
    <row r="1983" spans="1:9" x14ac:dyDescent="0.15">
      <c r="A1983" s="9">
        <v>1982</v>
      </c>
      <c r="B1983" s="10" t="s">
        <v>9</v>
      </c>
      <c r="C1983" s="10" t="s">
        <v>363</v>
      </c>
      <c r="D1983" s="10" t="s">
        <v>364</v>
      </c>
      <c r="E1983" s="11" t="str">
        <f>+HYPERLINK("http://trademark.i-assist.jp/data/china/image_1902th/79177193.pdf", "79177193")</f>
        <v>79177193</v>
      </c>
      <c r="F1983" s="10" t="s">
        <v>5714</v>
      </c>
      <c r="G1983" s="10" t="s">
        <v>242</v>
      </c>
      <c r="H1983" s="10" t="s">
        <v>5715</v>
      </c>
      <c r="I1983" s="10" t="s">
        <v>338</v>
      </c>
    </row>
    <row r="1984" spans="1:9" x14ac:dyDescent="0.15">
      <c r="A1984" s="9">
        <v>1983</v>
      </c>
      <c r="B1984" s="10" t="s">
        <v>9</v>
      </c>
      <c r="C1984" s="10" t="s">
        <v>363</v>
      </c>
      <c r="D1984" s="10" t="s">
        <v>364</v>
      </c>
      <c r="E1984" s="11" t="str">
        <f>+HYPERLINK("http://trademark.i-assist.jp/data/china/image_1902th/79177405.pdf", "79177405")</f>
        <v>79177405</v>
      </c>
      <c r="F1984" s="10" t="s">
        <v>5716</v>
      </c>
      <c r="G1984" s="10" t="s">
        <v>5717</v>
      </c>
      <c r="H1984" s="10" t="s">
        <v>5718</v>
      </c>
      <c r="I1984" s="10" t="s">
        <v>338</v>
      </c>
    </row>
    <row r="1985" spans="1:9" x14ac:dyDescent="0.15">
      <c r="A1985" s="9">
        <v>1984</v>
      </c>
      <c r="B1985" s="10" t="s">
        <v>9</v>
      </c>
      <c r="C1985" s="10" t="s">
        <v>363</v>
      </c>
      <c r="D1985" s="10" t="s">
        <v>364</v>
      </c>
      <c r="E1985" s="11" t="str">
        <f>+HYPERLINK("http://trademark.i-assist.jp/data/china/image_1902th/79177920.pdf", "79177920")</f>
        <v>79177920</v>
      </c>
      <c r="F1985" s="10" t="s">
        <v>5719</v>
      </c>
      <c r="G1985" s="10" t="s">
        <v>5720</v>
      </c>
      <c r="H1985" s="10" t="s">
        <v>5721</v>
      </c>
      <c r="I1985" s="10" t="s">
        <v>338</v>
      </c>
    </row>
    <row r="1986" spans="1:9" x14ac:dyDescent="0.15">
      <c r="A1986" s="9">
        <v>1985</v>
      </c>
      <c r="B1986" s="10" t="s">
        <v>9</v>
      </c>
      <c r="C1986" s="10" t="s">
        <v>363</v>
      </c>
      <c r="D1986" s="10" t="s">
        <v>364</v>
      </c>
      <c r="E1986" s="11" t="str">
        <f>+HYPERLINK("http://trademark.i-assist.jp/data/china/image_1902th/79178375.pdf", "79178375")</f>
        <v>79178375</v>
      </c>
      <c r="F1986" s="10" t="s">
        <v>5722</v>
      </c>
      <c r="G1986" s="10" t="s">
        <v>5723</v>
      </c>
      <c r="H1986" s="10" t="s">
        <v>5724</v>
      </c>
      <c r="I1986" s="10" t="s">
        <v>338</v>
      </c>
    </row>
    <row r="1987" spans="1:9" x14ac:dyDescent="0.15">
      <c r="A1987" s="9">
        <v>1986</v>
      </c>
      <c r="B1987" s="10" t="s">
        <v>9</v>
      </c>
      <c r="C1987" s="10" t="s">
        <v>363</v>
      </c>
      <c r="D1987" s="10" t="s">
        <v>364</v>
      </c>
      <c r="E1987" s="11" t="str">
        <f>+HYPERLINK("http://trademark.i-assist.jp/data/china/image_1902th/79178496.pdf", "79178496")</f>
        <v>79178496</v>
      </c>
      <c r="F1987" s="10" t="s">
        <v>5725</v>
      </c>
      <c r="G1987" s="10" t="s">
        <v>4472</v>
      </c>
      <c r="H1987" s="10" t="s">
        <v>5726</v>
      </c>
      <c r="I1987" s="10" t="s">
        <v>338</v>
      </c>
    </row>
    <row r="1988" spans="1:9" x14ac:dyDescent="0.15">
      <c r="A1988" s="9">
        <v>1987</v>
      </c>
      <c r="B1988" s="10" t="s">
        <v>9</v>
      </c>
      <c r="C1988" s="10" t="s">
        <v>363</v>
      </c>
      <c r="D1988" s="10" t="s">
        <v>364</v>
      </c>
      <c r="E1988" s="11" t="str">
        <f>+HYPERLINK("http://trademark.i-assist.jp/data/china/image_1902th/79178639.pdf", "79178639")</f>
        <v>79178639</v>
      </c>
      <c r="F1988" s="10" t="s">
        <v>5727</v>
      </c>
      <c r="G1988" s="10" t="s">
        <v>5728</v>
      </c>
      <c r="H1988" s="10" t="s">
        <v>5729</v>
      </c>
      <c r="I1988" s="10" t="s">
        <v>338</v>
      </c>
    </row>
    <row r="1989" spans="1:9" x14ac:dyDescent="0.15">
      <c r="A1989" s="9">
        <v>1988</v>
      </c>
      <c r="B1989" s="10" t="s">
        <v>9</v>
      </c>
      <c r="C1989" s="10" t="s">
        <v>363</v>
      </c>
      <c r="D1989" s="10" t="s">
        <v>364</v>
      </c>
      <c r="E1989" s="11" t="str">
        <f>+HYPERLINK("http://trademark.i-assist.jp/data/china/image_1902th/79179014.pdf", "79179014")</f>
        <v>79179014</v>
      </c>
      <c r="F1989" s="10" t="s">
        <v>5730</v>
      </c>
      <c r="G1989" s="10" t="s">
        <v>5731</v>
      </c>
      <c r="H1989" s="10" t="s">
        <v>5732</v>
      </c>
      <c r="I1989" s="10" t="s">
        <v>338</v>
      </c>
    </row>
    <row r="1990" spans="1:9" x14ac:dyDescent="0.15">
      <c r="A1990" s="9">
        <v>1989</v>
      </c>
      <c r="B1990" s="10" t="s">
        <v>9</v>
      </c>
      <c r="C1990" s="10" t="s">
        <v>363</v>
      </c>
      <c r="D1990" s="10" t="s">
        <v>364</v>
      </c>
      <c r="E1990" s="11" t="str">
        <f>+HYPERLINK("http://trademark.i-assist.jp/data/china/image_1902th/79179151.pdf", "79179151")</f>
        <v>79179151</v>
      </c>
      <c r="F1990" s="10" t="s">
        <v>5733</v>
      </c>
      <c r="G1990" s="10" t="s">
        <v>5734</v>
      </c>
      <c r="H1990" s="10" t="s">
        <v>5735</v>
      </c>
      <c r="I1990" s="10" t="s">
        <v>338</v>
      </c>
    </row>
    <row r="1991" spans="1:9" x14ac:dyDescent="0.15">
      <c r="A1991" s="9">
        <v>1990</v>
      </c>
      <c r="B1991" s="10" t="s">
        <v>9</v>
      </c>
      <c r="C1991" s="10" t="s">
        <v>363</v>
      </c>
      <c r="D1991" s="10" t="s">
        <v>364</v>
      </c>
      <c r="E1991" s="11" t="str">
        <f>+HYPERLINK("http://trademark.i-assist.jp/data/china/image_1902th/79179238.pdf", "79179238")</f>
        <v>79179238</v>
      </c>
      <c r="F1991" s="10" t="s">
        <v>5736</v>
      </c>
      <c r="G1991" s="10" t="s">
        <v>5737</v>
      </c>
      <c r="H1991" s="10" t="s">
        <v>5738</v>
      </c>
      <c r="I1991" s="10" t="s">
        <v>338</v>
      </c>
    </row>
    <row r="1992" spans="1:9" x14ac:dyDescent="0.15">
      <c r="A1992" s="9">
        <v>1991</v>
      </c>
      <c r="B1992" s="10" t="s">
        <v>9</v>
      </c>
      <c r="C1992" s="10" t="s">
        <v>363</v>
      </c>
      <c r="D1992" s="10" t="s">
        <v>364</v>
      </c>
      <c r="E1992" s="11" t="str">
        <f>+HYPERLINK("http://trademark.i-assist.jp/data/china/image_1902th/79179247.pdf", "79179247")</f>
        <v>79179247</v>
      </c>
      <c r="F1992" s="10" t="s">
        <v>5739</v>
      </c>
      <c r="G1992" s="10" t="s">
        <v>5740</v>
      </c>
      <c r="H1992" s="10" t="s">
        <v>5741</v>
      </c>
      <c r="I1992" s="10" t="s">
        <v>338</v>
      </c>
    </row>
    <row r="1993" spans="1:9" x14ac:dyDescent="0.15">
      <c r="A1993" s="9">
        <v>1992</v>
      </c>
      <c r="B1993" s="10" t="s">
        <v>9</v>
      </c>
      <c r="C1993" s="10" t="s">
        <v>363</v>
      </c>
      <c r="D1993" s="10" t="s">
        <v>364</v>
      </c>
      <c r="E1993" s="11" t="str">
        <f>+HYPERLINK("http://trademark.i-assist.jp/data/china/image_1902th/79179570.pdf", "79179570")</f>
        <v>79179570</v>
      </c>
      <c r="F1993" s="10" t="s">
        <v>5742</v>
      </c>
      <c r="G1993" s="10" t="s">
        <v>345</v>
      </c>
      <c r="H1993" s="10" t="s">
        <v>5743</v>
      </c>
      <c r="I1993" s="10" t="s">
        <v>338</v>
      </c>
    </row>
    <row r="1994" spans="1:9" x14ac:dyDescent="0.15">
      <c r="A1994" s="9">
        <v>1993</v>
      </c>
      <c r="B1994" s="10" t="s">
        <v>9</v>
      </c>
      <c r="C1994" s="10" t="s">
        <v>363</v>
      </c>
      <c r="D1994" s="10" t="s">
        <v>364</v>
      </c>
      <c r="E1994" s="11" t="str">
        <f>+HYPERLINK("http://trademark.i-assist.jp/data/china/image_1902th/79179743.pdf", "79179743")</f>
        <v>79179743</v>
      </c>
      <c r="F1994" s="10" t="s">
        <v>5744</v>
      </c>
      <c r="G1994" s="10" t="s">
        <v>5421</v>
      </c>
      <c r="H1994" s="10" t="s">
        <v>5745</v>
      </c>
      <c r="I1994" s="10" t="s">
        <v>338</v>
      </c>
    </row>
    <row r="1995" spans="1:9" x14ac:dyDescent="0.15">
      <c r="A1995" s="9">
        <v>1994</v>
      </c>
      <c r="B1995" s="10" t="s">
        <v>9</v>
      </c>
      <c r="C1995" s="10" t="s">
        <v>363</v>
      </c>
      <c r="D1995" s="10" t="s">
        <v>364</v>
      </c>
      <c r="E1995" s="11" t="str">
        <f>+HYPERLINK("http://trademark.i-assist.jp/data/china/image_1902th/79180094.pdf", "79180094")</f>
        <v>79180094</v>
      </c>
      <c r="F1995" s="10" t="s">
        <v>5746</v>
      </c>
      <c r="G1995" s="10" t="s">
        <v>5747</v>
      </c>
      <c r="H1995" s="10" t="s">
        <v>5748</v>
      </c>
      <c r="I1995" s="10" t="s">
        <v>338</v>
      </c>
    </row>
    <row r="1996" spans="1:9" x14ac:dyDescent="0.15">
      <c r="A1996" s="9">
        <v>1995</v>
      </c>
      <c r="B1996" s="10" t="s">
        <v>9</v>
      </c>
      <c r="C1996" s="10" t="s">
        <v>363</v>
      </c>
      <c r="D1996" s="10" t="s">
        <v>364</v>
      </c>
      <c r="E1996" s="11" t="str">
        <f>+HYPERLINK("http://trademark.i-assist.jp/data/china/image_1902th/79180327.pdf", "79180327")</f>
        <v>79180327</v>
      </c>
      <c r="F1996" s="10" t="s">
        <v>12</v>
      </c>
      <c r="G1996" s="10" t="s">
        <v>5477</v>
      </c>
      <c r="H1996" s="10" t="s">
        <v>5749</v>
      </c>
      <c r="I1996" s="10" t="s">
        <v>338</v>
      </c>
    </row>
    <row r="1997" spans="1:9" x14ac:dyDescent="0.15">
      <c r="A1997" s="9">
        <v>1996</v>
      </c>
      <c r="B1997" s="10" t="s">
        <v>9</v>
      </c>
      <c r="C1997" s="10" t="s">
        <v>363</v>
      </c>
      <c r="D1997" s="10" t="s">
        <v>364</v>
      </c>
      <c r="E1997" s="11" t="str">
        <f>+HYPERLINK("http://trademark.i-assist.jp/data/china/image_1902th/79180886.pdf", "79180886")</f>
        <v>79180886</v>
      </c>
      <c r="F1997" s="10" t="s">
        <v>5750</v>
      </c>
      <c r="G1997" s="10" t="s">
        <v>5751</v>
      </c>
      <c r="H1997" s="10" t="s">
        <v>5752</v>
      </c>
      <c r="I1997" s="10" t="s">
        <v>349</v>
      </c>
    </row>
    <row r="1998" spans="1:9" x14ac:dyDescent="0.15">
      <c r="A1998" s="9">
        <v>1997</v>
      </c>
      <c r="B1998" s="10" t="s">
        <v>9</v>
      </c>
      <c r="C1998" s="10" t="s">
        <v>363</v>
      </c>
      <c r="D1998" s="10" t="s">
        <v>364</v>
      </c>
      <c r="E1998" s="11" t="str">
        <f>+HYPERLINK("http://trademark.i-assist.jp/data/china/image_1902th/79180910.pdf", "79180910")</f>
        <v>79180910</v>
      </c>
      <c r="F1998" s="10" t="s">
        <v>5753</v>
      </c>
      <c r="G1998" s="10" t="s">
        <v>5754</v>
      </c>
      <c r="H1998" s="10" t="s">
        <v>5755</v>
      </c>
      <c r="I1998" s="10" t="s">
        <v>349</v>
      </c>
    </row>
    <row r="1999" spans="1:9" x14ac:dyDescent="0.15">
      <c r="A1999" s="9">
        <v>1998</v>
      </c>
      <c r="B1999" s="10" t="s">
        <v>9</v>
      </c>
      <c r="C1999" s="10" t="s">
        <v>363</v>
      </c>
      <c r="D1999" s="10" t="s">
        <v>364</v>
      </c>
      <c r="E1999" s="11" t="str">
        <f>+HYPERLINK("http://trademark.i-assist.jp/data/china/image_1902th/79181099.pdf", "79181099")</f>
        <v>79181099</v>
      </c>
      <c r="F1999" s="10" t="s">
        <v>5756</v>
      </c>
      <c r="G1999" s="10" t="s">
        <v>5757</v>
      </c>
      <c r="H1999" s="10" t="s">
        <v>5758</v>
      </c>
      <c r="I1999" s="10" t="s">
        <v>349</v>
      </c>
    </row>
    <row r="2000" spans="1:9" x14ac:dyDescent="0.15">
      <c r="A2000" s="9">
        <v>1999</v>
      </c>
      <c r="B2000" s="10" t="s">
        <v>9</v>
      </c>
      <c r="C2000" s="10" t="s">
        <v>363</v>
      </c>
      <c r="D2000" s="10" t="s">
        <v>364</v>
      </c>
      <c r="E2000" s="11" t="str">
        <f>+HYPERLINK("http://trademark.i-assist.jp/data/china/image_1902th/79181125.pdf", "79181125")</f>
        <v>79181125</v>
      </c>
      <c r="F2000" s="10" t="s">
        <v>5759</v>
      </c>
      <c r="G2000" s="10" t="s">
        <v>5760</v>
      </c>
      <c r="H2000" s="10" t="s">
        <v>5761</v>
      </c>
      <c r="I2000" s="10" t="s">
        <v>349</v>
      </c>
    </row>
    <row r="2001" spans="1:9" x14ac:dyDescent="0.15">
      <c r="A2001" s="9">
        <v>2000</v>
      </c>
      <c r="B2001" s="10" t="s">
        <v>9</v>
      </c>
      <c r="C2001" s="10" t="s">
        <v>363</v>
      </c>
      <c r="D2001" s="10" t="s">
        <v>364</v>
      </c>
      <c r="E2001" s="11" t="str">
        <f>+HYPERLINK("http://trademark.i-assist.jp/data/china/image_1902th/79181223.pdf", "79181223")</f>
        <v>79181223</v>
      </c>
      <c r="F2001" s="10" t="s">
        <v>5762</v>
      </c>
      <c r="G2001" s="10" t="s">
        <v>3040</v>
      </c>
      <c r="H2001" s="10" t="s">
        <v>5763</v>
      </c>
      <c r="I2001" s="10" t="s">
        <v>349</v>
      </c>
    </row>
    <row r="2002" spans="1:9" x14ac:dyDescent="0.15">
      <c r="A2002" s="9">
        <v>2001</v>
      </c>
      <c r="B2002" s="10" t="s">
        <v>9</v>
      </c>
      <c r="C2002" s="10" t="s">
        <v>363</v>
      </c>
      <c r="D2002" s="10" t="s">
        <v>364</v>
      </c>
      <c r="E2002" s="11" t="str">
        <f>+HYPERLINK("http://trademark.i-assist.jp/data/china/image_1902th/79181243.pdf", "79181243")</f>
        <v>79181243</v>
      </c>
      <c r="F2002" s="10" t="s">
        <v>5764</v>
      </c>
      <c r="G2002" s="10" t="s">
        <v>5765</v>
      </c>
      <c r="H2002" s="10" t="s">
        <v>5766</v>
      </c>
      <c r="I2002" s="10" t="s">
        <v>349</v>
      </c>
    </row>
    <row r="2003" spans="1:9" x14ac:dyDescent="0.15">
      <c r="A2003" s="9">
        <v>2002</v>
      </c>
      <c r="B2003" s="10" t="s">
        <v>9</v>
      </c>
      <c r="C2003" s="10" t="s">
        <v>363</v>
      </c>
      <c r="D2003" s="10" t="s">
        <v>364</v>
      </c>
      <c r="E2003" s="11" t="str">
        <f>+HYPERLINK("http://trademark.i-assist.jp/data/china/image_1902th/79181350.pdf", "79181350")</f>
        <v>79181350</v>
      </c>
      <c r="F2003" s="10" t="s">
        <v>5767</v>
      </c>
      <c r="G2003" s="10" t="s">
        <v>5768</v>
      </c>
      <c r="H2003" s="10" t="s">
        <v>5769</v>
      </c>
      <c r="I2003" s="10" t="s">
        <v>349</v>
      </c>
    </row>
    <row r="2004" spans="1:9" x14ac:dyDescent="0.15">
      <c r="A2004" s="9">
        <v>2003</v>
      </c>
      <c r="B2004" s="10" t="s">
        <v>9</v>
      </c>
      <c r="C2004" s="10" t="s">
        <v>363</v>
      </c>
      <c r="D2004" s="10" t="s">
        <v>364</v>
      </c>
      <c r="E2004" s="11" t="str">
        <f>+HYPERLINK("http://trademark.i-assist.jp/data/china/image_1902th/79181374.pdf", "79181374")</f>
        <v>79181374</v>
      </c>
      <c r="F2004" s="10" t="s">
        <v>5770</v>
      </c>
      <c r="G2004" s="10" t="s">
        <v>5771</v>
      </c>
      <c r="H2004" s="10" t="s">
        <v>5772</v>
      </c>
      <c r="I2004" s="10" t="s">
        <v>349</v>
      </c>
    </row>
    <row r="2005" spans="1:9" x14ac:dyDescent="0.15">
      <c r="A2005" s="9">
        <v>2004</v>
      </c>
      <c r="B2005" s="10" t="s">
        <v>9</v>
      </c>
      <c r="C2005" s="10" t="s">
        <v>363</v>
      </c>
      <c r="D2005" s="10" t="s">
        <v>364</v>
      </c>
      <c r="E2005" s="11" t="str">
        <f>+HYPERLINK("http://trademark.i-assist.jp/data/china/image_1902th/79181402.pdf", "79181402")</f>
        <v>79181402</v>
      </c>
      <c r="F2005" s="10" t="s">
        <v>5773</v>
      </c>
      <c r="G2005" s="10" t="s">
        <v>5774</v>
      </c>
      <c r="H2005" s="10" t="s">
        <v>5775</v>
      </c>
      <c r="I2005" s="10" t="s">
        <v>349</v>
      </c>
    </row>
    <row r="2006" spans="1:9" x14ac:dyDescent="0.15">
      <c r="A2006" s="9">
        <v>2005</v>
      </c>
      <c r="B2006" s="10" t="s">
        <v>9</v>
      </c>
      <c r="C2006" s="10" t="s">
        <v>363</v>
      </c>
      <c r="D2006" s="10" t="s">
        <v>364</v>
      </c>
      <c r="E2006" s="11" t="str">
        <f>+HYPERLINK("http://trademark.i-assist.jp/data/china/image_1902th/79181587.pdf", "79181587")</f>
        <v>79181587</v>
      </c>
      <c r="F2006" s="10" t="s">
        <v>5776</v>
      </c>
      <c r="G2006" s="10" t="s">
        <v>5777</v>
      </c>
      <c r="H2006" s="10" t="s">
        <v>5778</v>
      </c>
      <c r="I2006" s="10" t="s">
        <v>349</v>
      </c>
    </row>
    <row r="2007" spans="1:9" x14ac:dyDescent="0.15">
      <c r="A2007" s="9">
        <v>2006</v>
      </c>
      <c r="B2007" s="10" t="s">
        <v>9</v>
      </c>
      <c r="C2007" s="10" t="s">
        <v>363</v>
      </c>
      <c r="D2007" s="10" t="s">
        <v>364</v>
      </c>
      <c r="E2007" s="11" t="str">
        <f>+HYPERLINK("http://trademark.i-assist.jp/data/china/image_1902th/79181757.pdf", "79181757")</f>
        <v>79181757</v>
      </c>
      <c r="F2007" s="10" t="s">
        <v>5779</v>
      </c>
      <c r="G2007" s="10" t="s">
        <v>5780</v>
      </c>
      <c r="H2007" s="10" t="s">
        <v>5781</v>
      </c>
      <c r="I2007" s="10" t="s">
        <v>349</v>
      </c>
    </row>
    <row r="2008" spans="1:9" x14ac:dyDescent="0.15">
      <c r="A2008" s="9">
        <v>2007</v>
      </c>
      <c r="B2008" s="10" t="s">
        <v>9</v>
      </c>
      <c r="C2008" s="10" t="s">
        <v>363</v>
      </c>
      <c r="D2008" s="10" t="s">
        <v>364</v>
      </c>
      <c r="E2008" s="11" t="str">
        <f>+HYPERLINK("http://trademark.i-assist.jp/data/china/image_1902th/79181837.pdf", "79181837")</f>
        <v>79181837</v>
      </c>
      <c r="F2008" s="10" t="s">
        <v>5782</v>
      </c>
      <c r="G2008" s="10" t="s">
        <v>261</v>
      </c>
      <c r="H2008" s="10" t="s">
        <v>5783</v>
      </c>
      <c r="I2008" s="10" t="s">
        <v>349</v>
      </c>
    </row>
    <row r="2009" spans="1:9" x14ac:dyDescent="0.15">
      <c r="A2009" s="9">
        <v>2008</v>
      </c>
      <c r="B2009" s="10" t="s">
        <v>9</v>
      </c>
      <c r="C2009" s="10" t="s">
        <v>363</v>
      </c>
      <c r="D2009" s="10" t="s">
        <v>364</v>
      </c>
      <c r="E2009" s="11" t="str">
        <f>+HYPERLINK("http://trademark.i-assist.jp/data/china/image_1902th/79181943.pdf", "79181943")</f>
        <v>79181943</v>
      </c>
      <c r="F2009" s="10" t="s">
        <v>5784</v>
      </c>
      <c r="G2009" s="10" t="s">
        <v>5785</v>
      </c>
      <c r="H2009" s="10" t="s">
        <v>5786</v>
      </c>
      <c r="I2009" s="10" t="s">
        <v>349</v>
      </c>
    </row>
    <row r="2010" spans="1:9" x14ac:dyDescent="0.15">
      <c r="A2010" s="9">
        <v>2009</v>
      </c>
      <c r="B2010" s="10" t="s">
        <v>9</v>
      </c>
      <c r="C2010" s="10" t="s">
        <v>363</v>
      </c>
      <c r="D2010" s="10" t="s">
        <v>364</v>
      </c>
      <c r="E2010" s="11" t="str">
        <f>+HYPERLINK("http://trademark.i-assist.jp/data/china/image_1902th/79182225.pdf", "79182225")</f>
        <v>79182225</v>
      </c>
      <c r="F2010" s="10" t="s">
        <v>5787</v>
      </c>
      <c r="G2010" s="10" t="s">
        <v>5788</v>
      </c>
      <c r="H2010" s="10" t="s">
        <v>5789</v>
      </c>
      <c r="I2010" s="10" t="s">
        <v>349</v>
      </c>
    </row>
    <row r="2011" spans="1:9" x14ac:dyDescent="0.15">
      <c r="A2011" s="9">
        <v>2010</v>
      </c>
      <c r="B2011" s="10" t="s">
        <v>9</v>
      </c>
      <c r="C2011" s="10" t="s">
        <v>363</v>
      </c>
      <c r="D2011" s="10" t="s">
        <v>364</v>
      </c>
      <c r="E2011" s="11" t="str">
        <f>+HYPERLINK("http://trademark.i-assist.jp/data/china/image_1902th/79182317.pdf", "79182317")</f>
        <v>79182317</v>
      </c>
      <c r="F2011" s="10" t="s">
        <v>12</v>
      </c>
      <c r="G2011" s="10" t="s">
        <v>5790</v>
      </c>
      <c r="H2011" s="10" t="s">
        <v>5791</v>
      </c>
      <c r="I2011" s="10" t="s">
        <v>349</v>
      </c>
    </row>
    <row r="2012" spans="1:9" x14ac:dyDescent="0.15">
      <c r="A2012" s="9">
        <v>2011</v>
      </c>
      <c r="B2012" s="10" t="s">
        <v>9</v>
      </c>
      <c r="C2012" s="10" t="s">
        <v>363</v>
      </c>
      <c r="D2012" s="10" t="s">
        <v>364</v>
      </c>
      <c r="E2012" s="11" t="str">
        <f>+HYPERLINK("http://trademark.i-assist.jp/data/china/image_1902th/79182529.pdf", "79182529")</f>
        <v>79182529</v>
      </c>
      <c r="F2012" s="10" t="s">
        <v>5792</v>
      </c>
      <c r="G2012" s="10" t="s">
        <v>71</v>
      </c>
      <c r="H2012" s="10" t="s">
        <v>5793</v>
      </c>
      <c r="I2012" s="10" t="s">
        <v>349</v>
      </c>
    </row>
    <row r="2013" spans="1:9" x14ac:dyDescent="0.15">
      <c r="A2013" s="9">
        <v>2012</v>
      </c>
      <c r="B2013" s="10" t="s">
        <v>9</v>
      </c>
      <c r="C2013" s="10" t="s">
        <v>363</v>
      </c>
      <c r="D2013" s="10" t="s">
        <v>364</v>
      </c>
      <c r="E2013" s="11" t="str">
        <f>+HYPERLINK("http://trademark.i-assist.jp/data/china/image_1902th/79182539.pdf", "79182539")</f>
        <v>79182539</v>
      </c>
      <c r="F2013" s="10" t="s">
        <v>5794</v>
      </c>
      <c r="G2013" s="10" t="s">
        <v>4302</v>
      </c>
      <c r="H2013" s="10" t="s">
        <v>5795</v>
      </c>
      <c r="I2013" s="10" t="s">
        <v>349</v>
      </c>
    </row>
    <row r="2014" spans="1:9" x14ac:dyDescent="0.15">
      <c r="A2014" s="9">
        <v>2013</v>
      </c>
      <c r="B2014" s="10" t="s">
        <v>9</v>
      </c>
      <c r="C2014" s="10" t="s">
        <v>363</v>
      </c>
      <c r="D2014" s="10" t="s">
        <v>364</v>
      </c>
      <c r="E2014" s="11" t="str">
        <f>+HYPERLINK("http://trademark.i-assist.jp/data/china/image_1902th/79182672.pdf", "79182672")</f>
        <v>79182672</v>
      </c>
      <c r="F2014" s="10" t="s">
        <v>5796</v>
      </c>
      <c r="G2014" s="10" t="s">
        <v>5797</v>
      </c>
      <c r="H2014" s="10" t="s">
        <v>5798</v>
      </c>
      <c r="I2014" s="10" t="s">
        <v>349</v>
      </c>
    </row>
    <row r="2015" spans="1:9" x14ac:dyDescent="0.15">
      <c r="A2015" s="9">
        <v>2014</v>
      </c>
      <c r="B2015" s="10" t="s">
        <v>9</v>
      </c>
      <c r="C2015" s="10" t="s">
        <v>363</v>
      </c>
      <c r="D2015" s="10" t="s">
        <v>364</v>
      </c>
      <c r="E2015" s="11" t="str">
        <f>+HYPERLINK("http://trademark.i-assist.jp/data/china/image_1902th/79182681.pdf", "79182681")</f>
        <v>79182681</v>
      </c>
      <c r="F2015" s="10" t="s">
        <v>5799</v>
      </c>
      <c r="G2015" s="10" t="s">
        <v>5800</v>
      </c>
      <c r="H2015" s="10" t="s">
        <v>5801</v>
      </c>
      <c r="I2015" s="10" t="s">
        <v>349</v>
      </c>
    </row>
    <row r="2016" spans="1:9" x14ac:dyDescent="0.15">
      <c r="A2016" s="9">
        <v>2015</v>
      </c>
      <c r="B2016" s="10" t="s">
        <v>9</v>
      </c>
      <c r="C2016" s="10" t="s">
        <v>363</v>
      </c>
      <c r="D2016" s="10" t="s">
        <v>364</v>
      </c>
      <c r="E2016" s="11" t="str">
        <f>+HYPERLINK("http://trademark.i-assist.jp/data/china/image_1902th/79182767.pdf", "79182767")</f>
        <v>79182767</v>
      </c>
      <c r="F2016" s="10" t="s">
        <v>5802</v>
      </c>
      <c r="G2016" s="10" t="s">
        <v>5803</v>
      </c>
      <c r="H2016" s="10" t="s">
        <v>19</v>
      </c>
      <c r="I2016" s="10" t="s">
        <v>349</v>
      </c>
    </row>
    <row r="2017" spans="1:9" x14ac:dyDescent="0.15">
      <c r="A2017" s="9">
        <v>2016</v>
      </c>
      <c r="B2017" s="10" t="s">
        <v>9</v>
      </c>
      <c r="C2017" s="10" t="s">
        <v>363</v>
      </c>
      <c r="D2017" s="10" t="s">
        <v>364</v>
      </c>
      <c r="E2017" s="11" t="str">
        <f>+HYPERLINK("http://trademark.i-assist.jp/data/china/image_1902th/79182859.pdf", "79182859")</f>
        <v>79182859</v>
      </c>
      <c r="F2017" s="10" t="s">
        <v>5804</v>
      </c>
      <c r="G2017" s="10" t="s">
        <v>5805</v>
      </c>
      <c r="H2017" s="10" t="s">
        <v>5806</v>
      </c>
      <c r="I2017" s="10" t="s">
        <v>349</v>
      </c>
    </row>
    <row r="2018" spans="1:9" x14ac:dyDescent="0.15">
      <c r="A2018" s="9">
        <v>2017</v>
      </c>
      <c r="B2018" s="10" t="s">
        <v>9</v>
      </c>
      <c r="C2018" s="10" t="s">
        <v>363</v>
      </c>
      <c r="D2018" s="10" t="s">
        <v>364</v>
      </c>
      <c r="E2018" s="11" t="str">
        <f>+HYPERLINK("http://trademark.i-assist.jp/data/china/image_1902th/79182939.pdf", "79182939")</f>
        <v>79182939</v>
      </c>
      <c r="F2018" s="10" t="s">
        <v>5807</v>
      </c>
      <c r="G2018" s="10" t="s">
        <v>5808</v>
      </c>
      <c r="H2018" s="10" t="s">
        <v>5809</v>
      </c>
      <c r="I2018" s="10" t="s">
        <v>349</v>
      </c>
    </row>
    <row r="2019" spans="1:9" x14ac:dyDescent="0.15">
      <c r="A2019" s="9">
        <v>2018</v>
      </c>
      <c r="B2019" s="10" t="s">
        <v>9</v>
      </c>
      <c r="C2019" s="10" t="s">
        <v>363</v>
      </c>
      <c r="D2019" s="10" t="s">
        <v>364</v>
      </c>
      <c r="E2019" s="11" t="str">
        <f>+HYPERLINK("http://trademark.i-assist.jp/data/china/image_1902th/79182967.pdf", "79182967")</f>
        <v>79182967</v>
      </c>
      <c r="F2019" s="10" t="s">
        <v>12</v>
      </c>
      <c r="G2019" s="10" t="s">
        <v>5810</v>
      </c>
      <c r="H2019" s="10" t="s">
        <v>5811</v>
      </c>
      <c r="I2019" s="10" t="s">
        <v>349</v>
      </c>
    </row>
    <row r="2020" spans="1:9" x14ac:dyDescent="0.15">
      <c r="A2020" s="9">
        <v>2019</v>
      </c>
      <c r="B2020" s="10" t="s">
        <v>9</v>
      </c>
      <c r="C2020" s="10" t="s">
        <v>363</v>
      </c>
      <c r="D2020" s="10" t="s">
        <v>364</v>
      </c>
      <c r="E2020" s="11" t="str">
        <f>+HYPERLINK("http://trademark.i-assist.jp/data/china/image_1902th/79183127.pdf", "79183127")</f>
        <v>79183127</v>
      </c>
      <c r="F2020" s="10" t="s">
        <v>5812</v>
      </c>
      <c r="G2020" s="10" t="s">
        <v>3370</v>
      </c>
      <c r="H2020" s="10" t="s">
        <v>5813</v>
      </c>
      <c r="I2020" s="10" t="s">
        <v>349</v>
      </c>
    </row>
    <row r="2021" spans="1:9" x14ac:dyDescent="0.15">
      <c r="A2021" s="9">
        <v>2020</v>
      </c>
      <c r="B2021" s="10" t="s">
        <v>9</v>
      </c>
      <c r="C2021" s="10" t="s">
        <v>363</v>
      </c>
      <c r="D2021" s="10" t="s">
        <v>364</v>
      </c>
      <c r="E2021" s="11" t="str">
        <f>+HYPERLINK("http://trademark.i-assist.jp/data/china/image_1902th/79183250.pdf", "79183250")</f>
        <v>79183250</v>
      </c>
      <c r="F2021" s="10" t="s">
        <v>5814</v>
      </c>
      <c r="G2021" s="10" t="s">
        <v>5815</v>
      </c>
      <c r="H2021" s="10" t="s">
        <v>5816</v>
      </c>
      <c r="I2021" s="10" t="s">
        <v>349</v>
      </c>
    </row>
    <row r="2022" spans="1:9" x14ac:dyDescent="0.15">
      <c r="A2022" s="9">
        <v>2021</v>
      </c>
      <c r="B2022" s="10" t="s">
        <v>9</v>
      </c>
      <c r="C2022" s="10" t="s">
        <v>363</v>
      </c>
      <c r="D2022" s="10" t="s">
        <v>364</v>
      </c>
      <c r="E2022" s="11" t="str">
        <f>+HYPERLINK("http://trademark.i-assist.jp/data/china/image_1902th/79183315.pdf", "79183315")</f>
        <v>79183315</v>
      </c>
      <c r="F2022" s="10" t="s">
        <v>5817</v>
      </c>
      <c r="G2022" s="10" t="s">
        <v>5818</v>
      </c>
      <c r="H2022" s="10" t="s">
        <v>5819</v>
      </c>
      <c r="I2022" s="10" t="s">
        <v>349</v>
      </c>
    </row>
    <row r="2023" spans="1:9" x14ac:dyDescent="0.15">
      <c r="A2023" s="9">
        <v>2022</v>
      </c>
      <c r="B2023" s="10" t="s">
        <v>9</v>
      </c>
      <c r="C2023" s="10" t="s">
        <v>363</v>
      </c>
      <c r="D2023" s="10" t="s">
        <v>364</v>
      </c>
      <c r="E2023" s="11" t="str">
        <f>+HYPERLINK("http://trademark.i-assist.jp/data/china/image_1902th/79183438.pdf", "79183438")</f>
        <v>79183438</v>
      </c>
      <c r="F2023" s="10" t="s">
        <v>5820</v>
      </c>
      <c r="G2023" s="10" t="s">
        <v>261</v>
      </c>
      <c r="H2023" s="10" t="s">
        <v>5821</v>
      </c>
      <c r="I2023" s="10" t="s">
        <v>349</v>
      </c>
    </row>
    <row r="2024" spans="1:9" x14ac:dyDescent="0.15">
      <c r="A2024" s="9">
        <v>2023</v>
      </c>
      <c r="B2024" s="10" t="s">
        <v>9</v>
      </c>
      <c r="C2024" s="10" t="s">
        <v>363</v>
      </c>
      <c r="D2024" s="10" t="s">
        <v>364</v>
      </c>
      <c r="E2024" s="11" t="str">
        <f>+HYPERLINK("http://trademark.i-assist.jp/data/china/image_1902th/79183449.pdf", "79183449")</f>
        <v>79183449</v>
      </c>
      <c r="F2024" s="10" t="s">
        <v>5822</v>
      </c>
      <c r="G2024" s="10" t="s">
        <v>261</v>
      </c>
      <c r="H2024" s="10" t="s">
        <v>5823</v>
      </c>
      <c r="I2024" s="10" t="s">
        <v>349</v>
      </c>
    </row>
    <row r="2025" spans="1:9" x14ac:dyDescent="0.15">
      <c r="A2025" s="9">
        <v>2024</v>
      </c>
      <c r="B2025" s="10" t="s">
        <v>9</v>
      </c>
      <c r="C2025" s="10" t="s">
        <v>363</v>
      </c>
      <c r="D2025" s="10" t="s">
        <v>364</v>
      </c>
      <c r="E2025" s="11" t="str">
        <f>+HYPERLINK("http://trademark.i-assist.jp/data/china/image_1902th/79183598.pdf", "79183598")</f>
        <v>79183598</v>
      </c>
      <c r="F2025" s="10" t="s">
        <v>5824</v>
      </c>
      <c r="G2025" s="10" t="s">
        <v>5825</v>
      </c>
      <c r="H2025" s="10" t="s">
        <v>5826</v>
      </c>
      <c r="I2025" s="10" t="s">
        <v>349</v>
      </c>
    </row>
    <row r="2026" spans="1:9" x14ac:dyDescent="0.15">
      <c r="A2026" s="9">
        <v>2025</v>
      </c>
      <c r="B2026" s="10" t="s">
        <v>9</v>
      </c>
      <c r="C2026" s="10" t="s">
        <v>363</v>
      </c>
      <c r="D2026" s="10" t="s">
        <v>364</v>
      </c>
      <c r="E2026" s="11" t="str">
        <f>+HYPERLINK("http://trademark.i-assist.jp/data/china/image_1902th/79183693.pdf", "79183693")</f>
        <v>79183693</v>
      </c>
      <c r="F2026" s="10" t="s">
        <v>5827</v>
      </c>
      <c r="G2026" s="10" t="s">
        <v>5828</v>
      </c>
      <c r="H2026" s="10" t="s">
        <v>5829</v>
      </c>
      <c r="I2026" s="10" t="s">
        <v>349</v>
      </c>
    </row>
    <row r="2027" spans="1:9" x14ac:dyDescent="0.15">
      <c r="A2027" s="9">
        <v>2026</v>
      </c>
      <c r="B2027" s="10" t="s">
        <v>9</v>
      </c>
      <c r="C2027" s="10" t="s">
        <v>363</v>
      </c>
      <c r="D2027" s="10" t="s">
        <v>364</v>
      </c>
      <c r="E2027" s="11" t="str">
        <f>+HYPERLINK("http://trademark.i-assist.jp/data/china/image_1902th/79183912.pdf", "79183912")</f>
        <v>79183912</v>
      </c>
      <c r="F2027" s="10" t="s">
        <v>5830</v>
      </c>
      <c r="G2027" s="10" t="s">
        <v>5831</v>
      </c>
      <c r="H2027" s="10" t="s">
        <v>5832</v>
      </c>
      <c r="I2027" s="10" t="s">
        <v>349</v>
      </c>
    </row>
    <row r="2028" spans="1:9" x14ac:dyDescent="0.15">
      <c r="A2028" s="9">
        <v>2027</v>
      </c>
      <c r="B2028" s="10" t="s">
        <v>9</v>
      </c>
      <c r="C2028" s="10" t="s">
        <v>363</v>
      </c>
      <c r="D2028" s="10" t="s">
        <v>364</v>
      </c>
      <c r="E2028" s="11" t="str">
        <f>+HYPERLINK("http://trademark.i-assist.jp/data/china/image_1902th/79183920.pdf", "79183920")</f>
        <v>79183920</v>
      </c>
      <c r="F2028" s="10" t="s">
        <v>5830</v>
      </c>
      <c r="G2028" s="10" t="s">
        <v>5831</v>
      </c>
      <c r="H2028" s="10" t="s">
        <v>5833</v>
      </c>
      <c r="I2028" s="10" t="s">
        <v>349</v>
      </c>
    </row>
    <row r="2029" spans="1:9" x14ac:dyDescent="0.15">
      <c r="A2029" s="9">
        <v>2028</v>
      </c>
      <c r="B2029" s="10" t="s">
        <v>9</v>
      </c>
      <c r="C2029" s="10" t="s">
        <v>363</v>
      </c>
      <c r="D2029" s="10" t="s">
        <v>364</v>
      </c>
      <c r="E2029" s="11" t="str">
        <f>+HYPERLINK("http://trademark.i-assist.jp/data/china/image_1902th/79184002.pdf", "79184002")</f>
        <v>79184002</v>
      </c>
      <c r="F2029" s="10" t="s">
        <v>5834</v>
      </c>
      <c r="G2029" s="10" t="s">
        <v>5780</v>
      </c>
      <c r="H2029" s="10" t="s">
        <v>5835</v>
      </c>
      <c r="I2029" s="10" t="s">
        <v>349</v>
      </c>
    </row>
    <row r="2030" spans="1:9" x14ac:dyDescent="0.15">
      <c r="A2030" s="9">
        <v>2029</v>
      </c>
      <c r="B2030" s="10" t="s">
        <v>9</v>
      </c>
      <c r="C2030" s="10" t="s">
        <v>363</v>
      </c>
      <c r="D2030" s="10" t="s">
        <v>364</v>
      </c>
      <c r="E2030" s="11" t="str">
        <f>+HYPERLINK("http://trademark.i-assist.jp/data/china/image_1902th/79184131.pdf", "79184131")</f>
        <v>79184131</v>
      </c>
      <c r="F2030" s="10" t="s">
        <v>5836</v>
      </c>
      <c r="G2030" s="10" t="s">
        <v>5837</v>
      </c>
      <c r="H2030" s="10" t="s">
        <v>5838</v>
      </c>
      <c r="I2030" s="10" t="s">
        <v>349</v>
      </c>
    </row>
    <row r="2031" spans="1:9" x14ac:dyDescent="0.15">
      <c r="A2031" s="9">
        <v>2030</v>
      </c>
      <c r="B2031" s="10" t="s">
        <v>9</v>
      </c>
      <c r="C2031" s="10" t="s">
        <v>363</v>
      </c>
      <c r="D2031" s="10" t="s">
        <v>364</v>
      </c>
      <c r="E2031" s="11" t="str">
        <f>+HYPERLINK("http://trademark.i-assist.jp/data/china/image_1902th/79184159.pdf", "79184159")</f>
        <v>79184159</v>
      </c>
      <c r="F2031" s="10" t="s">
        <v>5839</v>
      </c>
      <c r="G2031" s="10" t="s">
        <v>5840</v>
      </c>
      <c r="H2031" s="10" t="s">
        <v>5841</v>
      </c>
      <c r="I2031" s="10" t="s">
        <v>349</v>
      </c>
    </row>
    <row r="2032" spans="1:9" x14ac:dyDescent="0.15">
      <c r="A2032" s="9">
        <v>2031</v>
      </c>
      <c r="B2032" s="10" t="s">
        <v>9</v>
      </c>
      <c r="C2032" s="10" t="s">
        <v>363</v>
      </c>
      <c r="D2032" s="10" t="s">
        <v>364</v>
      </c>
      <c r="E2032" s="11" t="str">
        <f>+HYPERLINK("http://trademark.i-assist.jp/data/china/image_1902th/79184237.pdf", "79184237")</f>
        <v>79184237</v>
      </c>
      <c r="F2032" s="10" t="s">
        <v>5842</v>
      </c>
      <c r="G2032" s="10" t="s">
        <v>5843</v>
      </c>
      <c r="H2032" s="10" t="s">
        <v>5844</v>
      </c>
      <c r="I2032" s="10" t="s">
        <v>349</v>
      </c>
    </row>
    <row r="2033" spans="1:9" x14ac:dyDescent="0.15">
      <c r="A2033" s="9">
        <v>2032</v>
      </c>
      <c r="B2033" s="10" t="s">
        <v>9</v>
      </c>
      <c r="C2033" s="10" t="s">
        <v>363</v>
      </c>
      <c r="D2033" s="10" t="s">
        <v>364</v>
      </c>
      <c r="E2033" s="11" t="str">
        <f>+HYPERLINK("http://trademark.i-assist.jp/data/china/image_1902th/79184242.pdf", "79184242")</f>
        <v>79184242</v>
      </c>
      <c r="F2033" s="10" t="s">
        <v>5845</v>
      </c>
      <c r="G2033" s="10" t="s">
        <v>5846</v>
      </c>
      <c r="H2033" s="10" t="s">
        <v>5847</v>
      </c>
      <c r="I2033" s="10" t="s">
        <v>349</v>
      </c>
    </row>
    <row r="2034" spans="1:9" x14ac:dyDescent="0.15">
      <c r="A2034" s="9">
        <v>2033</v>
      </c>
      <c r="B2034" s="10" t="s">
        <v>9</v>
      </c>
      <c r="C2034" s="10" t="s">
        <v>363</v>
      </c>
      <c r="D2034" s="10" t="s">
        <v>364</v>
      </c>
      <c r="E2034" s="11" t="str">
        <f>+HYPERLINK("http://trademark.i-assist.jp/data/china/image_1902th/79184261.pdf", "79184261")</f>
        <v>79184261</v>
      </c>
      <c r="F2034" s="10" t="s">
        <v>5848</v>
      </c>
      <c r="G2034" s="10" t="s">
        <v>5849</v>
      </c>
      <c r="H2034" s="10" t="s">
        <v>5850</v>
      </c>
      <c r="I2034" s="10" t="s">
        <v>349</v>
      </c>
    </row>
    <row r="2035" spans="1:9" x14ac:dyDescent="0.15">
      <c r="A2035" s="9">
        <v>2034</v>
      </c>
      <c r="B2035" s="10" t="s">
        <v>9</v>
      </c>
      <c r="C2035" s="10" t="s">
        <v>363</v>
      </c>
      <c r="D2035" s="10" t="s">
        <v>364</v>
      </c>
      <c r="E2035" s="11" t="str">
        <f>+HYPERLINK("http://trademark.i-assist.jp/data/china/image_1902th/79184433.pdf", "79184433")</f>
        <v>79184433</v>
      </c>
      <c r="F2035" s="10" t="s">
        <v>5851</v>
      </c>
      <c r="G2035" s="10" t="s">
        <v>5852</v>
      </c>
      <c r="H2035" s="10" t="s">
        <v>5853</v>
      </c>
      <c r="I2035" s="10" t="s">
        <v>349</v>
      </c>
    </row>
    <row r="2036" spans="1:9" x14ac:dyDescent="0.15">
      <c r="A2036" s="9">
        <v>2035</v>
      </c>
      <c r="B2036" s="10" t="s">
        <v>9</v>
      </c>
      <c r="C2036" s="10" t="s">
        <v>363</v>
      </c>
      <c r="D2036" s="10" t="s">
        <v>364</v>
      </c>
      <c r="E2036" s="11" t="str">
        <f>+HYPERLINK("http://trademark.i-assist.jp/data/china/image_1902th/79184862.pdf", "79184862")</f>
        <v>79184862</v>
      </c>
      <c r="F2036" s="10" t="s">
        <v>5854</v>
      </c>
      <c r="G2036" s="10" t="s">
        <v>71</v>
      </c>
      <c r="H2036" s="10" t="s">
        <v>5855</v>
      </c>
      <c r="I2036" s="10" t="s">
        <v>349</v>
      </c>
    </row>
    <row r="2037" spans="1:9" x14ac:dyDescent="0.15">
      <c r="A2037" s="9">
        <v>2036</v>
      </c>
      <c r="B2037" s="10" t="s">
        <v>9</v>
      </c>
      <c r="C2037" s="10" t="s">
        <v>363</v>
      </c>
      <c r="D2037" s="10" t="s">
        <v>364</v>
      </c>
      <c r="E2037" s="11" t="str">
        <f>+HYPERLINK("http://trademark.i-assist.jp/data/china/image_1902th/79184879.pdf", "79184879")</f>
        <v>79184879</v>
      </c>
      <c r="F2037" s="10" t="s">
        <v>5856</v>
      </c>
      <c r="G2037" s="10" t="s">
        <v>5857</v>
      </c>
      <c r="H2037" s="10" t="s">
        <v>5858</v>
      </c>
      <c r="I2037" s="10" t="s">
        <v>349</v>
      </c>
    </row>
    <row r="2038" spans="1:9" x14ac:dyDescent="0.15">
      <c r="A2038" s="9">
        <v>2037</v>
      </c>
      <c r="B2038" s="10" t="s">
        <v>9</v>
      </c>
      <c r="C2038" s="10" t="s">
        <v>363</v>
      </c>
      <c r="D2038" s="10" t="s">
        <v>364</v>
      </c>
      <c r="E2038" s="11" t="str">
        <f>+HYPERLINK("http://trademark.i-assist.jp/data/china/image_1902th/79185010.pdf", "79185010")</f>
        <v>79185010</v>
      </c>
      <c r="F2038" s="10" t="s">
        <v>5859</v>
      </c>
      <c r="G2038" s="10" t="s">
        <v>5860</v>
      </c>
      <c r="H2038" s="10" t="s">
        <v>5861</v>
      </c>
      <c r="I2038" s="10" t="s">
        <v>349</v>
      </c>
    </row>
    <row r="2039" spans="1:9" x14ac:dyDescent="0.15">
      <c r="A2039" s="9">
        <v>2038</v>
      </c>
      <c r="B2039" s="10" t="s">
        <v>9</v>
      </c>
      <c r="C2039" s="10" t="s">
        <v>363</v>
      </c>
      <c r="D2039" s="10" t="s">
        <v>364</v>
      </c>
      <c r="E2039" s="11" t="str">
        <f>+HYPERLINK("http://trademark.i-assist.jp/data/china/image_1902th/79185038.pdf", "79185038")</f>
        <v>79185038</v>
      </c>
      <c r="F2039" s="10" t="s">
        <v>5862</v>
      </c>
      <c r="G2039" s="10" t="s">
        <v>5863</v>
      </c>
      <c r="H2039" s="10" t="s">
        <v>5864</v>
      </c>
      <c r="I2039" s="10" t="s">
        <v>349</v>
      </c>
    </row>
    <row r="2040" spans="1:9" x14ac:dyDescent="0.15">
      <c r="A2040" s="9">
        <v>2039</v>
      </c>
      <c r="B2040" s="10" t="s">
        <v>9</v>
      </c>
      <c r="C2040" s="10" t="s">
        <v>363</v>
      </c>
      <c r="D2040" s="10" t="s">
        <v>364</v>
      </c>
      <c r="E2040" s="11" t="str">
        <f>+HYPERLINK("http://trademark.i-assist.jp/data/china/image_1902th/79185056.pdf", "79185056")</f>
        <v>79185056</v>
      </c>
      <c r="F2040" s="10" t="s">
        <v>5865</v>
      </c>
      <c r="G2040" s="10" t="s">
        <v>3843</v>
      </c>
      <c r="H2040" s="10" t="s">
        <v>5866</v>
      </c>
      <c r="I2040" s="10" t="s">
        <v>349</v>
      </c>
    </row>
    <row r="2041" spans="1:9" x14ac:dyDescent="0.15">
      <c r="A2041" s="9">
        <v>2040</v>
      </c>
      <c r="B2041" s="10" t="s">
        <v>9</v>
      </c>
      <c r="C2041" s="10" t="s">
        <v>363</v>
      </c>
      <c r="D2041" s="10" t="s">
        <v>364</v>
      </c>
      <c r="E2041" s="11" t="str">
        <f>+HYPERLINK("http://trademark.i-assist.jp/data/china/image_1902th/79185095.pdf", "79185095")</f>
        <v>79185095</v>
      </c>
      <c r="F2041" s="10" t="s">
        <v>5867</v>
      </c>
      <c r="G2041" s="10" t="s">
        <v>5868</v>
      </c>
      <c r="H2041" s="10" t="s">
        <v>5869</v>
      </c>
      <c r="I2041" s="10" t="s">
        <v>349</v>
      </c>
    </row>
    <row r="2042" spans="1:9" x14ac:dyDescent="0.15">
      <c r="A2042" s="9">
        <v>2041</v>
      </c>
      <c r="B2042" s="10" t="s">
        <v>9</v>
      </c>
      <c r="C2042" s="10" t="s">
        <v>363</v>
      </c>
      <c r="D2042" s="10" t="s">
        <v>364</v>
      </c>
      <c r="E2042" s="11" t="str">
        <f>+HYPERLINK("http://trademark.i-assist.jp/data/china/image_1902th/79185309.pdf", "79185309")</f>
        <v>79185309</v>
      </c>
      <c r="F2042" s="10" t="s">
        <v>5870</v>
      </c>
      <c r="G2042" s="10" t="s">
        <v>5871</v>
      </c>
      <c r="H2042" s="10" t="s">
        <v>5872</v>
      </c>
      <c r="I2042" s="10" t="s">
        <v>349</v>
      </c>
    </row>
    <row r="2043" spans="1:9" x14ac:dyDescent="0.15">
      <c r="A2043" s="9">
        <v>2042</v>
      </c>
      <c r="B2043" s="10" t="s">
        <v>9</v>
      </c>
      <c r="C2043" s="10" t="s">
        <v>363</v>
      </c>
      <c r="D2043" s="10" t="s">
        <v>364</v>
      </c>
      <c r="E2043" s="11" t="str">
        <f>+HYPERLINK("http://trademark.i-assist.jp/data/china/image_1902th/79185405.pdf", "79185405")</f>
        <v>79185405</v>
      </c>
      <c r="F2043" s="10" t="s">
        <v>12</v>
      </c>
      <c r="G2043" s="10" t="s">
        <v>5873</v>
      </c>
      <c r="H2043" s="10" t="s">
        <v>5874</v>
      </c>
      <c r="I2043" s="10" t="s">
        <v>349</v>
      </c>
    </row>
    <row r="2044" spans="1:9" x14ac:dyDescent="0.15">
      <c r="A2044" s="9">
        <v>2043</v>
      </c>
      <c r="B2044" s="10" t="s">
        <v>9</v>
      </c>
      <c r="C2044" s="10" t="s">
        <v>363</v>
      </c>
      <c r="D2044" s="10" t="s">
        <v>364</v>
      </c>
      <c r="E2044" s="11" t="str">
        <f>+HYPERLINK("http://trademark.i-assist.jp/data/china/image_1902th/79185548.pdf", "79185548")</f>
        <v>79185548</v>
      </c>
      <c r="F2044" s="10" t="s">
        <v>5875</v>
      </c>
      <c r="G2044" s="10" t="s">
        <v>5876</v>
      </c>
      <c r="H2044" s="10" t="s">
        <v>5877</v>
      </c>
      <c r="I2044" s="10" t="s">
        <v>349</v>
      </c>
    </row>
    <row r="2045" spans="1:9" x14ac:dyDescent="0.15">
      <c r="A2045" s="9">
        <v>2044</v>
      </c>
      <c r="B2045" s="10" t="s">
        <v>9</v>
      </c>
      <c r="C2045" s="10" t="s">
        <v>363</v>
      </c>
      <c r="D2045" s="10" t="s">
        <v>364</v>
      </c>
      <c r="E2045" s="11" t="str">
        <f>+HYPERLINK("http://trademark.i-assist.jp/data/china/image_1902th/79185611.pdf", "79185611")</f>
        <v>79185611</v>
      </c>
      <c r="F2045" s="10" t="s">
        <v>5878</v>
      </c>
      <c r="G2045" s="10" t="s">
        <v>320</v>
      </c>
      <c r="H2045" s="10" t="s">
        <v>5879</v>
      </c>
      <c r="I2045" s="10" t="s">
        <v>349</v>
      </c>
    </row>
    <row r="2046" spans="1:9" x14ac:dyDescent="0.15">
      <c r="A2046" s="9">
        <v>2045</v>
      </c>
      <c r="B2046" s="10" t="s">
        <v>9</v>
      </c>
      <c r="C2046" s="10" t="s">
        <v>363</v>
      </c>
      <c r="D2046" s="10" t="s">
        <v>364</v>
      </c>
      <c r="E2046" s="11" t="str">
        <f>+HYPERLINK("http://trademark.i-assist.jp/data/china/image_1902th/79185694.pdf", "79185694")</f>
        <v>79185694</v>
      </c>
      <c r="F2046" s="10" t="s">
        <v>5880</v>
      </c>
      <c r="G2046" s="10" t="s">
        <v>5881</v>
      </c>
      <c r="H2046" s="10" t="s">
        <v>5882</v>
      </c>
      <c r="I2046" s="10" t="s">
        <v>349</v>
      </c>
    </row>
    <row r="2047" spans="1:9" x14ac:dyDescent="0.15">
      <c r="A2047" s="9">
        <v>2046</v>
      </c>
      <c r="B2047" s="10" t="s">
        <v>9</v>
      </c>
      <c r="C2047" s="10" t="s">
        <v>363</v>
      </c>
      <c r="D2047" s="10" t="s">
        <v>364</v>
      </c>
      <c r="E2047" s="11" t="str">
        <f>+HYPERLINK("http://trademark.i-assist.jp/data/china/image_1902th/79185726.pdf", "79185726")</f>
        <v>79185726</v>
      </c>
      <c r="F2047" s="10" t="s">
        <v>5883</v>
      </c>
      <c r="G2047" s="10" t="s">
        <v>5884</v>
      </c>
      <c r="H2047" s="10" t="s">
        <v>15</v>
      </c>
      <c r="I2047" s="10" t="s">
        <v>349</v>
      </c>
    </row>
    <row r="2048" spans="1:9" x14ac:dyDescent="0.15">
      <c r="A2048" s="9">
        <v>2047</v>
      </c>
      <c r="B2048" s="10" t="s">
        <v>9</v>
      </c>
      <c r="C2048" s="10" t="s">
        <v>363</v>
      </c>
      <c r="D2048" s="10" t="s">
        <v>364</v>
      </c>
      <c r="E2048" s="11" t="str">
        <f>+HYPERLINK("http://trademark.i-assist.jp/data/china/image_1902th/79185909.pdf", "79185909")</f>
        <v>79185909</v>
      </c>
      <c r="F2048" s="10" t="s">
        <v>5885</v>
      </c>
      <c r="G2048" s="10" t="s">
        <v>5886</v>
      </c>
      <c r="H2048" s="10" t="s">
        <v>5887</v>
      </c>
      <c r="I2048" s="10" t="s">
        <v>349</v>
      </c>
    </row>
    <row r="2049" spans="1:9" x14ac:dyDescent="0.15">
      <c r="A2049" s="9">
        <v>2048</v>
      </c>
      <c r="B2049" s="10" t="s">
        <v>9</v>
      </c>
      <c r="C2049" s="10" t="s">
        <v>363</v>
      </c>
      <c r="D2049" s="10" t="s">
        <v>364</v>
      </c>
      <c r="E2049" s="11" t="str">
        <f>+HYPERLINK("http://trademark.i-assist.jp/data/china/image_1902th/79185954.pdf", "79185954")</f>
        <v>79185954</v>
      </c>
      <c r="F2049" s="10" t="s">
        <v>5888</v>
      </c>
      <c r="G2049" s="10" t="s">
        <v>315</v>
      </c>
      <c r="H2049" s="10" t="s">
        <v>5889</v>
      </c>
      <c r="I2049" s="10" t="s">
        <v>349</v>
      </c>
    </row>
    <row r="2050" spans="1:9" x14ac:dyDescent="0.15">
      <c r="A2050" s="9">
        <v>2049</v>
      </c>
      <c r="B2050" s="10" t="s">
        <v>9</v>
      </c>
      <c r="C2050" s="10" t="s">
        <v>363</v>
      </c>
      <c r="D2050" s="10" t="s">
        <v>364</v>
      </c>
      <c r="E2050" s="11" t="str">
        <f>+HYPERLINK("http://trademark.i-assist.jp/data/china/image_1902th/79185956.pdf", "79185956")</f>
        <v>79185956</v>
      </c>
      <c r="F2050" s="10" t="s">
        <v>5890</v>
      </c>
      <c r="G2050" s="10" t="s">
        <v>5891</v>
      </c>
      <c r="H2050" s="10" t="s">
        <v>5892</v>
      </c>
      <c r="I2050" s="10" t="s">
        <v>349</v>
      </c>
    </row>
    <row r="2051" spans="1:9" x14ac:dyDescent="0.15">
      <c r="A2051" s="9">
        <v>2050</v>
      </c>
      <c r="B2051" s="10" t="s">
        <v>9</v>
      </c>
      <c r="C2051" s="10" t="s">
        <v>363</v>
      </c>
      <c r="D2051" s="10" t="s">
        <v>364</v>
      </c>
      <c r="E2051" s="11" t="str">
        <f>+HYPERLINK("http://trademark.i-assist.jp/data/china/image_1902th/79186159.pdf", "79186159")</f>
        <v>79186159</v>
      </c>
      <c r="F2051" s="10" t="s">
        <v>5893</v>
      </c>
      <c r="G2051" s="10" t="s">
        <v>5894</v>
      </c>
      <c r="H2051" s="10" t="s">
        <v>5895</v>
      </c>
      <c r="I2051" s="10" t="s">
        <v>349</v>
      </c>
    </row>
    <row r="2052" spans="1:9" x14ac:dyDescent="0.15">
      <c r="A2052" s="9">
        <v>2051</v>
      </c>
      <c r="B2052" s="10" t="s">
        <v>9</v>
      </c>
      <c r="C2052" s="10" t="s">
        <v>363</v>
      </c>
      <c r="D2052" s="10" t="s">
        <v>364</v>
      </c>
      <c r="E2052" s="11" t="str">
        <f>+HYPERLINK("http://trademark.i-assist.jp/data/china/image_1902th/79186210.pdf", "79186210")</f>
        <v>79186210</v>
      </c>
      <c r="F2052" s="10" t="s">
        <v>5896</v>
      </c>
      <c r="G2052" s="10" t="s">
        <v>5897</v>
      </c>
      <c r="H2052" s="10" t="s">
        <v>5898</v>
      </c>
      <c r="I2052" s="10" t="s">
        <v>349</v>
      </c>
    </row>
    <row r="2053" spans="1:9" x14ac:dyDescent="0.15">
      <c r="A2053" s="9">
        <v>2052</v>
      </c>
      <c r="B2053" s="10" t="s">
        <v>9</v>
      </c>
      <c r="C2053" s="10" t="s">
        <v>363</v>
      </c>
      <c r="D2053" s="10" t="s">
        <v>364</v>
      </c>
      <c r="E2053" s="11" t="str">
        <f>+HYPERLINK("http://trademark.i-assist.jp/data/china/image_1902th/79186266.pdf", "79186266")</f>
        <v>79186266</v>
      </c>
      <c r="F2053" s="10" t="s">
        <v>5899</v>
      </c>
      <c r="G2053" s="10" t="s">
        <v>5900</v>
      </c>
      <c r="H2053" s="10" t="s">
        <v>5901</v>
      </c>
      <c r="I2053" s="10" t="s">
        <v>349</v>
      </c>
    </row>
    <row r="2054" spans="1:9" x14ac:dyDescent="0.15">
      <c r="A2054" s="9">
        <v>2053</v>
      </c>
      <c r="B2054" s="10" t="s">
        <v>9</v>
      </c>
      <c r="C2054" s="10" t="s">
        <v>363</v>
      </c>
      <c r="D2054" s="10" t="s">
        <v>364</v>
      </c>
      <c r="E2054" s="11" t="str">
        <f>+HYPERLINK("http://trademark.i-assist.jp/data/china/image_1902th/79186272.pdf", "79186272")</f>
        <v>79186272</v>
      </c>
      <c r="F2054" s="10" t="s">
        <v>5902</v>
      </c>
      <c r="G2054" s="10" t="s">
        <v>5903</v>
      </c>
      <c r="H2054" s="10" t="s">
        <v>5904</v>
      </c>
      <c r="I2054" s="10" t="s">
        <v>349</v>
      </c>
    </row>
    <row r="2055" spans="1:9" x14ac:dyDescent="0.15">
      <c r="A2055" s="9">
        <v>2054</v>
      </c>
      <c r="B2055" s="10" t="s">
        <v>9</v>
      </c>
      <c r="C2055" s="10" t="s">
        <v>363</v>
      </c>
      <c r="D2055" s="10" t="s">
        <v>364</v>
      </c>
      <c r="E2055" s="11" t="str">
        <f>+HYPERLINK("http://trademark.i-assist.jp/data/china/image_1902th/79186324.pdf", "79186324")</f>
        <v>79186324</v>
      </c>
      <c r="F2055" s="10" t="s">
        <v>5905</v>
      </c>
      <c r="G2055" s="10" t="s">
        <v>5906</v>
      </c>
      <c r="H2055" s="10" t="s">
        <v>5907</v>
      </c>
      <c r="I2055" s="10" t="s">
        <v>349</v>
      </c>
    </row>
    <row r="2056" spans="1:9" x14ac:dyDescent="0.15">
      <c r="A2056" s="9">
        <v>2055</v>
      </c>
      <c r="B2056" s="10" t="s">
        <v>9</v>
      </c>
      <c r="C2056" s="10" t="s">
        <v>363</v>
      </c>
      <c r="D2056" s="10" t="s">
        <v>364</v>
      </c>
      <c r="E2056" s="11" t="str">
        <f>+HYPERLINK("http://trademark.i-assist.jp/data/china/image_1902th/79186326.pdf", "79186326")</f>
        <v>79186326</v>
      </c>
      <c r="F2056" s="10" t="s">
        <v>5908</v>
      </c>
      <c r="G2056" s="10" t="s">
        <v>5909</v>
      </c>
      <c r="H2056" s="10" t="s">
        <v>5910</v>
      </c>
      <c r="I2056" s="10" t="s">
        <v>349</v>
      </c>
    </row>
    <row r="2057" spans="1:9" x14ac:dyDescent="0.15">
      <c r="A2057" s="9">
        <v>2056</v>
      </c>
      <c r="B2057" s="10" t="s">
        <v>9</v>
      </c>
      <c r="C2057" s="10" t="s">
        <v>363</v>
      </c>
      <c r="D2057" s="10" t="s">
        <v>364</v>
      </c>
      <c r="E2057" s="11" t="str">
        <f>+HYPERLINK("http://trademark.i-assist.jp/data/china/image_1902th/79186391.pdf", "79186391")</f>
        <v>79186391</v>
      </c>
      <c r="F2057" s="10" t="s">
        <v>5911</v>
      </c>
      <c r="G2057" s="10" t="s">
        <v>5912</v>
      </c>
      <c r="H2057" s="10" t="s">
        <v>5913</v>
      </c>
      <c r="I2057" s="10" t="s">
        <v>349</v>
      </c>
    </row>
    <row r="2058" spans="1:9" x14ac:dyDescent="0.15">
      <c r="A2058" s="9">
        <v>2057</v>
      </c>
      <c r="B2058" s="10" t="s">
        <v>9</v>
      </c>
      <c r="C2058" s="10" t="s">
        <v>363</v>
      </c>
      <c r="D2058" s="10" t="s">
        <v>364</v>
      </c>
      <c r="E2058" s="11" t="str">
        <f>+HYPERLINK("http://trademark.i-assist.jp/data/china/image_1902th/79186516.pdf", "79186516")</f>
        <v>79186516</v>
      </c>
      <c r="F2058" s="10" t="s">
        <v>5914</v>
      </c>
      <c r="G2058" s="10" t="s">
        <v>5915</v>
      </c>
      <c r="H2058" s="10" t="s">
        <v>5916</v>
      </c>
      <c r="I2058" s="10" t="s">
        <v>349</v>
      </c>
    </row>
    <row r="2059" spans="1:9" x14ac:dyDescent="0.15">
      <c r="A2059" s="9">
        <v>2058</v>
      </c>
      <c r="B2059" s="10" t="s">
        <v>9</v>
      </c>
      <c r="C2059" s="10" t="s">
        <v>363</v>
      </c>
      <c r="D2059" s="10" t="s">
        <v>364</v>
      </c>
      <c r="E2059" s="11" t="str">
        <f>+HYPERLINK("http://trademark.i-assist.jp/data/china/image_1902th/79186527.pdf", "79186527")</f>
        <v>79186527</v>
      </c>
      <c r="F2059" s="10" t="s">
        <v>5917</v>
      </c>
      <c r="G2059" s="10" t="s">
        <v>5918</v>
      </c>
      <c r="H2059" s="10" t="s">
        <v>5919</v>
      </c>
      <c r="I2059" s="10" t="s">
        <v>349</v>
      </c>
    </row>
    <row r="2060" spans="1:9" x14ac:dyDescent="0.15">
      <c r="A2060" s="9">
        <v>2059</v>
      </c>
      <c r="B2060" s="10" t="s">
        <v>9</v>
      </c>
      <c r="C2060" s="10" t="s">
        <v>363</v>
      </c>
      <c r="D2060" s="10" t="s">
        <v>364</v>
      </c>
      <c r="E2060" s="11" t="str">
        <f>+HYPERLINK("http://trademark.i-assist.jp/data/china/image_1902th/79186783.pdf", "79186783")</f>
        <v>79186783</v>
      </c>
      <c r="F2060" s="10" t="s">
        <v>5920</v>
      </c>
      <c r="G2060" s="10" t="s">
        <v>345</v>
      </c>
      <c r="H2060" s="10" t="s">
        <v>15</v>
      </c>
      <c r="I2060" s="10" t="s">
        <v>349</v>
      </c>
    </row>
    <row r="2061" spans="1:9" x14ac:dyDescent="0.15">
      <c r="A2061" s="9">
        <v>2060</v>
      </c>
      <c r="B2061" s="10" t="s">
        <v>9</v>
      </c>
      <c r="C2061" s="10" t="s">
        <v>363</v>
      </c>
      <c r="D2061" s="10" t="s">
        <v>364</v>
      </c>
      <c r="E2061" s="11" t="str">
        <f>+HYPERLINK("http://trademark.i-assist.jp/data/china/image_1902th/79186828.pdf", "79186828")</f>
        <v>79186828</v>
      </c>
      <c r="F2061" s="10" t="s">
        <v>5921</v>
      </c>
      <c r="G2061" s="10" t="s">
        <v>5922</v>
      </c>
      <c r="H2061" s="10" t="s">
        <v>5923</v>
      </c>
      <c r="I2061" s="10" t="s">
        <v>349</v>
      </c>
    </row>
    <row r="2062" spans="1:9" x14ac:dyDescent="0.15">
      <c r="A2062" s="9">
        <v>2061</v>
      </c>
      <c r="B2062" s="10" t="s">
        <v>9</v>
      </c>
      <c r="C2062" s="10" t="s">
        <v>363</v>
      </c>
      <c r="D2062" s="10" t="s">
        <v>364</v>
      </c>
      <c r="E2062" s="11" t="str">
        <f>+HYPERLINK("http://trademark.i-assist.jp/data/china/image_1902th/79186991.pdf", "79186991")</f>
        <v>79186991</v>
      </c>
      <c r="F2062" s="10" t="s">
        <v>5924</v>
      </c>
      <c r="G2062" s="10" t="s">
        <v>5925</v>
      </c>
      <c r="H2062" s="10" t="s">
        <v>5926</v>
      </c>
      <c r="I2062" s="10" t="s">
        <v>349</v>
      </c>
    </row>
    <row r="2063" spans="1:9" x14ac:dyDescent="0.15">
      <c r="A2063" s="9">
        <v>2062</v>
      </c>
      <c r="B2063" s="10" t="s">
        <v>9</v>
      </c>
      <c r="C2063" s="10" t="s">
        <v>363</v>
      </c>
      <c r="D2063" s="10" t="s">
        <v>364</v>
      </c>
      <c r="E2063" s="11" t="str">
        <f>+HYPERLINK("http://trademark.i-assist.jp/data/china/image_1902th/79187018.pdf", "79187018")</f>
        <v>79187018</v>
      </c>
      <c r="F2063" s="10" t="s">
        <v>5927</v>
      </c>
      <c r="G2063" s="10" t="s">
        <v>5928</v>
      </c>
      <c r="H2063" s="10" t="s">
        <v>5929</v>
      </c>
      <c r="I2063" s="10" t="s">
        <v>349</v>
      </c>
    </row>
    <row r="2064" spans="1:9" x14ac:dyDescent="0.15">
      <c r="A2064" s="9">
        <v>2063</v>
      </c>
      <c r="B2064" s="10" t="s">
        <v>9</v>
      </c>
      <c r="C2064" s="10" t="s">
        <v>363</v>
      </c>
      <c r="D2064" s="10" t="s">
        <v>364</v>
      </c>
      <c r="E2064" s="11" t="str">
        <f>+HYPERLINK("http://trademark.i-assist.jp/data/china/image_1902th/79187527.pdf", "79187527")</f>
        <v>79187527</v>
      </c>
      <c r="F2064" s="10" t="s">
        <v>5930</v>
      </c>
      <c r="G2064" s="10" t="s">
        <v>5931</v>
      </c>
      <c r="H2064" s="10" t="s">
        <v>5932</v>
      </c>
      <c r="I2064" s="10" t="s">
        <v>349</v>
      </c>
    </row>
    <row r="2065" spans="1:9" x14ac:dyDescent="0.15">
      <c r="A2065" s="9">
        <v>2064</v>
      </c>
      <c r="B2065" s="10" t="s">
        <v>9</v>
      </c>
      <c r="C2065" s="10" t="s">
        <v>363</v>
      </c>
      <c r="D2065" s="10" t="s">
        <v>364</v>
      </c>
      <c r="E2065" s="11" t="str">
        <f>+HYPERLINK("http://trademark.i-assist.jp/data/china/image_1902th/79187543.pdf", "79187543")</f>
        <v>79187543</v>
      </c>
      <c r="F2065" s="10" t="s">
        <v>5933</v>
      </c>
      <c r="G2065" s="10" t="s">
        <v>71</v>
      </c>
      <c r="H2065" s="10" t="s">
        <v>5934</v>
      </c>
      <c r="I2065" s="10" t="s">
        <v>349</v>
      </c>
    </row>
    <row r="2066" spans="1:9" x14ac:dyDescent="0.15">
      <c r="A2066" s="9">
        <v>2065</v>
      </c>
      <c r="B2066" s="10" t="s">
        <v>9</v>
      </c>
      <c r="C2066" s="10" t="s">
        <v>363</v>
      </c>
      <c r="D2066" s="10" t="s">
        <v>364</v>
      </c>
      <c r="E2066" s="11" t="str">
        <f>+HYPERLINK("http://trademark.i-assist.jp/data/china/image_1902th/79187573.pdf", "79187573")</f>
        <v>79187573</v>
      </c>
      <c r="F2066" s="10" t="s">
        <v>5935</v>
      </c>
      <c r="G2066" s="10" t="s">
        <v>5936</v>
      </c>
      <c r="H2066" s="10" t="s">
        <v>5937</v>
      </c>
      <c r="I2066" s="10" t="s">
        <v>349</v>
      </c>
    </row>
    <row r="2067" spans="1:9" x14ac:dyDescent="0.15">
      <c r="A2067" s="9">
        <v>2066</v>
      </c>
      <c r="B2067" s="10" t="s">
        <v>9</v>
      </c>
      <c r="C2067" s="10" t="s">
        <v>363</v>
      </c>
      <c r="D2067" s="10" t="s">
        <v>364</v>
      </c>
      <c r="E2067" s="11" t="str">
        <f>+HYPERLINK("http://trademark.i-assist.jp/data/china/image_1902th/79187714.pdf", "79187714")</f>
        <v>79187714</v>
      </c>
      <c r="F2067" s="10" t="s">
        <v>5938</v>
      </c>
      <c r="G2067" s="10" t="s">
        <v>5939</v>
      </c>
      <c r="H2067" s="10" t="s">
        <v>5940</v>
      </c>
      <c r="I2067" s="10" t="s">
        <v>349</v>
      </c>
    </row>
    <row r="2068" spans="1:9" x14ac:dyDescent="0.15">
      <c r="A2068" s="9">
        <v>2067</v>
      </c>
      <c r="B2068" s="10" t="s">
        <v>9</v>
      </c>
      <c r="C2068" s="10" t="s">
        <v>363</v>
      </c>
      <c r="D2068" s="10" t="s">
        <v>364</v>
      </c>
      <c r="E2068" s="11" t="str">
        <f>+HYPERLINK("http://trademark.i-assist.jp/data/china/image_1902th/79187766.pdf", "79187766")</f>
        <v>79187766</v>
      </c>
      <c r="F2068" s="10" t="s">
        <v>5941</v>
      </c>
      <c r="G2068" s="10" t="s">
        <v>5942</v>
      </c>
      <c r="H2068" s="10" t="s">
        <v>5943</v>
      </c>
      <c r="I2068" s="10" t="s">
        <v>349</v>
      </c>
    </row>
    <row r="2069" spans="1:9" x14ac:dyDescent="0.15">
      <c r="A2069" s="9">
        <v>2068</v>
      </c>
      <c r="B2069" s="10" t="s">
        <v>9</v>
      </c>
      <c r="C2069" s="10" t="s">
        <v>363</v>
      </c>
      <c r="D2069" s="10" t="s">
        <v>364</v>
      </c>
      <c r="E2069" s="11" t="str">
        <f>+HYPERLINK("http://trademark.i-assist.jp/data/china/image_1902th/79187782.pdf", "79187782")</f>
        <v>79187782</v>
      </c>
      <c r="F2069" s="10" t="s">
        <v>5944</v>
      </c>
      <c r="G2069" s="10" t="s">
        <v>5945</v>
      </c>
      <c r="H2069" s="10" t="s">
        <v>5946</v>
      </c>
      <c r="I2069" s="10" t="s">
        <v>349</v>
      </c>
    </row>
    <row r="2070" spans="1:9" x14ac:dyDescent="0.15">
      <c r="A2070" s="9">
        <v>2069</v>
      </c>
      <c r="B2070" s="10" t="s">
        <v>9</v>
      </c>
      <c r="C2070" s="10" t="s">
        <v>363</v>
      </c>
      <c r="D2070" s="10" t="s">
        <v>364</v>
      </c>
      <c r="E2070" s="11" t="str">
        <f>+HYPERLINK("http://trademark.i-assist.jp/data/china/image_1902th/79187790.pdf", "79187790")</f>
        <v>79187790</v>
      </c>
      <c r="F2070" s="10" t="s">
        <v>5947</v>
      </c>
      <c r="G2070" s="10" t="s">
        <v>5948</v>
      </c>
      <c r="H2070" s="10" t="s">
        <v>5949</v>
      </c>
      <c r="I2070" s="10" t="s">
        <v>349</v>
      </c>
    </row>
    <row r="2071" spans="1:9" x14ac:dyDescent="0.15">
      <c r="A2071" s="9">
        <v>2070</v>
      </c>
      <c r="B2071" s="10" t="s">
        <v>9</v>
      </c>
      <c r="C2071" s="10" t="s">
        <v>363</v>
      </c>
      <c r="D2071" s="10" t="s">
        <v>364</v>
      </c>
      <c r="E2071" s="11" t="str">
        <f>+HYPERLINK("http://trademark.i-assist.jp/data/china/image_1902th/79187839.pdf", "79187839")</f>
        <v>79187839</v>
      </c>
      <c r="F2071" s="10" t="s">
        <v>5950</v>
      </c>
      <c r="G2071" s="10" t="s">
        <v>5951</v>
      </c>
      <c r="H2071" s="10" t="s">
        <v>5952</v>
      </c>
      <c r="I2071" s="10" t="s">
        <v>349</v>
      </c>
    </row>
    <row r="2072" spans="1:9" x14ac:dyDescent="0.15">
      <c r="A2072" s="9">
        <v>2071</v>
      </c>
      <c r="B2072" s="10" t="s">
        <v>9</v>
      </c>
      <c r="C2072" s="10" t="s">
        <v>363</v>
      </c>
      <c r="D2072" s="10" t="s">
        <v>364</v>
      </c>
      <c r="E2072" s="11" t="str">
        <f>+HYPERLINK("http://trademark.i-assist.jp/data/china/image_1902th/79187844.pdf", "79187844")</f>
        <v>79187844</v>
      </c>
      <c r="F2072" s="10" t="s">
        <v>5953</v>
      </c>
      <c r="G2072" s="10" t="s">
        <v>226</v>
      </c>
      <c r="H2072" s="10" t="s">
        <v>5954</v>
      </c>
      <c r="I2072" s="10" t="s">
        <v>349</v>
      </c>
    </row>
    <row r="2073" spans="1:9" x14ac:dyDescent="0.15">
      <c r="A2073" s="9">
        <v>2072</v>
      </c>
      <c r="B2073" s="10" t="s">
        <v>9</v>
      </c>
      <c r="C2073" s="10" t="s">
        <v>363</v>
      </c>
      <c r="D2073" s="10" t="s">
        <v>364</v>
      </c>
      <c r="E2073" s="11" t="str">
        <f>+HYPERLINK("http://trademark.i-assist.jp/data/china/image_1902th/79187895.pdf", "79187895")</f>
        <v>79187895</v>
      </c>
      <c r="F2073" s="10" t="s">
        <v>5955</v>
      </c>
      <c r="G2073" s="10" t="s">
        <v>316</v>
      </c>
      <c r="H2073" s="10" t="s">
        <v>5956</v>
      </c>
      <c r="I2073" s="10" t="s">
        <v>349</v>
      </c>
    </row>
    <row r="2074" spans="1:9" x14ac:dyDescent="0.15">
      <c r="A2074" s="9">
        <v>2073</v>
      </c>
      <c r="B2074" s="10" t="s">
        <v>9</v>
      </c>
      <c r="C2074" s="10" t="s">
        <v>363</v>
      </c>
      <c r="D2074" s="10" t="s">
        <v>364</v>
      </c>
      <c r="E2074" s="11" t="str">
        <f>+HYPERLINK("http://trademark.i-assist.jp/data/china/image_1902th/79187910.pdf", "79187910")</f>
        <v>79187910</v>
      </c>
      <c r="F2074" s="10" t="s">
        <v>5957</v>
      </c>
      <c r="G2074" s="10" t="s">
        <v>1979</v>
      </c>
      <c r="H2074" s="10" t="s">
        <v>5958</v>
      </c>
      <c r="I2074" s="10" t="s">
        <v>349</v>
      </c>
    </row>
    <row r="2075" spans="1:9" x14ac:dyDescent="0.15">
      <c r="A2075" s="9">
        <v>2074</v>
      </c>
      <c r="B2075" s="10" t="s">
        <v>9</v>
      </c>
      <c r="C2075" s="10" t="s">
        <v>363</v>
      </c>
      <c r="D2075" s="10" t="s">
        <v>364</v>
      </c>
      <c r="E2075" s="11" t="str">
        <f>+HYPERLINK("http://trademark.i-assist.jp/data/china/image_1902th/79187932.pdf", "79187932")</f>
        <v>79187932</v>
      </c>
      <c r="F2075" s="10" t="s">
        <v>5959</v>
      </c>
      <c r="G2075" s="10" t="s">
        <v>185</v>
      </c>
      <c r="H2075" s="10" t="s">
        <v>5960</v>
      </c>
      <c r="I2075" s="10" t="s">
        <v>349</v>
      </c>
    </row>
    <row r="2076" spans="1:9" x14ac:dyDescent="0.15">
      <c r="A2076" s="9">
        <v>2075</v>
      </c>
      <c r="B2076" s="10" t="s">
        <v>9</v>
      </c>
      <c r="C2076" s="10" t="s">
        <v>363</v>
      </c>
      <c r="D2076" s="10" t="s">
        <v>364</v>
      </c>
      <c r="E2076" s="11" t="str">
        <f>+HYPERLINK("http://trademark.i-assist.jp/data/china/image_1902th/79187942.pdf", "79187942")</f>
        <v>79187942</v>
      </c>
      <c r="F2076" s="10" t="s">
        <v>5961</v>
      </c>
      <c r="G2076" s="10" t="s">
        <v>3843</v>
      </c>
      <c r="H2076" s="10" t="s">
        <v>5962</v>
      </c>
      <c r="I2076" s="10" t="s">
        <v>349</v>
      </c>
    </row>
    <row r="2077" spans="1:9" x14ac:dyDescent="0.15">
      <c r="A2077" s="9">
        <v>2076</v>
      </c>
      <c r="B2077" s="10" t="s">
        <v>9</v>
      </c>
      <c r="C2077" s="10" t="s">
        <v>363</v>
      </c>
      <c r="D2077" s="10" t="s">
        <v>364</v>
      </c>
      <c r="E2077" s="11" t="str">
        <f>+HYPERLINK("http://trademark.i-assist.jp/data/china/image_1902th/79188278.pdf", "79188278")</f>
        <v>79188278</v>
      </c>
      <c r="F2077" s="10" t="s">
        <v>5963</v>
      </c>
      <c r="G2077" s="10" t="s">
        <v>5964</v>
      </c>
      <c r="H2077" s="10" t="s">
        <v>5965</v>
      </c>
      <c r="I2077" s="10" t="s">
        <v>349</v>
      </c>
    </row>
    <row r="2078" spans="1:9" x14ac:dyDescent="0.15">
      <c r="A2078" s="9">
        <v>2077</v>
      </c>
      <c r="B2078" s="10" t="s">
        <v>9</v>
      </c>
      <c r="C2078" s="10" t="s">
        <v>363</v>
      </c>
      <c r="D2078" s="10" t="s">
        <v>364</v>
      </c>
      <c r="E2078" s="11" t="str">
        <f>+HYPERLINK("http://trademark.i-assist.jp/data/china/image_1902th/79188390.pdf", "79188390")</f>
        <v>79188390</v>
      </c>
      <c r="F2078" s="10" t="s">
        <v>5966</v>
      </c>
      <c r="G2078" s="10" t="s">
        <v>5967</v>
      </c>
      <c r="H2078" s="10" t="s">
        <v>5968</v>
      </c>
      <c r="I2078" s="10" t="s">
        <v>349</v>
      </c>
    </row>
    <row r="2079" spans="1:9" x14ac:dyDescent="0.15">
      <c r="A2079" s="9">
        <v>2078</v>
      </c>
      <c r="B2079" s="10" t="s">
        <v>9</v>
      </c>
      <c r="C2079" s="10" t="s">
        <v>363</v>
      </c>
      <c r="D2079" s="10" t="s">
        <v>364</v>
      </c>
      <c r="E2079" s="11" t="str">
        <f>+HYPERLINK("http://trademark.i-assist.jp/data/china/image_1902th/79188498.pdf", "79188498")</f>
        <v>79188498</v>
      </c>
      <c r="F2079" s="10" t="s">
        <v>5969</v>
      </c>
      <c r="G2079" s="10" t="s">
        <v>5970</v>
      </c>
      <c r="H2079" s="10" t="s">
        <v>5971</v>
      </c>
      <c r="I2079" s="10" t="s">
        <v>349</v>
      </c>
    </row>
    <row r="2080" spans="1:9" x14ac:dyDescent="0.15">
      <c r="A2080" s="9">
        <v>2079</v>
      </c>
      <c r="B2080" s="10" t="s">
        <v>9</v>
      </c>
      <c r="C2080" s="10" t="s">
        <v>363</v>
      </c>
      <c r="D2080" s="10" t="s">
        <v>364</v>
      </c>
      <c r="E2080" s="11" t="str">
        <f>+HYPERLINK("http://trademark.i-assist.jp/data/china/image_1902th/79188538.pdf", "79188538")</f>
        <v>79188538</v>
      </c>
      <c r="F2080" s="10" t="s">
        <v>12</v>
      </c>
      <c r="G2080" s="10" t="s">
        <v>5972</v>
      </c>
      <c r="H2080" s="10" t="s">
        <v>5973</v>
      </c>
      <c r="I2080" s="10" t="s">
        <v>349</v>
      </c>
    </row>
    <row r="2081" spans="1:9" x14ac:dyDescent="0.15">
      <c r="A2081" s="9">
        <v>2080</v>
      </c>
      <c r="B2081" s="10" t="s">
        <v>9</v>
      </c>
      <c r="C2081" s="10" t="s">
        <v>363</v>
      </c>
      <c r="D2081" s="10" t="s">
        <v>364</v>
      </c>
      <c r="E2081" s="11" t="str">
        <f>+HYPERLINK("http://trademark.i-assist.jp/data/china/image_1902th/79188810.pdf", "79188810")</f>
        <v>79188810</v>
      </c>
      <c r="F2081" s="10" t="s">
        <v>5974</v>
      </c>
      <c r="G2081" s="10" t="s">
        <v>5975</v>
      </c>
      <c r="H2081" s="10" t="s">
        <v>5976</v>
      </c>
      <c r="I2081" s="10" t="s">
        <v>349</v>
      </c>
    </row>
    <row r="2082" spans="1:9" x14ac:dyDescent="0.15">
      <c r="A2082" s="9">
        <v>2081</v>
      </c>
      <c r="B2082" s="10" t="s">
        <v>9</v>
      </c>
      <c r="C2082" s="10" t="s">
        <v>363</v>
      </c>
      <c r="D2082" s="10" t="s">
        <v>364</v>
      </c>
      <c r="E2082" s="11" t="str">
        <f>+HYPERLINK("http://trademark.i-assist.jp/data/china/image_1902th/79188852.pdf", "79188852")</f>
        <v>79188852</v>
      </c>
      <c r="F2082" s="10" t="s">
        <v>5977</v>
      </c>
      <c r="G2082" s="10" t="s">
        <v>5978</v>
      </c>
      <c r="H2082" s="10" t="s">
        <v>5979</v>
      </c>
      <c r="I2082" s="10" t="s">
        <v>349</v>
      </c>
    </row>
    <row r="2083" spans="1:9" x14ac:dyDescent="0.15">
      <c r="A2083" s="9">
        <v>2082</v>
      </c>
      <c r="B2083" s="10" t="s">
        <v>9</v>
      </c>
      <c r="C2083" s="10" t="s">
        <v>363</v>
      </c>
      <c r="D2083" s="10" t="s">
        <v>364</v>
      </c>
      <c r="E2083" s="11" t="str">
        <f>+HYPERLINK("http://trademark.i-assist.jp/data/china/image_1902th/79188854.pdf", "79188854")</f>
        <v>79188854</v>
      </c>
      <c r="F2083" s="10" t="s">
        <v>12</v>
      </c>
      <c r="G2083" s="10" t="s">
        <v>186</v>
      </c>
      <c r="H2083" s="10" t="s">
        <v>5980</v>
      </c>
      <c r="I2083" s="10" t="s">
        <v>349</v>
      </c>
    </row>
    <row r="2084" spans="1:9" x14ac:dyDescent="0.15">
      <c r="A2084" s="9">
        <v>2083</v>
      </c>
      <c r="B2084" s="10" t="s">
        <v>9</v>
      </c>
      <c r="C2084" s="10" t="s">
        <v>363</v>
      </c>
      <c r="D2084" s="10" t="s">
        <v>364</v>
      </c>
      <c r="E2084" s="11" t="str">
        <f>+HYPERLINK("http://trademark.i-assist.jp/data/china/image_1902th/79188971.pdf", "79188971")</f>
        <v>79188971</v>
      </c>
      <c r="F2084" s="10" t="s">
        <v>5981</v>
      </c>
      <c r="G2084" s="10" t="s">
        <v>5982</v>
      </c>
      <c r="H2084" s="10" t="s">
        <v>5983</v>
      </c>
      <c r="I2084" s="10" t="s">
        <v>349</v>
      </c>
    </row>
    <row r="2085" spans="1:9" x14ac:dyDescent="0.15">
      <c r="A2085" s="9">
        <v>2084</v>
      </c>
      <c r="B2085" s="10" t="s">
        <v>9</v>
      </c>
      <c r="C2085" s="10" t="s">
        <v>363</v>
      </c>
      <c r="D2085" s="10" t="s">
        <v>364</v>
      </c>
      <c r="E2085" s="11" t="str">
        <f>+HYPERLINK("http://trademark.i-assist.jp/data/china/image_1902th/79189002.pdf", "79189002")</f>
        <v>79189002</v>
      </c>
      <c r="F2085" s="10" t="s">
        <v>5984</v>
      </c>
      <c r="G2085" s="10" t="s">
        <v>5985</v>
      </c>
      <c r="H2085" s="10" t="s">
        <v>5986</v>
      </c>
      <c r="I2085" s="10" t="s">
        <v>349</v>
      </c>
    </row>
    <row r="2086" spans="1:9" x14ac:dyDescent="0.15">
      <c r="A2086" s="9">
        <v>2085</v>
      </c>
      <c r="B2086" s="10" t="s">
        <v>9</v>
      </c>
      <c r="C2086" s="10" t="s">
        <v>363</v>
      </c>
      <c r="D2086" s="10" t="s">
        <v>364</v>
      </c>
      <c r="E2086" s="11" t="str">
        <f>+HYPERLINK("http://trademark.i-assist.jp/data/china/image_1902th/79189444.pdf", "79189444")</f>
        <v>79189444</v>
      </c>
      <c r="F2086" s="10" t="s">
        <v>5987</v>
      </c>
      <c r="G2086" s="10" t="s">
        <v>5988</v>
      </c>
      <c r="H2086" s="10" t="s">
        <v>5989</v>
      </c>
      <c r="I2086" s="10" t="s">
        <v>349</v>
      </c>
    </row>
    <row r="2087" spans="1:9" x14ac:dyDescent="0.15">
      <c r="A2087" s="9">
        <v>2086</v>
      </c>
      <c r="B2087" s="10" t="s">
        <v>9</v>
      </c>
      <c r="C2087" s="10" t="s">
        <v>363</v>
      </c>
      <c r="D2087" s="10" t="s">
        <v>364</v>
      </c>
      <c r="E2087" s="11" t="str">
        <f>+HYPERLINK("http://trademark.i-assist.jp/data/china/image_1902th/79189468.pdf", "79189468")</f>
        <v>79189468</v>
      </c>
      <c r="F2087" s="10" t="s">
        <v>5990</v>
      </c>
      <c r="G2087" s="10" t="s">
        <v>5991</v>
      </c>
      <c r="H2087" s="10" t="s">
        <v>5992</v>
      </c>
      <c r="I2087" s="10" t="s">
        <v>349</v>
      </c>
    </row>
    <row r="2088" spans="1:9" x14ac:dyDescent="0.15">
      <c r="A2088" s="9">
        <v>2087</v>
      </c>
      <c r="B2088" s="10" t="s">
        <v>9</v>
      </c>
      <c r="C2088" s="10" t="s">
        <v>363</v>
      </c>
      <c r="D2088" s="10" t="s">
        <v>364</v>
      </c>
      <c r="E2088" s="11" t="str">
        <f>+HYPERLINK("http://trademark.i-assist.jp/data/china/image_1902th/79189475.pdf", "79189475")</f>
        <v>79189475</v>
      </c>
      <c r="F2088" s="10" t="s">
        <v>5993</v>
      </c>
      <c r="G2088" s="10" t="s">
        <v>5994</v>
      </c>
      <c r="H2088" s="10" t="s">
        <v>5995</v>
      </c>
      <c r="I2088" s="10" t="s">
        <v>349</v>
      </c>
    </row>
    <row r="2089" spans="1:9" x14ac:dyDescent="0.15">
      <c r="A2089" s="9">
        <v>2088</v>
      </c>
      <c r="B2089" s="10" t="s">
        <v>9</v>
      </c>
      <c r="C2089" s="10" t="s">
        <v>363</v>
      </c>
      <c r="D2089" s="10" t="s">
        <v>364</v>
      </c>
      <c r="E2089" s="11" t="str">
        <f>+HYPERLINK("http://trademark.i-assist.jp/data/china/image_1902th/79189570.pdf", "79189570")</f>
        <v>79189570</v>
      </c>
      <c r="F2089" s="10" t="s">
        <v>5996</v>
      </c>
      <c r="G2089" s="10" t="s">
        <v>5997</v>
      </c>
      <c r="H2089" s="10" t="s">
        <v>5998</v>
      </c>
      <c r="I2089" s="10" t="s">
        <v>349</v>
      </c>
    </row>
    <row r="2090" spans="1:9" x14ac:dyDescent="0.15">
      <c r="A2090" s="9">
        <v>2089</v>
      </c>
      <c r="B2090" s="10" t="s">
        <v>9</v>
      </c>
      <c r="C2090" s="10" t="s">
        <v>363</v>
      </c>
      <c r="D2090" s="10" t="s">
        <v>364</v>
      </c>
      <c r="E2090" s="11" t="str">
        <f>+HYPERLINK("http://trademark.i-assist.jp/data/china/image_1902th/79189643.pdf", "79189643")</f>
        <v>79189643</v>
      </c>
      <c r="F2090" s="10" t="s">
        <v>5999</v>
      </c>
      <c r="G2090" s="10" t="s">
        <v>6000</v>
      </c>
      <c r="H2090" s="10" t="s">
        <v>6001</v>
      </c>
      <c r="I2090" s="10" t="s">
        <v>349</v>
      </c>
    </row>
    <row r="2091" spans="1:9" x14ac:dyDescent="0.15">
      <c r="A2091" s="9">
        <v>2090</v>
      </c>
      <c r="B2091" s="10" t="s">
        <v>9</v>
      </c>
      <c r="C2091" s="10" t="s">
        <v>363</v>
      </c>
      <c r="D2091" s="10" t="s">
        <v>364</v>
      </c>
      <c r="E2091" s="11" t="str">
        <f>+HYPERLINK("http://trademark.i-assist.jp/data/china/image_1902th/79189736.pdf", "79189736")</f>
        <v>79189736</v>
      </c>
      <c r="F2091" s="10" t="s">
        <v>6002</v>
      </c>
      <c r="G2091" s="10" t="s">
        <v>6003</v>
      </c>
      <c r="H2091" s="10" t="s">
        <v>6004</v>
      </c>
      <c r="I2091" s="10" t="s">
        <v>349</v>
      </c>
    </row>
    <row r="2092" spans="1:9" x14ac:dyDescent="0.15">
      <c r="A2092" s="9">
        <v>2091</v>
      </c>
      <c r="B2092" s="10" t="s">
        <v>9</v>
      </c>
      <c r="C2092" s="10" t="s">
        <v>363</v>
      </c>
      <c r="D2092" s="10" t="s">
        <v>364</v>
      </c>
      <c r="E2092" s="11" t="str">
        <f>+HYPERLINK("http://trademark.i-assist.jp/data/china/image_1902th/79189761.pdf", "79189761")</f>
        <v>79189761</v>
      </c>
      <c r="F2092" s="10" t="s">
        <v>6005</v>
      </c>
      <c r="G2092" s="10" t="s">
        <v>6006</v>
      </c>
      <c r="H2092" s="10" t="s">
        <v>6007</v>
      </c>
      <c r="I2092" s="10" t="s">
        <v>349</v>
      </c>
    </row>
    <row r="2093" spans="1:9" x14ac:dyDescent="0.15">
      <c r="A2093" s="9">
        <v>2092</v>
      </c>
      <c r="B2093" s="10" t="s">
        <v>9</v>
      </c>
      <c r="C2093" s="10" t="s">
        <v>363</v>
      </c>
      <c r="D2093" s="10" t="s">
        <v>364</v>
      </c>
      <c r="E2093" s="11" t="str">
        <f>+HYPERLINK("http://trademark.i-assist.jp/data/china/image_1902th/79189959.pdf", "79189959")</f>
        <v>79189959</v>
      </c>
      <c r="F2093" s="10" t="s">
        <v>6008</v>
      </c>
      <c r="G2093" s="10" t="s">
        <v>6009</v>
      </c>
      <c r="H2093" s="10" t="s">
        <v>6010</v>
      </c>
      <c r="I2093" s="10" t="s">
        <v>349</v>
      </c>
    </row>
    <row r="2094" spans="1:9" x14ac:dyDescent="0.15">
      <c r="A2094" s="9">
        <v>2093</v>
      </c>
      <c r="B2094" s="10" t="s">
        <v>9</v>
      </c>
      <c r="C2094" s="10" t="s">
        <v>363</v>
      </c>
      <c r="D2094" s="10" t="s">
        <v>364</v>
      </c>
      <c r="E2094" s="11" t="str">
        <f>+HYPERLINK("http://trademark.i-assist.jp/data/china/image_1902th/79190218.pdf", "79190218")</f>
        <v>79190218</v>
      </c>
      <c r="F2094" s="10" t="s">
        <v>6011</v>
      </c>
      <c r="G2094" s="10" t="s">
        <v>6012</v>
      </c>
      <c r="H2094" s="10" t="s">
        <v>6013</v>
      </c>
      <c r="I2094" s="10" t="s">
        <v>349</v>
      </c>
    </row>
    <row r="2095" spans="1:9" x14ac:dyDescent="0.15">
      <c r="A2095" s="9">
        <v>2094</v>
      </c>
      <c r="B2095" s="10" t="s">
        <v>9</v>
      </c>
      <c r="C2095" s="10" t="s">
        <v>363</v>
      </c>
      <c r="D2095" s="10" t="s">
        <v>364</v>
      </c>
      <c r="E2095" s="11" t="str">
        <f>+HYPERLINK("http://trademark.i-assist.jp/data/china/image_1902th/79190244.pdf", "79190244")</f>
        <v>79190244</v>
      </c>
      <c r="F2095" s="10" t="s">
        <v>6014</v>
      </c>
      <c r="G2095" s="10" t="s">
        <v>5751</v>
      </c>
      <c r="H2095" s="10" t="s">
        <v>6015</v>
      </c>
      <c r="I2095" s="10" t="s">
        <v>349</v>
      </c>
    </row>
    <row r="2096" spans="1:9" x14ac:dyDescent="0.15">
      <c r="A2096" s="9">
        <v>2095</v>
      </c>
      <c r="B2096" s="10" t="s">
        <v>9</v>
      </c>
      <c r="C2096" s="10" t="s">
        <v>363</v>
      </c>
      <c r="D2096" s="10" t="s">
        <v>364</v>
      </c>
      <c r="E2096" s="11" t="str">
        <f>+HYPERLINK("http://trademark.i-assist.jp/data/china/image_1902th/79190350.pdf", "79190350")</f>
        <v>79190350</v>
      </c>
      <c r="F2096" s="10" t="s">
        <v>6016</v>
      </c>
      <c r="G2096" s="10" t="s">
        <v>6017</v>
      </c>
      <c r="H2096" s="10" t="s">
        <v>6018</v>
      </c>
      <c r="I2096" s="10" t="s">
        <v>349</v>
      </c>
    </row>
    <row r="2097" spans="1:9" x14ac:dyDescent="0.15">
      <c r="A2097" s="9">
        <v>2096</v>
      </c>
      <c r="B2097" s="10" t="s">
        <v>9</v>
      </c>
      <c r="C2097" s="10" t="s">
        <v>363</v>
      </c>
      <c r="D2097" s="10" t="s">
        <v>364</v>
      </c>
      <c r="E2097" s="11" t="str">
        <f>+HYPERLINK("http://trademark.i-assist.jp/data/china/image_1902th/79190412.pdf", "79190412")</f>
        <v>79190412</v>
      </c>
      <c r="F2097" s="10" t="s">
        <v>6019</v>
      </c>
      <c r="G2097" s="10" t="s">
        <v>6020</v>
      </c>
      <c r="H2097" s="10" t="s">
        <v>6021</v>
      </c>
      <c r="I2097" s="10" t="s">
        <v>349</v>
      </c>
    </row>
    <row r="2098" spans="1:9" x14ac:dyDescent="0.15">
      <c r="A2098" s="9">
        <v>2097</v>
      </c>
      <c r="B2098" s="10" t="s">
        <v>9</v>
      </c>
      <c r="C2098" s="10" t="s">
        <v>363</v>
      </c>
      <c r="D2098" s="10" t="s">
        <v>364</v>
      </c>
      <c r="E2098" s="11" t="str">
        <f>+HYPERLINK("http://trademark.i-assist.jp/data/china/image_1902th/79190541.pdf", "79190541")</f>
        <v>79190541</v>
      </c>
      <c r="F2098" s="10" t="s">
        <v>6022</v>
      </c>
      <c r="G2098" s="10" t="s">
        <v>6023</v>
      </c>
      <c r="H2098" s="10" t="s">
        <v>6024</v>
      </c>
      <c r="I2098" s="10" t="s">
        <v>349</v>
      </c>
    </row>
    <row r="2099" spans="1:9" x14ac:dyDescent="0.15">
      <c r="A2099" s="9">
        <v>2098</v>
      </c>
      <c r="B2099" s="10" t="s">
        <v>9</v>
      </c>
      <c r="C2099" s="10" t="s">
        <v>363</v>
      </c>
      <c r="D2099" s="10" t="s">
        <v>364</v>
      </c>
      <c r="E2099" s="11" t="str">
        <f>+HYPERLINK("http://trademark.i-assist.jp/data/china/image_1902th/79190681.pdf", "79190681")</f>
        <v>79190681</v>
      </c>
      <c r="F2099" s="10" t="s">
        <v>6025</v>
      </c>
      <c r="G2099" s="10" t="s">
        <v>5640</v>
      </c>
      <c r="H2099" s="10" t="s">
        <v>6026</v>
      </c>
      <c r="I2099" s="10" t="s">
        <v>349</v>
      </c>
    </row>
    <row r="2100" spans="1:9" x14ac:dyDescent="0.15">
      <c r="A2100" s="9">
        <v>2099</v>
      </c>
      <c r="B2100" s="10" t="s">
        <v>9</v>
      </c>
      <c r="C2100" s="10" t="s">
        <v>363</v>
      </c>
      <c r="D2100" s="10" t="s">
        <v>364</v>
      </c>
      <c r="E2100" s="11" t="str">
        <f>+HYPERLINK("http://trademark.i-assist.jp/data/china/image_1902th/79190825.pdf", "79190825")</f>
        <v>79190825</v>
      </c>
      <c r="F2100" s="10" t="s">
        <v>6027</v>
      </c>
      <c r="G2100" s="10" t="s">
        <v>6028</v>
      </c>
      <c r="H2100" s="10" t="s">
        <v>6029</v>
      </c>
      <c r="I2100" s="10" t="s">
        <v>349</v>
      </c>
    </row>
    <row r="2101" spans="1:9" x14ac:dyDescent="0.15">
      <c r="A2101" s="9">
        <v>2100</v>
      </c>
      <c r="B2101" s="10" t="s">
        <v>9</v>
      </c>
      <c r="C2101" s="10" t="s">
        <v>363</v>
      </c>
      <c r="D2101" s="10" t="s">
        <v>364</v>
      </c>
      <c r="E2101" s="11" t="str">
        <f>+HYPERLINK("http://trademark.i-assist.jp/data/china/image_1902th/79190859.pdf", "79190859")</f>
        <v>79190859</v>
      </c>
      <c r="F2101" s="10" t="s">
        <v>6030</v>
      </c>
      <c r="G2101" s="10" t="s">
        <v>5903</v>
      </c>
      <c r="H2101" s="10" t="s">
        <v>6031</v>
      </c>
      <c r="I2101" s="10" t="s">
        <v>349</v>
      </c>
    </row>
    <row r="2102" spans="1:9" x14ac:dyDescent="0.15">
      <c r="A2102" s="9">
        <v>2101</v>
      </c>
      <c r="B2102" s="10" t="s">
        <v>9</v>
      </c>
      <c r="C2102" s="10" t="s">
        <v>363</v>
      </c>
      <c r="D2102" s="10" t="s">
        <v>364</v>
      </c>
      <c r="E2102" s="11" t="str">
        <f>+HYPERLINK("http://trademark.i-assist.jp/data/china/image_1902th/79190982.pdf", "79190982")</f>
        <v>79190982</v>
      </c>
      <c r="F2102" s="10" t="s">
        <v>6032</v>
      </c>
      <c r="G2102" s="10" t="s">
        <v>57</v>
      </c>
      <c r="H2102" s="10" t="s">
        <v>6033</v>
      </c>
      <c r="I2102" s="10" t="s">
        <v>349</v>
      </c>
    </row>
    <row r="2103" spans="1:9" x14ac:dyDescent="0.15">
      <c r="A2103" s="9">
        <v>2102</v>
      </c>
      <c r="B2103" s="10" t="s">
        <v>9</v>
      </c>
      <c r="C2103" s="10" t="s">
        <v>363</v>
      </c>
      <c r="D2103" s="10" t="s">
        <v>364</v>
      </c>
      <c r="E2103" s="11" t="str">
        <f>+HYPERLINK("http://trademark.i-assist.jp/data/china/image_1902th/79191034.pdf", "79191034")</f>
        <v>79191034</v>
      </c>
      <c r="F2103" s="10" t="s">
        <v>6034</v>
      </c>
      <c r="G2103" s="10" t="s">
        <v>6035</v>
      </c>
      <c r="H2103" s="10" t="s">
        <v>6036</v>
      </c>
      <c r="I2103" s="10" t="s">
        <v>349</v>
      </c>
    </row>
    <row r="2104" spans="1:9" x14ac:dyDescent="0.15">
      <c r="A2104" s="9">
        <v>2103</v>
      </c>
      <c r="B2104" s="10" t="s">
        <v>9</v>
      </c>
      <c r="C2104" s="10" t="s">
        <v>363</v>
      </c>
      <c r="D2104" s="10" t="s">
        <v>364</v>
      </c>
      <c r="E2104" s="11" t="str">
        <f>+HYPERLINK("http://trademark.i-assist.jp/data/china/image_1902th/79191227.pdf", "79191227")</f>
        <v>79191227</v>
      </c>
      <c r="F2104" s="10" t="s">
        <v>6037</v>
      </c>
      <c r="G2104" s="10" t="s">
        <v>6038</v>
      </c>
      <c r="H2104" s="10" t="s">
        <v>6039</v>
      </c>
      <c r="I2104" s="10" t="s">
        <v>349</v>
      </c>
    </row>
    <row r="2105" spans="1:9" x14ac:dyDescent="0.15">
      <c r="A2105" s="9">
        <v>2104</v>
      </c>
      <c r="B2105" s="10" t="s">
        <v>9</v>
      </c>
      <c r="C2105" s="10" t="s">
        <v>363</v>
      </c>
      <c r="D2105" s="10" t="s">
        <v>364</v>
      </c>
      <c r="E2105" s="11" t="str">
        <f>+HYPERLINK("http://trademark.i-assist.jp/data/china/image_1902th/79191263.pdf", "79191263")</f>
        <v>79191263</v>
      </c>
      <c r="F2105" s="10" t="s">
        <v>6040</v>
      </c>
      <c r="G2105" s="10" t="s">
        <v>6041</v>
      </c>
      <c r="H2105" s="10" t="s">
        <v>6042</v>
      </c>
      <c r="I2105" s="10" t="s">
        <v>349</v>
      </c>
    </row>
    <row r="2106" spans="1:9" x14ac:dyDescent="0.15">
      <c r="A2106" s="9">
        <v>2105</v>
      </c>
      <c r="B2106" s="10" t="s">
        <v>9</v>
      </c>
      <c r="C2106" s="10" t="s">
        <v>363</v>
      </c>
      <c r="D2106" s="10" t="s">
        <v>364</v>
      </c>
      <c r="E2106" s="11" t="str">
        <f>+HYPERLINK("http://trademark.i-assist.jp/data/china/image_1902th/79191442.pdf", "79191442")</f>
        <v>79191442</v>
      </c>
      <c r="F2106" s="10" t="s">
        <v>6043</v>
      </c>
      <c r="G2106" s="10" t="s">
        <v>5751</v>
      </c>
      <c r="H2106" s="10" t="s">
        <v>6044</v>
      </c>
      <c r="I2106" s="10" t="s">
        <v>349</v>
      </c>
    </row>
    <row r="2107" spans="1:9" x14ac:dyDescent="0.15">
      <c r="A2107" s="9">
        <v>2106</v>
      </c>
      <c r="B2107" s="10" t="s">
        <v>9</v>
      </c>
      <c r="C2107" s="10" t="s">
        <v>363</v>
      </c>
      <c r="D2107" s="10" t="s">
        <v>364</v>
      </c>
      <c r="E2107" s="11" t="str">
        <f>+HYPERLINK("http://trademark.i-assist.jp/data/china/image_1902th/79191481.pdf", "79191481")</f>
        <v>79191481</v>
      </c>
      <c r="F2107" s="10" t="s">
        <v>6045</v>
      </c>
      <c r="G2107" s="10" t="s">
        <v>150</v>
      </c>
      <c r="H2107" s="10" t="s">
        <v>6046</v>
      </c>
      <c r="I2107" s="10" t="s">
        <v>349</v>
      </c>
    </row>
    <row r="2108" spans="1:9" x14ac:dyDescent="0.15">
      <c r="A2108" s="9">
        <v>2107</v>
      </c>
      <c r="B2108" s="10" t="s">
        <v>9</v>
      </c>
      <c r="C2108" s="10" t="s">
        <v>363</v>
      </c>
      <c r="D2108" s="10" t="s">
        <v>364</v>
      </c>
      <c r="E2108" s="11" t="str">
        <f>+HYPERLINK("http://trademark.i-assist.jp/data/china/image_1902th/79191597.pdf", "79191597")</f>
        <v>79191597</v>
      </c>
      <c r="F2108" s="10" t="s">
        <v>6047</v>
      </c>
      <c r="G2108" s="10" t="s">
        <v>6048</v>
      </c>
      <c r="H2108" s="10" t="s">
        <v>6049</v>
      </c>
      <c r="I2108" s="10" t="s">
        <v>349</v>
      </c>
    </row>
    <row r="2109" spans="1:9" x14ac:dyDescent="0.15">
      <c r="A2109" s="9">
        <v>2108</v>
      </c>
      <c r="B2109" s="10" t="s">
        <v>9</v>
      </c>
      <c r="C2109" s="10" t="s">
        <v>363</v>
      </c>
      <c r="D2109" s="10" t="s">
        <v>364</v>
      </c>
      <c r="E2109" s="11" t="str">
        <f>+HYPERLINK("http://trademark.i-assist.jp/data/china/image_1902th/79191754.pdf", "79191754")</f>
        <v>79191754</v>
      </c>
      <c r="F2109" s="10" t="s">
        <v>6050</v>
      </c>
      <c r="G2109" s="10" t="s">
        <v>6051</v>
      </c>
      <c r="H2109" s="10" t="s">
        <v>6052</v>
      </c>
      <c r="I2109" s="10" t="s">
        <v>349</v>
      </c>
    </row>
    <row r="2110" spans="1:9" x14ac:dyDescent="0.15">
      <c r="A2110" s="9">
        <v>2109</v>
      </c>
      <c r="B2110" s="10" t="s">
        <v>9</v>
      </c>
      <c r="C2110" s="10" t="s">
        <v>363</v>
      </c>
      <c r="D2110" s="10" t="s">
        <v>364</v>
      </c>
      <c r="E2110" s="11" t="str">
        <f>+HYPERLINK("http://trademark.i-assist.jp/data/china/image_1902th/79191928.pdf", "79191928")</f>
        <v>79191928</v>
      </c>
      <c r="F2110" s="10" t="s">
        <v>6053</v>
      </c>
      <c r="G2110" s="10" t="s">
        <v>6054</v>
      </c>
      <c r="H2110" s="10" t="s">
        <v>6055</v>
      </c>
      <c r="I2110" s="10" t="s">
        <v>349</v>
      </c>
    </row>
    <row r="2111" spans="1:9" x14ac:dyDescent="0.15">
      <c r="A2111" s="9">
        <v>2110</v>
      </c>
      <c r="B2111" s="10" t="s">
        <v>9</v>
      </c>
      <c r="C2111" s="10" t="s">
        <v>363</v>
      </c>
      <c r="D2111" s="10" t="s">
        <v>364</v>
      </c>
      <c r="E2111" s="11" t="str">
        <f>+HYPERLINK("http://trademark.i-assist.jp/data/china/image_1902th/79192065.pdf", "79192065")</f>
        <v>79192065</v>
      </c>
      <c r="F2111" s="10" t="s">
        <v>12</v>
      </c>
      <c r="G2111" s="10" t="s">
        <v>33</v>
      </c>
      <c r="H2111" s="10" t="s">
        <v>6056</v>
      </c>
      <c r="I2111" s="10" t="s">
        <v>349</v>
      </c>
    </row>
    <row r="2112" spans="1:9" x14ac:dyDescent="0.15">
      <c r="A2112" s="9">
        <v>2111</v>
      </c>
      <c r="B2112" s="10" t="s">
        <v>9</v>
      </c>
      <c r="C2112" s="10" t="s">
        <v>363</v>
      </c>
      <c r="D2112" s="10" t="s">
        <v>364</v>
      </c>
      <c r="E2112" s="11" t="str">
        <f>+HYPERLINK("http://trademark.i-assist.jp/data/china/image_1902th/79192126.pdf", "79192126")</f>
        <v>79192126</v>
      </c>
      <c r="F2112" s="10" t="s">
        <v>6057</v>
      </c>
      <c r="G2112" s="10" t="s">
        <v>6058</v>
      </c>
      <c r="H2112" s="10" t="s">
        <v>6059</v>
      </c>
      <c r="I2112" s="10" t="s">
        <v>349</v>
      </c>
    </row>
    <row r="2113" spans="1:9" x14ac:dyDescent="0.15">
      <c r="A2113" s="9">
        <v>2112</v>
      </c>
      <c r="B2113" s="10" t="s">
        <v>9</v>
      </c>
      <c r="C2113" s="10" t="s">
        <v>363</v>
      </c>
      <c r="D2113" s="10" t="s">
        <v>364</v>
      </c>
      <c r="E2113" s="11" t="str">
        <f>+HYPERLINK("http://trademark.i-assist.jp/data/china/image_1902th/79192267.pdf", "79192267")</f>
        <v>79192267</v>
      </c>
      <c r="F2113" s="10" t="s">
        <v>6060</v>
      </c>
      <c r="G2113" s="10" t="s">
        <v>6061</v>
      </c>
      <c r="H2113" s="10" t="s">
        <v>6062</v>
      </c>
      <c r="I2113" s="10" t="s">
        <v>349</v>
      </c>
    </row>
    <row r="2114" spans="1:9" x14ac:dyDescent="0.15">
      <c r="A2114" s="9">
        <v>2113</v>
      </c>
      <c r="B2114" s="10" t="s">
        <v>9</v>
      </c>
      <c r="C2114" s="10" t="s">
        <v>363</v>
      </c>
      <c r="D2114" s="10" t="s">
        <v>364</v>
      </c>
      <c r="E2114" s="11" t="str">
        <f>+HYPERLINK("http://trademark.i-assist.jp/data/china/image_1902th/79192356.pdf", "79192356")</f>
        <v>79192356</v>
      </c>
      <c r="F2114" s="10" t="s">
        <v>6063</v>
      </c>
      <c r="G2114" s="10" t="s">
        <v>6064</v>
      </c>
      <c r="H2114" s="10" t="s">
        <v>6065</v>
      </c>
      <c r="I2114" s="10" t="s">
        <v>349</v>
      </c>
    </row>
    <row r="2115" spans="1:9" x14ac:dyDescent="0.15">
      <c r="A2115" s="9">
        <v>2114</v>
      </c>
      <c r="B2115" s="10" t="s">
        <v>9</v>
      </c>
      <c r="C2115" s="10" t="s">
        <v>363</v>
      </c>
      <c r="D2115" s="10" t="s">
        <v>364</v>
      </c>
      <c r="E2115" s="11" t="str">
        <f>+HYPERLINK("http://trademark.i-assist.jp/data/china/image_1902th/79192735.pdf", "79192735")</f>
        <v>79192735</v>
      </c>
      <c r="F2115" s="10" t="s">
        <v>6066</v>
      </c>
      <c r="G2115" s="10" t="s">
        <v>6067</v>
      </c>
      <c r="H2115" s="10" t="s">
        <v>6068</v>
      </c>
      <c r="I2115" s="10" t="s">
        <v>349</v>
      </c>
    </row>
    <row r="2116" spans="1:9" x14ac:dyDescent="0.15">
      <c r="A2116" s="9">
        <v>2115</v>
      </c>
      <c r="B2116" s="10" t="s">
        <v>9</v>
      </c>
      <c r="C2116" s="10" t="s">
        <v>363</v>
      </c>
      <c r="D2116" s="10" t="s">
        <v>364</v>
      </c>
      <c r="E2116" s="11" t="str">
        <f>+HYPERLINK("http://trademark.i-assist.jp/data/china/image_1902th/79192790.pdf", "79192790")</f>
        <v>79192790</v>
      </c>
      <c r="F2116" s="10" t="s">
        <v>6069</v>
      </c>
      <c r="G2116" s="10" t="s">
        <v>71</v>
      </c>
      <c r="H2116" s="10" t="s">
        <v>6070</v>
      </c>
      <c r="I2116" s="10" t="s">
        <v>349</v>
      </c>
    </row>
    <row r="2117" spans="1:9" x14ac:dyDescent="0.15">
      <c r="A2117" s="9">
        <v>2116</v>
      </c>
      <c r="B2117" s="10" t="s">
        <v>9</v>
      </c>
      <c r="C2117" s="10" t="s">
        <v>363</v>
      </c>
      <c r="D2117" s="10" t="s">
        <v>364</v>
      </c>
      <c r="E2117" s="11" t="str">
        <f>+HYPERLINK("http://trademark.i-assist.jp/data/china/image_1902th/79193216.pdf", "79193216")</f>
        <v>79193216</v>
      </c>
      <c r="F2117" s="10" t="s">
        <v>6071</v>
      </c>
      <c r="G2117" s="10" t="s">
        <v>5988</v>
      </c>
      <c r="H2117" s="10" t="s">
        <v>6072</v>
      </c>
      <c r="I2117" s="10" t="s">
        <v>349</v>
      </c>
    </row>
    <row r="2118" spans="1:9" x14ac:dyDescent="0.15">
      <c r="A2118" s="9">
        <v>2117</v>
      </c>
      <c r="B2118" s="10" t="s">
        <v>9</v>
      </c>
      <c r="C2118" s="10" t="s">
        <v>363</v>
      </c>
      <c r="D2118" s="10" t="s">
        <v>364</v>
      </c>
      <c r="E2118" s="11" t="str">
        <f>+HYPERLINK("http://trademark.i-assist.jp/data/china/image_1902th/79193346.pdf", "79193346")</f>
        <v>79193346</v>
      </c>
      <c r="F2118" s="10" t="s">
        <v>6073</v>
      </c>
      <c r="G2118" s="10" t="s">
        <v>6074</v>
      </c>
      <c r="H2118" s="10" t="s">
        <v>6075</v>
      </c>
      <c r="I2118" s="10" t="s">
        <v>349</v>
      </c>
    </row>
    <row r="2119" spans="1:9" x14ac:dyDescent="0.15">
      <c r="A2119" s="9">
        <v>2118</v>
      </c>
      <c r="B2119" s="10" t="s">
        <v>9</v>
      </c>
      <c r="C2119" s="10" t="s">
        <v>363</v>
      </c>
      <c r="D2119" s="10" t="s">
        <v>364</v>
      </c>
      <c r="E2119" s="11" t="str">
        <f>+HYPERLINK("http://trademark.i-assist.jp/data/china/image_1902th/79193349.pdf", "79193349")</f>
        <v>79193349</v>
      </c>
      <c r="F2119" s="10" t="s">
        <v>6076</v>
      </c>
      <c r="G2119" s="10" t="s">
        <v>320</v>
      </c>
      <c r="H2119" s="10" t="s">
        <v>6077</v>
      </c>
      <c r="I2119" s="10" t="s">
        <v>349</v>
      </c>
    </row>
    <row r="2120" spans="1:9" x14ac:dyDescent="0.15">
      <c r="A2120" s="9">
        <v>2119</v>
      </c>
      <c r="B2120" s="10" t="s">
        <v>9</v>
      </c>
      <c r="C2120" s="10" t="s">
        <v>363</v>
      </c>
      <c r="D2120" s="10" t="s">
        <v>364</v>
      </c>
      <c r="E2120" s="11" t="str">
        <f>+HYPERLINK("http://trademark.i-assist.jp/data/china/image_1902th/79193371.pdf", "79193371")</f>
        <v>79193371</v>
      </c>
      <c r="F2120" s="10" t="s">
        <v>6078</v>
      </c>
      <c r="G2120" s="10" t="s">
        <v>6079</v>
      </c>
      <c r="H2120" s="10" t="s">
        <v>6080</v>
      </c>
      <c r="I2120" s="10" t="s">
        <v>349</v>
      </c>
    </row>
    <row r="2121" spans="1:9" x14ac:dyDescent="0.15">
      <c r="A2121" s="9">
        <v>2120</v>
      </c>
      <c r="B2121" s="10" t="s">
        <v>9</v>
      </c>
      <c r="C2121" s="10" t="s">
        <v>363</v>
      </c>
      <c r="D2121" s="10" t="s">
        <v>364</v>
      </c>
      <c r="E2121" s="11" t="str">
        <f>+HYPERLINK("http://trademark.i-assist.jp/data/china/image_1902th/79193451.pdf", "79193451")</f>
        <v>79193451</v>
      </c>
      <c r="F2121" s="10" t="s">
        <v>6081</v>
      </c>
      <c r="G2121" s="10" t="s">
        <v>71</v>
      </c>
      <c r="H2121" s="10" t="s">
        <v>6082</v>
      </c>
      <c r="I2121" s="10" t="s">
        <v>349</v>
      </c>
    </row>
    <row r="2122" spans="1:9" x14ac:dyDescent="0.15">
      <c r="A2122" s="9">
        <v>2121</v>
      </c>
      <c r="B2122" s="10" t="s">
        <v>9</v>
      </c>
      <c r="C2122" s="10" t="s">
        <v>363</v>
      </c>
      <c r="D2122" s="10" t="s">
        <v>364</v>
      </c>
      <c r="E2122" s="11" t="str">
        <f>+HYPERLINK("http://trademark.i-assist.jp/data/china/image_1902th/79193473.pdf", "79193473")</f>
        <v>79193473</v>
      </c>
      <c r="F2122" s="10" t="s">
        <v>6083</v>
      </c>
      <c r="G2122" s="10" t="s">
        <v>6084</v>
      </c>
      <c r="H2122" s="10" t="s">
        <v>6085</v>
      </c>
      <c r="I2122" s="10" t="s">
        <v>349</v>
      </c>
    </row>
    <row r="2123" spans="1:9" x14ac:dyDescent="0.15">
      <c r="A2123" s="9">
        <v>2122</v>
      </c>
      <c r="B2123" s="10" t="s">
        <v>9</v>
      </c>
      <c r="C2123" s="10" t="s">
        <v>363</v>
      </c>
      <c r="D2123" s="10" t="s">
        <v>364</v>
      </c>
      <c r="E2123" s="11" t="str">
        <f>+HYPERLINK("http://trademark.i-assist.jp/data/china/image_1902th/79193537.pdf", "79193537")</f>
        <v>79193537</v>
      </c>
      <c r="F2123" s="10" t="s">
        <v>6086</v>
      </c>
      <c r="G2123" s="10" t="s">
        <v>6087</v>
      </c>
      <c r="H2123" s="10" t="s">
        <v>6088</v>
      </c>
      <c r="I2123" s="10" t="s">
        <v>349</v>
      </c>
    </row>
    <row r="2124" spans="1:9" x14ac:dyDescent="0.15">
      <c r="A2124" s="9">
        <v>2123</v>
      </c>
      <c r="B2124" s="10" t="s">
        <v>9</v>
      </c>
      <c r="C2124" s="10" t="s">
        <v>363</v>
      </c>
      <c r="D2124" s="10" t="s">
        <v>364</v>
      </c>
      <c r="E2124" s="11" t="str">
        <f>+HYPERLINK("http://trademark.i-assist.jp/data/china/image_1902th/79193544.pdf", "79193544")</f>
        <v>79193544</v>
      </c>
      <c r="F2124" s="10" t="s">
        <v>6089</v>
      </c>
      <c r="G2124" s="10" t="s">
        <v>6090</v>
      </c>
      <c r="H2124" s="10" t="s">
        <v>6091</v>
      </c>
      <c r="I2124" s="10" t="s">
        <v>349</v>
      </c>
    </row>
    <row r="2125" spans="1:9" x14ac:dyDescent="0.15">
      <c r="A2125" s="9">
        <v>2124</v>
      </c>
      <c r="B2125" s="10" t="s">
        <v>9</v>
      </c>
      <c r="C2125" s="10" t="s">
        <v>363</v>
      </c>
      <c r="D2125" s="10" t="s">
        <v>364</v>
      </c>
      <c r="E2125" s="11" t="str">
        <f>+HYPERLINK("http://trademark.i-assist.jp/data/china/image_1902th/79194064.pdf", "79194064")</f>
        <v>79194064</v>
      </c>
      <c r="F2125" s="10" t="s">
        <v>6092</v>
      </c>
      <c r="G2125" s="10" t="s">
        <v>6093</v>
      </c>
      <c r="H2125" s="10" t="s">
        <v>6094</v>
      </c>
      <c r="I2125" s="10" t="s">
        <v>349</v>
      </c>
    </row>
    <row r="2126" spans="1:9" x14ac:dyDescent="0.15">
      <c r="A2126" s="9">
        <v>2125</v>
      </c>
      <c r="B2126" s="10" t="s">
        <v>9</v>
      </c>
      <c r="C2126" s="10" t="s">
        <v>363</v>
      </c>
      <c r="D2126" s="10" t="s">
        <v>364</v>
      </c>
      <c r="E2126" s="11" t="str">
        <f>+HYPERLINK("http://trademark.i-assist.jp/data/china/image_1902th/79194081.pdf", "79194081")</f>
        <v>79194081</v>
      </c>
      <c r="F2126" s="10" t="s">
        <v>6095</v>
      </c>
      <c r="G2126" s="10" t="s">
        <v>6096</v>
      </c>
      <c r="H2126" s="10" t="s">
        <v>6097</v>
      </c>
      <c r="I2126" s="10" t="s">
        <v>349</v>
      </c>
    </row>
    <row r="2127" spans="1:9" x14ac:dyDescent="0.15">
      <c r="A2127" s="9">
        <v>2126</v>
      </c>
      <c r="B2127" s="10" t="s">
        <v>9</v>
      </c>
      <c r="C2127" s="10" t="s">
        <v>363</v>
      </c>
      <c r="D2127" s="10" t="s">
        <v>364</v>
      </c>
      <c r="E2127" s="11" t="str">
        <f>+HYPERLINK("http://trademark.i-assist.jp/data/china/image_1902th/79194113.pdf", "79194113")</f>
        <v>79194113</v>
      </c>
      <c r="F2127" s="10" t="s">
        <v>6098</v>
      </c>
      <c r="G2127" s="10" t="s">
        <v>6099</v>
      </c>
      <c r="H2127" s="10" t="s">
        <v>6100</v>
      </c>
      <c r="I2127" s="10" t="s">
        <v>349</v>
      </c>
    </row>
    <row r="2128" spans="1:9" x14ac:dyDescent="0.15">
      <c r="A2128" s="9">
        <v>2127</v>
      </c>
      <c r="B2128" s="10" t="s">
        <v>9</v>
      </c>
      <c r="C2128" s="10" t="s">
        <v>363</v>
      </c>
      <c r="D2128" s="10" t="s">
        <v>364</v>
      </c>
      <c r="E2128" s="11" t="str">
        <f>+HYPERLINK("http://trademark.i-assist.jp/data/china/image_1902th/79194493.pdf", "79194493")</f>
        <v>79194493</v>
      </c>
      <c r="F2128" s="10" t="s">
        <v>6101</v>
      </c>
      <c r="G2128" s="10" t="s">
        <v>71</v>
      </c>
      <c r="H2128" s="10" t="s">
        <v>6102</v>
      </c>
      <c r="I2128" s="10" t="s">
        <v>349</v>
      </c>
    </row>
    <row r="2129" spans="1:9" x14ac:dyDescent="0.15">
      <c r="A2129" s="9">
        <v>2128</v>
      </c>
      <c r="B2129" s="10" t="s">
        <v>9</v>
      </c>
      <c r="C2129" s="10" t="s">
        <v>363</v>
      </c>
      <c r="D2129" s="10" t="s">
        <v>364</v>
      </c>
      <c r="E2129" s="11" t="str">
        <f>+HYPERLINK("http://trademark.i-assist.jp/data/china/image_1902th/79194773.pdf", "79194773")</f>
        <v>79194773</v>
      </c>
      <c r="F2129" s="10" t="s">
        <v>6103</v>
      </c>
      <c r="G2129" s="10" t="s">
        <v>6104</v>
      </c>
      <c r="H2129" s="10" t="s">
        <v>6105</v>
      </c>
      <c r="I2129" s="10" t="s">
        <v>349</v>
      </c>
    </row>
    <row r="2130" spans="1:9" x14ac:dyDescent="0.15">
      <c r="A2130" s="9">
        <v>2129</v>
      </c>
      <c r="B2130" s="10" t="s">
        <v>9</v>
      </c>
      <c r="C2130" s="10" t="s">
        <v>363</v>
      </c>
      <c r="D2130" s="10" t="s">
        <v>364</v>
      </c>
      <c r="E2130" s="11" t="str">
        <f>+HYPERLINK("http://trademark.i-assist.jp/data/china/image_1902th/79194933.pdf", "79194933")</f>
        <v>79194933</v>
      </c>
      <c r="F2130" s="10" t="s">
        <v>6106</v>
      </c>
      <c r="G2130" s="10" t="s">
        <v>2998</v>
      </c>
      <c r="H2130" s="10" t="s">
        <v>6107</v>
      </c>
      <c r="I2130" s="10" t="s">
        <v>349</v>
      </c>
    </row>
    <row r="2131" spans="1:9" x14ac:dyDescent="0.15">
      <c r="A2131" s="9">
        <v>2130</v>
      </c>
      <c r="B2131" s="10" t="s">
        <v>9</v>
      </c>
      <c r="C2131" s="10" t="s">
        <v>363</v>
      </c>
      <c r="D2131" s="10" t="s">
        <v>364</v>
      </c>
      <c r="E2131" s="11" t="str">
        <f>+HYPERLINK("http://trademark.i-assist.jp/data/china/image_1902th/79195005.pdf", "79195005")</f>
        <v>79195005</v>
      </c>
      <c r="F2131" s="10" t="s">
        <v>6108</v>
      </c>
      <c r="G2131" s="10" t="s">
        <v>6109</v>
      </c>
      <c r="H2131" s="10" t="s">
        <v>6110</v>
      </c>
      <c r="I2131" s="10" t="s">
        <v>349</v>
      </c>
    </row>
    <row r="2132" spans="1:9" x14ac:dyDescent="0.15">
      <c r="A2132" s="9">
        <v>2131</v>
      </c>
      <c r="B2132" s="10" t="s">
        <v>9</v>
      </c>
      <c r="C2132" s="10" t="s">
        <v>363</v>
      </c>
      <c r="D2132" s="10" t="s">
        <v>364</v>
      </c>
      <c r="E2132" s="11" t="str">
        <f>+HYPERLINK("http://trademark.i-assist.jp/data/china/image_1902th/79195144.pdf", "79195144")</f>
        <v>79195144</v>
      </c>
      <c r="F2132" s="10" t="s">
        <v>6111</v>
      </c>
      <c r="G2132" s="10" t="s">
        <v>6112</v>
      </c>
      <c r="H2132" s="10" t="s">
        <v>6113</v>
      </c>
      <c r="I2132" s="10" t="s">
        <v>349</v>
      </c>
    </row>
    <row r="2133" spans="1:9" x14ac:dyDescent="0.15">
      <c r="A2133" s="9">
        <v>2132</v>
      </c>
      <c r="B2133" s="10" t="s">
        <v>9</v>
      </c>
      <c r="C2133" s="10" t="s">
        <v>363</v>
      </c>
      <c r="D2133" s="10" t="s">
        <v>364</v>
      </c>
      <c r="E2133" s="11" t="str">
        <f>+HYPERLINK("http://trademark.i-assist.jp/data/china/image_1902th/79195150.pdf", "79195150")</f>
        <v>79195150</v>
      </c>
      <c r="F2133" s="10" t="s">
        <v>6114</v>
      </c>
      <c r="G2133" s="10" t="s">
        <v>2274</v>
      </c>
      <c r="H2133" s="10" t="s">
        <v>6115</v>
      </c>
      <c r="I2133" s="10" t="s">
        <v>349</v>
      </c>
    </row>
    <row r="2134" spans="1:9" x14ac:dyDescent="0.15">
      <c r="A2134" s="9">
        <v>2133</v>
      </c>
      <c r="B2134" s="10" t="s">
        <v>9</v>
      </c>
      <c r="C2134" s="10" t="s">
        <v>363</v>
      </c>
      <c r="D2134" s="10" t="s">
        <v>364</v>
      </c>
      <c r="E2134" s="11" t="str">
        <f>+HYPERLINK("http://trademark.i-assist.jp/data/china/image_1902th/79195187.pdf", "79195187")</f>
        <v>79195187</v>
      </c>
      <c r="F2134" s="10" t="s">
        <v>6116</v>
      </c>
      <c r="G2134" s="10" t="s">
        <v>6117</v>
      </c>
      <c r="H2134" s="10" t="s">
        <v>6118</v>
      </c>
      <c r="I2134" s="10" t="s">
        <v>349</v>
      </c>
    </row>
    <row r="2135" spans="1:9" x14ac:dyDescent="0.15">
      <c r="A2135" s="9">
        <v>2134</v>
      </c>
      <c r="B2135" s="10" t="s">
        <v>9</v>
      </c>
      <c r="C2135" s="10" t="s">
        <v>363</v>
      </c>
      <c r="D2135" s="10" t="s">
        <v>364</v>
      </c>
      <c r="E2135" s="11" t="str">
        <f>+HYPERLINK("http://trademark.i-assist.jp/data/china/image_1902th/79195337.pdf", "79195337")</f>
        <v>79195337</v>
      </c>
      <c r="F2135" s="10" t="s">
        <v>6119</v>
      </c>
      <c r="G2135" s="10" t="s">
        <v>6120</v>
      </c>
      <c r="H2135" s="10" t="s">
        <v>6121</v>
      </c>
      <c r="I2135" s="10" t="s">
        <v>349</v>
      </c>
    </row>
    <row r="2136" spans="1:9" x14ac:dyDescent="0.15">
      <c r="A2136" s="9">
        <v>2135</v>
      </c>
      <c r="B2136" s="10" t="s">
        <v>9</v>
      </c>
      <c r="C2136" s="10" t="s">
        <v>363</v>
      </c>
      <c r="D2136" s="10" t="s">
        <v>364</v>
      </c>
      <c r="E2136" s="11" t="str">
        <f>+HYPERLINK("http://trademark.i-assist.jp/data/china/image_1902th/79195423.pdf", "79195423")</f>
        <v>79195423</v>
      </c>
      <c r="F2136" s="10" t="s">
        <v>6122</v>
      </c>
      <c r="G2136" s="10" t="s">
        <v>6123</v>
      </c>
      <c r="H2136" s="10" t="s">
        <v>6124</v>
      </c>
      <c r="I2136" s="10" t="s">
        <v>349</v>
      </c>
    </row>
    <row r="2137" spans="1:9" x14ac:dyDescent="0.15">
      <c r="A2137" s="9">
        <v>2136</v>
      </c>
      <c r="B2137" s="10" t="s">
        <v>9</v>
      </c>
      <c r="C2137" s="10" t="s">
        <v>363</v>
      </c>
      <c r="D2137" s="10" t="s">
        <v>364</v>
      </c>
      <c r="E2137" s="11" t="str">
        <f>+HYPERLINK("http://trademark.i-assist.jp/data/china/image_1902th/79195499.pdf", "79195499")</f>
        <v>79195499</v>
      </c>
      <c r="F2137" s="10" t="s">
        <v>6125</v>
      </c>
      <c r="G2137" s="10" t="s">
        <v>6126</v>
      </c>
      <c r="H2137" s="10" t="s">
        <v>6127</v>
      </c>
      <c r="I2137" s="10" t="s">
        <v>349</v>
      </c>
    </row>
    <row r="2138" spans="1:9" x14ac:dyDescent="0.15">
      <c r="A2138" s="9">
        <v>2137</v>
      </c>
      <c r="B2138" s="10" t="s">
        <v>9</v>
      </c>
      <c r="C2138" s="10" t="s">
        <v>363</v>
      </c>
      <c r="D2138" s="10" t="s">
        <v>364</v>
      </c>
      <c r="E2138" s="11" t="str">
        <f>+HYPERLINK("http://trademark.i-assist.jp/data/china/image_1902th/79195575.pdf", "79195575")</f>
        <v>79195575</v>
      </c>
      <c r="F2138" s="10" t="s">
        <v>6128</v>
      </c>
      <c r="G2138" s="10" t="s">
        <v>6129</v>
      </c>
      <c r="H2138" s="10" t="s">
        <v>6130</v>
      </c>
      <c r="I2138" s="10" t="s">
        <v>349</v>
      </c>
    </row>
    <row r="2139" spans="1:9" x14ac:dyDescent="0.15">
      <c r="A2139" s="9">
        <v>2138</v>
      </c>
      <c r="B2139" s="10" t="s">
        <v>9</v>
      </c>
      <c r="C2139" s="10" t="s">
        <v>363</v>
      </c>
      <c r="D2139" s="10" t="s">
        <v>364</v>
      </c>
      <c r="E2139" s="11" t="str">
        <f>+HYPERLINK("http://trademark.i-assist.jp/data/china/image_1902th/79195583.pdf", "79195583")</f>
        <v>79195583</v>
      </c>
      <c r="F2139" s="10" t="s">
        <v>6131</v>
      </c>
      <c r="G2139" s="10" t="s">
        <v>6132</v>
      </c>
      <c r="H2139" s="10" t="s">
        <v>6133</v>
      </c>
      <c r="I2139" s="10" t="s">
        <v>349</v>
      </c>
    </row>
    <row r="2140" spans="1:9" x14ac:dyDescent="0.15">
      <c r="A2140" s="9">
        <v>2139</v>
      </c>
      <c r="B2140" s="10" t="s">
        <v>9</v>
      </c>
      <c r="C2140" s="10" t="s">
        <v>363</v>
      </c>
      <c r="D2140" s="10" t="s">
        <v>364</v>
      </c>
      <c r="E2140" s="11" t="str">
        <f>+HYPERLINK("http://trademark.i-assist.jp/data/china/image_1902th/79195654.pdf", "79195654")</f>
        <v>79195654</v>
      </c>
      <c r="F2140" s="10" t="s">
        <v>6134</v>
      </c>
      <c r="G2140" s="10" t="s">
        <v>6135</v>
      </c>
      <c r="H2140" s="10" t="s">
        <v>6136</v>
      </c>
      <c r="I2140" s="10" t="s">
        <v>349</v>
      </c>
    </row>
    <row r="2141" spans="1:9" x14ac:dyDescent="0.15">
      <c r="A2141" s="9">
        <v>2140</v>
      </c>
      <c r="B2141" s="10" t="s">
        <v>9</v>
      </c>
      <c r="C2141" s="10" t="s">
        <v>363</v>
      </c>
      <c r="D2141" s="10" t="s">
        <v>364</v>
      </c>
      <c r="E2141" s="11" t="str">
        <f>+HYPERLINK("http://trademark.i-assist.jp/data/china/image_1902th/79195688.pdf", "79195688")</f>
        <v>79195688</v>
      </c>
      <c r="F2141" s="10" t="s">
        <v>6137</v>
      </c>
      <c r="G2141" s="10" t="s">
        <v>6138</v>
      </c>
      <c r="H2141" s="10" t="s">
        <v>6139</v>
      </c>
      <c r="I2141" s="10" t="s">
        <v>349</v>
      </c>
    </row>
    <row r="2142" spans="1:9" x14ac:dyDescent="0.15">
      <c r="A2142" s="9">
        <v>2141</v>
      </c>
      <c r="B2142" s="10" t="s">
        <v>9</v>
      </c>
      <c r="C2142" s="10" t="s">
        <v>363</v>
      </c>
      <c r="D2142" s="10" t="s">
        <v>364</v>
      </c>
      <c r="E2142" s="11" t="str">
        <f>+HYPERLINK("http://trademark.i-assist.jp/data/china/image_1902th/79195707.pdf", "79195707")</f>
        <v>79195707</v>
      </c>
      <c r="F2142" s="10" t="s">
        <v>6140</v>
      </c>
      <c r="G2142" s="10" t="s">
        <v>5964</v>
      </c>
      <c r="H2142" s="10" t="s">
        <v>6141</v>
      </c>
      <c r="I2142" s="10" t="s">
        <v>349</v>
      </c>
    </row>
    <row r="2143" spans="1:9" x14ac:dyDescent="0.15">
      <c r="A2143" s="9">
        <v>2142</v>
      </c>
      <c r="B2143" s="10" t="s">
        <v>9</v>
      </c>
      <c r="C2143" s="10" t="s">
        <v>363</v>
      </c>
      <c r="D2143" s="10" t="s">
        <v>364</v>
      </c>
      <c r="E2143" s="11" t="str">
        <f>+HYPERLINK("http://trademark.i-assist.jp/data/china/image_1902th/79195736.pdf", "79195736")</f>
        <v>79195736</v>
      </c>
      <c r="F2143" s="10" t="s">
        <v>6142</v>
      </c>
      <c r="G2143" s="10" t="s">
        <v>6143</v>
      </c>
      <c r="H2143" s="10" t="s">
        <v>6144</v>
      </c>
      <c r="I2143" s="10" t="s">
        <v>349</v>
      </c>
    </row>
    <row r="2144" spans="1:9" x14ac:dyDescent="0.15">
      <c r="A2144" s="9">
        <v>2143</v>
      </c>
      <c r="B2144" s="10" t="s">
        <v>9</v>
      </c>
      <c r="C2144" s="10" t="s">
        <v>363</v>
      </c>
      <c r="D2144" s="10" t="s">
        <v>364</v>
      </c>
      <c r="E2144" s="11" t="str">
        <f>+HYPERLINK("http://trademark.i-assist.jp/data/china/image_1902th/79195994.pdf", "79195994")</f>
        <v>79195994</v>
      </c>
      <c r="F2144" s="10" t="s">
        <v>6145</v>
      </c>
      <c r="G2144" s="10" t="s">
        <v>6146</v>
      </c>
      <c r="H2144" s="10" t="s">
        <v>6147</v>
      </c>
      <c r="I2144" s="10" t="s">
        <v>349</v>
      </c>
    </row>
    <row r="2145" spans="1:9" x14ac:dyDescent="0.15">
      <c r="A2145" s="9">
        <v>2144</v>
      </c>
      <c r="B2145" s="10" t="s">
        <v>9</v>
      </c>
      <c r="C2145" s="10" t="s">
        <v>363</v>
      </c>
      <c r="D2145" s="10" t="s">
        <v>364</v>
      </c>
      <c r="E2145" s="11" t="str">
        <f>+HYPERLINK("http://trademark.i-assist.jp/data/china/image_1902th/79196158.pdf", "79196158")</f>
        <v>79196158</v>
      </c>
      <c r="F2145" s="10" t="s">
        <v>6148</v>
      </c>
      <c r="G2145" s="10" t="s">
        <v>171</v>
      </c>
      <c r="H2145" s="10" t="s">
        <v>6149</v>
      </c>
      <c r="I2145" s="10" t="s">
        <v>349</v>
      </c>
    </row>
    <row r="2146" spans="1:9" x14ac:dyDescent="0.15">
      <c r="A2146" s="9">
        <v>2145</v>
      </c>
      <c r="B2146" s="10" t="s">
        <v>9</v>
      </c>
      <c r="C2146" s="10" t="s">
        <v>363</v>
      </c>
      <c r="D2146" s="10" t="s">
        <v>364</v>
      </c>
      <c r="E2146" s="11" t="str">
        <f>+HYPERLINK("http://trademark.i-assist.jp/data/china/image_1902th/79196184.pdf", "79196184")</f>
        <v>79196184</v>
      </c>
      <c r="F2146" s="10" t="s">
        <v>6150</v>
      </c>
      <c r="G2146" s="10" t="s">
        <v>6151</v>
      </c>
      <c r="H2146" s="10" t="s">
        <v>6152</v>
      </c>
      <c r="I2146" s="10" t="s">
        <v>349</v>
      </c>
    </row>
    <row r="2147" spans="1:9" x14ac:dyDescent="0.15">
      <c r="A2147" s="9">
        <v>2146</v>
      </c>
      <c r="B2147" s="10" t="s">
        <v>9</v>
      </c>
      <c r="C2147" s="10" t="s">
        <v>363</v>
      </c>
      <c r="D2147" s="10" t="s">
        <v>364</v>
      </c>
      <c r="E2147" s="11" t="str">
        <f>+HYPERLINK("http://trademark.i-assist.jp/data/china/image_1902th/79196261.pdf", "79196261")</f>
        <v>79196261</v>
      </c>
      <c r="F2147" s="10" t="s">
        <v>6153</v>
      </c>
      <c r="G2147" s="10" t="s">
        <v>6154</v>
      </c>
      <c r="H2147" s="10" t="s">
        <v>6155</v>
      </c>
      <c r="I2147" s="10" t="s">
        <v>349</v>
      </c>
    </row>
    <row r="2148" spans="1:9" x14ac:dyDescent="0.15">
      <c r="A2148" s="9">
        <v>2147</v>
      </c>
      <c r="B2148" s="10" t="s">
        <v>9</v>
      </c>
      <c r="C2148" s="10" t="s">
        <v>363</v>
      </c>
      <c r="D2148" s="10" t="s">
        <v>364</v>
      </c>
      <c r="E2148" s="11" t="str">
        <f>+HYPERLINK("http://trademark.i-assist.jp/data/china/image_1902th/79196697.pdf", "79196697")</f>
        <v>79196697</v>
      </c>
      <c r="F2148" s="10" t="s">
        <v>6156</v>
      </c>
      <c r="G2148" s="10" t="s">
        <v>6157</v>
      </c>
      <c r="H2148" s="10" t="s">
        <v>6158</v>
      </c>
      <c r="I2148" s="10" t="s">
        <v>349</v>
      </c>
    </row>
    <row r="2149" spans="1:9" x14ac:dyDescent="0.15">
      <c r="A2149" s="9">
        <v>2148</v>
      </c>
      <c r="B2149" s="10" t="s">
        <v>9</v>
      </c>
      <c r="C2149" s="10" t="s">
        <v>363</v>
      </c>
      <c r="D2149" s="10" t="s">
        <v>364</v>
      </c>
      <c r="E2149" s="11" t="str">
        <f>+HYPERLINK("http://trademark.i-assist.jp/data/china/image_1902th/79196891.pdf", "79196891")</f>
        <v>79196891</v>
      </c>
      <c r="F2149" s="10" t="s">
        <v>6159</v>
      </c>
      <c r="G2149" s="10" t="s">
        <v>6160</v>
      </c>
      <c r="H2149" s="10" t="s">
        <v>6161</v>
      </c>
      <c r="I2149" s="10" t="s">
        <v>349</v>
      </c>
    </row>
    <row r="2150" spans="1:9" x14ac:dyDescent="0.15">
      <c r="A2150" s="9">
        <v>2149</v>
      </c>
      <c r="B2150" s="10" t="s">
        <v>9</v>
      </c>
      <c r="C2150" s="10" t="s">
        <v>363</v>
      </c>
      <c r="D2150" s="10" t="s">
        <v>364</v>
      </c>
      <c r="E2150" s="11" t="str">
        <f>+HYPERLINK("http://trademark.i-assist.jp/data/china/image_1902th/79197012.pdf", "79197012")</f>
        <v>79197012</v>
      </c>
      <c r="F2150" s="10" t="s">
        <v>6162</v>
      </c>
      <c r="G2150" s="10" t="s">
        <v>6163</v>
      </c>
      <c r="H2150" s="10" t="s">
        <v>6164</v>
      </c>
      <c r="I2150" s="10" t="s">
        <v>349</v>
      </c>
    </row>
    <row r="2151" spans="1:9" x14ac:dyDescent="0.15">
      <c r="A2151" s="9">
        <v>2150</v>
      </c>
      <c r="B2151" s="10" t="s">
        <v>9</v>
      </c>
      <c r="C2151" s="10" t="s">
        <v>363</v>
      </c>
      <c r="D2151" s="10" t="s">
        <v>364</v>
      </c>
      <c r="E2151" s="11" t="str">
        <f>+HYPERLINK("http://trademark.i-assist.jp/data/china/image_1902th/79197134.pdf", "79197134")</f>
        <v>79197134</v>
      </c>
      <c r="F2151" s="10" t="s">
        <v>6165</v>
      </c>
      <c r="G2151" s="10" t="s">
        <v>5780</v>
      </c>
      <c r="H2151" s="10" t="s">
        <v>6166</v>
      </c>
      <c r="I2151" s="10" t="s">
        <v>349</v>
      </c>
    </row>
    <row r="2152" spans="1:9" x14ac:dyDescent="0.15">
      <c r="A2152" s="9">
        <v>2151</v>
      </c>
      <c r="B2152" s="10" t="s">
        <v>9</v>
      </c>
      <c r="C2152" s="10" t="s">
        <v>363</v>
      </c>
      <c r="D2152" s="10" t="s">
        <v>364</v>
      </c>
      <c r="E2152" s="11" t="str">
        <f>+HYPERLINK("http://trademark.i-assist.jp/data/china/image_1902th/79197217.pdf", "79197217")</f>
        <v>79197217</v>
      </c>
      <c r="F2152" s="10" t="s">
        <v>6167</v>
      </c>
      <c r="G2152" s="10" t="s">
        <v>6168</v>
      </c>
      <c r="H2152" s="10" t="s">
        <v>6169</v>
      </c>
      <c r="I2152" s="10" t="s">
        <v>349</v>
      </c>
    </row>
    <row r="2153" spans="1:9" x14ac:dyDescent="0.15">
      <c r="A2153" s="9">
        <v>2152</v>
      </c>
      <c r="B2153" s="10" t="s">
        <v>9</v>
      </c>
      <c r="C2153" s="10" t="s">
        <v>363</v>
      </c>
      <c r="D2153" s="10" t="s">
        <v>364</v>
      </c>
      <c r="E2153" s="11" t="str">
        <f>+HYPERLINK("http://trademark.i-assist.jp/data/china/image_1902th/79197352.pdf", "79197352")</f>
        <v>79197352</v>
      </c>
      <c r="F2153" s="10" t="s">
        <v>6170</v>
      </c>
      <c r="G2153" s="10" t="s">
        <v>6171</v>
      </c>
      <c r="H2153" s="10" t="s">
        <v>6172</v>
      </c>
      <c r="I2153" s="10" t="s">
        <v>349</v>
      </c>
    </row>
    <row r="2154" spans="1:9" x14ac:dyDescent="0.15">
      <c r="A2154" s="9">
        <v>2153</v>
      </c>
      <c r="B2154" s="10" t="s">
        <v>9</v>
      </c>
      <c r="C2154" s="10" t="s">
        <v>363</v>
      </c>
      <c r="D2154" s="10" t="s">
        <v>364</v>
      </c>
      <c r="E2154" s="11" t="str">
        <f>+HYPERLINK("http://trademark.i-assist.jp/data/china/image_1902th/79197453.pdf", "79197453")</f>
        <v>79197453</v>
      </c>
      <c r="F2154" s="10" t="s">
        <v>6173</v>
      </c>
      <c r="G2154" s="10" t="s">
        <v>6174</v>
      </c>
      <c r="H2154" s="10" t="s">
        <v>6175</v>
      </c>
      <c r="I2154" s="10" t="s">
        <v>349</v>
      </c>
    </row>
    <row r="2155" spans="1:9" x14ac:dyDescent="0.15">
      <c r="A2155" s="9">
        <v>2154</v>
      </c>
      <c r="B2155" s="10" t="s">
        <v>9</v>
      </c>
      <c r="C2155" s="10" t="s">
        <v>363</v>
      </c>
      <c r="D2155" s="10" t="s">
        <v>364</v>
      </c>
      <c r="E2155" s="11" t="str">
        <f>+HYPERLINK("http://trademark.i-assist.jp/data/china/image_1902th/79197530.pdf", "79197530")</f>
        <v>79197530</v>
      </c>
      <c r="F2155" s="10" t="s">
        <v>6176</v>
      </c>
      <c r="G2155" s="10" t="s">
        <v>6177</v>
      </c>
      <c r="H2155" s="10" t="s">
        <v>6178</v>
      </c>
      <c r="I2155" s="10" t="s">
        <v>349</v>
      </c>
    </row>
    <row r="2156" spans="1:9" x14ac:dyDescent="0.15">
      <c r="A2156" s="9">
        <v>2155</v>
      </c>
      <c r="B2156" s="10" t="s">
        <v>9</v>
      </c>
      <c r="C2156" s="10" t="s">
        <v>363</v>
      </c>
      <c r="D2156" s="10" t="s">
        <v>364</v>
      </c>
      <c r="E2156" s="11" t="str">
        <f>+HYPERLINK("http://trademark.i-assist.jp/data/china/image_1902th/79197592.pdf", "79197592")</f>
        <v>79197592</v>
      </c>
      <c r="F2156" s="10" t="s">
        <v>6179</v>
      </c>
      <c r="G2156" s="10" t="s">
        <v>6180</v>
      </c>
      <c r="H2156" s="10" t="s">
        <v>6181</v>
      </c>
      <c r="I2156" s="10" t="s">
        <v>349</v>
      </c>
    </row>
    <row r="2157" spans="1:9" x14ac:dyDescent="0.15">
      <c r="A2157" s="9">
        <v>2156</v>
      </c>
      <c r="B2157" s="10" t="s">
        <v>9</v>
      </c>
      <c r="C2157" s="10" t="s">
        <v>363</v>
      </c>
      <c r="D2157" s="10" t="s">
        <v>364</v>
      </c>
      <c r="E2157" s="11" t="str">
        <f>+HYPERLINK("http://trademark.i-assist.jp/data/china/image_1902th/79197636.pdf", "79197636")</f>
        <v>79197636</v>
      </c>
      <c r="F2157" s="10" t="s">
        <v>6182</v>
      </c>
      <c r="G2157" s="10" t="s">
        <v>71</v>
      </c>
      <c r="H2157" s="10" t="s">
        <v>6183</v>
      </c>
      <c r="I2157" s="10" t="s">
        <v>349</v>
      </c>
    </row>
    <row r="2158" spans="1:9" x14ac:dyDescent="0.15">
      <c r="A2158" s="9">
        <v>2157</v>
      </c>
      <c r="B2158" s="10" t="s">
        <v>9</v>
      </c>
      <c r="C2158" s="10" t="s">
        <v>363</v>
      </c>
      <c r="D2158" s="10" t="s">
        <v>364</v>
      </c>
      <c r="E2158" s="11" t="str">
        <f>+HYPERLINK("http://trademark.i-assist.jp/data/china/image_1902th/79197795.pdf", "79197795")</f>
        <v>79197795</v>
      </c>
      <c r="F2158" s="10" t="s">
        <v>6184</v>
      </c>
      <c r="G2158" s="10" t="s">
        <v>71</v>
      </c>
      <c r="H2158" s="10" t="s">
        <v>6185</v>
      </c>
      <c r="I2158" s="10" t="s">
        <v>349</v>
      </c>
    </row>
    <row r="2159" spans="1:9" x14ac:dyDescent="0.15">
      <c r="A2159" s="9">
        <v>2158</v>
      </c>
      <c r="B2159" s="10" t="s">
        <v>9</v>
      </c>
      <c r="C2159" s="10" t="s">
        <v>363</v>
      </c>
      <c r="D2159" s="10" t="s">
        <v>364</v>
      </c>
      <c r="E2159" s="11" t="str">
        <f>+HYPERLINK("http://trademark.i-assist.jp/data/china/image_1902th/79197828.pdf", "79197828")</f>
        <v>79197828</v>
      </c>
      <c r="F2159" s="10" t="s">
        <v>6186</v>
      </c>
      <c r="G2159" s="10" t="s">
        <v>71</v>
      </c>
      <c r="H2159" s="10" t="s">
        <v>6187</v>
      </c>
      <c r="I2159" s="10" t="s">
        <v>349</v>
      </c>
    </row>
    <row r="2160" spans="1:9" x14ac:dyDescent="0.15">
      <c r="A2160" s="9">
        <v>2159</v>
      </c>
      <c r="B2160" s="10" t="s">
        <v>9</v>
      </c>
      <c r="C2160" s="10" t="s">
        <v>363</v>
      </c>
      <c r="D2160" s="10" t="s">
        <v>364</v>
      </c>
      <c r="E2160" s="11" t="str">
        <f>+HYPERLINK("http://trademark.i-assist.jp/data/china/image_1902th/79197980.pdf", "79197980")</f>
        <v>79197980</v>
      </c>
      <c r="F2160" s="10" t="s">
        <v>6188</v>
      </c>
      <c r="G2160" s="10" t="s">
        <v>261</v>
      </c>
      <c r="H2160" s="10" t="s">
        <v>6189</v>
      </c>
      <c r="I2160" s="10" t="s">
        <v>349</v>
      </c>
    </row>
    <row r="2161" spans="1:9" x14ac:dyDescent="0.15">
      <c r="A2161" s="9">
        <v>2160</v>
      </c>
      <c r="B2161" s="10" t="s">
        <v>9</v>
      </c>
      <c r="C2161" s="10" t="s">
        <v>363</v>
      </c>
      <c r="D2161" s="10" t="s">
        <v>364</v>
      </c>
      <c r="E2161" s="11" t="str">
        <f>+HYPERLINK("http://trademark.i-assist.jp/data/china/image_1902th/79198034.pdf", "79198034")</f>
        <v>79198034</v>
      </c>
      <c r="F2161" s="10" t="s">
        <v>6190</v>
      </c>
      <c r="G2161" s="10" t="s">
        <v>261</v>
      </c>
      <c r="H2161" s="10" t="s">
        <v>6191</v>
      </c>
      <c r="I2161" s="10" t="s">
        <v>349</v>
      </c>
    </row>
    <row r="2162" spans="1:9" x14ac:dyDescent="0.15">
      <c r="A2162" s="9">
        <v>2161</v>
      </c>
      <c r="B2162" s="10" t="s">
        <v>9</v>
      </c>
      <c r="C2162" s="10" t="s">
        <v>363</v>
      </c>
      <c r="D2162" s="10" t="s">
        <v>364</v>
      </c>
      <c r="E2162" s="11" t="str">
        <f>+HYPERLINK("http://trademark.i-assist.jp/data/china/image_1902th/79198161.pdf", "79198161")</f>
        <v>79198161</v>
      </c>
      <c r="F2162" s="10" t="s">
        <v>6192</v>
      </c>
      <c r="G2162" s="10" t="s">
        <v>55</v>
      </c>
      <c r="H2162" s="10" t="s">
        <v>6193</v>
      </c>
      <c r="I2162" s="10" t="s">
        <v>349</v>
      </c>
    </row>
    <row r="2163" spans="1:9" x14ac:dyDescent="0.15">
      <c r="A2163" s="9">
        <v>2162</v>
      </c>
      <c r="B2163" s="10" t="s">
        <v>9</v>
      </c>
      <c r="C2163" s="10" t="s">
        <v>363</v>
      </c>
      <c r="D2163" s="10" t="s">
        <v>364</v>
      </c>
      <c r="E2163" s="11" t="str">
        <f>+HYPERLINK("http://trademark.i-assist.jp/data/china/image_1902th/79198201.pdf", "79198201")</f>
        <v>79198201</v>
      </c>
      <c r="F2163" s="10" t="s">
        <v>6194</v>
      </c>
      <c r="G2163" s="10" t="s">
        <v>350</v>
      </c>
      <c r="H2163" s="10" t="s">
        <v>6195</v>
      </c>
      <c r="I2163" s="10" t="s">
        <v>349</v>
      </c>
    </row>
    <row r="2164" spans="1:9" x14ac:dyDescent="0.15">
      <c r="A2164" s="9">
        <v>2163</v>
      </c>
      <c r="B2164" s="10" t="s">
        <v>9</v>
      </c>
      <c r="C2164" s="10" t="s">
        <v>363</v>
      </c>
      <c r="D2164" s="10" t="s">
        <v>364</v>
      </c>
      <c r="E2164" s="11" t="str">
        <f>+HYPERLINK("http://trademark.i-assist.jp/data/china/image_1902th/79198448.pdf", "79198448")</f>
        <v>79198448</v>
      </c>
      <c r="F2164" s="10" t="s">
        <v>6196</v>
      </c>
      <c r="G2164" s="10" t="s">
        <v>6197</v>
      </c>
      <c r="H2164" s="10" t="s">
        <v>6198</v>
      </c>
      <c r="I2164" s="10" t="s">
        <v>349</v>
      </c>
    </row>
    <row r="2165" spans="1:9" x14ac:dyDescent="0.15">
      <c r="A2165" s="9">
        <v>2164</v>
      </c>
      <c r="B2165" s="10" t="s">
        <v>9</v>
      </c>
      <c r="C2165" s="10" t="s">
        <v>363</v>
      </c>
      <c r="D2165" s="10" t="s">
        <v>364</v>
      </c>
      <c r="E2165" s="11" t="str">
        <f>+HYPERLINK("http://trademark.i-assist.jp/data/china/image_1902th/79198653.pdf", "79198653")</f>
        <v>79198653</v>
      </c>
      <c r="F2165" s="10" t="s">
        <v>6199</v>
      </c>
      <c r="G2165" s="10" t="s">
        <v>6200</v>
      </c>
      <c r="H2165" s="10" t="s">
        <v>6201</v>
      </c>
      <c r="I2165" s="10" t="s">
        <v>349</v>
      </c>
    </row>
    <row r="2166" spans="1:9" x14ac:dyDescent="0.15">
      <c r="A2166" s="9">
        <v>2165</v>
      </c>
      <c r="B2166" s="10" t="s">
        <v>9</v>
      </c>
      <c r="C2166" s="10" t="s">
        <v>363</v>
      </c>
      <c r="D2166" s="10" t="s">
        <v>364</v>
      </c>
      <c r="E2166" s="11" t="str">
        <f>+HYPERLINK("http://trademark.i-assist.jp/data/china/image_1902th/79198661.pdf", "79198661")</f>
        <v>79198661</v>
      </c>
      <c r="F2166" s="10" t="s">
        <v>6202</v>
      </c>
      <c r="G2166" s="10" t="s">
        <v>185</v>
      </c>
      <c r="H2166" s="10" t="s">
        <v>6203</v>
      </c>
      <c r="I2166" s="10" t="s">
        <v>349</v>
      </c>
    </row>
    <row r="2167" spans="1:9" x14ac:dyDescent="0.15">
      <c r="A2167" s="9">
        <v>2166</v>
      </c>
      <c r="B2167" s="10" t="s">
        <v>9</v>
      </c>
      <c r="C2167" s="10" t="s">
        <v>363</v>
      </c>
      <c r="D2167" s="10" t="s">
        <v>364</v>
      </c>
      <c r="E2167" s="11" t="str">
        <f>+HYPERLINK("http://trademark.i-assist.jp/data/china/image_1902th/79198693.pdf", "79198693")</f>
        <v>79198693</v>
      </c>
      <c r="F2167" s="10" t="s">
        <v>6204</v>
      </c>
      <c r="G2167" s="10" t="s">
        <v>6205</v>
      </c>
      <c r="H2167" s="10" t="s">
        <v>6206</v>
      </c>
      <c r="I2167" s="10" t="s">
        <v>349</v>
      </c>
    </row>
    <row r="2168" spans="1:9" x14ac:dyDescent="0.15">
      <c r="A2168" s="9">
        <v>2167</v>
      </c>
      <c r="B2168" s="10" t="s">
        <v>9</v>
      </c>
      <c r="C2168" s="10" t="s">
        <v>363</v>
      </c>
      <c r="D2168" s="10" t="s">
        <v>364</v>
      </c>
      <c r="E2168" s="11" t="str">
        <f>+HYPERLINK("http://trademark.i-assist.jp/data/china/image_1902th/79198938.pdf", "79198938")</f>
        <v>79198938</v>
      </c>
      <c r="F2168" s="10" t="s">
        <v>6207</v>
      </c>
      <c r="G2168" s="10" t="s">
        <v>6208</v>
      </c>
      <c r="H2168" s="10" t="s">
        <v>6209</v>
      </c>
      <c r="I2168" s="10" t="s">
        <v>349</v>
      </c>
    </row>
    <row r="2169" spans="1:9" x14ac:dyDescent="0.15">
      <c r="A2169" s="9">
        <v>2168</v>
      </c>
      <c r="B2169" s="10" t="s">
        <v>9</v>
      </c>
      <c r="C2169" s="10" t="s">
        <v>363</v>
      </c>
      <c r="D2169" s="10" t="s">
        <v>364</v>
      </c>
      <c r="E2169" s="11" t="str">
        <f>+HYPERLINK("http://trademark.i-assist.jp/data/china/image_1902th/79199326.pdf", "79199326")</f>
        <v>79199326</v>
      </c>
      <c r="F2169" s="10" t="s">
        <v>6210</v>
      </c>
      <c r="G2169" s="10" t="s">
        <v>2029</v>
      </c>
      <c r="H2169" s="10" t="s">
        <v>6211</v>
      </c>
      <c r="I2169" s="10" t="s">
        <v>349</v>
      </c>
    </row>
    <row r="2170" spans="1:9" x14ac:dyDescent="0.15">
      <c r="A2170" s="9">
        <v>2169</v>
      </c>
      <c r="B2170" s="10" t="s">
        <v>9</v>
      </c>
      <c r="C2170" s="10" t="s">
        <v>363</v>
      </c>
      <c r="D2170" s="10" t="s">
        <v>364</v>
      </c>
      <c r="E2170" s="11" t="str">
        <f>+HYPERLINK("http://trademark.i-assist.jp/data/china/image_1902th/79199348.pdf", "79199348")</f>
        <v>79199348</v>
      </c>
      <c r="F2170" s="10" t="s">
        <v>6212</v>
      </c>
      <c r="G2170" s="10" t="s">
        <v>6213</v>
      </c>
      <c r="H2170" s="10" t="s">
        <v>6214</v>
      </c>
      <c r="I2170" s="10" t="s">
        <v>349</v>
      </c>
    </row>
    <row r="2171" spans="1:9" x14ac:dyDescent="0.15">
      <c r="A2171" s="9">
        <v>2170</v>
      </c>
      <c r="B2171" s="10" t="s">
        <v>9</v>
      </c>
      <c r="C2171" s="10" t="s">
        <v>363</v>
      </c>
      <c r="D2171" s="10" t="s">
        <v>364</v>
      </c>
      <c r="E2171" s="11" t="str">
        <f>+HYPERLINK("http://trademark.i-assist.jp/data/china/image_1902th/79199474.pdf", "79199474")</f>
        <v>79199474</v>
      </c>
      <c r="F2171" s="10" t="s">
        <v>6215</v>
      </c>
      <c r="G2171" s="10" t="s">
        <v>71</v>
      </c>
      <c r="H2171" s="10" t="s">
        <v>6216</v>
      </c>
      <c r="I2171" s="10" t="s">
        <v>349</v>
      </c>
    </row>
    <row r="2172" spans="1:9" x14ac:dyDescent="0.15">
      <c r="A2172" s="9">
        <v>2171</v>
      </c>
      <c r="B2172" s="10" t="s">
        <v>9</v>
      </c>
      <c r="C2172" s="10" t="s">
        <v>363</v>
      </c>
      <c r="D2172" s="10" t="s">
        <v>364</v>
      </c>
      <c r="E2172" s="11" t="str">
        <f>+HYPERLINK("http://trademark.i-assist.jp/data/china/image_1902th/79199524.pdf", "79199524")</f>
        <v>79199524</v>
      </c>
      <c r="F2172" s="10" t="s">
        <v>6217</v>
      </c>
      <c r="G2172" s="10" t="s">
        <v>6218</v>
      </c>
      <c r="H2172" s="10" t="s">
        <v>6219</v>
      </c>
      <c r="I2172" s="10" t="s">
        <v>349</v>
      </c>
    </row>
    <row r="2173" spans="1:9" x14ac:dyDescent="0.15">
      <c r="A2173" s="9">
        <v>2172</v>
      </c>
      <c r="B2173" s="10" t="s">
        <v>9</v>
      </c>
      <c r="C2173" s="10" t="s">
        <v>363</v>
      </c>
      <c r="D2173" s="10" t="s">
        <v>364</v>
      </c>
      <c r="E2173" s="11" t="str">
        <f>+HYPERLINK("http://trademark.i-assist.jp/data/china/image_1902th/79199662.pdf", "79199662")</f>
        <v>79199662</v>
      </c>
      <c r="F2173" s="10" t="s">
        <v>6220</v>
      </c>
      <c r="G2173" s="10" t="s">
        <v>6221</v>
      </c>
      <c r="H2173" s="10" t="s">
        <v>6222</v>
      </c>
      <c r="I2173" s="10" t="s">
        <v>349</v>
      </c>
    </row>
    <row r="2174" spans="1:9" x14ac:dyDescent="0.15">
      <c r="A2174" s="9">
        <v>2173</v>
      </c>
      <c r="B2174" s="10" t="s">
        <v>9</v>
      </c>
      <c r="C2174" s="10" t="s">
        <v>363</v>
      </c>
      <c r="D2174" s="10" t="s">
        <v>364</v>
      </c>
      <c r="E2174" s="11" t="str">
        <f>+HYPERLINK("http://trademark.i-assist.jp/data/china/image_1902th/79199667.pdf", "79199667")</f>
        <v>79199667</v>
      </c>
      <c r="F2174" s="10" t="s">
        <v>6223</v>
      </c>
      <c r="G2174" s="10" t="s">
        <v>6224</v>
      </c>
      <c r="H2174" s="10" t="s">
        <v>6225</v>
      </c>
      <c r="I2174" s="10" t="s">
        <v>349</v>
      </c>
    </row>
    <row r="2175" spans="1:9" x14ac:dyDescent="0.15">
      <c r="A2175" s="9">
        <v>2174</v>
      </c>
      <c r="B2175" s="10" t="s">
        <v>9</v>
      </c>
      <c r="C2175" s="10" t="s">
        <v>363</v>
      </c>
      <c r="D2175" s="10" t="s">
        <v>364</v>
      </c>
      <c r="E2175" s="11" t="str">
        <f>+HYPERLINK("http://trademark.i-assist.jp/data/china/image_1902th/79199682.pdf", "79199682")</f>
        <v>79199682</v>
      </c>
      <c r="F2175" s="10" t="s">
        <v>6226</v>
      </c>
      <c r="G2175" s="10" t="s">
        <v>2683</v>
      </c>
      <c r="H2175" s="10" t="s">
        <v>6227</v>
      </c>
      <c r="I2175" s="10" t="s">
        <v>349</v>
      </c>
    </row>
    <row r="2176" spans="1:9" x14ac:dyDescent="0.15">
      <c r="A2176" s="9">
        <v>2175</v>
      </c>
      <c r="B2176" s="10" t="s">
        <v>9</v>
      </c>
      <c r="C2176" s="10" t="s">
        <v>363</v>
      </c>
      <c r="D2176" s="10" t="s">
        <v>364</v>
      </c>
      <c r="E2176" s="11" t="str">
        <f>+HYPERLINK("http://trademark.i-assist.jp/data/china/image_1902th/79199917.pdf", "79199917")</f>
        <v>79199917</v>
      </c>
      <c r="F2176" s="10" t="s">
        <v>6228</v>
      </c>
      <c r="G2176" s="10" t="s">
        <v>6229</v>
      </c>
      <c r="H2176" s="10" t="s">
        <v>6230</v>
      </c>
      <c r="I2176" s="10" t="s">
        <v>349</v>
      </c>
    </row>
    <row r="2177" spans="1:9" x14ac:dyDescent="0.15">
      <c r="A2177" s="9">
        <v>2176</v>
      </c>
      <c r="B2177" s="10" t="s">
        <v>9</v>
      </c>
      <c r="C2177" s="10" t="s">
        <v>363</v>
      </c>
      <c r="D2177" s="10" t="s">
        <v>364</v>
      </c>
      <c r="E2177" s="11" t="str">
        <f>+HYPERLINK("http://trademark.i-assist.jp/data/china/image_1902th/79200041.pdf", "79200041")</f>
        <v>79200041</v>
      </c>
      <c r="F2177" s="10" t="s">
        <v>6231</v>
      </c>
      <c r="G2177" s="10" t="s">
        <v>6232</v>
      </c>
      <c r="H2177" s="10" t="s">
        <v>6233</v>
      </c>
      <c r="I2177" s="10" t="s">
        <v>349</v>
      </c>
    </row>
    <row r="2178" spans="1:9" x14ac:dyDescent="0.15">
      <c r="A2178" s="9">
        <v>2177</v>
      </c>
      <c r="B2178" s="10" t="s">
        <v>9</v>
      </c>
      <c r="C2178" s="10" t="s">
        <v>363</v>
      </c>
      <c r="D2178" s="10" t="s">
        <v>364</v>
      </c>
      <c r="E2178" s="11" t="str">
        <f>+HYPERLINK("http://trademark.i-assist.jp/data/china/image_1902th/79200118.pdf", "79200118")</f>
        <v>79200118</v>
      </c>
      <c r="F2178" s="10" t="s">
        <v>6234</v>
      </c>
      <c r="G2178" s="10" t="s">
        <v>6235</v>
      </c>
      <c r="H2178" s="10" t="s">
        <v>6236</v>
      </c>
      <c r="I2178" s="10" t="s">
        <v>349</v>
      </c>
    </row>
    <row r="2179" spans="1:9" x14ac:dyDescent="0.15">
      <c r="A2179" s="9">
        <v>2178</v>
      </c>
      <c r="B2179" s="10" t="s">
        <v>9</v>
      </c>
      <c r="C2179" s="10" t="s">
        <v>363</v>
      </c>
      <c r="D2179" s="10" t="s">
        <v>364</v>
      </c>
      <c r="E2179" s="11" t="str">
        <f>+HYPERLINK("http://trademark.i-assist.jp/data/china/image_1902th/79200277.pdf", "79200277")</f>
        <v>79200277</v>
      </c>
      <c r="F2179" s="10" t="s">
        <v>6237</v>
      </c>
      <c r="G2179" s="10" t="s">
        <v>71</v>
      </c>
      <c r="H2179" s="10" t="s">
        <v>6238</v>
      </c>
      <c r="I2179" s="10" t="s">
        <v>349</v>
      </c>
    </row>
    <row r="2180" spans="1:9" x14ac:dyDescent="0.15">
      <c r="A2180" s="9">
        <v>2179</v>
      </c>
      <c r="B2180" s="10" t="s">
        <v>9</v>
      </c>
      <c r="C2180" s="10" t="s">
        <v>363</v>
      </c>
      <c r="D2180" s="10" t="s">
        <v>364</v>
      </c>
      <c r="E2180" s="11" t="str">
        <f>+HYPERLINK("http://trademark.i-assist.jp/data/china/image_1902th/79200290.pdf", "79200290")</f>
        <v>79200290</v>
      </c>
      <c r="F2180" s="10" t="s">
        <v>6239</v>
      </c>
      <c r="G2180" s="10" t="s">
        <v>71</v>
      </c>
      <c r="H2180" s="10" t="s">
        <v>6240</v>
      </c>
      <c r="I2180" s="10" t="s">
        <v>349</v>
      </c>
    </row>
    <row r="2181" spans="1:9" x14ac:dyDescent="0.15">
      <c r="A2181" s="9">
        <v>2180</v>
      </c>
      <c r="B2181" s="10" t="s">
        <v>9</v>
      </c>
      <c r="C2181" s="10" t="s">
        <v>363</v>
      </c>
      <c r="D2181" s="10" t="s">
        <v>364</v>
      </c>
      <c r="E2181" s="11" t="str">
        <f>+HYPERLINK("http://trademark.i-assist.jp/data/china/image_1902th/79200378.pdf", "79200378")</f>
        <v>79200378</v>
      </c>
      <c r="F2181" s="10" t="s">
        <v>6241</v>
      </c>
      <c r="G2181" s="10" t="s">
        <v>57</v>
      </c>
      <c r="H2181" s="10" t="s">
        <v>6242</v>
      </c>
      <c r="I2181" s="10" t="s">
        <v>349</v>
      </c>
    </row>
    <row r="2182" spans="1:9" x14ac:dyDescent="0.15">
      <c r="A2182" s="9">
        <v>2181</v>
      </c>
      <c r="B2182" s="10" t="s">
        <v>9</v>
      </c>
      <c r="C2182" s="10" t="s">
        <v>363</v>
      </c>
      <c r="D2182" s="10" t="s">
        <v>364</v>
      </c>
      <c r="E2182" s="11" t="str">
        <f>+HYPERLINK("http://trademark.i-assist.jp/data/china/image_1902th/79200411.pdf", "79200411")</f>
        <v>79200411</v>
      </c>
      <c r="F2182" s="10" t="s">
        <v>6243</v>
      </c>
      <c r="G2182" s="10" t="s">
        <v>6244</v>
      </c>
      <c r="H2182" s="10" t="s">
        <v>6245</v>
      </c>
      <c r="I2182" s="10" t="s">
        <v>349</v>
      </c>
    </row>
    <row r="2183" spans="1:9" x14ac:dyDescent="0.15">
      <c r="A2183" s="9">
        <v>2182</v>
      </c>
      <c r="B2183" s="10" t="s">
        <v>9</v>
      </c>
      <c r="C2183" s="10" t="s">
        <v>363</v>
      </c>
      <c r="D2183" s="10" t="s">
        <v>364</v>
      </c>
      <c r="E2183" s="11" t="str">
        <f>+HYPERLINK("http://trademark.i-assist.jp/data/china/image_1902th/79200577.pdf", "79200577")</f>
        <v>79200577</v>
      </c>
      <c r="F2183" s="10" t="s">
        <v>12</v>
      </c>
      <c r="G2183" s="10" t="s">
        <v>6246</v>
      </c>
      <c r="H2183" s="10" t="s">
        <v>6247</v>
      </c>
      <c r="I2183" s="10" t="s">
        <v>349</v>
      </c>
    </row>
    <row r="2184" spans="1:9" x14ac:dyDescent="0.15">
      <c r="A2184" s="9">
        <v>2183</v>
      </c>
      <c r="B2184" s="10" t="s">
        <v>9</v>
      </c>
      <c r="C2184" s="10" t="s">
        <v>363</v>
      </c>
      <c r="D2184" s="10" t="s">
        <v>364</v>
      </c>
      <c r="E2184" s="11" t="str">
        <f>+HYPERLINK("http://trademark.i-assist.jp/data/china/image_1902th/79200620.pdf", "79200620")</f>
        <v>79200620</v>
      </c>
      <c r="F2184" s="10" t="s">
        <v>6248</v>
      </c>
      <c r="G2184" s="10" t="s">
        <v>5972</v>
      </c>
      <c r="H2184" s="10" t="s">
        <v>6249</v>
      </c>
      <c r="I2184" s="10" t="s">
        <v>349</v>
      </c>
    </row>
    <row r="2185" spans="1:9" x14ac:dyDescent="0.15">
      <c r="A2185" s="9">
        <v>2184</v>
      </c>
      <c r="B2185" s="10" t="s">
        <v>9</v>
      </c>
      <c r="C2185" s="10" t="s">
        <v>363</v>
      </c>
      <c r="D2185" s="10" t="s">
        <v>364</v>
      </c>
      <c r="E2185" s="11" t="str">
        <f>+HYPERLINK("http://trademark.i-assist.jp/data/china/image_1902th/79200775.pdf", "79200775")</f>
        <v>79200775</v>
      </c>
      <c r="F2185" s="10" t="s">
        <v>6250</v>
      </c>
      <c r="G2185" s="10" t="s">
        <v>6251</v>
      </c>
      <c r="H2185" s="10" t="s">
        <v>6252</v>
      </c>
      <c r="I2185" s="10" t="s">
        <v>349</v>
      </c>
    </row>
    <row r="2186" spans="1:9" x14ac:dyDescent="0.15">
      <c r="A2186" s="9">
        <v>2185</v>
      </c>
      <c r="B2186" s="10" t="s">
        <v>9</v>
      </c>
      <c r="C2186" s="10" t="s">
        <v>363</v>
      </c>
      <c r="D2186" s="10" t="s">
        <v>364</v>
      </c>
      <c r="E2186" s="11" t="str">
        <f>+HYPERLINK("http://trademark.i-assist.jp/data/china/image_1902th/79200856.pdf", "79200856")</f>
        <v>79200856</v>
      </c>
      <c r="F2186" s="10" t="s">
        <v>6253</v>
      </c>
      <c r="G2186" s="10" t="s">
        <v>71</v>
      </c>
      <c r="H2186" s="10" t="s">
        <v>6254</v>
      </c>
      <c r="I2186" s="10" t="s">
        <v>349</v>
      </c>
    </row>
    <row r="2187" spans="1:9" x14ac:dyDescent="0.15">
      <c r="A2187" s="9">
        <v>2186</v>
      </c>
      <c r="B2187" s="10" t="s">
        <v>9</v>
      </c>
      <c r="C2187" s="10" t="s">
        <v>363</v>
      </c>
      <c r="D2187" s="10" t="s">
        <v>364</v>
      </c>
      <c r="E2187" s="11" t="str">
        <f>+HYPERLINK("http://trademark.i-assist.jp/data/china/image_1902th/79201011.pdf", "79201011")</f>
        <v>79201011</v>
      </c>
      <c r="F2187" s="10" t="s">
        <v>6255</v>
      </c>
      <c r="G2187" s="10" t="s">
        <v>6048</v>
      </c>
      <c r="H2187" s="10" t="s">
        <v>6256</v>
      </c>
      <c r="I2187" s="10" t="s">
        <v>349</v>
      </c>
    </row>
    <row r="2188" spans="1:9" x14ac:dyDescent="0.15">
      <c r="A2188" s="9">
        <v>2187</v>
      </c>
      <c r="B2188" s="10" t="s">
        <v>9</v>
      </c>
      <c r="C2188" s="10" t="s">
        <v>363</v>
      </c>
      <c r="D2188" s="10" t="s">
        <v>364</v>
      </c>
      <c r="E2188" s="11" t="str">
        <f>+HYPERLINK("http://trademark.i-assist.jp/data/china/image_1902th/79201025.pdf", "79201025")</f>
        <v>79201025</v>
      </c>
      <c r="F2188" s="10" t="s">
        <v>6257</v>
      </c>
      <c r="G2188" s="10" t="s">
        <v>6048</v>
      </c>
      <c r="H2188" s="10" t="s">
        <v>6258</v>
      </c>
      <c r="I2188" s="10" t="s">
        <v>349</v>
      </c>
    </row>
    <row r="2189" spans="1:9" x14ac:dyDescent="0.15">
      <c r="A2189" s="9">
        <v>2188</v>
      </c>
      <c r="B2189" s="10" t="s">
        <v>9</v>
      </c>
      <c r="C2189" s="10" t="s">
        <v>363</v>
      </c>
      <c r="D2189" s="10" t="s">
        <v>364</v>
      </c>
      <c r="E2189" s="11" t="str">
        <f>+HYPERLINK("http://trademark.i-assist.jp/data/china/image_1902th/79201459.pdf", "79201459")</f>
        <v>79201459</v>
      </c>
      <c r="F2189" s="10" t="s">
        <v>6259</v>
      </c>
      <c r="G2189" s="10" t="s">
        <v>2998</v>
      </c>
      <c r="H2189" s="10" t="s">
        <v>6260</v>
      </c>
      <c r="I2189" s="10" t="s">
        <v>349</v>
      </c>
    </row>
    <row r="2190" spans="1:9" x14ac:dyDescent="0.15">
      <c r="A2190" s="9">
        <v>2189</v>
      </c>
      <c r="B2190" s="10" t="s">
        <v>9</v>
      </c>
      <c r="C2190" s="10" t="s">
        <v>363</v>
      </c>
      <c r="D2190" s="10" t="s">
        <v>364</v>
      </c>
      <c r="E2190" s="11" t="str">
        <f>+HYPERLINK("http://trademark.i-assist.jp/data/china/image_1902th/79201587.pdf", "79201587")</f>
        <v>79201587</v>
      </c>
      <c r="F2190" s="10" t="s">
        <v>6261</v>
      </c>
      <c r="G2190" s="10" t="s">
        <v>5982</v>
      </c>
      <c r="H2190" s="10" t="s">
        <v>6262</v>
      </c>
      <c r="I2190" s="10" t="s">
        <v>349</v>
      </c>
    </row>
    <row r="2191" spans="1:9" x14ac:dyDescent="0.15">
      <c r="A2191" s="9">
        <v>2190</v>
      </c>
      <c r="B2191" s="10" t="s">
        <v>9</v>
      </c>
      <c r="C2191" s="10" t="s">
        <v>363</v>
      </c>
      <c r="D2191" s="10" t="s">
        <v>364</v>
      </c>
      <c r="E2191" s="11" t="str">
        <f>+HYPERLINK("http://trademark.i-assist.jp/data/china/image_1902th/79201591.pdf", "79201591")</f>
        <v>79201591</v>
      </c>
      <c r="F2191" s="10" t="s">
        <v>6263</v>
      </c>
      <c r="G2191" s="10" t="s">
        <v>6264</v>
      </c>
      <c r="H2191" s="10" t="s">
        <v>6265</v>
      </c>
      <c r="I2191" s="10" t="s">
        <v>349</v>
      </c>
    </row>
    <row r="2192" spans="1:9" x14ac:dyDescent="0.15">
      <c r="A2192" s="9">
        <v>2191</v>
      </c>
      <c r="B2192" s="10" t="s">
        <v>9</v>
      </c>
      <c r="C2192" s="10" t="s">
        <v>363</v>
      </c>
      <c r="D2192" s="10" t="s">
        <v>364</v>
      </c>
      <c r="E2192" s="11" t="str">
        <f>+HYPERLINK("http://trademark.i-assist.jp/data/china/image_1902th/79201881.pdf", "79201881")</f>
        <v>79201881</v>
      </c>
      <c r="F2192" s="10" t="s">
        <v>6266</v>
      </c>
      <c r="G2192" s="10" t="s">
        <v>6267</v>
      </c>
      <c r="H2192" s="10" t="s">
        <v>6268</v>
      </c>
      <c r="I2192" s="10" t="s">
        <v>349</v>
      </c>
    </row>
    <row r="2193" spans="1:9" x14ac:dyDescent="0.15">
      <c r="A2193" s="9">
        <v>2192</v>
      </c>
      <c r="B2193" s="10" t="s">
        <v>9</v>
      </c>
      <c r="C2193" s="10" t="s">
        <v>363</v>
      </c>
      <c r="D2193" s="10" t="s">
        <v>364</v>
      </c>
      <c r="E2193" s="11" t="str">
        <f>+HYPERLINK("http://trademark.i-assist.jp/data/china/image_1902th/79202014.pdf", "79202014")</f>
        <v>79202014</v>
      </c>
      <c r="F2193" s="10" t="s">
        <v>6269</v>
      </c>
      <c r="G2193" s="10" t="s">
        <v>6270</v>
      </c>
      <c r="H2193" s="10" t="s">
        <v>6271</v>
      </c>
      <c r="I2193" s="10" t="s">
        <v>349</v>
      </c>
    </row>
    <row r="2194" spans="1:9" x14ac:dyDescent="0.15">
      <c r="A2194" s="9">
        <v>2193</v>
      </c>
      <c r="B2194" s="10" t="s">
        <v>9</v>
      </c>
      <c r="C2194" s="10" t="s">
        <v>363</v>
      </c>
      <c r="D2194" s="10" t="s">
        <v>364</v>
      </c>
      <c r="E2194" s="11" t="str">
        <f>+HYPERLINK("http://trademark.i-assist.jp/data/china/image_1902th/79202173.pdf", "79202173")</f>
        <v>79202173</v>
      </c>
      <c r="F2194" s="10" t="s">
        <v>6272</v>
      </c>
      <c r="G2194" s="10" t="s">
        <v>5881</v>
      </c>
      <c r="H2194" s="10" t="s">
        <v>6273</v>
      </c>
      <c r="I2194" s="10" t="s">
        <v>349</v>
      </c>
    </row>
    <row r="2195" spans="1:9" x14ac:dyDescent="0.15">
      <c r="A2195" s="9">
        <v>2194</v>
      </c>
      <c r="B2195" s="10" t="s">
        <v>9</v>
      </c>
      <c r="C2195" s="10" t="s">
        <v>363</v>
      </c>
      <c r="D2195" s="10" t="s">
        <v>364</v>
      </c>
      <c r="E2195" s="11" t="str">
        <f>+HYPERLINK("http://trademark.i-assist.jp/data/china/image_1902th/79202489.pdf", "79202489")</f>
        <v>79202489</v>
      </c>
      <c r="F2195" s="10" t="s">
        <v>6274</v>
      </c>
      <c r="G2195" s="10" t="s">
        <v>6275</v>
      </c>
      <c r="H2195" s="10" t="s">
        <v>6276</v>
      </c>
      <c r="I2195" s="10" t="s">
        <v>349</v>
      </c>
    </row>
    <row r="2196" spans="1:9" x14ac:dyDescent="0.15">
      <c r="A2196" s="9">
        <v>2195</v>
      </c>
      <c r="B2196" s="10" t="s">
        <v>9</v>
      </c>
      <c r="C2196" s="10" t="s">
        <v>363</v>
      </c>
      <c r="D2196" s="10" t="s">
        <v>364</v>
      </c>
      <c r="E2196" s="11" t="str">
        <f>+HYPERLINK("http://trademark.i-assist.jp/data/china/image_1902th/79202503.pdf", "79202503")</f>
        <v>79202503</v>
      </c>
      <c r="F2196" s="10" t="s">
        <v>6277</v>
      </c>
      <c r="G2196" s="10" t="s">
        <v>6278</v>
      </c>
      <c r="H2196" s="10" t="s">
        <v>6279</v>
      </c>
      <c r="I2196" s="10" t="s">
        <v>349</v>
      </c>
    </row>
    <row r="2197" spans="1:9" x14ac:dyDescent="0.15">
      <c r="A2197" s="9">
        <v>2196</v>
      </c>
      <c r="B2197" s="10" t="s">
        <v>9</v>
      </c>
      <c r="C2197" s="10" t="s">
        <v>363</v>
      </c>
      <c r="D2197" s="10" t="s">
        <v>364</v>
      </c>
      <c r="E2197" s="11" t="str">
        <f>+HYPERLINK("http://trademark.i-assist.jp/data/china/image_1902th/79203044.pdf", "79203044")</f>
        <v>79203044</v>
      </c>
      <c r="F2197" s="10" t="s">
        <v>6280</v>
      </c>
      <c r="G2197" s="10" t="s">
        <v>6281</v>
      </c>
      <c r="H2197" s="10" t="s">
        <v>6282</v>
      </c>
      <c r="I2197" s="10" t="s">
        <v>349</v>
      </c>
    </row>
    <row r="2198" spans="1:9" x14ac:dyDescent="0.15">
      <c r="A2198" s="9">
        <v>2197</v>
      </c>
      <c r="B2198" s="10" t="s">
        <v>9</v>
      </c>
      <c r="C2198" s="10" t="s">
        <v>363</v>
      </c>
      <c r="D2198" s="10" t="s">
        <v>364</v>
      </c>
      <c r="E2198" s="11" t="str">
        <f>+HYPERLINK("http://trademark.i-assist.jp/data/china/image_1902th/79203055.pdf", "79203055")</f>
        <v>79203055</v>
      </c>
      <c r="F2198" s="10" t="s">
        <v>6283</v>
      </c>
      <c r="G2198" s="10" t="s">
        <v>6284</v>
      </c>
      <c r="H2198" s="10" t="s">
        <v>6285</v>
      </c>
      <c r="I2198" s="10" t="s">
        <v>349</v>
      </c>
    </row>
    <row r="2199" spans="1:9" x14ac:dyDescent="0.15">
      <c r="A2199" s="9">
        <v>2198</v>
      </c>
      <c r="B2199" s="10" t="s">
        <v>9</v>
      </c>
      <c r="C2199" s="10" t="s">
        <v>363</v>
      </c>
      <c r="D2199" s="10" t="s">
        <v>364</v>
      </c>
      <c r="E2199" s="11" t="str">
        <f>+HYPERLINK("http://trademark.i-assist.jp/data/china/image_1902th/79203170.pdf", "79203170")</f>
        <v>79203170</v>
      </c>
      <c r="F2199" s="10" t="s">
        <v>6286</v>
      </c>
      <c r="G2199" s="10" t="s">
        <v>6020</v>
      </c>
      <c r="H2199" s="10" t="s">
        <v>6287</v>
      </c>
      <c r="I2199" s="10" t="s">
        <v>349</v>
      </c>
    </row>
    <row r="2200" spans="1:9" x14ac:dyDescent="0.15">
      <c r="A2200" s="9">
        <v>2199</v>
      </c>
      <c r="B2200" s="10" t="s">
        <v>9</v>
      </c>
      <c r="C2200" s="10" t="s">
        <v>363</v>
      </c>
      <c r="D2200" s="10" t="s">
        <v>364</v>
      </c>
      <c r="E2200" s="11" t="str">
        <f>+HYPERLINK("http://trademark.i-assist.jp/data/china/image_1902th/79203272.pdf", "79203272")</f>
        <v>79203272</v>
      </c>
      <c r="F2200" s="10" t="s">
        <v>6288</v>
      </c>
      <c r="G2200" s="10" t="s">
        <v>6289</v>
      </c>
      <c r="H2200" s="10" t="s">
        <v>6290</v>
      </c>
      <c r="I2200" s="10" t="s">
        <v>349</v>
      </c>
    </row>
    <row r="2201" spans="1:9" x14ac:dyDescent="0.15">
      <c r="A2201" s="9">
        <v>2200</v>
      </c>
      <c r="B2201" s="10" t="s">
        <v>9</v>
      </c>
      <c r="C2201" s="10" t="s">
        <v>363</v>
      </c>
      <c r="D2201" s="10" t="s">
        <v>364</v>
      </c>
      <c r="E2201" s="11" t="str">
        <f>+HYPERLINK("http://trademark.i-assist.jp/data/china/image_1902th/79203283.pdf", "79203283")</f>
        <v>79203283</v>
      </c>
      <c r="F2201" s="10" t="s">
        <v>6291</v>
      </c>
      <c r="G2201" s="10" t="s">
        <v>6292</v>
      </c>
      <c r="H2201" s="10" t="s">
        <v>6293</v>
      </c>
      <c r="I2201" s="10" t="s">
        <v>349</v>
      </c>
    </row>
    <row r="2202" spans="1:9" x14ac:dyDescent="0.15">
      <c r="A2202" s="9">
        <v>2201</v>
      </c>
      <c r="B2202" s="10" t="s">
        <v>9</v>
      </c>
      <c r="C2202" s="10" t="s">
        <v>363</v>
      </c>
      <c r="D2202" s="10" t="s">
        <v>364</v>
      </c>
      <c r="E2202" s="11" t="str">
        <f>+HYPERLINK("http://trademark.i-assist.jp/data/china/image_1902th/79203330.pdf", "79203330")</f>
        <v>79203330</v>
      </c>
      <c r="F2202" s="10" t="s">
        <v>6294</v>
      </c>
      <c r="G2202" s="10" t="s">
        <v>6295</v>
      </c>
      <c r="H2202" s="10" t="s">
        <v>6296</v>
      </c>
      <c r="I2202" s="10" t="s">
        <v>349</v>
      </c>
    </row>
    <row r="2203" spans="1:9" x14ac:dyDescent="0.15">
      <c r="A2203" s="9">
        <v>2202</v>
      </c>
      <c r="B2203" s="10" t="s">
        <v>9</v>
      </c>
      <c r="C2203" s="10" t="s">
        <v>363</v>
      </c>
      <c r="D2203" s="10" t="s">
        <v>364</v>
      </c>
      <c r="E2203" s="11" t="str">
        <f>+HYPERLINK("http://trademark.i-assist.jp/data/china/image_1902th/79203360.pdf", "79203360")</f>
        <v>79203360</v>
      </c>
      <c r="F2203" s="10" t="s">
        <v>6297</v>
      </c>
      <c r="G2203" s="10" t="s">
        <v>2483</v>
      </c>
      <c r="H2203" s="10" t="s">
        <v>6298</v>
      </c>
      <c r="I2203" s="10" t="s">
        <v>349</v>
      </c>
    </row>
    <row r="2204" spans="1:9" x14ac:dyDescent="0.15">
      <c r="A2204" s="9">
        <v>2203</v>
      </c>
      <c r="B2204" s="10" t="s">
        <v>9</v>
      </c>
      <c r="C2204" s="10" t="s">
        <v>363</v>
      </c>
      <c r="D2204" s="10" t="s">
        <v>364</v>
      </c>
      <c r="E2204" s="11" t="str">
        <f>+HYPERLINK("http://trademark.i-assist.jp/data/china/image_1902th/79203392.pdf", "79203392")</f>
        <v>79203392</v>
      </c>
      <c r="F2204" s="10" t="s">
        <v>6196</v>
      </c>
      <c r="G2204" s="10" t="s">
        <v>6197</v>
      </c>
      <c r="H2204" s="10" t="s">
        <v>6299</v>
      </c>
      <c r="I2204" s="10" t="s">
        <v>349</v>
      </c>
    </row>
    <row r="2205" spans="1:9" x14ac:dyDescent="0.15">
      <c r="A2205" s="9">
        <v>2204</v>
      </c>
      <c r="B2205" s="10" t="s">
        <v>9</v>
      </c>
      <c r="C2205" s="10" t="s">
        <v>363</v>
      </c>
      <c r="D2205" s="10" t="s">
        <v>364</v>
      </c>
      <c r="E2205" s="11" t="str">
        <f>+HYPERLINK("http://trademark.i-assist.jp/data/china/image_1902th/79203540.pdf", "79203540")</f>
        <v>79203540</v>
      </c>
      <c r="F2205" s="10" t="s">
        <v>5799</v>
      </c>
      <c r="G2205" s="10" t="s">
        <v>5800</v>
      </c>
      <c r="H2205" s="10" t="s">
        <v>6300</v>
      </c>
      <c r="I2205" s="10" t="s">
        <v>349</v>
      </c>
    </row>
    <row r="2206" spans="1:9" x14ac:dyDescent="0.15">
      <c r="A2206" s="9">
        <v>2205</v>
      </c>
      <c r="B2206" s="10" t="s">
        <v>9</v>
      </c>
      <c r="C2206" s="10" t="s">
        <v>363</v>
      </c>
      <c r="D2206" s="10" t="s">
        <v>364</v>
      </c>
      <c r="E2206" s="11" t="str">
        <f>+HYPERLINK("http://trademark.i-assist.jp/data/china/image_1902th/79203574.pdf", "79203574")</f>
        <v>79203574</v>
      </c>
      <c r="F2206" s="10" t="s">
        <v>6301</v>
      </c>
      <c r="G2206" s="10" t="s">
        <v>6302</v>
      </c>
      <c r="H2206" s="10" t="s">
        <v>6303</v>
      </c>
      <c r="I2206" s="10" t="s">
        <v>349</v>
      </c>
    </row>
    <row r="2207" spans="1:9" x14ac:dyDescent="0.15">
      <c r="A2207" s="9">
        <v>2206</v>
      </c>
      <c r="B2207" s="10" t="s">
        <v>9</v>
      </c>
      <c r="C2207" s="10" t="s">
        <v>363</v>
      </c>
      <c r="D2207" s="10" t="s">
        <v>364</v>
      </c>
      <c r="E2207" s="11" t="str">
        <f>+HYPERLINK("http://trademark.i-assist.jp/data/china/image_1902th/79203811.pdf", "79203811")</f>
        <v>79203811</v>
      </c>
      <c r="F2207" s="10" t="s">
        <v>6304</v>
      </c>
      <c r="G2207" s="10" t="s">
        <v>6305</v>
      </c>
      <c r="H2207" s="10" t="s">
        <v>6306</v>
      </c>
      <c r="I2207" s="10" t="s">
        <v>349</v>
      </c>
    </row>
    <row r="2208" spans="1:9" x14ac:dyDescent="0.15">
      <c r="A2208" s="9">
        <v>2207</v>
      </c>
      <c r="B2208" s="10" t="s">
        <v>9</v>
      </c>
      <c r="C2208" s="10" t="s">
        <v>363</v>
      </c>
      <c r="D2208" s="10" t="s">
        <v>364</v>
      </c>
      <c r="E2208" s="11" t="str">
        <f>+HYPERLINK("http://trademark.i-assist.jp/data/china/image_1902th/79203831.pdf", "79203831")</f>
        <v>79203831</v>
      </c>
      <c r="F2208" s="10" t="s">
        <v>6307</v>
      </c>
      <c r="G2208" s="10" t="s">
        <v>6308</v>
      </c>
      <c r="H2208" s="10" t="s">
        <v>6309</v>
      </c>
      <c r="I2208" s="10" t="s">
        <v>349</v>
      </c>
    </row>
    <row r="2209" spans="1:9" x14ac:dyDescent="0.15">
      <c r="A2209" s="9">
        <v>2208</v>
      </c>
      <c r="B2209" s="10" t="s">
        <v>9</v>
      </c>
      <c r="C2209" s="10" t="s">
        <v>363</v>
      </c>
      <c r="D2209" s="10" t="s">
        <v>364</v>
      </c>
      <c r="E2209" s="11" t="str">
        <f>+HYPERLINK("http://trademark.i-assist.jp/data/china/image_1902th/79204137.pdf", "79204137")</f>
        <v>79204137</v>
      </c>
      <c r="F2209" s="10" t="s">
        <v>6310</v>
      </c>
      <c r="G2209" s="10" t="s">
        <v>6311</v>
      </c>
      <c r="H2209" s="10" t="s">
        <v>6312</v>
      </c>
      <c r="I2209" s="10" t="s">
        <v>349</v>
      </c>
    </row>
    <row r="2210" spans="1:9" x14ac:dyDescent="0.15">
      <c r="A2210" s="9">
        <v>2209</v>
      </c>
      <c r="B2210" s="10" t="s">
        <v>9</v>
      </c>
      <c r="C2210" s="10" t="s">
        <v>363</v>
      </c>
      <c r="D2210" s="10" t="s">
        <v>364</v>
      </c>
      <c r="E2210" s="11" t="str">
        <f>+HYPERLINK("http://trademark.i-assist.jp/data/china/image_1902th/79204166.pdf", "79204166")</f>
        <v>79204166</v>
      </c>
      <c r="F2210" s="10" t="s">
        <v>6313</v>
      </c>
      <c r="G2210" s="10" t="s">
        <v>6314</v>
      </c>
      <c r="H2210" s="10" t="s">
        <v>6315</v>
      </c>
      <c r="I2210" s="10" t="s">
        <v>349</v>
      </c>
    </row>
    <row r="2211" spans="1:9" x14ac:dyDescent="0.15">
      <c r="A2211" s="9">
        <v>2210</v>
      </c>
      <c r="B2211" s="10" t="s">
        <v>9</v>
      </c>
      <c r="C2211" s="10" t="s">
        <v>363</v>
      </c>
      <c r="D2211" s="10" t="s">
        <v>364</v>
      </c>
      <c r="E2211" s="11" t="str">
        <f>+HYPERLINK("http://trademark.i-assist.jp/data/china/image_1902th/79204470.pdf", "79204470")</f>
        <v>79204470</v>
      </c>
      <c r="F2211" s="10" t="s">
        <v>6316</v>
      </c>
      <c r="G2211" s="10" t="s">
        <v>192</v>
      </c>
      <c r="H2211" s="10" t="s">
        <v>6317</v>
      </c>
      <c r="I2211" s="10" t="s">
        <v>349</v>
      </c>
    </row>
    <row r="2212" spans="1:9" x14ac:dyDescent="0.15">
      <c r="A2212" s="9">
        <v>2211</v>
      </c>
      <c r="B2212" s="10" t="s">
        <v>9</v>
      </c>
      <c r="C2212" s="10" t="s">
        <v>363</v>
      </c>
      <c r="D2212" s="10" t="s">
        <v>364</v>
      </c>
      <c r="E2212" s="11" t="str">
        <f>+HYPERLINK("http://trademark.i-assist.jp/data/china/image_1902th/79204667.pdf", "79204667")</f>
        <v>79204667</v>
      </c>
      <c r="F2212" s="10" t="s">
        <v>6318</v>
      </c>
      <c r="G2212" s="10" t="s">
        <v>6319</v>
      </c>
      <c r="H2212" s="10" t="s">
        <v>6320</v>
      </c>
      <c r="I2212" s="10" t="s">
        <v>349</v>
      </c>
    </row>
    <row r="2213" spans="1:9" x14ac:dyDescent="0.15">
      <c r="A2213" s="9">
        <v>2212</v>
      </c>
      <c r="B2213" s="10" t="s">
        <v>9</v>
      </c>
      <c r="C2213" s="10" t="s">
        <v>363</v>
      </c>
      <c r="D2213" s="10" t="s">
        <v>364</v>
      </c>
      <c r="E2213" s="11" t="str">
        <f>+HYPERLINK("http://trademark.i-assist.jp/data/china/image_1902th/79204755.pdf", "79204755")</f>
        <v>79204755</v>
      </c>
      <c r="F2213" s="10" t="s">
        <v>6321</v>
      </c>
      <c r="G2213" s="10" t="s">
        <v>216</v>
      </c>
      <c r="H2213" s="10" t="s">
        <v>6322</v>
      </c>
      <c r="I2213" s="10" t="s">
        <v>349</v>
      </c>
    </row>
    <row r="2214" spans="1:9" x14ac:dyDescent="0.15">
      <c r="A2214" s="9">
        <v>2213</v>
      </c>
      <c r="B2214" s="10" t="s">
        <v>9</v>
      </c>
      <c r="C2214" s="10" t="s">
        <v>363</v>
      </c>
      <c r="D2214" s="10" t="s">
        <v>364</v>
      </c>
      <c r="E2214" s="11" t="str">
        <f>+HYPERLINK("http://trademark.i-assist.jp/data/china/image_1902th/79205113.pdf", "79205113")</f>
        <v>79205113</v>
      </c>
      <c r="F2214" s="10" t="s">
        <v>12</v>
      </c>
      <c r="G2214" s="10" t="s">
        <v>6323</v>
      </c>
      <c r="H2214" s="10" t="s">
        <v>6324</v>
      </c>
      <c r="I2214" s="10" t="s">
        <v>349</v>
      </c>
    </row>
    <row r="2215" spans="1:9" x14ac:dyDescent="0.15">
      <c r="A2215" s="9">
        <v>2214</v>
      </c>
      <c r="B2215" s="10" t="s">
        <v>9</v>
      </c>
      <c r="C2215" s="10" t="s">
        <v>363</v>
      </c>
      <c r="D2215" s="10" t="s">
        <v>364</v>
      </c>
      <c r="E2215" s="11" t="str">
        <f>+HYPERLINK("http://trademark.i-assist.jp/data/china/image_1902th/79205154.pdf", "79205154")</f>
        <v>79205154</v>
      </c>
      <c r="F2215" s="10" t="s">
        <v>6325</v>
      </c>
      <c r="G2215" s="10" t="s">
        <v>5800</v>
      </c>
      <c r="H2215" s="10" t="s">
        <v>6326</v>
      </c>
      <c r="I2215" s="10" t="s">
        <v>349</v>
      </c>
    </row>
    <row r="2216" spans="1:9" x14ac:dyDescent="0.15">
      <c r="A2216" s="9">
        <v>2215</v>
      </c>
      <c r="B2216" s="10" t="s">
        <v>9</v>
      </c>
      <c r="C2216" s="10" t="s">
        <v>363</v>
      </c>
      <c r="D2216" s="10" t="s">
        <v>364</v>
      </c>
      <c r="E2216" s="11" t="str">
        <f>+HYPERLINK("http://trademark.i-assist.jp/data/china/image_1902th/79205490.pdf", "79205490")</f>
        <v>79205490</v>
      </c>
      <c r="F2216" s="10" t="s">
        <v>6327</v>
      </c>
      <c r="G2216" s="10" t="s">
        <v>6328</v>
      </c>
      <c r="H2216" s="10" t="s">
        <v>6329</v>
      </c>
      <c r="I2216" s="10" t="s">
        <v>349</v>
      </c>
    </row>
    <row r="2217" spans="1:9" x14ac:dyDescent="0.15">
      <c r="A2217" s="9">
        <v>2216</v>
      </c>
      <c r="B2217" s="10" t="s">
        <v>9</v>
      </c>
      <c r="C2217" s="10" t="s">
        <v>363</v>
      </c>
      <c r="D2217" s="10" t="s">
        <v>364</v>
      </c>
      <c r="E2217" s="11" t="str">
        <f>+HYPERLINK("http://trademark.i-assist.jp/data/china/image_1902th/79205569.pdf", "79205569")</f>
        <v>79205569</v>
      </c>
      <c r="F2217" s="10" t="s">
        <v>6330</v>
      </c>
      <c r="G2217" s="10" t="s">
        <v>5881</v>
      </c>
      <c r="H2217" s="10" t="s">
        <v>6331</v>
      </c>
      <c r="I2217" s="10" t="s">
        <v>349</v>
      </c>
    </row>
    <row r="2218" spans="1:9" x14ac:dyDescent="0.15">
      <c r="A2218" s="9">
        <v>2217</v>
      </c>
      <c r="B2218" s="10" t="s">
        <v>9</v>
      </c>
      <c r="C2218" s="10" t="s">
        <v>363</v>
      </c>
      <c r="D2218" s="10" t="s">
        <v>364</v>
      </c>
      <c r="E2218" s="11" t="str">
        <f>+HYPERLINK("http://trademark.i-assist.jp/data/china/image_1902th/79205669.pdf", "79205669")</f>
        <v>79205669</v>
      </c>
      <c r="F2218" s="10" t="s">
        <v>6332</v>
      </c>
      <c r="G2218" s="10" t="s">
        <v>6333</v>
      </c>
      <c r="H2218" s="10" t="s">
        <v>6334</v>
      </c>
      <c r="I2218" s="10" t="s">
        <v>349</v>
      </c>
    </row>
    <row r="2219" spans="1:9" x14ac:dyDescent="0.15">
      <c r="A2219" s="9">
        <v>2218</v>
      </c>
      <c r="B2219" s="10" t="s">
        <v>9</v>
      </c>
      <c r="C2219" s="10" t="s">
        <v>363</v>
      </c>
      <c r="D2219" s="10" t="s">
        <v>364</v>
      </c>
      <c r="E2219" s="11" t="str">
        <f>+HYPERLINK("http://trademark.i-assist.jp/data/china/image_1902th/79205790.pdf", "79205790")</f>
        <v>79205790</v>
      </c>
      <c r="F2219" s="10" t="s">
        <v>6335</v>
      </c>
      <c r="G2219" s="10" t="s">
        <v>6336</v>
      </c>
      <c r="H2219" s="10" t="s">
        <v>6337</v>
      </c>
      <c r="I2219" s="10" t="s">
        <v>349</v>
      </c>
    </row>
    <row r="2220" spans="1:9" x14ac:dyDescent="0.15">
      <c r="A2220" s="9">
        <v>2219</v>
      </c>
      <c r="B2220" s="10" t="s">
        <v>9</v>
      </c>
      <c r="C2220" s="10" t="s">
        <v>363</v>
      </c>
      <c r="D2220" s="10" t="s">
        <v>364</v>
      </c>
      <c r="E2220" s="11" t="str">
        <f>+HYPERLINK("http://trademark.i-assist.jp/data/china/image_1902th/79205822.pdf", "79205822")</f>
        <v>79205822</v>
      </c>
      <c r="F2220" s="10" t="s">
        <v>6338</v>
      </c>
      <c r="G2220" s="10" t="s">
        <v>6339</v>
      </c>
      <c r="H2220" s="10" t="s">
        <v>6340</v>
      </c>
      <c r="I2220" s="10" t="s">
        <v>349</v>
      </c>
    </row>
    <row r="2221" spans="1:9" x14ac:dyDescent="0.15">
      <c r="A2221" s="9">
        <v>2220</v>
      </c>
      <c r="B2221" s="10" t="s">
        <v>9</v>
      </c>
      <c r="C2221" s="10" t="s">
        <v>363</v>
      </c>
      <c r="D2221" s="10" t="s">
        <v>364</v>
      </c>
      <c r="E2221" s="11" t="str">
        <f>+HYPERLINK("http://trademark.i-assist.jp/data/china/image_1902th/79206266.pdf", "79206266")</f>
        <v>79206266</v>
      </c>
      <c r="F2221" s="10" t="s">
        <v>6341</v>
      </c>
      <c r="G2221" s="10" t="s">
        <v>6342</v>
      </c>
      <c r="H2221" s="10" t="s">
        <v>6343</v>
      </c>
      <c r="I2221" s="10" t="s">
        <v>349</v>
      </c>
    </row>
    <row r="2222" spans="1:9" x14ac:dyDescent="0.15">
      <c r="A2222" s="9">
        <v>2221</v>
      </c>
      <c r="B2222" s="10" t="s">
        <v>9</v>
      </c>
      <c r="C2222" s="10" t="s">
        <v>363</v>
      </c>
      <c r="D2222" s="10" t="s">
        <v>364</v>
      </c>
      <c r="E2222" s="11" t="str">
        <f>+HYPERLINK("http://trademark.i-assist.jp/data/china/image_1902th/79206422.pdf", "79206422")</f>
        <v>79206422</v>
      </c>
      <c r="F2222" s="10" t="s">
        <v>6344</v>
      </c>
      <c r="G2222" s="10" t="s">
        <v>345</v>
      </c>
      <c r="H2222" s="10" t="s">
        <v>6345</v>
      </c>
      <c r="I2222" s="10" t="s">
        <v>349</v>
      </c>
    </row>
    <row r="2223" spans="1:9" x14ac:dyDescent="0.15">
      <c r="A2223" s="9">
        <v>2222</v>
      </c>
      <c r="B2223" s="10" t="s">
        <v>9</v>
      </c>
      <c r="C2223" s="10" t="s">
        <v>363</v>
      </c>
      <c r="D2223" s="10" t="s">
        <v>364</v>
      </c>
      <c r="E2223" s="11" t="str">
        <f>+HYPERLINK("http://trademark.i-assist.jp/data/china/image_1902th/79206477.pdf", "79206477")</f>
        <v>79206477</v>
      </c>
      <c r="F2223" s="10" t="s">
        <v>6346</v>
      </c>
      <c r="G2223" s="10" t="s">
        <v>6347</v>
      </c>
      <c r="H2223" s="10" t="s">
        <v>6348</v>
      </c>
      <c r="I2223" s="10" t="s">
        <v>349</v>
      </c>
    </row>
    <row r="2224" spans="1:9" x14ac:dyDescent="0.15">
      <c r="A2224" s="9">
        <v>2223</v>
      </c>
      <c r="B2224" s="10" t="s">
        <v>9</v>
      </c>
      <c r="C2224" s="10" t="s">
        <v>363</v>
      </c>
      <c r="D2224" s="10" t="s">
        <v>364</v>
      </c>
      <c r="E2224" s="11" t="str">
        <f>+HYPERLINK("http://trademark.i-assist.jp/data/china/image_1902th/79206619.pdf", "79206619")</f>
        <v>79206619</v>
      </c>
      <c r="F2224" s="10" t="s">
        <v>6349</v>
      </c>
      <c r="G2224" s="10" t="s">
        <v>6350</v>
      </c>
      <c r="H2224" s="10" t="s">
        <v>6351</v>
      </c>
      <c r="I2224" s="10" t="s">
        <v>349</v>
      </c>
    </row>
    <row r="2225" spans="1:9" x14ac:dyDescent="0.15">
      <c r="A2225" s="9">
        <v>2224</v>
      </c>
      <c r="B2225" s="10" t="s">
        <v>9</v>
      </c>
      <c r="C2225" s="10" t="s">
        <v>363</v>
      </c>
      <c r="D2225" s="10" t="s">
        <v>364</v>
      </c>
      <c r="E2225" s="11" t="str">
        <f>+HYPERLINK("http://trademark.i-assist.jp/data/china/image_1902th/79206724.pdf", "79206724")</f>
        <v>79206724</v>
      </c>
      <c r="F2225" s="10" t="s">
        <v>6352</v>
      </c>
      <c r="G2225" s="10" t="s">
        <v>6353</v>
      </c>
      <c r="H2225" s="10" t="s">
        <v>6354</v>
      </c>
      <c r="I2225" s="10" t="s">
        <v>349</v>
      </c>
    </row>
    <row r="2226" spans="1:9" x14ac:dyDescent="0.15">
      <c r="A2226" s="9">
        <v>2225</v>
      </c>
      <c r="B2226" s="10" t="s">
        <v>9</v>
      </c>
      <c r="C2226" s="10" t="s">
        <v>363</v>
      </c>
      <c r="D2226" s="10" t="s">
        <v>364</v>
      </c>
      <c r="E2226" s="11" t="str">
        <f>+HYPERLINK("http://trademark.i-assist.jp/data/china/image_1902th/79206727.pdf", "79206727")</f>
        <v>79206727</v>
      </c>
      <c r="F2226" s="10" t="s">
        <v>6355</v>
      </c>
      <c r="G2226" s="10" t="s">
        <v>6356</v>
      </c>
      <c r="H2226" s="10" t="s">
        <v>6357</v>
      </c>
      <c r="I2226" s="10" t="s">
        <v>349</v>
      </c>
    </row>
    <row r="2227" spans="1:9" x14ac:dyDescent="0.15">
      <c r="A2227" s="9">
        <v>2226</v>
      </c>
      <c r="B2227" s="10" t="s">
        <v>9</v>
      </c>
      <c r="C2227" s="10" t="s">
        <v>363</v>
      </c>
      <c r="D2227" s="10" t="s">
        <v>364</v>
      </c>
      <c r="E2227" s="11" t="str">
        <f>+HYPERLINK("http://trademark.i-assist.jp/data/china/image_1902th/79207037.pdf", "79207037")</f>
        <v>79207037</v>
      </c>
      <c r="F2227" s="10" t="s">
        <v>6358</v>
      </c>
      <c r="G2227" s="10" t="s">
        <v>346</v>
      </c>
      <c r="H2227" s="10" t="s">
        <v>6359</v>
      </c>
      <c r="I2227" s="10" t="s">
        <v>351</v>
      </c>
    </row>
    <row r="2228" spans="1:9" x14ac:dyDescent="0.15">
      <c r="A2228" s="9">
        <v>2227</v>
      </c>
      <c r="B2228" s="10" t="s">
        <v>9</v>
      </c>
      <c r="C2228" s="10" t="s">
        <v>363</v>
      </c>
      <c r="D2228" s="10" t="s">
        <v>364</v>
      </c>
      <c r="E2228" s="11" t="str">
        <f>+HYPERLINK("http://trademark.i-assist.jp/data/china/image_1902th/79207233.pdf", "79207233")</f>
        <v>79207233</v>
      </c>
      <c r="F2228" s="10" t="s">
        <v>12</v>
      </c>
      <c r="G2228" s="10" t="s">
        <v>6360</v>
      </c>
      <c r="H2228" s="10" t="s">
        <v>6361</v>
      </c>
      <c r="I2228" s="10" t="s">
        <v>351</v>
      </c>
    </row>
    <row r="2229" spans="1:9" x14ac:dyDescent="0.15">
      <c r="A2229" s="9">
        <v>2228</v>
      </c>
      <c r="B2229" s="10" t="s">
        <v>9</v>
      </c>
      <c r="C2229" s="10" t="s">
        <v>363</v>
      </c>
      <c r="D2229" s="10" t="s">
        <v>364</v>
      </c>
      <c r="E2229" s="11" t="str">
        <f>+HYPERLINK("http://trademark.i-assist.jp/data/china/image_1902th/79207386.pdf", "79207386")</f>
        <v>79207386</v>
      </c>
      <c r="F2229" s="10" t="s">
        <v>6362</v>
      </c>
      <c r="G2229" s="10" t="s">
        <v>208</v>
      </c>
      <c r="H2229" s="10" t="s">
        <v>6363</v>
      </c>
      <c r="I2229" s="10" t="s">
        <v>351</v>
      </c>
    </row>
    <row r="2230" spans="1:9" x14ac:dyDescent="0.15">
      <c r="A2230" s="9">
        <v>2229</v>
      </c>
      <c r="B2230" s="10" t="s">
        <v>9</v>
      </c>
      <c r="C2230" s="10" t="s">
        <v>363</v>
      </c>
      <c r="D2230" s="10" t="s">
        <v>364</v>
      </c>
      <c r="E2230" s="11" t="str">
        <f>+HYPERLINK("http://trademark.i-assist.jp/data/china/image_1902th/79207403.pdf", "79207403")</f>
        <v>79207403</v>
      </c>
      <c r="F2230" s="10" t="s">
        <v>6364</v>
      </c>
      <c r="G2230" s="10" t="s">
        <v>71</v>
      </c>
      <c r="H2230" s="10" t="s">
        <v>15</v>
      </c>
      <c r="I2230" s="10" t="s">
        <v>351</v>
      </c>
    </row>
    <row r="2231" spans="1:9" x14ac:dyDescent="0.15">
      <c r="A2231" s="9">
        <v>2230</v>
      </c>
      <c r="B2231" s="10" t="s">
        <v>9</v>
      </c>
      <c r="C2231" s="10" t="s">
        <v>363</v>
      </c>
      <c r="D2231" s="10" t="s">
        <v>364</v>
      </c>
      <c r="E2231" s="11" t="str">
        <f>+HYPERLINK("http://trademark.i-assist.jp/data/china/image_1902th/79207468.pdf", "79207468")</f>
        <v>79207468</v>
      </c>
      <c r="F2231" s="10" t="s">
        <v>6365</v>
      </c>
      <c r="G2231" s="10" t="s">
        <v>6366</v>
      </c>
      <c r="H2231" s="10" t="s">
        <v>6367</v>
      </c>
      <c r="I2231" s="10" t="s">
        <v>351</v>
      </c>
    </row>
    <row r="2232" spans="1:9" x14ac:dyDescent="0.15">
      <c r="A2232" s="9">
        <v>2231</v>
      </c>
      <c r="B2232" s="10" t="s">
        <v>9</v>
      </c>
      <c r="C2232" s="10" t="s">
        <v>363</v>
      </c>
      <c r="D2232" s="10" t="s">
        <v>364</v>
      </c>
      <c r="E2232" s="11" t="str">
        <f>+HYPERLINK("http://trademark.i-assist.jp/data/china/image_1902th/79207500.pdf", "79207500")</f>
        <v>79207500</v>
      </c>
      <c r="F2232" s="10" t="s">
        <v>6368</v>
      </c>
      <c r="G2232" s="10" t="s">
        <v>6369</v>
      </c>
      <c r="H2232" s="10" t="s">
        <v>6370</v>
      </c>
      <c r="I2232" s="10" t="s">
        <v>351</v>
      </c>
    </row>
    <row r="2233" spans="1:9" x14ac:dyDescent="0.15">
      <c r="A2233" s="9">
        <v>2232</v>
      </c>
      <c r="B2233" s="10" t="s">
        <v>9</v>
      </c>
      <c r="C2233" s="10" t="s">
        <v>363</v>
      </c>
      <c r="D2233" s="10" t="s">
        <v>364</v>
      </c>
      <c r="E2233" s="11" t="str">
        <f>+HYPERLINK("http://trademark.i-assist.jp/data/china/image_1902th/79207507.pdf", "79207507")</f>
        <v>79207507</v>
      </c>
      <c r="F2233" s="10" t="s">
        <v>6371</v>
      </c>
      <c r="G2233" s="10" t="s">
        <v>6372</v>
      </c>
      <c r="H2233" s="10" t="s">
        <v>6373</v>
      </c>
      <c r="I2233" s="10" t="s">
        <v>351</v>
      </c>
    </row>
    <row r="2234" spans="1:9" x14ac:dyDescent="0.15">
      <c r="A2234" s="9">
        <v>2233</v>
      </c>
      <c r="B2234" s="10" t="s">
        <v>9</v>
      </c>
      <c r="C2234" s="10" t="s">
        <v>363</v>
      </c>
      <c r="D2234" s="10" t="s">
        <v>364</v>
      </c>
      <c r="E2234" s="11" t="str">
        <f>+HYPERLINK("http://trademark.i-assist.jp/data/china/image_1902th/79207513.pdf", "79207513")</f>
        <v>79207513</v>
      </c>
      <c r="F2234" s="10" t="s">
        <v>6374</v>
      </c>
      <c r="G2234" s="10" t="s">
        <v>6375</v>
      </c>
      <c r="H2234" s="10" t="s">
        <v>6376</v>
      </c>
      <c r="I2234" s="10" t="s">
        <v>351</v>
      </c>
    </row>
    <row r="2235" spans="1:9" x14ac:dyDescent="0.15">
      <c r="A2235" s="9">
        <v>2234</v>
      </c>
      <c r="B2235" s="10" t="s">
        <v>9</v>
      </c>
      <c r="C2235" s="10" t="s">
        <v>363</v>
      </c>
      <c r="D2235" s="10" t="s">
        <v>364</v>
      </c>
      <c r="E2235" s="11" t="str">
        <f>+HYPERLINK("http://trademark.i-assist.jp/data/china/image_1902th/79207674.pdf", "79207674")</f>
        <v>79207674</v>
      </c>
      <c r="F2235" s="10" t="s">
        <v>6377</v>
      </c>
      <c r="G2235" s="10" t="s">
        <v>6378</v>
      </c>
      <c r="H2235" s="10" t="s">
        <v>6379</v>
      </c>
      <c r="I2235" s="10" t="s">
        <v>351</v>
      </c>
    </row>
    <row r="2236" spans="1:9" x14ac:dyDescent="0.15">
      <c r="A2236" s="9">
        <v>2235</v>
      </c>
      <c r="B2236" s="10" t="s">
        <v>9</v>
      </c>
      <c r="C2236" s="10" t="s">
        <v>363</v>
      </c>
      <c r="D2236" s="10" t="s">
        <v>364</v>
      </c>
      <c r="E2236" s="11" t="str">
        <f>+HYPERLINK("http://trademark.i-assist.jp/data/china/image_1902th/79207870.pdf", "79207870")</f>
        <v>79207870</v>
      </c>
      <c r="F2236" s="10" t="s">
        <v>6380</v>
      </c>
      <c r="G2236" s="10" t="s">
        <v>6381</v>
      </c>
      <c r="H2236" s="10" t="s">
        <v>6382</v>
      </c>
      <c r="I2236" s="10" t="s">
        <v>351</v>
      </c>
    </row>
    <row r="2237" spans="1:9" x14ac:dyDescent="0.15">
      <c r="A2237" s="9">
        <v>2236</v>
      </c>
      <c r="B2237" s="10" t="s">
        <v>9</v>
      </c>
      <c r="C2237" s="10" t="s">
        <v>363</v>
      </c>
      <c r="D2237" s="10" t="s">
        <v>364</v>
      </c>
      <c r="E2237" s="11" t="str">
        <f>+HYPERLINK("http://trademark.i-assist.jp/data/china/image_1902th/79207960.pdf", "79207960")</f>
        <v>79207960</v>
      </c>
      <c r="F2237" s="10" t="s">
        <v>6383</v>
      </c>
      <c r="G2237" s="10" t="s">
        <v>6384</v>
      </c>
      <c r="H2237" s="10" t="s">
        <v>6385</v>
      </c>
      <c r="I2237" s="10" t="s">
        <v>351</v>
      </c>
    </row>
    <row r="2238" spans="1:9" x14ac:dyDescent="0.15">
      <c r="A2238" s="9">
        <v>2237</v>
      </c>
      <c r="B2238" s="10" t="s">
        <v>9</v>
      </c>
      <c r="C2238" s="10" t="s">
        <v>363</v>
      </c>
      <c r="D2238" s="10" t="s">
        <v>364</v>
      </c>
      <c r="E2238" s="11" t="str">
        <f>+HYPERLINK("http://trademark.i-assist.jp/data/china/image_1902th/79208238.pdf", "79208238")</f>
        <v>79208238</v>
      </c>
      <c r="F2238" s="10" t="s">
        <v>12</v>
      </c>
      <c r="G2238" s="10" t="s">
        <v>6386</v>
      </c>
      <c r="H2238" s="10" t="s">
        <v>6387</v>
      </c>
      <c r="I2238" s="10" t="s">
        <v>351</v>
      </c>
    </row>
    <row r="2239" spans="1:9" x14ac:dyDescent="0.15">
      <c r="A2239" s="9">
        <v>2238</v>
      </c>
      <c r="B2239" s="10" t="s">
        <v>9</v>
      </c>
      <c r="C2239" s="10" t="s">
        <v>363</v>
      </c>
      <c r="D2239" s="10" t="s">
        <v>364</v>
      </c>
      <c r="E2239" s="11" t="str">
        <f>+HYPERLINK("http://trademark.i-assist.jp/data/china/image_1902th/79208248.pdf", "79208248")</f>
        <v>79208248</v>
      </c>
      <c r="F2239" s="10" t="s">
        <v>6388</v>
      </c>
      <c r="G2239" s="10" t="s">
        <v>6389</v>
      </c>
      <c r="H2239" s="10" t="s">
        <v>6390</v>
      </c>
      <c r="I2239" s="10" t="s">
        <v>351</v>
      </c>
    </row>
    <row r="2240" spans="1:9" x14ac:dyDescent="0.15">
      <c r="A2240" s="9">
        <v>2239</v>
      </c>
      <c r="B2240" s="10" t="s">
        <v>9</v>
      </c>
      <c r="C2240" s="10" t="s">
        <v>363</v>
      </c>
      <c r="D2240" s="10" t="s">
        <v>364</v>
      </c>
      <c r="E2240" s="11" t="str">
        <f>+HYPERLINK("http://trademark.i-assist.jp/data/china/image_1902th/79208493.pdf", "79208493")</f>
        <v>79208493</v>
      </c>
      <c r="F2240" s="10" t="s">
        <v>6391</v>
      </c>
      <c r="G2240" s="10" t="s">
        <v>6384</v>
      </c>
      <c r="H2240" s="10" t="s">
        <v>6392</v>
      </c>
      <c r="I2240" s="10" t="s">
        <v>351</v>
      </c>
    </row>
    <row r="2241" spans="1:9" x14ac:dyDescent="0.15">
      <c r="A2241" s="9">
        <v>2240</v>
      </c>
      <c r="B2241" s="10" t="s">
        <v>9</v>
      </c>
      <c r="C2241" s="10" t="s">
        <v>363</v>
      </c>
      <c r="D2241" s="10" t="s">
        <v>364</v>
      </c>
      <c r="E2241" s="11" t="str">
        <f>+HYPERLINK("http://trademark.i-assist.jp/data/china/image_1902th/79208505.pdf", "79208505")</f>
        <v>79208505</v>
      </c>
      <c r="F2241" s="10" t="s">
        <v>6393</v>
      </c>
      <c r="G2241" s="10" t="s">
        <v>6394</v>
      </c>
      <c r="H2241" s="10" t="s">
        <v>6395</v>
      </c>
      <c r="I2241" s="10" t="s">
        <v>351</v>
      </c>
    </row>
    <row r="2242" spans="1:9" x14ac:dyDescent="0.15">
      <c r="A2242" s="9">
        <v>2241</v>
      </c>
      <c r="B2242" s="10" t="s">
        <v>9</v>
      </c>
      <c r="C2242" s="10" t="s">
        <v>363</v>
      </c>
      <c r="D2242" s="10" t="s">
        <v>364</v>
      </c>
      <c r="E2242" s="11" t="str">
        <f>+HYPERLINK("http://trademark.i-assist.jp/data/china/image_1902th/79208711.pdf", "79208711")</f>
        <v>79208711</v>
      </c>
      <c r="F2242" s="10" t="s">
        <v>6396</v>
      </c>
      <c r="G2242" s="10" t="s">
        <v>270</v>
      </c>
      <c r="H2242" s="10" t="s">
        <v>6397</v>
      </c>
      <c r="I2242" s="10" t="s">
        <v>351</v>
      </c>
    </row>
    <row r="2243" spans="1:9" x14ac:dyDescent="0.15">
      <c r="A2243" s="9">
        <v>2242</v>
      </c>
      <c r="B2243" s="10" t="s">
        <v>9</v>
      </c>
      <c r="C2243" s="10" t="s">
        <v>363</v>
      </c>
      <c r="D2243" s="10" t="s">
        <v>364</v>
      </c>
      <c r="E2243" s="11" t="str">
        <f>+HYPERLINK("http://trademark.i-assist.jp/data/china/image_1902th/79208715.pdf", "79208715")</f>
        <v>79208715</v>
      </c>
      <c r="F2243" s="10" t="s">
        <v>6398</v>
      </c>
      <c r="G2243" s="10" t="s">
        <v>6399</v>
      </c>
      <c r="H2243" s="10" t="s">
        <v>6400</v>
      </c>
      <c r="I2243" s="10" t="s">
        <v>351</v>
      </c>
    </row>
    <row r="2244" spans="1:9" x14ac:dyDescent="0.15">
      <c r="A2244" s="9">
        <v>2243</v>
      </c>
      <c r="B2244" s="10" t="s">
        <v>9</v>
      </c>
      <c r="C2244" s="10" t="s">
        <v>363</v>
      </c>
      <c r="D2244" s="10" t="s">
        <v>364</v>
      </c>
      <c r="E2244" s="11" t="str">
        <f>+HYPERLINK("http://trademark.i-assist.jp/data/china/image_1902th/79208759.pdf", "79208759")</f>
        <v>79208759</v>
      </c>
      <c r="F2244" s="10" t="s">
        <v>6401</v>
      </c>
      <c r="G2244" s="10" t="s">
        <v>6360</v>
      </c>
      <c r="H2244" s="10" t="s">
        <v>6402</v>
      </c>
      <c r="I2244" s="10" t="s">
        <v>351</v>
      </c>
    </row>
    <row r="2245" spans="1:9" x14ac:dyDescent="0.15">
      <c r="A2245" s="9">
        <v>2244</v>
      </c>
      <c r="B2245" s="10" t="s">
        <v>9</v>
      </c>
      <c r="C2245" s="10" t="s">
        <v>363</v>
      </c>
      <c r="D2245" s="10" t="s">
        <v>364</v>
      </c>
      <c r="E2245" s="11" t="str">
        <f>+HYPERLINK("http://trademark.i-assist.jp/data/china/image_1902th/79208910.pdf", "79208910")</f>
        <v>79208910</v>
      </c>
      <c r="F2245" s="10" t="s">
        <v>6403</v>
      </c>
      <c r="G2245" s="10" t="s">
        <v>6404</v>
      </c>
      <c r="H2245" s="10" t="s">
        <v>6405</v>
      </c>
      <c r="I2245" s="10" t="s">
        <v>351</v>
      </c>
    </row>
    <row r="2246" spans="1:9" x14ac:dyDescent="0.15">
      <c r="A2246" s="9">
        <v>2245</v>
      </c>
      <c r="B2246" s="10" t="s">
        <v>9</v>
      </c>
      <c r="C2246" s="10" t="s">
        <v>363</v>
      </c>
      <c r="D2246" s="10" t="s">
        <v>364</v>
      </c>
      <c r="E2246" s="11" t="str">
        <f>+HYPERLINK("http://trademark.i-assist.jp/data/china/image_1902th/79208929.pdf", "79208929")</f>
        <v>79208929</v>
      </c>
      <c r="F2246" s="10" t="s">
        <v>6406</v>
      </c>
      <c r="G2246" s="10" t="s">
        <v>6407</v>
      </c>
      <c r="H2246" s="10" t="s">
        <v>6408</v>
      </c>
      <c r="I2246" s="10" t="s">
        <v>351</v>
      </c>
    </row>
    <row r="2247" spans="1:9" x14ac:dyDescent="0.15">
      <c r="A2247" s="9">
        <v>2246</v>
      </c>
      <c r="B2247" s="10" t="s">
        <v>9</v>
      </c>
      <c r="C2247" s="10" t="s">
        <v>363</v>
      </c>
      <c r="D2247" s="10" t="s">
        <v>364</v>
      </c>
      <c r="E2247" s="11" t="str">
        <f>+HYPERLINK("http://trademark.i-assist.jp/data/china/image_1902th/79209108.pdf", "79209108")</f>
        <v>79209108</v>
      </c>
      <c r="F2247" s="10" t="s">
        <v>6409</v>
      </c>
      <c r="G2247" s="10" t="s">
        <v>6410</v>
      </c>
      <c r="H2247" s="10" t="s">
        <v>15</v>
      </c>
      <c r="I2247" s="10" t="s">
        <v>351</v>
      </c>
    </row>
    <row r="2248" spans="1:9" x14ac:dyDescent="0.15">
      <c r="A2248" s="9">
        <v>2247</v>
      </c>
      <c r="B2248" s="10" t="s">
        <v>9</v>
      </c>
      <c r="C2248" s="10" t="s">
        <v>363</v>
      </c>
      <c r="D2248" s="10" t="s">
        <v>364</v>
      </c>
      <c r="E2248" s="11" t="str">
        <f>+HYPERLINK("http://trademark.i-assist.jp/data/china/image_1902th/79209113.pdf", "79209113")</f>
        <v>79209113</v>
      </c>
      <c r="F2248" s="10" t="s">
        <v>6411</v>
      </c>
      <c r="G2248" s="10" t="s">
        <v>6410</v>
      </c>
      <c r="H2248" s="10" t="s">
        <v>6412</v>
      </c>
      <c r="I2248" s="10" t="s">
        <v>351</v>
      </c>
    </row>
    <row r="2249" spans="1:9" x14ac:dyDescent="0.15">
      <c r="A2249" s="9">
        <v>2248</v>
      </c>
      <c r="B2249" s="10" t="s">
        <v>9</v>
      </c>
      <c r="C2249" s="10" t="s">
        <v>363</v>
      </c>
      <c r="D2249" s="10" t="s">
        <v>364</v>
      </c>
      <c r="E2249" s="11" t="str">
        <f>+HYPERLINK("http://trademark.i-assist.jp/data/china/image_1902th/79209200.pdf", "79209200")</f>
        <v>79209200</v>
      </c>
      <c r="F2249" s="10" t="s">
        <v>6413</v>
      </c>
      <c r="G2249" s="10" t="s">
        <v>6414</v>
      </c>
      <c r="H2249" s="10" t="s">
        <v>6415</v>
      </c>
      <c r="I2249" s="10" t="s">
        <v>351</v>
      </c>
    </row>
    <row r="2250" spans="1:9" x14ac:dyDescent="0.15">
      <c r="A2250" s="9">
        <v>2249</v>
      </c>
      <c r="B2250" s="10" t="s">
        <v>9</v>
      </c>
      <c r="C2250" s="10" t="s">
        <v>363</v>
      </c>
      <c r="D2250" s="10" t="s">
        <v>364</v>
      </c>
      <c r="E2250" s="11" t="str">
        <f>+HYPERLINK("http://trademark.i-assist.jp/data/china/image_1902th/79209294.pdf", "79209294")</f>
        <v>79209294</v>
      </c>
      <c r="F2250" s="10" t="s">
        <v>6416</v>
      </c>
      <c r="G2250" s="10" t="s">
        <v>6417</v>
      </c>
      <c r="H2250" s="10" t="s">
        <v>6418</v>
      </c>
      <c r="I2250" s="10" t="s">
        <v>351</v>
      </c>
    </row>
    <row r="2251" spans="1:9" x14ac:dyDescent="0.15">
      <c r="A2251" s="9">
        <v>2250</v>
      </c>
      <c r="B2251" s="10" t="s">
        <v>9</v>
      </c>
      <c r="C2251" s="10" t="s">
        <v>363</v>
      </c>
      <c r="D2251" s="10" t="s">
        <v>364</v>
      </c>
      <c r="E2251" s="11" t="str">
        <f>+HYPERLINK("http://trademark.i-assist.jp/data/china/image_1902th/79209398.pdf", "79209398")</f>
        <v>79209398</v>
      </c>
      <c r="F2251" s="10" t="s">
        <v>6419</v>
      </c>
      <c r="G2251" s="10" t="s">
        <v>6420</v>
      </c>
      <c r="H2251" s="10" t="s">
        <v>6421</v>
      </c>
      <c r="I2251" s="10" t="s">
        <v>351</v>
      </c>
    </row>
    <row r="2252" spans="1:9" x14ac:dyDescent="0.15">
      <c r="A2252" s="9">
        <v>2251</v>
      </c>
      <c r="B2252" s="10" t="s">
        <v>9</v>
      </c>
      <c r="C2252" s="10" t="s">
        <v>363</v>
      </c>
      <c r="D2252" s="10" t="s">
        <v>364</v>
      </c>
      <c r="E2252" s="11" t="str">
        <f>+HYPERLINK("http://trademark.i-assist.jp/data/china/image_1902th/79209543.pdf", "79209543")</f>
        <v>79209543</v>
      </c>
      <c r="F2252" s="10" t="s">
        <v>6422</v>
      </c>
      <c r="G2252" s="10" t="s">
        <v>6423</v>
      </c>
      <c r="H2252" s="10" t="s">
        <v>6424</v>
      </c>
      <c r="I2252" s="10" t="s">
        <v>351</v>
      </c>
    </row>
    <row r="2253" spans="1:9" x14ac:dyDescent="0.15">
      <c r="A2253" s="9">
        <v>2252</v>
      </c>
      <c r="B2253" s="10" t="s">
        <v>9</v>
      </c>
      <c r="C2253" s="10" t="s">
        <v>363</v>
      </c>
      <c r="D2253" s="10" t="s">
        <v>364</v>
      </c>
      <c r="E2253" s="11" t="str">
        <f>+HYPERLINK("http://trademark.i-assist.jp/data/china/image_1902th/79209560.pdf", "79209560")</f>
        <v>79209560</v>
      </c>
      <c r="F2253" s="10" t="s">
        <v>6425</v>
      </c>
      <c r="G2253" s="10" t="s">
        <v>6426</v>
      </c>
      <c r="H2253" s="10" t="s">
        <v>6427</v>
      </c>
      <c r="I2253" s="10" t="s">
        <v>351</v>
      </c>
    </row>
    <row r="2254" spans="1:9" x14ac:dyDescent="0.15">
      <c r="A2254" s="9">
        <v>2253</v>
      </c>
      <c r="B2254" s="10" t="s">
        <v>9</v>
      </c>
      <c r="C2254" s="10" t="s">
        <v>363</v>
      </c>
      <c r="D2254" s="10" t="s">
        <v>364</v>
      </c>
      <c r="E2254" s="11" t="str">
        <f>+HYPERLINK("http://trademark.i-assist.jp/data/china/image_1902th/79209945.pdf", "79209945")</f>
        <v>79209945</v>
      </c>
      <c r="F2254" s="10" t="s">
        <v>6428</v>
      </c>
      <c r="G2254" s="10" t="s">
        <v>6429</v>
      </c>
      <c r="H2254" s="10" t="s">
        <v>6430</v>
      </c>
      <c r="I2254" s="10" t="s">
        <v>351</v>
      </c>
    </row>
    <row r="2255" spans="1:9" x14ac:dyDescent="0.15">
      <c r="A2255" s="9">
        <v>2254</v>
      </c>
      <c r="B2255" s="10" t="s">
        <v>9</v>
      </c>
      <c r="C2255" s="10" t="s">
        <v>363</v>
      </c>
      <c r="D2255" s="10" t="s">
        <v>364</v>
      </c>
      <c r="E2255" s="11" t="str">
        <f>+HYPERLINK("http://trademark.i-assist.jp/data/china/image_1902th/79210038.pdf", "79210038")</f>
        <v>79210038</v>
      </c>
      <c r="F2255" s="10" t="s">
        <v>6431</v>
      </c>
      <c r="G2255" s="10" t="s">
        <v>6432</v>
      </c>
      <c r="H2255" s="10" t="s">
        <v>6433</v>
      </c>
      <c r="I2255" s="10" t="s">
        <v>351</v>
      </c>
    </row>
    <row r="2256" spans="1:9" x14ac:dyDescent="0.15">
      <c r="A2256" s="9">
        <v>2255</v>
      </c>
      <c r="B2256" s="10" t="s">
        <v>9</v>
      </c>
      <c r="C2256" s="10" t="s">
        <v>363</v>
      </c>
      <c r="D2256" s="10" t="s">
        <v>364</v>
      </c>
      <c r="E2256" s="11" t="str">
        <f>+HYPERLINK("http://trademark.i-assist.jp/data/china/image_1902th/79210141.pdf", "79210141")</f>
        <v>79210141</v>
      </c>
      <c r="F2256" s="10" t="s">
        <v>6434</v>
      </c>
      <c r="G2256" s="10" t="s">
        <v>6435</v>
      </c>
      <c r="H2256" s="10" t="s">
        <v>6436</v>
      </c>
      <c r="I2256" s="10" t="s">
        <v>351</v>
      </c>
    </row>
    <row r="2257" spans="1:9" x14ac:dyDescent="0.15">
      <c r="A2257" s="9">
        <v>2256</v>
      </c>
      <c r="B2257" s="10" t="s">
        <v>9</v>
      </c>
      <c r="C2257" s="10" t="s">
        <v>363</v>
      </c>
      <c r="D2257" s="10" t="s">
        <v>364</v>
      </c>
      <c r="E2257" s="11" t="str">
        <f>+HYPERLINK("http://trademark.i-assist.jp/data/china/image_1902th/79210155.pdf", "79210155")</f>
        <v>79210155</v>
      </c>
      <c r="F2257" s="10" t="s">
        <v>6437</v>
      </c>
      <c r="G2257" s="10" t="s">
        <v>6438</v>
      </c>
      <c r="H2257" s="10" t="s">
        <v>6439</v>
      </c>
      <c r="I2257" s="10" t="s">
        <v>351</v>
      </c>
    </row>
    <row r="2258" spans="1:9" x14ac:dyDescent="0.15">
      <c r="A2258" s="9">
        <v>2257</v>
      </c>
      <c r="B2258" s="10" t="s">
        <v>9</v>
      </c>
      <c r="C2258" s="10" t="s">
        <v>363</v>
      </c>
      <c r="D2258" s="10" t="s">
        <v>364</v>
      </c>
      <c r="E2258" s="11" t="str">
        <f>+HYPERLINK("http://trademark.i-assist.jp/data/china/image_1902th/79210497.pdf", "79210497")</f>
        <v>79210497</v>
      </c>
      <c r="F2258" s="10" t="s">
        <v>6440</v>
      </c>
      <c r="G2258" s="10" t="s">
        <v>6441</v>
      </c>
      <c r="H2258" s="10" t="s">
        <v>6442</v>
      </c>
      <c r="I2258" s="10" t="s">
        <v>351</v>
      </c>
    </row>
    <row r="2259" spans="1:9" x14ac:dyDescent="0.15">
      <c r="A2259" s="9">
        <v>2258</v>
      </c>
      <c r="B2259" s="10" t="s">
        <v>9</v>
      </c>
      <c r="C2259" s="10" t="s">
        <v>363</v>
      </c>
      <c r="D2259" s="10" t="s">
        <v>364</v>
      </c>
      <c r="E2259" s="11" t="str">
        <f>+HYPERLINK("http://trademark.i-assist.jp/data/china/image_1902th/79210558.pdf", "79210558")</f>
        <v>79210558</v>
      </c>
      <c r="F2259" s="10" t="s">
        <v>6443</v>
      </c>
      <c r="G2259" s="10" t="s">
        <v>6444</v>
      </c>
      <c r="H2259" s="10" t="s">
        <v>6445</v>
      </c>
      <c r="I2259" s="10" t="s">
        <v>351</v>
      </c>
    </row>
    <row r="2260" spans="1:9" x14ac:dyDescent="0.15">
      <c r="A2260" s="9">
        <v>2259</v>
      </c>
      <c r="B2260" s="10" t="s">
        <v>9</v>
      </c>
      <c r="C2260" s="10" t="s">
        <v>363</v>
      </c>
      <c r="D2260" s="10" t="s">
        <v>364</v>
      </c>
      <c r="E2260" s="11" t="str">
        <f>+HYPERLINK("http://trademark.i-assist.jp/data/china/image_1902th/79210624.pdf", "79210624")</f>
        <v>79210624</v>
      </c>
      <c r="F2260" s="10" t="s">
        <v>6446</v>
      </c>
      <c r="G2260" s="10" t="s">
        <v>6447</v>
      </c>
      <c r="H2260" s="10" t="s">
        <v>6448</v>
      </c>
      <c r="I2260" s="10" t="s">
        <v>351</v>
      </c>
    </row>
    <row r="2261" spans="1:9" x14ac:dyDescent="0.15">
      <c r="A2261" s="9">
        <v>2260</v>
      </c>
      <c r="B2261" s="10" t="s">
        <v>9</v>
      </c>
      <c r="C2261" s="10" t="s">
        <v>363</v>
      </c>
      <c r="D2261" s="10" t="s">
        <v>364</v>
      </c>
      <c r="E2261" s="11" t="str">
        <f>+HYPERLINK("http://trademark.i-assist.jp/data/china/image_1902th/79210678.pdf", "79210678")</f>
        <v>79210678</v>
      </c>
      <c r="F2261" s="10" t="s">
        <v>6449</v>
      </c>
      <c r="G2261" s="10" t="s">
        <v>353</v>
      </c>
      <c r="H2261" s="10" t="s">
        <v>6450</v>
      </c>
      <c r="I2261" s="10" t="s">
        <v>351</v>
      </c>
    </row>
    <row r="2262" spans="1:9" x14ac:dyDescent="0.15">
      <c r="A2262" s="9">
        <v>2261</v>
      </c>
      <c r="B2262" s="10" t="s">
        <v>9</v>
      </c>
      <c r="C2262" s="10" t="s">
        <v>363</v>
      </c>
      <c r="D2262" s="10" t="s">
        <v>364</v>
      </c>
      <c r="E2262" s="11" t="str">
        <f>+HYPERLINK("http://trademark.i-assist.jp/data/china/image_1902th/79210682.pdf", "79210682")</f>
        <v>79210682</v>
      </c>
      <c r="F2262" s="10" t="s">
        <v>6451</v>
      </c>
      <c r="G2262" s="10" t="s">
        <v>353</v>
      </c>
      <c r="H2262" s="10" t="s">
        <v>6452</v>
      </c>
      <c r="I2262" s="10" t="s">
        <v>351</v>
      </c>
    </row>
    <row r="2263" spans="1:9" x14ac:dyDescent="0.15">
      <c r="A2263" s="9">
        <v>2262</v>
      </c>
      <c r="B2263" s="10" t="s">
        <v>9</v>
      </c>
      <c r="C2263" s="10" t="s">
        <v>363</v>
      </c>
      <c r="D2263" s="10" t="s">
        <v>364</v>
      </c>
      <c r="E2263" s="11" t="str">
        <f>+HYPERLINK("http://trademark.i-assist.jp/data/china/image_1902th/79210718.pdf", "79210718")</f>
        <v>79210718</v>
      </c>
      <c r="F2263" s="10" t="s">
        <v>6453</v>
      </c>
      <c r="G2263" s="10" t="s">
        <v>6454</v>
      </c>
      <c r="H2263" s="10" t="s">
        <v>6455</v>
      </c>
      <c r="I2263" s="10" t="s">
        <v>351</v>
      </c>
    </row>
    <row r="2264" spans="1:9" x14ac:dyDescent="0.15">
      <c r="A2264" s="9">
        <v>2263</v>
      </c>
      <c r="B2264" s="10" t="s">
        <v>9</v>
      </c>
      <c r="C2264" s="10" t="s">
        <v>363</v>
      </c>
      <c r="D2264" s="10" t="s">
        <v>364</v>
      </c>
      <c r="E2264" s="11" t="str">
        <f>+HYPERLINK("http://trademark.i-assist.jp/data/china/image_1902th/79210978.pdf", "79210978")</f>
        <v>79210978</v>
      </c>
      <c r="F2264" s="10" t="s">
        <v>6456</v>
      </c>
      <c r="G2264" s="10" t="s">
        <v>6457</v>
      </c>
      <c r="H2264" s="10" t="s">
        <v>6458</v>
      </c>
      <c r="I2264" s="10" t="s">
        <v>351</v>
      </c>
    </row>
    <row r="2265" spans="1:9" x14ac:dyDescent="0.15">
      <c r="A2265" s="9">
        <v>2264</v>
      </c>
      <c r="B2265" s="10" t="s">
        <v>9</v>
      </c>
      <c r="C2265" s="10" t="s">
        <v>363</v>
      </c>
      <c r="D2265" s="10" t="s">
        <v>364</v>
      </c>
      <c r="E2265" s="11" t="str">
        <f>+HYPERLINK("http://trademark.i-assist.jp/data/china/image_1902th/79211014.pdf", "79211014")</f>
        <v>79211014</v>
      </c>
      <c r="F2265" s="10" t="s">
        <v>6459</v>
      </c>
      <c r="G2265" s="10" t="s">
        <v>6460</v>
      </c>
      <c r="H2265" s="10" t="s">
        <v>6461</v>
      </c>
      <c r="I2265" s="10" t="s">
        <v>351</v>
      </c>
    </row>
    <row r="2266" spans="1:9" x14ac:dyDescent="0.15">
      <c r="A2266" s="9">
        <v>2265</v>
      </c>
      <c r="B2266" s="10" t="s">
        <v>9</v>
      </c>
      <c r="C2266" s="10" t="s">
        <v>363</v>
      </c>
      <c r="D2266" s="10" t="s">
        <v>364</v>
      </c>
      <c r="E2266" s="11" t="str">
        <f>+HYPERLINK("http://trademark.i-assist.jp/data/china/image_1902th/79211082.pdf", "79211082")</f>
        <v>79211082</v>
      </c>
      <c r="F2266" s="10" t="s">
        <v>6462</v>
      </c>
      <c r="G2266" s="10" t="s">
        <v>296</v>
      </c>
      <c r="H2266" s="10" t="s">
        <v>6463</v>
      </c>
      <c r="I2266" s="10" t="s">
        <v>351</v>
      </c>
    </row>
    <row r="2267" spans="1:9" x14ac:dyDescent="0.15">
      <c r="A2267" s="9">
        <v>2266</v>
      </c>
      <c r="B2267" s="10" t="s">
        <v>9</v>
      </c>
      <c r="C2267" s="10" t="s">
        <v>363</v>
      </c>
      <c r="D2267" s="10" t="s">
        <v>364</v>
      </c>
      <c r="E2267" s="11" t="str">
        <f>+HYPERLINK("http://trademark.i-assist.jp/data/china/image_1902th/79211431.pdf", "79211431")</f>
        <v>79211431</v>
      </c>
      <c r="F2267" s="10" t="s">
        <v>6464</v>
      </c>
      <c r="G2267" s="10" t="s">
        <v>6465</v>
      </c>
      <c r="H2267" s="10" t="s">
        <v>6466</v>
      </c>
      <c r="I2267" s="10" t="s">
        <v>351</v>
      </c>
    </row>
    <row r="2268" spans="1:9" x14ac:dyDescent="0.15">
      <c r="A2268" s="9">
        <v>2267</v>
      </c>
      <c r="B2268" s="10" t="s">
        <v>9</v>
      </c>
      <c r="C2268" s="10" t="s">
        <v>363</v>
      </c>
      <c r="D2268" s="10" t="s">
        <v>364</v>
      </c>
      <c r="E2268" s="11" t="str">
        <f>+HYPERLINK("http://trademark.i-assist.jp/data/china/image_1902th/79211561.pdf", "79211561")</f>
        <v>79211561</v>
      </c>
      <c r="F2268" s="10" t="s">
        <v>6467</v>
      </c>
      <c r="G2268" s="10" t="s">
        <v>6468</v>
      </c>
      <c r="H2268" s="10" t="s">
        <v>6469</v>
      </c>
      <c r="I2268" s="10" t="s">
        <v>351</v>
      </c>
    </row>
    <row r="2269" spans="1:9" x14ac:dyDescent="0.15">
      <c r="A2269" s="9">
        <v>2268</v>
      </c>
      <c r="B2269" s="10" t="s">
        <v>9</v>
      </c>
      <c r="C2269" s="10" t="s">
        <v>363</v>
      </c>
      <c r="D2269" s="10" t="s">
        <v>364</v>
      </c>
      <c r="E2269" s="11" t="str">
        <f>+HYPERLINK("http://trademark.i-assist.jp/data/china/image_1902th/79211654.pdf", "79211654")</f>
        <v>79211654</v>
      </c>
      <c r="F2269" s="10" t="s">
        <v>6470</v>
      </c>
      <c r="G2269" s="10" t="s">
        <v>300</v>
      </c>
      <c r="H2269" s="10" t="s">
        <v>6471</v>
      </c>
      <c r="I2269" s="10" t="s">
        <v>351</v>
      </c>
    </row>
    <row r="2270" spans="1:9" x14ac:dyDescent="0.15">
      <c r="A2270" s="9">
        <v>2269</v>
      </c>
      <c r="B2270" s="10" t="s">
        <v>9</v>
      </c>
      <c r="C2270" s="10" t="s">
        <v>363</v>
      </c>
      <c r="D2270" s="10" t="s">
        <v>364</v>
      </c>
      <c r="E2270" s="11" t="str">
        <f>+HYPERLINK("http://trademark.i-assist.jp/data/china/image_1902th/79211919.pdf", "79211919")</f>
        <v>79211919</v>
      </c>
      <c r="F2270" s="10" t="s">
        <v>6472</v>
      </c>
      <c r="G2270" s="10" t="s">
        <v>6473</v>
      </c>
      <c r="H2270" s="10" t="s">
        <v>6474</v>
      </c>
      <c r="I2270" s="10" t="s">
        <v>351</v>
      </c>
    </row>
    <row r="2271" spans="1:9" x14ac:dyDescent="0.15">
      <c r="A2271" s="9">
        <v>2270</v>
      </c>
      <c r="B2271" s="10" t="s">
        <v>9</v>
      </c>
      <c r="C2271" s="10" t="s">
        <v>363</v>
      </c>
      <c r="D2271" s="10" t="s">
        <v>364</v>
      </c>
      <c r="E2271" s="11" t="str">
        <f>+HYPERLINK("http://trademark.i-assist.jp/data/china/image_1902th/79212164.pdf", "79212164")</f>
        <v>79212164</v>
      </c>
      <c r="F2271" s="10" t="s">
        <v>6475</v>
      </c>
      <c r="G2271" s="10" t="s">
        <v>6476</v>
      </c>
      <c r="H2271" s="10" t="s">
        <v>6477</v>
      </c>
      <c r="I2271" s="10" t="s">
        <v>351</v>
      </c>
    </row>
    <row r="2272" spans="1:9" x14ac:dyDescent="0.15">
      <c r="A2272" s="9">
        <v>2271</v>
      </c>
      <c r="B2272" s="10" t="s">
        <v>9</v>
      </c>
      <c r="C2272" s="10" t="s">
        <v>363</v>
      </c>
      <c r="D2272" s="10" t="s">
        <v>364</v>
      </c>
      <c r="E2272" s="11" t="str">
        <f>+HYPERLINK("http://trademark.i-assist.jp/data/china/image_1902th/79212198.pdf", "79212198")</f>
        <v>79212198</v>
      </c>
      <c r="F2272" s="10" t="s">
        <v>6478</v>
      </c>
      <c r="G2272" s="10" t="s">
        <v>6479</v>
      </c>
      <c r="H2272" s="10" t="s">
        <v>6480</v>
      </c>
      <c r="I2272" s="10" t="s">
        <v>351</v>
      </c>
    </row>
    <row r="2273" spans="1:9" x14ac:dyDescent="0.15">
      <c r="A2273" s="9">
        <v>2272</v>
      </c>
      <c r="B2273" s="10" t="s">
        <v>9</v>
      </c>
      <c r="C2273" s="10" t="s">
        <v>363</v>
      </c>
      <c r="D2273" s="10" t="s">
        <v>364</v>
      </c>
      <c r="E2273" s="11" t="str">
        <f>+HYPERLINK("http://trademark.i-assist.jp/data/china/image_1902th/79212482.pdf", "79212482")</f>
        <v>79212482</v>
      </c>
      <c r="F2273" s="10" t="s">
        <v>6403</v>
      </c>
      <c r="G2273" s="10" t="s">
        <v>6404</v>
      </c>
      <c r="H2273" s="10" t="s">
        <v>6481</v>
      </c>
      <c r="I2273" s="10" t="s">
        <v>351</v>
      </c>
    </row>
    <row r="2274" spans="1:9" x14ac:dyDescent="0.15">
      <c r="A2274" s="9">
        <v>2273</v>
      </c>
      <c r="B2274" s="10" t="s">
        <v>9</v>
      </c>
      <c r="C2274" s="10" t="s">
        <v>363</v>
      </c>
      <c r="D2274" s="10" t="s">
        <v>364</v>
      </c>
      <c r="E2274" s="11" t="str">
        <f>+HYPERLINK("http://trademark.i-assist.jp/data/china/image_1902th/79212493.pdf", "79212493")</f>
        <v>79212493</v>
      </c>
      <c r="F2274" s="10" t="s">
        <v>6403</v>
      </c>
      <c r="G2274" s="10" t="s">
        <v>6404</v>
      </c>
      <c r="H2274" s="10" t="s">
        <v>6482</v>
      </c>
      <c r="I2274" s="10" t="s">
        <v>351</v>
      </c>
    </row>
    <row r="2275" spans="1:9" x14ac:dyDescent="0.15">
      <c r="A2275" s="9">
        <v>2274</v>
      </c>
      <c r="B2275" s="10" t="s">
        <v>9</v>
      </c>
      <c r="C2275" s="10" t="s">
        <v>363</v>
      </c>
      <c r="D2275" s="10" t="s">
        <v>364</v>
      </c>
      <c r="E2275" s="11" t="str">
        <f>+HYPERLINK("http://trademark.i-assist.jp/data/china/image_1902th/79212523.pdf", "79212523")</f>
        <v>79212523</v>
      </c>
      <c r="F2275" s="10" t="s">
        <v>6483</v>
      </c>
      <c r="G2275" s="10" t="s">
        <v>6484</v>
      </c>
      <c r="H2275" s="10" t="s">
        <v>6485</v>
      </c>
      <c r="I2275" s="10" t="s">
        <v>351</v>
      </c>
    </row>
    <row r="2276" spans="1:9" x14ac:dyDescent="0.15">
      <c r="A2276" s="9">
        <v>2275</v>
      </c>
      <c r="B2276" s="10" t="s">
        <v>9</v>
      </c>
      <c r="C2276" s="10" t="s">
        <v>363</v>
      </c>
      <c r="D2276" s="10" t="s">
        <v>364</v>
      </c>
      <c r="E2276" s="11" t="str">
        <f>+HYPERLINK("http://trademark.i-assist.jp/data/china/image_1902th/79212580.pdf", "79212580")</f>
        <v>79212580</v>
      </c>
      <c r="F2276" s="10" t="s">
        <v>6486</v>
      </c>
      <c r="G2276" s="10" t="s">
        <v>6487</v>
      </c>
      <c r="H2276" s="10" t="s">
        <v>6488</v>
      </c>
      <c r="I2276" s="10" t="s">
        <v>351</v>
      </c>
    </row>
    <row r="2277" spans="1:9" x14ac:dyDescent="0.15">
      <c r="A2277" s="9">
        <v>2276</v>
      </c>
      <c r="B2277" s="10" t="s">
        <v>9</v>
      </c>
      <c r="C2277" s="10" t="s">
        <v>363</v>
      </c>
      <c r="D2277" s="10" t="s">
        <v>364</v>
      </c>
      <c r="E2277" s="11" t="str">
        <f>+HYPERLINK("http://trademark.i-assist.jp/data/china/image_1902th/79212586.pdf", "79212586")</f>
        <v>79212586</v>
      </c>
      <c r="F2277" s="10" t="s">
        <v>12</v>
      </c>
      <c r="G2277" s="10" t="s">
        <v>6489</v>
      </c>
      <c r="H2277" s="10" t="s">
        <v>6490</v>
      </c>
      <c r="I2277" s="10" t="s">
        <v>351</v>
      </c>
    </row>
    <row r="2278" spans="1:9" x14ac:dyDescent="0.15">
      <c r="A2278" s="9">
        <v>2277</v>
      </c>
      <c r="B2278" s="10" t="s">
        <v>9</v>
      </c>
      <c r="C2278" s="10" t="s">
        <v>363</v>
      </c>
      <c r="D2278" s="10" t="s">
        <v>364</v>
      </c>
      <c r="E2278" s="11" t="str">
        <f>+HYPERLINK("http://trademark.i-assist.jp/data/china/image_1902th/79212593.pdf", "79212593")</f>
        <v>79212593</v>
      </c>
      <c r="F2278" s="10" t="s">
        <v>6491</v>
      </c>
      <c r="G2278" s="10" t="s">
        <v>6492</v>
      </c>
      <c r="H2278" s="10" t="s">
        <v>6493</v>
      </c>
      <c r="I2278" s="10" t="s">
        <v>351</v>
      </c>
    </row>
    <row r="2279" spans="1:9" x14ac:dyDescent="0.15">
      <c r="A2279" s="9">
        <v>2278</v>
      </c>
      <c r="B2279" s="10" t="s">
        <v>9</v>
      </c>
      <c r="C2279" s="10" t="s">
        <v>363</v>
      </c>
      <c r="D2279" s="10" t="s">
        <v>364</v>
      </c>
      <c r="E2279" s="11" t="str">
        <f>+HYPERLINK("http://trademark.i-assist.jp/data/china/image_1902th/79212650.pdf", "79212650")</f>
        <v>79212650</v>
      </c>
      <c r="F2279" s="10" t="s">
        <v>6494</v>
      </c>
      <c r="G2279" s="10" t="s">
        <v>6495</v>
      </c>
      <c r="H2279" s="10" t="s">
        <v>6496</v>
      </c>
      <c r="I2279" s="10" t="s">
        <v>351</v>
      </c>
    </row>
    <row r="2280" spans="1:9" x14ac:dyDescent="0.15">
      <c r="A2280" s="9">
        <v>2279</v>
      </c>
      <c r="B2280" s="10" t="s">
        <v>9</v>
      </c>
      <c r="C2280" s="10" t="s">
        <v>363</v>
      </c>
      <c r="D2280" s="10" t="s">
        <v>364</v>
      </c>
      <c r="E2280" s="11" t="str">
        <f>+HYPERLINK("http://trademark.i-assist.jp/data/china/image_1902th/79212717.pdf", "79212717")</f>
        <v>79212717</v>
      </c>
      <c r="F2280" s="10" t="s">
        <v>6497</v>
      </c>
      <c r="G2280" s="10" t="s">
        <v>6498</v>
      </c>
      <c r="H2280" s="10" t="s">
        <v>6499</v>
      </c>
      <c r="I2280" s="10" t="s">
        <v>351</v>
      </c>
    </row>
    <row r="2281" spans="1:9" x14ac:dyDescent="0.15">
      <c r="A2281" s="9">
        <v>2280</v>
      </c>
      <c r="B2281" s="10" t="s">
        <v>9</v>
      </c>
      <c r="C2281" s="10" t="s">
        <v>363</v>
      </c>
      <c r="D2281" s="10" t="s">
        <v>364</v>
      </c>
      <c r="E2281" s="11" t="str">
        <f>+HYPERLINK("http://trademark.i-assist.jp/data/china/image_1902th/79212722.pdf", "79212722")</f>
        <v>79212722</v>
      </c>
      <c r="F2281" s="10" t="s">
        <v>6500</v>
      </c>
      <c r="G2281" s="10" t="s">
        <v>6501</v>
      </c>
      <c r="H2281" s="10" t="s">
        <v>6502</v>
      </c>
      <c r="I2281" s="10" t="s">
        <v>351</v>
      </c>
    </row>
    <row r="2282" spans="1:9" x14ac:dyDescent="0.15">
      <c r="A2282" s="9">
        <v>2281</v>
      </c>
      <c r="B2282" s="10" t="s">
        <v>9</v>
      </c>
      <c r="C2282" s="10" t="s">
        <v>363</v>
      </c>
      <c r="D2282" s="10" t="s">
        <v>364</v>
      </c>
      <c r="E2282" s="11" t="str">
        <f>+HYPERLINK("http://trademark.i-assist.jp/data/china/image_1902th/79212886.pdf", "79212886")</f>
        <v>79212886</v>
      </c>
      <c r="F2282" s="10" t="s">
        <v>6503</v>
      </c>
      <c r="G2282" s="10" t="s">
        <v>6410</v>
      </c>
      <c r="H2282" s="10" t="s">
        <v>6504</v>
      </c>
      <c r="I2282" s="10" t="s">
        <v>351</v>
      </c>
    </row>
    <row r="2283" spans="1:9" x14ac:dyDescent="0.15">
      <c r="A2283" s="9">
        <v>2282</v>
      </c>
      <c r="B2283" s="10" t="s">
        <v>9</v>
      </c>
      <c r="C2283" s="10" t="s">
        <v>363</v>
      </c>
      <c r="D2283" s="10" t="s">
        <v>364</v>
      </c>
      <c r="E2283" s="11" t="str">
        <f>+HYPERLINK("http://trademark.i-assist.jp/data/china/image_1902th/79212977.pdf", "79212977")</f>
        <v>79212977</v>
      </c>
      <c r="F2283" s="10" t="s">
        <v>6505</v>
      </c>
      <c r="G2283" s="10" t="s">
        <v>270</v>
      </c>
      <c r="H2283" s="10" t="s">
        <v>6506</v>
      </c>
      <c r="I2283" s="10" t="s">
        <v>351</v>
      </c>
    </row>
    <row r="2284" spans="1:9" x14ac:dyDescent="0.15">
      <c r="A2284" s="9">
        <v>2283</v>
      </c>
      <c r="B2284" s="10" t="s">
        <v>9</v>
      </c>
      <c r="C2284" s="10" t="s">
        <v>363</v>
      </c>
      <c r="D2284" s="10" t="s">
        <v>364</v>
      </c>
      <c r="E2284" s="11" t="str">
        <f>+HYPERLINK("http://trademark.i-assist.jp/data/china/image_1902th/79212982.pdf", "79212982")</f>
        <v>79212982</v>
      </c>
      <c r="F2284" s="10" t="s">
        <v>6507</v>
      </c>
      <c r="G2284" s="10" t="s">
        <v>6508</v>
      </c>
      <c r="H2284" s="10" t="s">
        <v>6509</v>
      </c>
      <c r="I2284" s="10" t="s">
        <v>351</v>
      </c>
    </row>
    <row r="2285" spans="1:9" x14ac:dyDescent="0.15">
      <c r="A2285" s="9">
        <v>2284</v>
      </c>
      <c r="B2285" s="10" t="s">
        <v>9</v>
      </c>
      <c r="C2285" s="10" t="s">
        <v>363</v>
      </c>
      <c r="D2285" s="10" t="s">
        <v>364</v>
      </c>
      <c r="E2285" s="11" t="str">
        <f>+HYPERLINK("http://trademark.i-assist.jp/data/china/image_1902th/79213121.pdf", "79213121")</f>
        <v>79213121</v>
      </c>
      <c r="F2285" s="10" t="s">
        <v>6510</v>
      </c>
      <c r="G2285" s="10" t="s">
        <v>6511</v>
      </c>
      <c r="H2285" s="10" t="s">
        <v>6512</v>
      </c>
      <c r="I2285" s="10" t="s">
        <v>351</v>
      </c>
    </row>
    <row r="2286" spans="1:9" x14ac:dyDescent="0.15">
      <c r="A2286" s="9">
        <v>2285</v>
      </c>
      <c r="B2286" s="10" t="s">
        <v>9</v>
      </c>
      <c r="C2286" s="10" t="s">
        <v>363</v>
      </c>
      <c r="D2286" s="10" t="s">
        <v>364</v>
      </c>
      <c r="E2286" s="11" t="str">
        <f>+HYPERLINK("http://trademark.i-assist.jp/data/china/image_1902th/79213607.pdf", "79213607")</f>
        <v>79213607</v>
      </c>
      <c r="F2286" s="10" t="s">
        <v>6513</v>
      </c>
      <c r="G2286" s="10" t="s">
        <v>6514</v>
      </c>
      <c r="H2286" s="10" t="s">
        <v>6515</v>
      </c>
      <c r="I2286" s="10" t="s">
        <v>351</v>
      </c>
    </row>
    <row r="2287" spans="1:9" x14ac:dyDescent="0.15">
      <c r="A2287" s="9">
        <v>2286</v>
      </c>
      <c r="B2287" s="10" t="s">
        <v>9</v>
      </c>
      <c r="C2287" s="10" t="s">
        <v>363</v>
      </c>
      <c r="D2287" s="10" t="s">
        <v>364</v>
      </c>
      <c r="E2287" s="11" t="str">
        <f>+HYPERLINK("http://trademark.i-assist.jp/data/china/image_1902th/79213807.pdf", "79213807")</f>
        <v>79213807</v>
      </c>
      <c r="F2287" s="10" t="s">
        <v>6516</v>
      </c>
      <c r="G2287" s="10" t="s">
        <v>6517</v>
      </c>
      <c r="H2287" s="10" t="s">
        <v>6518</v>
      </c>
      <c r="I2287" s="10" t="s">
        <v>351</v>
      </c>
    </row>
    <row r="2288" spans="1:9" x14ac:dyDescent="0.15">
      <c r="A2288" s="9">
        <v>2287</v>
      </c>
      <c r="B2288" s="10" t="s">
        <v>9</v>
      </c>
      <c r="C2288" s="10" t="s">
        <v>363</v>
      </c>
      <c r="D2288" s="10" t="s">
        <v>364</v>
      </c>
      <c r="E2288" s="11" t="str">
        <f>+HYPERLINK("http://trademark.i-assist.jp/data/china/image_1902th/79213812.pdf", "79213812")</f>
        <v>79213812</v>
      </c>
      <c r="F2288" s="10" t="s">
        <v>6519</v>
      </c>
      <c r="G2288" s="10" t="s">
        <v>6520</v>
      </c>
      <c r="H2288" s="10" t="s">
        <v>6521</v>
      </c>
      <c r="I2288" s="10" t="s">
        <v>351</v>
      </c>
    </row>
    <row r="2289" spans="1:9" x14ac:dyDescent="0.15">
      <c r="A2289" s="9">
        <v>2288</v>
      </c>
      <c r="B2289" s="10" t="s">
        <v>9</v>
      </c>
      <c r="C2289" s="10" t="s">
        <v>363</v>
      </c>
      <c r="D2289" s="10" t="s">
        <v>364</v>
      </c>
      <c r="E2289" s="11" t="str">
        <f>+HYPERLINK("http://trademark.i-assist.jp/data/china/image_1902th/79213942.pdf", "79213942")</f>
        <v>79213942</v>
      </c>
      <c r="F2289" s="10" t="s">
        <v>6522</v>
      </c>
      <c r="G2289" s="10" t="s">
        <v>6523</v>
      </c>
      <c r="H2289" s="10" t="s">
        <v>6524</v>
      </c>
      <c r="I2289" s="10" t="s">
        <v>351</v>
      </c>
    </row>
    <row r="2290" spans="1:9" x14ac:dyDescent="0.15">
      <c r="A2290" s="9">
        <v>2289</v>
      </c>
      <c r="B2290" s="10" t="s">
        <v>9</v>
      </c>
      <c r="C2290" s="10" t="s">
        <v>363</v>
      </c>
      <c r="D2290" s="10" t="s">
        <v>364</v>
      </c>
      <c r="E2290" s="11" t="str">
        <f>+HYPERLINK("http://trademark.i-assist.jp/data/china/image_1902th/79214032.pdf", "79214032")</f>
        <v>79214032</v>
      </c>
      <c r="F2290" s="10" t="s">
        <v>6525</v>
      </c>
      <c r="G2290" s="10" t="s">
        <v>6526</v>
      </c>
      <c r="H2290" s="10" t="s">
        <v>6527</v>
      </c>
      <c r="I2290" s="10" t="s">
        <v>351</v>
      </c>
    </row>
    <row r="2291" spans="1:9" x14ac:dyDescent="0.15">
      <c r="A2291" s="9">
        <v>2290</v>
      </c>
      <c r="B2291" s="10" t="s">
        <v>9</v>
      </c>
      <c r="C2291" s="10" t="s">
        <v>363</v>
      </c>
      <c r="D2291" s="10" t="s">
        <v>364</v>
      </c>
      <c r="E2291" s="11" t="str">
        <f>+HYPERLINK("http://trademark.i-assist.jp/data/china/image_1902th/79214081.pdf", "79214081")</f>
        <v>79214081</v>
      </c>
      <c r="F2291" s="10" t="s">
        <v>6528</v>
      </c>
      <c r="G2291" s="10" t="s">
        <v>6529</v>
      </c>
      <c r="H2291" s="10" t="s">
        <v>6530</v>
      </c>
      <c r="I2291" s="10" t="s">
        <v>351</v>
      </c>
    </row>
    <row r="2292" spans="1:9" x14ac:dyDescent="0.15">
      <c r="A2292" s="9">
        <v>2291</v>
      </c>
      <c r="B2292" s="10" t="s">
        <v>9</v>
      </c>
      <c r="C2292" s="10" t="s">
        <v>363</v>
      </c>
      <c r="D2292" s="10" t="s">
        <v>364</v>
      </c>
      <c r="E2292" s="11" t="str">
        <f>+HYPERLINK("http://trademark.i-assist.jp/data/china/image_1902th/79214281.pdf", "79214281")</f>
        <v>79214281</v>
      </c>
      <c r="F2292" s="10" t="s">
        <v>6531</v>
      </c>
      <c r="G2292" s="10" t="s">
        <v>6532</v>
      </c>
      <c r="H2292" s="10" t="s">
        <v>6533</v>
      </c>
      <c r="I2292" s="10" t="s">
        <v>351</v>
      </c>
    </row>
    <row r="2293" spans="1:9" x14ac:dyDescent="0.15">
      <c r="A2293" s="9">
        <v>2292</v>
      </c>
      <c r="B2293" s="10" t="s">
        <v>9</v>
      </c>
      <c r="C2293" s="10" t="s">
        <v>363</v>
      </c>
      <c r="D2293" s="10" t="s">
        <v>364</v>
      </c>
      <c r="E2293" s="11" t="str">
        <f>+HYPERLINK("http://trademark.i-assist.jp/data/china/image_1902th/79214464.pdf", "79214464")</f>
        <v>79214464</v>
      </c>
      <c r="F2293" s="10" t="s">
        <v>6534</v>
      </c>
      <c r="G2293" s="10" t="s">
        <v>6535</v>
      </c>
      <c r="H2293" s="10" t="s">
        <v>6536</v>
      </c>
      <c r="I2293" s="10" t="s">
        <v>351</v>
      </c>
    </row>
    <row r="2294" spans="1:9" x14ac:dyDescent="0.15">
      <c r="A2294" s="9">
        <v>2293</v>
      </c>
      <c r="B2294" s="10" t="s">
        <v>9</v>
      </c>
      <c r="C2294" s="10" t="s">
        <v>363</v>
      </c>
      <c r="D2294" s="10" t="s">
        <v>364</v>
      </c>
      <c r="E2294" s="11" t="str">
        <f>+HYPERLINK("http://trademark.i-assist.jp/data/china/image_1902th/79214518.pdf", "79214518")</f>
        <v>79214518</v>
      </c>
      <c r="F2294" s="10" t="s">
        <v>6537</v>
      </c>
      <c r="G2294" s="10" t="s">
        <v>6407</v>
      </c>
      <c r="H2294" s="10" t="s">
        <v>6538</v>
      </c>
      <c r="I2294" s="10" t="s">
        <v>351</v>
      </c>
    </row>
    <row r="2295" spans="1:9" x14ac:dyDescent="0.15">
      <c r="A2295" s="9">
        <v>2294</v>
      </c>
      <c r="B2295" s="10" t="s">
        <v>9</v>
      </c>
      <c r="C2295" s="10" t="s">
        <v>363</v>
      </c>
      <c r="D2295" s="10" t="s">
        <v>364</v>
      </c>
      <c r="E2295" s="11" t="str">
        <f>+HYPERLINK("http://trademark.i-assist.jp/data/china/image_1902th/79214860.pdf", "79214860")</f>
        <v>79214860</v>
      </c>
      <c r="F2295" s="10" t="s">
        <v>6539</v>
      </c>
      <c r="G2295" s="10" t="s">
        <v>6540</v>
      </c>
      <c r="H2295" s="10" t="s">
        <v>6541</v>
      </c>
      <c r="I2295" s="10" t="s">
        <v>351</v>
      </c>
    </row>
    <row r="2296" spans="1:9" x14ac:dyDescent="0.15">
      <c r="A2296" s="9">
        <v>2295</v>
      </c>
      <c r="B2296" s="10" t="s">
        <v>9</v>
      </c>
      <c r="C2296" s="10" t="s">
        <v>363</v>
      </c>
      <c r="D2296" s="10" t="s">
        <v>364</v>
      </c>
      <c r="E2296" s="11" t="str">
        <f>+HYPERLINK("http://trademark.i-assist.jp/data/china/image_1902th/79214939.pdf", "79214939")</f>
        <v>79214939</v>
      </c>
      <c r="F2296" s="10" t="s">
        <v>6542</v>
      </c>
      <c r="G2296" s="10" t="s">
        <v>6543</v>
      </c>
      <c r="H2296" s="10" t="s">
        <v>6544</v>
      </c>
      <c r="I2296" s="10" t="s">
        <v>351</v>
      </c>
    </row>
    <row r="2297" spans="1:9" x14ac:dyDescent="0.15">
      <c r="A2297" s="9">
        <v>2296</v>
      </c>
      <c r="B2297" s="10" t="s">
        <v>9</v>
      </c>
      <c r="C2297" s="10" t="s">
        <v>363</v>
      </c>
      <c r="D2297" s="10" t="s">
        <v>364</v>
      </c>
      <c r="E2297" s="11" t="str">
        <f>+HYPERLINK("http://trademark.i-assist.jp/data/china/image_1902th/79215079.pdf", "79215079")</f>
        <v>79215079</v>
      </c>
      <c r="F2297" s="10" t="s">
        <v>6545</v>
      </c>
      <c r="G2297" s="10" t="s">
        <v>6546</v>
      </c>
      <c r="H2297" s="10" t="s">
        <v>6547</v>
      </c>
      <c r="I2297" s="10" t="s">
        <v>351</v>
      </c>
    </row>
    <row r="2298" spans="1:9" x14ac:dyDescent="0.15">
      <c r="A2298" s="9">
        <v>2297</v>
      </c>
      <c r="B2298" s="10" t="s">
        <v>9</v>
      </c>
      <c r="C2298" s="10" t="s">
        <v>363</v>
      </c>
      <c r="D2298" s="10" t="s">
        <v>364</v>
      </c>
      <c r="E2298" s="11" t="str">
        <f>+HYPERLINK("http://trademark.i-assist.jp/data/china/image_1902th/79215096.pdf", "79215096")</f>
        <v>79215096</v>
      </c>
      <c r="F2298" s="10" t="s">
        <v>6548</v>
      </c>
      <c r="G2298" s="10" t="s">
        <v>6465</v>
      </c>
      <c r="H2298" s="10" t="s">
        <v>6549</v>
      </c>
      <c r="I2298" s="10" t="s">
        <v>351</v>
      </c>
    </row>
    <row r="2299" spans="1:9" x14ac:dyDescent="0.15">
      <c r="A2299" s="9">
        <v>2298</v>
      </c>
      <c r="B2299" s="10" t="s">
        <v>9</v>
      </c>
      <c r="C2299" s="10" t="s">
        <v>363</v>
      </c>
      <c r="D2299" s="10" t="s">
        <v>364</v>
      </c>
      <c r="E2299" s="11" t="str">
        <f>+HYPERLINK("http://trademark.i-assist.jp/data/china/image_1902th/79215295.pdf", "79215295")</f>
        <v>79215295</v>
      </c>
      <c r="F2299" s="10" t="s">
        <v>6550</v>
      </c>
      <c r="G2299" s="10" t="s">
        <v>270</v>
      </c>
      <c r="H2299" s="10" t="s">
        <v>6551</v>
      </c>
      <c r="I2299" s="10" t="s">
        <v>351</v>
      </c>
    </row>
    <row r="2300" spans="1:9" x14ac:dyDescent="0.15">
      <c r="A2300" s="9">
        <v>2299</v>
      </c>
      <c r="B2300" s="10" t="s">
        <v>9</v>
      </c>
      <c r="C2300" s="10" t="s">
        <v>363</v>
      </c>
      <c r="D2300" s="10" t="s">
        <v>364</v>
      </c>
      <c r="E2300" s="11" t="str">
        <f>+HYPERLINK("http://trademark.i-assist.jp/data/china/image_1902th/79215309.pdf", "79215309")</f>
        <v>79215309</v>
      </c>
      <c r="F2300" s="10" t="s">
        <v>6552</v>
      </c>
      <c r="G2300" s="10" t="s">
        <v>6553</v>
      </c>
      <c r="H2300" s="10" t="s">
        <v>15</v>
      </c>
      <c r="I2300" s="10" t="s">
        <v>351</v>
      </c>
    </row>
    <row r="2301" spans="1:9" x14ac:dyDescent="0.15">
      <c r="A2301" s="9">
        <v>2300</v>
      </c>
      <c r="B2301" s="10" t="s">
        <v>9</v>
      </c>
      <c r="C2301" s="10" t="s">
        <v>363</v>
      </c>
      <c r="D2301" s="10" t="s">
        <v>364</v>
      </c>
      <c r="E2301" s="11" t="str">
        <f>+HYPERLINK("http://trademark.i-assist.jp/data/china/image_1902th/79215417.pdf", "79215417")</f>
        <v>79215417</v>
      </c>
      <c r="F2301" s="10" t="s">
        <v>6554</v>
      </c>
      <c r="G2301" s="10" t="s">
        <v>6426</v>
      </c>
      <c r="H2301" s="10" t="s">
        <v>6555</v>
      </c>
      <c r="I2301" s="10" t="s">
        <v>351</v>
      </c>
    </row>
    <row r="2302" spans="1:9" x14ac:dyDescent="0.15">
      <c r="A2302" s="9">
        <v>2301</v>
      </c>
      <c r="B2302" s="10" t="s">
        <v>9</v>
      </c>
      <c r="C2302" s="10" t="s">
        <v>363</v>
      </c>
      <c r="D2302" s="10" t="s">
        <v>364</v>
      </c>
      <c r="E2302" s="11" t="str">
        <f>+HYPERLINK("http://trademark.i-assist.jp/data/china/image_1902th/79215571.pdf", "79215571")</f>
        <v>79215571</v>
      </c>
      <c r="F2302" s="10" t="s">
        <v>6556</v>
      </c>
      <c r="G2302" s="10" t="s">
        <v>6557</v>
      </c>
      <c r="H2302" s="10" t="s">
        <v>6558</v>
      </c>
      <c r="I2302" s="10" t="s">
        <v>351</v>
      </c>
    </row>
    <row r="2303" spans="1:9" x14ac:dyDescent="0.15">
      <c r="A2303" s="9">
        <v>2302</v>
      </c>
      <c r="B2303" s="10" t="s">
        <v>9</v>
      </c>
      <c r="C2303" s="10" t="s">
        <v>363</v>
      </c>
      <c r="D2303" s="10" t="s">
        <v>364</v>
      </c>
      <c r="E2303" s="11" t="str">
        <f>+HYPERLINK("http://trademark.i-assist.jp/data/china/image_1902th/79215627.pdf", "79215627")</f>
        <v>79215627</v>
      </c>
      <c r="F2303" s="10" t="s">
        <v>6559</v>
      </c>
      <c r="G2303" s="10" t="s">
        <v>71</v>
      </c>
      <c r="H2303" s="10" t="s">
        <v>6560</v>
      </c>
      <c r="I2303" s="10" t="s">
        <v>351</v>
      </c>
    </row>
    <row r="2304" spans="1:9" x14ac:dyDescent="0.15">
      <c r="A2304" s="9">
        <v>2303</v>
      </c>
      <c r="B2304" s="10" t="s">
        <v>9</v>
      </c>
      <c r="C2304" s="10" t="s">
        <v>363</v>
      </c>
      <c r="D2304" s="10" t="s">
        <v>364</v>
      </c>
      <c r="E2304" s="11" t="str">
        <f>+HYPERLINK("http://trademark.i-assist.jp/data/china/image_1902th/79215710.pdf", "79215710")</f>
        <v>79215710</v>
      </c>
      <c r="F2304" s="10" t="s">
        <v>6561</v>
      </c>
      <c r="G2304" s="10" t="s">
        <v>6562</v>
      </c>
      <c r="H2304" s="10" t="s">
        <v>6563</v>
      </c>
      <c r="I2304" s="10" t="s">
        <v>351</v>
      </c>
    </row>
    <row r="2305" spans="1:9" x14ac:dyDescent="0.15">
      <c r="A2305" s="9">
        <v>2304</v>
      </c>
      <c r="B2305" s="10" t="s">
        <v>9</v>
      </c>
      <c r="C2305" s="10" t="s">
        <v>363</v>
      </c>
      <c r="D2305" s="10" t="s">
        <v>364</v>
      </c>
      <c r="E2305" s="11" t="str">
        <f>+HYPERLINK("http://trademark.i-assist.jp/data/china/image_1902th/79215770.pdf", "79215770")</f>
        <v>79215770</v>
      </c>
      <c r="F2305" s="10" t="s">
        <v>6564</v>
      </c>
      <c r="G2305" s="10" t="s">
        <v>109</v>
      </c>
      <c r="H2305" s="10" t="s">
        <v>6565</v>
      </c>
      <c r="I2305" s="10" t="s">
        <v>351</v>
      </c>
    </row>
    <row r="2306" spans="1:9" x14ac:dyDescent="0.15">
      <c r="A2306" s="9">
        <v>2305</v>
      </c>
      <c r="B2306" s="10" t="s">
        <v>9</v>
      </c>
      <c r="C2306" s="10" t="s">
        <v>363</v>
      </c>
      <c r="D2306" s="10" t="s">
        <v>364</v>
      </c>
      <c r="E2306" s="11" t="str">
        <f>+HYPERLINK("http://trademark.i-assist.jp/data/china/image_1902th/79215828.pdf", "79215828")</f>
        <v>79215828</v>
      </c>
      <c r="F2306" s="10" t="s">
        <v>6566</v>
      </c>
      <c r="G2306" s="10" t="s">
        <v>6567</v>
      </c>
      <c r="H2306" s="10" t="s">
        <v>6568</v>
      </c>
      <c r="I2306" s="10" t="s">
        <v>351</v>
      </c>
    </row>
    <row r="2307" spans="1:9" x14ac:dyDescent="0.15">
      <c r="A2307" s="9">
        <v>2306</v>
      </c>
      <c r="B2307" s="10" t="s">
        <v>9</v>
      </c>
      <c r="C2307" s="10" t="s">
        <v>363</v>
      </c>
      <c r="D2307" s="10" t="s">
        <v>364</v>
      </c>
      <c r="E2307" s="11" t="str">
        <f>+HYPERLINK("http://trademark.i-assist.jp/data/china/image_1902th/79215903.pdf", "79215903")</f>
        <v>79215903</v>
      </c>
      <c r="F2307" s="10" t="s">
        <v>6569</v>
      </c>
      <c r="G2307" s="10" t="s">
        <v>6529</v>
      </c>
      <c r="H2307" s="10" t="s">
        <v>6570</v>
      </c>
      <c r="I2307" s="10" t="s">
        <v>351</v>
      </c>
    </row>
    <row r="2308" spans="1:9" x14ac:dyDescent="0.15">
      <c r="A2308" s="9">
        <v>2307</v>
      </c>
      <c r="B2308" s="10" t="s">
        <v>9</v>
      </c>
      <c r="C2308" s="10" t="s">
        <v>363</v>
      </c>
      <c r="D2308" s="10" t="s">
        <v>364</v>
      </c>
      <c r="E2308" s="11" t="str">
        <f>+HYPERLINK("http://trademark.i-assist.jp/data/china/image_1902th/79216058.pdf", "79216058")</f>
        <v>79216058</v>
      </c>
      <c r="F2308" s="10" t="s">
        <v>6571</v>
      </c>
      <c r="G2308" s="10" t="s">
        <v>6572</v>
      </c>
      <c r="H2308" s="10" t="s">
        <v>6573</v>
      </c>
      <c r="I2308" s="10" t="s">
        <v>351</v>
      </c>
    </row>
    <row r="2309" spans="1:9" x14ac:dyDescent="0.15">
      <c r="A2309" s="9">
        <v>2308</v>
      </c>
      <c r="B2309" s="10" t="s">
        <v>9</v>
      </c>
      <c r="C2309" s="10" t="s">
        <v>363</v>
      </c>
      <c r="D2309" s="10" t="s">
        <v>364</v>
      </c>
      <c r="E2309" s="11" t="str">
        <f>+HYPERLINK("http://trademark.i-assist.jp/data/china/image_1902th/79216072.pdf", "79216072")</f>
        <v>79216072</v>
      </c>
      <c r="F2309" s="10" t="s">
        <v>6574</v>
      </c>
      <c r="G2309" s="10" t="s">
        <v>6575</v>
      </c>
      <c r="H2309" s="10" t="s">
        <v>6576</v>
      </c>
      <c r="I2309" s="10" t="s">
        <v>351</v>
      </c>
    </row>
    <row r="2310" spans="1:9" x14ac:dyDescent="0.15">
      <c r="A2310" s="9">
        <v>2309</v>
      </c>
      <c r="B2310" s="10" t="s">
        <v>9</v>
      </c>
      <c r="C2310" s="10" t="s">
        <v>363</v>
      </c>
      <c r="D2310" s="10" t="s">
        <v>364</v>
      </c>
      <c r="E2310" s="11" t="str">
        <f>+HYPERLINK("http://trademark.i-assist.jp/data/china/image_1902th/79216322.pdf", "79216322")</f>
        <v>79216322</v>
      </c>
      <c r="F2310" s="10" t="s">
        <v>6577</v>
      </c>
      <c r="G2310" s="10" t="s">
        <v>59</v>
      </c>
      <c r="H2310" s="10" t="s">
        <v>6578</v>
      </c>
      <c r="I2310" s="10" t="s">
        <v>351</v>
      </c>
    </row>
    <row r="2311" spans="1:9" x14ac:dyDescent="0.15">
      <c r="A2311" s="9">
        <v>2310</v>
      </c>
      <c r="B2311" s="10" t="s">
        <v>9</v>
      </c>
      <c r="C2311" s="10" t="s">
        <v>363</v>
      </c>
      <c r="D2311" s="10" t="s">
        <v>364</v>
      </c>
      <c r="E2311" s="11" t="str">
        <f>+HYPERLINK("http://trademark.i-assist.jp/data/china/image_1902th/79216500.pdf", "79216500")</f>
        <v>79216500</v>
      </c>
      <c r="F2311" s="10" t="s">
        <v>6579</v>
      </c>
      <c r="G2311" s="10" t="s">
        <v>6487</v>
      </c>
      <c r="H2311" s="10" t="s">
        <v>6580</v>
      </c>
      <c r="I2311" s="10" t="s">
        <v>351</v>
      </c>
    </row>
    <row r="2312" spans="1:9" x14ac:dyDescent="0.15">
      <c r="A2312" s="9">
        <v>2311</v>
      </c>
      <c r="B2312" s="10" t="s">
        <v>9</v>
      </c>
      <c r="C2312" s="10" t="s">
        <v>363</v>
      </c>
      <c r="D2312" s="10" t="s">
        <v>364</v>
      </c>
      <c r="E2312" s="11" t="str">
        <f>+HYPERLINK("http://trademark.i-assist.jp/data/china/image_1902th/79216618.pdf", "79216618")</f>
        <v>79216618</v>
      </c>
      <c r="F2312" s="10" t="s">
        <v>12</v>
      </c>
      <c r="G2312" s="10" t="s">
        <v>6581</v>
      </c>
      <c r="H2312" s="10" t="s">
        <v>6582</v>
      </c>
      <c r="I2312" s="10" t="s">
        <v>351</v>
      </c>
    </row>
    <row r="2313" spans="1:9" x14ac:dyDescent="0.15">
      <c r="A2313" s="9">
        <v>2312</v>
      </c>
      <c r="B2313" s="10" t="s">
        <v>9</v>
      </c>
      <c r="C2313" s="10" t="s">
        <v>363</v>
      </c>
      <c r="D2313" s="10" t="s">
        <v>364</v>
      </c>
      <c r="E2313" s="11" t="str">
        <f>+HYPERLINK("http://trademark.i-assist.jp/data/china/image_1902th/79216725.pdf", "79216725")</f>
        <v>79216725</v>
      </c>
      <c r="F2313" s="10" t="s">
        <v>6583</v>
      </c>
      <c r="G2313" s="10" t="s">
        <v>6584</v>
      </c>
      <c r="H2313" s="10" t="s">
        <v>6585</v>
      </c>
      <c r="I2313" s="10" t="s">
        <v>351</v>
      </c>
    </row>
    <row r="2314" spans="1:9" x14ac:dyDescent="0.15">
      <c r="A2314" s="9">
        <v>2313</v>
      </c>
      <c r="B2314" s="10" t="s">
        <v>9</v>
      </c>
      <c r="C2314" s="10" t="s">
        <v>363</v>
      </c>
      <c r="D2314" s="10" t="s">
        <v>364</v>
      </c>
      <c r="E2314" s="11" t="str">
        <f>+HYPERLINK("http://trademark.i-assist.jp/data/china/image_1902th/79216825.pdf", "79216825")</f>
        <v>79216825</v>
      </c>
      <c r="F2314" s="10" t="s">
        <v>6586</v>
      </c>
      <c r="G2314" s="10" t="s">
        <v>6587</v>
      </c>
      <c r="H2314" s="10" t="s">
        <v>6588</v>
      </c>
      <c r="I2314" s="10" t="s">
        <v>351</v>
      </c>
    </row>
    <row r="2315" spans="1:9" x14ac:dyDescent="0.15">
      <c r="A2315" s="9">
        <v>2314</v>
      </c>
      <c r="B2315" s="10" t="s">
        <v>9</v>
      </c>
      <c r="C2315" s="10" t="s">
        <v>363</v>
      </c>
      <c r="D2315" s="10" t="s">
        <v>364</v>
      </c>
      <c r="E2315" s="11" t="str">
        <f>+HYPERLINK("http://trademark.i-assist.jp/data/china/image_1902th/79217147.pdf", "79217147")</f>
        <v>79217147</v>
      </c>
      <c r="F2315" s="10" t="s">
        <v>6589</v>
      </c>
      <c r="G2315" s="10" t="s">
        <v>6590</v>
      </c>
      <c r="H2315" s="10" t="s">
        <v>6591</v>
      </c>
      <c r="I2315" s="10" t="s">
        <v>351</v>
      </c>
    </row>
    <row r="2316" spans="1:9" x14ac:dyDescent="0.15">
      <c r="A2316" s="9">
        <v>2315</v>
      </c>
      <c r="B2316" s="10" t="s">
        <v>9</v>
      </c>
      <c r="C2316" s="10" t="s">
        <v>363</v>
      </c>
      <c r="D2316" s="10" t="s">
        <v>364</v>
      </c>
      <c r="E2316" s="11" t="str">
        <f>+HYPERLINK("http://trademark.i-assist.jp/data/china/image_1902th/79217392.pdf", "79217392")</f>
        <v>79217392</v>
      </c>
      <c r="F2316" s="10" t="s">
        <v>6592</v>
      </c>
      <c r="G2316" s="10" t="s">
        <v>6473</v>
      </c>
      <c r="H2316" s="10" t="s">
        <v>6593</v>
      </c>
      <c r="I2316" s="10" t="s">
        <v>351</v>
      </c>
    </row>
    <row r="2317" spans="1:9" x14ac:dyDescent="0.15">
      <c r="A2317" s="9">
        <v>2316</v>
      </c>
      <c r="B2317" s="10" t="s">
        <v>9</v>
      </c>
      <c r="C2317" s="10" t="s">
        <v>363</v>
      </c>
      <c r="D2317" s="10" t="s">
        <v>364</v>
      </c>
      <c r="E2317" s="11" t="str">
        <f>+HYPERLINK("http://trademark.i-assist.jp/data/china/image_1902th/79217665.pdf", "79217665")</f>
        <v>79217665</v>
      </c>
      <c r="F2317" s="10" t="s">
        <v>6594</v>
      </c>
      <c r="G2317" s="10" t="s">
        <v>6595</v>
      </c>
      <c r="H2317" s="10" t="s">
        <v>6596</v>
      </c>
      <c r="I2317" s="10" t="s">
        <v>351</v>
      </c>
    </row>
    <row r="2318" spans="1:9" x14ac:dyDescent="0.15">
      <c r="A2318" s="9">
        <v>2317</v>
      </c>
      <c r="B2318" s="10" t="s">
        <v>9</v>
      </c>
      <c r="C2318" s="10" t="s">
        <v>363</v>
      </c>
      <c r="D2318" s="10" t="s">
        <v>364</v>
      </c>
      <c r="E2318" s="11" t="str">
        <f>+HYPERLINK("http://trademark.i-assist.jp/data/china/image_1902th/79217715.pdf", "79217715")</f>
        <v>79217715</v>
      </c>
      <c r="F2318" s="10" t="s">
        <v>6597</v>
      </c>
      <c r="G2318" s="10" t="s">
        <v>6598</v>
      </c>
      <c r="H2318" s="10" t="s">
        <v>6599</v>
      </c>
      <c r="I2318" s="10" t="s">
        <v>351</v>
      </c>
    </row>
    <row r="2319" spans="1:9" x14ac:dyDescent="0.15">
      <c r="A2319" s="9">
        <v>2318</v>
      </c>
      <c r="B2319" s="10" t="s">
        <v>9</v>
      </c>
      <c r="C2319" s="10" t="s">
        <v>363</v>
      </c>
      <c r="D2319" s="10" t="s">
        <v>364</v>
      </c>
      <c r="E2319" s="11" t="str">
        <f>+HYPERLINK("http://trademark.i-assist.jp/data/china/image_1902th/79217738.pdf", "79217738")</f>
        <v>79217738</v>
      </c>
      <c r="F2319" s="10" t="s">
        <v>6600</v>
      </c>
      <c r="G2319" s="10" t="s">
        <v>268</v>
      </c>
      <c r="H2319" s="10" t="s">
        <v>6601</v>
      </c>
      <c r="I2319" s="10" t="s">
        <v>351</v>
      </c>
    </row>
    <row r="2320" spans="1:9" x14ac:dyDescent="0.15">
      <c r="A2320" s="9">
        <v>2319</v>
      </c>
      <c r="B2320" s="10" t="s">
        <v>9</v>
      </c>
      <c r="C2320" s="10" t="s">
        <v>363</v>
      </c>
      <c r="D2320" s="10" t="s">
        <v>364</v>
      </c>
      <c r="E2320" s="11" t="str">
        <f>+HYPERLINK("http://trademark.i-assist.jp/data/china/image_1902th/79217795.pdf", "79217795")</f>
        <v>79217795</v>
      </c>
      <c r="F2320" s="10" t="s">
        <v>12</v>
      </c>
      <c r="G2320" s="10" t="s">
        <v>6602</v>
      </c>
      <c r="H2320" s="10" t="s">
        <v>6603</v>
      </c>
      <c r="I2320" s="10" t="s">
        <v>351</v>
      </c>
    </row>
    <row r="2321" spans="1:9" x14ac:dyDescent="0.15">
      <c r="A2321" s="9">
        <v>2320</v>
      </c>
      <c r="B2321" s="10" t="s">
        <v>9</v>
      </c>
      <c r="C2321" s="10" t="s">
        <v>363</v>
      </c>
      <c r="D2321" s="10" t="s">
        <v>364</v>
      </c>
      <c r="E2321" s="11" t="str">
        <f>+HYPERLINK("http://trademark.i-assist.jp/data/china/image_1902th/79217894.pdf", "79217894")</f>
        <v>79217894</v>
      </c>
      <c r="F2321" s="10" t="s">
        <v>6604</v>
      </c>
      <c r="G2321" s="10" t="s">
        <v>6605</v>
      </c>
      <c r="H2321" s="10" t="s">
        <v>6606</v>
      </c>
      <c r="I2321" s="10" t="s">
        <v>351</v>
      </c>
    </row>
    <row r="2322" spans="1:9" x14ac:dyDescent="0.15">
      <c r="A2322" s="9">
        <v>2321</v>
      </c>
      <c r="B2322" s="10" t="s">
        <v>9</v>
      </c>
      <c r="C2322" s="10" t="s">
        <v>363</v>
      </c>
      <c r="D2322" s="10" t="s">
        <v>364</v>
      </c>
      <c r="E2322" s="11" t="str">
        <f>+HYPERLINK("http://trademark.i-assist.jp/data/china/image_1902th/79217979.pdf", "79217979")</f>
        <v>79217979</v>
      </c>
      <c r="F2322" s="10" t="s">
        <v>6607</v>
      </c>
      <c r="G2322" s="10" t="s">
        <v>6608</v>
      </c>
      <c r="H2322" s="10" t="s">
        <v>6609</v>
      </c>
      <c r="I2322" s="10" t="s">
        <v>351</v>
      </c>
    </row>
    <row r="2323" spans="1:9" x14ac:dyDescent="0.15">
      <c r="A2323" s="9">
        <v>2322</v>
      </c>
      <c r="B2323" s="10" t="s">
        <v>9</v>
      </c>
      <c r="C2323" s="10" t="s">
        <v>363</v>
      </c>
      <c r="D2323" s="10" t="s">
        <v>364</v>
      </c>
      <c r="E2323" s="11" t="str">
        <f>+HYPERLINK("http://trademark.i-assist.jp/data/china/image_1902th/79218070.pdf", "79218070")</f>
        <v>79218070</v>
      </c>
      <c r="F2323" s="10" t="s">
        <v>6610</v>
      </c>
      <c r="G2323" s="10" t="s">
        <v>6611</v>
      </c>
      <c r="H2323" s="10" t="s">
        <v>6612</v>
      </c>
      <c r="I2323" s="10" t="s">
        <v>351</v>
      </c>
    </row>
    <row r="2324" spans="1:9" x14ac:dyDescent="0.15">
      <c r="A2324" s="9">
        <v>2323</v>
      </c>
      <c r="B2324" s="10" t="s">
        <v>9</v>
      </c>
      <c r="C2324" s="10" t="s">
        <v>363</v>
      </c>
      <c r="D2324" s="10" t="s">
        <v>364</v>
      </c>
      <c r="E2324" s="11" t="str">
        <f>+HYPERLINK("http://trademark.i-assist.jp/data/china/image_1902th/79218077.pdf", "79218077")</f>
        <v>79218077</v>
      </c>
      <c r="F2324" s="10" t="s">
        <v>6613</v>
      </c>
      <c r="G2324" s="10" t="s">
        <v>6614</v>
      </c>
      <c r="H2324" s="10" t="s">
        <v>6615</v>
      </c>
      <c r="I2324" s="10" t="s">
        <v>351</v>
      </c>
    </row>
    <row r="2325" spans="1:9" x14ac:dyDescent="0.15">
      <c r="A2325" s="9">
        <v>2324</v>
      </c>
      <c r="B2325" s="10" t="s">
        <v>9</v>
      </c>
      <c r="C2325" s="10" t="s">
        <v>363</v>
      </c>
      <c r="D2325" s="10" t="s">
        <v>364</v>
      </c>
      <c r="E2325" s="11" t="str">
        <f>+HYPERLINK("http://trademark.i-assist.jp/data/china/image_1902th/79218085.pdf", "79218085")</f>
        <v>79218085</v>
      </c>
      <c r="F2325" s="10" t="s">
        <v>6616</v>
      </c>
      <c r="G2325" s="10" t="s">
        <v>6617</v>
      </c>
      <c r="H2325" s="10" t="s">
        <v>6618</v>
      </c>
      <c r="I2325" s="10" t="s">
        <v>351</v>
      </c>
    </row>
    <row r="2326" spans="1:9" x14ac:dyDescent="0.15">
      <c r="A2326" s="9">
        <v>2325</v>
      </c>
      <c r="B2326" s="10" t="s">
        <v>9</v>
      </c>
      <c r="C2326" s="10" t="s">
        <v>363</v>
      </c>
      <c r="D2326" s="10" t="s">
        <v>364</v>
      </c>
      <c r="E2326" s="11" t="str">
        <f>+HYPERLINK("http://trademark.i-assist.jp/data/china/image_1902th/79218240.pdf", "79218240")</f>
        <v>79218240</v>
      </c>
      <c r="F2326" s="10" t="s">
        <v>6619</v>
      </c>
      <c r="G2326" s="10" t="s">
        <v>6620</v>
      </c>
      <c r="H2326" s="10" t="s">
        <v>6621</v>
      </c>
      <c r="I2326" s="10" t="s">
        <v>351</v>
      </c>
    </row>
    <row r="2327" spans="1:9" x14ac:dyDescent="0.15">
      <c r="A2327" s="9">
        <v>2326</v>
      </c>
      <c r="B2327" s="10" t="s">
        <v>9</v>
      </c>
      <c r="C2327" s="10" t="s">
        <v>363</v>
      </c>
      <c r="D2327" s="10" t="s">
        <v>364</v>
      </c>
      <c r="E2327" s="11" t="str">
        <f>+HYPERLINK("http://trademark.i-assist.jp/data/china/image_1902th/79218323.pdf", "79218323")</f>
        <v>79218323</v>
      </c>
      <c r="F2327" s="10" t="s">
        <v>6622</v>
      </c>
      <c r="G2327" s="10" t="s">
        <v>6465</v>
      </c>
      <c r="H2327" s="10" t="s">
        <v>6623</v>
      </c>
      <c r="I2327" s="10" t="s">
        <v>351</v>
      </c>
    </row>
    <row r="2328" spans="1:9" x14ac:dyDescent="0.15">
      <c r="A2328" s="9">
        <v>2327</v>
      </c>
      <c r="B2328" s="10" t="s">
        <v>9</v>
      </c>
      <c r="C2328" s="10" t="s">
        <v>363</v>
      </c>
      <c r="D2328" s="10" t="s">
        <v>364</v>
      </c>
      <c r="E2328" s="11" t="str">
        <f>+HYPERLINK("http://trademark.i-assist.jp/data/china/image_1902th/79218360.pdf", "79218360")</f>
        <v>79218360</v>
      </c>
      <c r="F2328" s="10" t="s">
        <v>6624</v>
      </c>
      <c r="G2328" s="10" t="s">
        <v>6625</v>
      </c>
      <c r="H2328" s="10" t="s">
        <v>6626</v>
      </c>
      <c r="I2328" s="10" t="s">
        <v>351</v>
      </c>
    </row>
    <row r="2329" spans="1:9" x14ac:dyDescent="0.15">
      <c r="A2329" s="9">
        <v>2328</v>
      </c>
      <c r="B2329" s="10" t="s">
        <v>9</v>
      </c>
      <c r="C2329" s="10" t="s">
        <v>363</v>
      </c>
      <c r="D2329" s="10" t="s">
        <v>364</v>
      </c>
      <c r="E2329" s="11" t="str">
        <f>+HYPERLINK("http://trademark.i-assist.jp/data/china/image_1902th/79218510.pdf", "79218510")</f>
        <v>79218510</v>
      </c>
      <c r="F2329" s="10" t="s">
        <v>6627</v>
      </c>
      <c r="G2329" s="10" t="s">
        <v>6605</v>
      </c>
      <c r="H2329" s="10" t="s">
        <v>6628</v>
      </c>
      <c r="I2329" s="10" t="s">
        <v>351</v>
      </c>
    </row>
    <row r="2330" spans="1:9" x14ac:dyDescent="0.15">
      <c r="A2330" s="9">
        <v>2329</v>
      </c>
      <c r="B2330" s="10" t="s">
        <v>9</v>
      </c>
      <c r="C2330" s="10" t="s">
        <v>363</v>
      </c>
      <c r="D2330" s="10" t="s">
        <v>364</v>
      </c>
      <c r="E2330" s="11" t="str">
        <f>+HYPERLINK("http://trademark.i-assist.jp/data/china/image_1902th/79218611.pdf", "79218611")</f>
        <v>79218611</v>
      </c>
      <c r="F2330" s="10" t="s">
        <v>6629</v>
      </c>
      <c r="G2330" s="10" t="s">
        <v>71</v>
      </c>
      <c r="H2330" s="10" t="s">
        <v>6630</v>
      </c>
      <c r="I2330" s="10" t="s">
        <v>351</v>
      </c>
    </row>
    <row r="2331" spans="1:9" x14ac:dyDescent="0.15">
      <c r="A2331" s="9">
        <v>2330</v>
      </c>
      <c r="B2331" s="10" t="s">
        <v>9</v>
      </c>
      <c r="C2331" s="10" t="s">
        <v>363</v>
      </c>
      <c r="D2331" s="10" t="s">
        <v>364</v>
      </c>
      <c r="E2331" s="11" t="str">
        <f>+HYPERLINK("http://trademark.i-assist.jp/data/china/image_1902th/79218675.pdf", "79218675")</f>
        <v>79218675</v>
      </c>
      <c r="F2331" s="10" t="s">
        <v>6631</v>
      </c>
      <c r="G2331" s="10" t="s">
        <v>71</v>
      </c>
      <c r="H2331" s="10" t="s">
        <v>6632</v>
      </c>
      <c r="I2331" s="10" t="s">
        <v>351</v>
      </c>
    </row>
    <row r="2332" spans="1:9" x14ac:dyDescent="0.15">
      <c r="A2332" s="9">
        <v>2331</v>
      </c>
      <c r="B2332" s="10" t="s">
        <v>9</v>
      </c>
      <c r="C2332" s="10" t="s">
        <v>363</v>
      </c>
      <c r="D2332" s="10" t="s">
        <v>364</v>
      </c>
      <c r="E2332" s="11" t="str">
        <f>+HYPERLINK("http://trademark.i-assist.jp/data/china/image_1902th/79218763.pdf", "79218763")</f>
        <v>79218763</v>
      </c>
      <c r="F2332" s="10" t="s">
        <v>6633</v>
      </c>
      <c r="G2332" s="10" t="s">
        <v>6369</v>
      </c>
      <c r="H2332" s="10" t="s">
        <v>6634</v>
      </c>
      <c r="I2332" s="10" t="s">
        <v>351</v>
      </c>
    </row>
    <row r="2333" spans="1:9" x14ac:dyDescent="0.15">
      <c r="A2333" s="9">
        <v>2332</v>
      </c>
      <c r="B2333" s="10" t="s">
        <v>9</v>
      </c>
      <c r="C2333" s="10" t="s">
        <v>363</v>
      </c>
      <c r="D2333" s="10" t="s">
        <v>364</v>
      </c>
      <c r="E2333" s="11" t="str">
        <f>+HYPERLINK("http://trademark.i-assist.jp/data/china/image_1902th/79218789.pdf", "79218789")</f>
        <v>79218789</v>
      </c>
      <c r="F2333" s="10" t="s">
        <v>6635</v>
      </c>
      <c r="G2333" s="10" t="s">
        <v>6636</v>
      </c>
      <c r="H2333" s="10" t="s">
        <v>6637</v>
      </c>
      <c r="I2333" s="10" t="s">
        <v>351</v>
      </c>
    </row>
    <row r="2334" spans="1:9" x14ac:dyDescent="0.15">
      <c r="A2334" s="9">
        <v>2333</v>
      </c>
      <c r="B2334" s="10" t="s">
        <v>9</v>
      </c>
      <c r="C2334" s="10" t="s">
        <v>363</v>
      </c>
      <c r="D2334" s="10" t="s">
        <v>364</v>
      </c>
      <c r="E2334" s="11" t="str">
        <f>+HYPERLINK("http://trademark.i-assist.jp/data/china/image_1902th/79218935.pdf", "79218935")</f>
        <v>79218935</v>
      </c>
      <c r="F2334" s="10" t="s">
        <v>6638</v>
      </c>
      <c r="G2334" s="10" t="s">
        <v>6639</v>
      </c>
      <c r="H2334" s="10" t="s">
        <v>6640</v>
      </c>
      <c r="I2334" s="10" t="s">
        <v>351</v>
      </c>
    </row>
    <row r="2335" spans="1:9" x14ac:dyDescent="0.15">
      <c r="A2335" s="9">
        <v>2334</v>
      </c>
      <c r="B2335" s="10" t="s">
        <v>9</v>
      </c>
      <c r="C2335" s="10" t="s">
        <v>363</v>
      </c>
      <c r="D2335" s="10" t="s">
        <v>364</v>
      </c>
      <c r="E2335" s="11" t="str">
        <f>+HYPERLINK("http://trademark.i-assist.jp/data/china/image_1902th/79218940.pdf", "79218940")</f>
        <v>79218940</v>
      </c>
      <c r="F2335" s="10" t="s">
        <v>6641</v>
      </c>
      <c r="G2335" s="10" t="s">
        <v>6642</v>
      </c>
      <c r="H2335" s="10" t="s">
        <v>6643</v>
      </c>
      <c r="I2335" s="10" t="s">
        <v>351</v>
      </c>
    </row>
    <row r="2336" spans="1:9" x14ac:dyDescent="0.15">
      <c r="A2336" s="9">
        <v>2335</v>
      </c>
      <c r="B2336" s="10" t="s">
        <v>9</v>
      </c>
      <c r="C2336" s="10" t="s">
        <v>363</v>
      </c>
      <c r="D2336" s="10" t="s">
        <v>364</v>
      </c>
      <c r="E2336" s="11" t="str">
        <f>+HYPERLINK("http://trademark.i-assist.jp/data/china/image_1902th/79218942.pdf", "79218942")</f>
        <v>79218942</v>
      </c>
      <c r="F2336" s="10" t="s">
        <v>6644</v>
      </c>
      <c r="G2336" s="10" t="s">
        <v>6407</v>
      </c>
      <c r="H2336" s="10" t="s">
        <v>6645</v>
      </c>
      <c r="I2336" s="10" t="s">
        <v>351</v>
      </c>
    </row>
    <row r="2337" spans="1:9" x14ac:dyDescent="0.15">
      <c r="A2337" s="9">
        <v>2336</v>
      </c>
      <c r="B2337" s="10" t="s">
        <v>9</v>
      </c>
      <c r="C2337" s="10" t="s">
        <v>363</v>
      </c>
      <c r="D2337" s="10" t="s">
        <v>364</v>
      </c>
      <c r="E2337" s="11" t="str">
        <f>+HYPERLINK("http://trademark.i-assist.jp/data/china/image_1902th/79218956.pdf", "79218956")</f>
        <v>79218956</v>
      </c>
      <c r="F2337" s="10" t="s">
        <v>6646</v>
      </c>
      <c r="G2337" s="10" t="s">
        <v>6647</v>
      </c>
      <c r="H2337" s="10" t="s">
        <v>6648</v>
      </c>
      <c r="I2337" s="10" t="s">
        <v>351</v>
      </c>
    </row>
    <row r="2338" spans="1:9" x14ac:dyDescent="0.15">
      <c r="A2338" s="9">
        <v>2337</v>
      </c>
      <c r="B2338" s="10" t="s">
        <v>9</v>
      </c>
      <c r="C2338" s="10" t="s">
        <v>363</v>
      </c>
      <c r="D2338" s="10" t="s">
        <v>364</v>
      </c>
      <c r="E2338" s="11" t="str">
        <f>+HYPERLINK("http://trademark.i-assist.jp/data/china/image_1902th/79219098.pdf", "79219098")</f>
        <v>79219098</v>
      </c>
      <c r="F2338" s="10" t="s">
        <v>6649</v>
      </c>
      <c r="G2338" s="10" t="s">
        <v>6650</v>
      </c>
      <c r="H2338" s="10" t="s">
        <v>6651</v>
      </c>
      <c r="I2338" s="10" t="s">
        <v>351</v>
      </c>
    </row>
    <row r="2339" spans="1:9" x14ac:dyDescent="0.15">
      <c r="A2339" s="9">
        <v>2338</v>
      </c>
      <c r="B2339" s="10" t="s">
        <v>9</v>
      </c>
      <c r="C2339" s="10" t="s">
        <v>363</v>
      </c>
      <c r="D2339" s="10" t="s">
        <v>364</v>
      </c>
      <c r="E2339" s="11" t="str">
        <f>+HYPERLINK("http://trademark.i-assist.jp/data/china/image_1902th/79219190.pdf", "79219190")</f>
        <v>79219190</v>
      </c>
      <c r="F2339" s="10" t="s">
        <v>6652</v>
      </c>
      <c r="G2339" s="10" t="s">
        <v>6653</v>
      </c>
      <c r="H2339" s="10" t="s">
        <v>6654</v>
      </c>
      <c r="I2339" s="10" t="s">
        <v>351</v>
      </c>
    </row>
    <row r="2340" spans="1:9" x14ac:dyDescent="0.15">
      <c r="A2340" s="9">
        <v>2339</v>
      </c>
      <c r="B2340" s="10" t="s">
        <v>9</v>
      </c>
      <c r="C2340" s="10" t="s">
        <v>363</v>
      </c>
      <c r="D2340" s="10" t="s">
        <v>364</v>
      </c>
      <c r="E2340" s="11" t="str">
        <f>+HYPERLINK("http://trademark.i-assist.jp/data/china/image_1902th/79219211.pdf", "79219211")</f>
        <v>79219211</v>
      </c>
      <c r="F2340" s="10" t="s">
        <v>6655</v>
      </c>
      <c r="G2340" s="10" t="s">
        <v>6656</v>
      </c>
      <c r="H2340" s="10" t="s">
        <v>6657</v>
      </c>
      <c r="I2340" s="10" t="s">
        <v>351</v>
      </c>
    </row>
    <row r="2341" spans="1:9" x14ac:dyDescent="0.15">
      <c r="A2341" s="9">
        <v>2340</v>
      </c>
      <c r="B2341" s="10" t="s">
        <v>9</v>
      </c>
      <c r="C2341" s="10" t="s">
        <v>363</v>
      </c>
      <c r="D2341" s="10" t="s">
        <v>364</v>
      </c>
      <c r="E2341" s="11" t="str">
        <f>+HYPERLINK("http://trademark.i-assist.jp/data/china/image_1902th/79219235.pdf", "79219235")</f>
        <v>79219235</v>
      </c>
      <c r="F2341" s="10" t="s">
        <v>6658</v>
      </c>
      <c r="G2341" s="10" t="s">
        <v>6659</v>
      </c>
      <c r="H2341" s="10" t="s">
        <v>6660</v>
      </c>
      <c r="I2341" s="10" t="s">
        <v>351</v>
      </c>
    </row>
    <row r="2342" spans="1:9" x14ac:dyDescent="0.15">
      <c r="A2342" s="9">
        <v>2341</v>
      </c>
      <c r="B2342" s="10" t="s">
        <v>9</v>
      </c>
      <c r="C2342" s="10" t="s">
        <v>363</v>
      </c>
      <c r="D2342" s="10" t="s">
        <v>364</v>
      </c>
      <c r="E2342" s="11" t="str">
        <f>+HYPERLINK("http://trademark.i-assist.jp/data/china/image_1902th/79219263.pdf", "79219263")</f>
        <v>79219263</v>
      </c>
      <c r="F2342" s="10" t="s">
        <v>6661</v>
      </c>
      <c r="G2342" s="10" t="s">
        <v>6662</v>
      </c>
      <c r="H2342" s="10" t="s">
        <v>6663</v>
      </c>
      <c r="I2342" s="10" t="s">
        <v>351</v>
      </c>
    </row>
    <row r="2343" spans="1:9" x14ac:dyDescent="0.15">
      <c r="A2343" s="9">
        <v>2342</v>
      </c>
      <c r="B2343" s="10" t="s">
        <v>9</v>
      </c>
      <c r="C2343" s="10" t="s">
        <v>363</v>
      </c>
      <c r="D2343" s="10" t="s">
        <v>364</v>
      </c>
      <c r="E2343" s="11" t="str">
        <f>+HYPERLINK("http://trademark.i-assist.jp/data/china/image_1902th/79219807.pdf", "79219807")</f>
        <v>79219807</v>
      </c>
      <c r="F2343" s="10" t="s">
        <v>6664</v>
      </c>
      <c r="G2343" s="10" t="s">
        <v>6653</v>
      </c>
      <c r="H2343" s="10" t="s">
        <v>6665</v>
      </c>
      <c r="I2343" s="10" t="s">
        <v>351</v>
      </c>
    </row>
    <row r="2344" spans="1:9" x14ac:dyDescent="0.15">
      <c r="A2344" s="9">
        <v>2343</v>
      </c>
      <c r="B2344" s="10" t="s">
        <v>9</v>
      </c>
      <c r="C2344" s="10" t="s">
        <v>363</v>
      </c>
      <c r="D2344" s="10" t="s">
        <v>364</v>
      </c>
      <c r="E2344" s="11" t="str">
        <f>+HYPERLINK("http://trademark.i-assist.jp/data/china/image_1902th/79219933.pdf", "79219933")</f>
        <v>79219933</v>
      </c>
      <c r="F2344" s="10" t="s">
        <v>6666</v>
      </c>
      <c r="G2344" s="10" t="s">
        <v>6667</v>
      </c>
      <c r="H2344" s="10" t="s">
        <v>6668</v>
      </c>
      <c r="I2344" s="10" t="s">
        <v>351</v>
      </c>
    </row>
    <row r="2345" spans="1:9" x14ac:dyDescent="0.15">
      <c r="A2345" s="9">
        <v>2344</v>
      </c>
      <c r="B2345" s="10" t="s">
        <v>9</v>
      </c>
      <c r="C2345" s="10" t="s">
        <v>363</v>
      </c>
      <c r="D2345" s="10" t="s">
        <v>364</v>
      </c>
      <c r="E2345" s="11" t="str">
        <f>+HYPERLINK("http://trademark.i-assist.jp/data/china/image_1902th/79220104.pdf", "79220104")</f>
        <v>79220104</v>
      </c>
      <c r="F2345" s="10" t="s">
        <v>6669</v>
      </c>
      <c r="G2345" s="10" t="s">
        <v>6492</v>
      </c>
      <c r="H2345" s="10" t="s">
        <v>6670</v>
      </c>
      <c r="I2345" s="10" t="s">
        <v>351</v>
      </c>
    </row>
    <row r="2346" spans="1:9" x14ac:dyDescent="0.15">
      <c r="A2346" s="9">
        <v>2345</v>
      </c>
      <c r="B2346" s="10" t="s">
        <v>9</v>
      </c>
      <c r="C2346" s="10" t="s">
        <v>363</v>
      </c>
      <c r="D2346" s="10" t="s">
        <v>364</v>
      </c>
      <c r="E2346" s="11" t="str">
        <f>+HYPERLINK("http://trademark.i-assist.jp/data/china/image_1902th/79220410.pdf", "79220410")</f>
        <v>79220410</v>
      </c>
      <c r="F2346" s="10" t="s">
        <v>6671</v>
      </c>
      <c r="G2346" s="10" t="s">
        <v>6672</v>
      </c>
      <c r="H2346" s="10" t="s">
        <v>6673</v>
      </c>
      <c r="I2346" s="10" t="s">
        <v>351</v>
      </c>
    </row>
    <row r="2347" spans="1:9" x14ac:dyDescent="0.15">
      <c r="A2347" s="9">
        <v>2346</v>
      </c>
      <c r="B2347" s="10" t="s">
        <v>9</v>
      </c>
      <c r="C2347" s="10" t="s">
        <v>363</v>
      </c>
      <c r="D2347" s="10" t="s">
        <v>364</v>
      </c>
      <c r="E2347" s="11" t="str">
        <f>+HYPERLINK("http://trademark.i-assist.jp/data/china/image_1902th/79220666.pdf", "79220666")</f>
        <v>79220666</v>
      </c>
      <c r="F2347" s="10" t="s">
        <v>6674</v>
      </c>
      <c r="G2347" s="10" t="s">
        <v>71</v>
      </c>
      <c r="H2347" s="10" t="s">
        <v>6675</v>
      </c>
      <c r="I2347" s="10" t="s">
        <v>351</v>
      </c>
    </row>
    <row r="2348" spans="1:9" x14ac:dyDescent="0.15">
      <c r="A2348" s="9">
        <v>2347</v>
      </c>
      <c r="B2348" s="10" t="s">
        <v>9</v>
      </c>
      <c r="C2348" s="10" t="s">
        <v>363</v>
      </c>
      <c r="D2348" s="10" t="s">
        <v>364</v>
      </c>
      <c r="E2348" s="11" t="str">
        <f>+HYPERLINK("http://trademark.i-assist.jp/data/china/image_1902th/79220682.pdf", "79220682")</f>
        <v>79220682</v>
      </c>
      <c r="F2348" s="10" t="s">
        <v>6676</v>
      </c>
      <c r="G2348" s="10" t="s">
        <v>6677</v>
      </c>
      <c r="H2348" s="10" t="s">
        <v>6678</v>
      </c>
      <c r="I2348" s="10" t="s">
        <v>351</v>
      </c>
    </row>
    <row r="2349" spans="1:9" x14ac:dyDescent="0.15">
      <c r="A2349" s="9">
        <v>2348</v>
      </c>
      <c r="B2349" s="10" t="s">
        <v>9</v>
      </c>
      <c r="C2349" s="10" t="s">
        <v>363</v>
      </c>
      <c r="D2349" s="10" t="s">
        <v>364</v>
      </c>
      <c r="E2349" s="11" t="str">
        <f>+HYPERLINK("http://trademark.i-assist.jp/data/china/image_1902th/79220735.pdf", "79220735")</f>
        <v>79220735</v>
      </c>
      <c r="F2349" s="10" t="s">
        <v>6679</v>
      </c>
      <c r="G2349" s="10" t="s">
        <v>71</v>
      </c>
      <c r="H2349" s="10" t="s">
        <v>6680</v>
      </c>
      <c r="I2349" s="10" t="s">
        <v>351</v>
      </c>
    </row>
    <row r="2350" spans="1:9" x14ac:dyDescent="0.15">
      <c r="A2350" s="9">
        <v>2349</v>
      </c>
      <c r="B2350" s="10" t="s">
        <v>9</v>
      </c>
      <c r="C2350" s="10" t="s">
        <v>363</v>
      </c>
      <c r="D2350" s="10" t="s">
        <v>364</v>
      </c>
      <c r="E2350" s="11" t="str">
        <f>+HYPERLINK("http://trademark.i-assist.jp/data/china/image_1902th/79220958.pdf", "79220958")</f>
        <v>79220958</v>
      </c>
      <c r="F2350" s="10" t="s">
        <v>12</v>
      </c>
      <c r="G2350" s="10" t="s">
        <v>6681</v>
      </c>
      <c r="H2350" s="10" t="s">
        <v>6682</v>
      </c>
      <c r="I2350" s="10" t="s">
        <v>351</v>
      </c>
    </row>
    <row r="2351" spans="1:9" x14ac:dyDescent="0.15">
      <c r="A2351" s="9">
        <v>2350</v>
      </c>
      <c r="B2351" s="10" t="s">
        <v>9</v>
      </c>
      <c r="C2351" s="10" t="s">
        <v>363</v>
      </c>
      <c r="D2351" s="10" t="s">
        <v>364</v>
      </c>
      <c r="E2351" s="11" t="str">
        <f>+HYPERLINK("http://trademark.i-assist.jp/data/china/image_1902th/79220992.pdf", "79220992")</f>
        <v>79220992</v>
      </c>
      <c r="F2351" s="10" t="s">
        <v>6683</v>
      </c>
      <c r="G2351" s="10" t="s">
        <v>6684</v>
      </c>
      <c r="H2351" s="10" t="s">
        <v>6685</v>
      </c>
      <c r="I2351" s="10" t="s">
        <v>351</v>
      </c>
    </row>
    <row r="2352" spans="1:9" x14ac:dyDescent="0.15">
      <c r="A2352" s="9">
        <v>2351</v>
      </c>
      <c r="B2352" s="10" t="s">
        <v>9</v>
      </c>
      <c r="C2352" s="10" t="s">
        <v>363</v>
      </c>
      <c r="D2352" s="10" t="s">
        <v>364</v>
      </c>
      <c r="E2352" s="11" t="str">
        <f>+HYPERLINK("http://trademark.i-assist.jp/data/china/image_1902th/79221123.pdf", "79221123")</f>
        <v>79221123</v>
      </c>
      <c r="F2352" s="10" t="s">
        <v>6686</v>
      </c>
      <c r="G2352" s="10" t="s">
        <v>6687</v>
      </c>
      <c r="H2352" s="10" t="s">
        <v>6688</v>
      </c>
      <c r="I2352" s="10" t="s">
        <v>351</v>
      </c>
    </row>
    <row r="2353" spans="1:9" x14ac:dyDescent="0.15">
      <c r="A2353" s="9">
        <v>2352</v>
      </c>
      <c r="B2353" s="10" t="s">
        <v>9</v>
      </c>
      <c r="C2353" s="10" t="s">
        <v>363</v>
      </c>
      <c r="D2353" s="10" t="s">
        <v>364</v>
      </c>
      <c r="E2353" s="11" t="str">
        <f>+HYPERLINK("http://trademark.i-assist.jp/data/china/image_1902th/79221336.pdf", "79221336")</f>
        <v>79221336</v>
      </c>
      <c r="F2353" s="10" t="s">
        <v>6597</v>
      </c>
      <c r="G2353" s="10" t="s">
        <v>6598</v>
      </c>
      <c r="H2353" s="10" t="s">
        <v>6689</v>
      </c>
      <c r="I2353" s="10" t="s">
        <v>351</v>
      </c>
    </row>
    <row r="2354" spans="1:9" x14ac:dyDescent="0.15">
      <c r="A2354" s="9">
        <v>2353</v>
      </c>
      <c r="B2354" s="10" t="s">
        <v>9</v>
      </c>
      <c r="C2354" s="10" t="s">
        <v>363</v>
      </c>
      <c r="D2354" s="10" t="s">
        <v>364</v>
      </c>
      <c r="E2354" s="11" t="str">
        <f>+HYPERLINK("http://trademark.i-assist.jp/data/china/image_1902th/79221640.pdf", "79221640")</f>
        <v>79221640</v>
      </c>
      <c r="F2354" s="10" t="s">
        <v>6690</v>
      </c>
      <c r="G2354" s="10" t="s">
        <v>6691</v>
      </c>
      <c r="H2354" s="10" t="s">
        <v>6692</v>
      </c>
      <c r="I2354" s="10" t="s">
        <v>351</v>
      </c>
    </row>
    <row r="2355" spans="1:9" x14ac:dyDescent="0.15">
      <c r="A2355" s="9">
        <v>2354</v>
      </c>
      <c r="B2355" s="10" t="s">
        <v>9</v>
      </c>
      <c r="C2355" s="10" t="s">
        <v>363</v>
      </c>
      <c r="D2355" s="10" t="s">
        <v>364</v>
      </c>
      <c r="E2355" s="11" t="str">
        <f>+HYPERLINK("http://trademark.i-assist.jp/data/china/image_1902th/79221666.pdf", "79221666")</f>
        <v>79221666</v>
      </c>
      <c r="F2355" s="10" t="s">
        <v>6693</v>
      </c>
      <c r="G2355" s="10" t="s">
        <v>6492</v>
      </c>
      <c r="H2355" s="10" t="s">
        <v>6694</v>
      </c>
      <c r="I2355" s="10" t="s">
        <v>351</v>
      </c>
    </row>
    <row r="2356" spans="1:9" x14ac:dyDescent="0.15">
      <c r="A2356" s="9">
        <v>2355</v>
      </c>
      <c r="B2356" s="10" t="s">
        <v>9</v>
      </c>
      <c r="C2356" s="10" t="s">
        <v>363</v>
      </c>
      <c r="D2356" s="10" t="s">
        <v>364</v>
      </c>
      <c r="E2356" s="11" t="str">
        <f>+HYPERLINK("http://trademark.i-assist.jp/data/china/image_1902th/79221753.pdf", "79221753")</f>
        <v>79221753</v>
      </c>
      <c r="F2356" s="10" t="s">
        <v>6695</v>
      </c>
      <c r="G2356" s="10" t="s">
        <v>6394</v>
      </c>
      <c r="H2356" s="10" t="s">
        <v>6696</v>
      </c>
      <c r="I2356" s="10" t="s">
        <v>351</v>
      </c>
    </row>
    <row r="2357" spans="1:9" x14ac:dyDescent="0.15">
      <c r="A2357" s="9">
        <v>2356</v>
      </c>
      <c r="B2357" s="10" t="s">
        <v>9</v>
      </c>
      <c r="C2357" s="10" t="s">
        <v>363</v>
      </c>
      <c r="D2357" s="10" t="s">
        <v>364</v>
      </c>
      <c r="E2357" s="11" t="str">
        <f>+HYPERLINK("http://trademark.i-assist.jp/data/china/image_1902th/79222014.pdf", "79222014")</f>
        <v>79222014</v>
      </c>
      <c r="F2357" s="10" t="s">
        <v>6697</v>
      </c>
      <c r="G2357" s="10" t="s">
        <v>6698</v>
      </c>
      <c r="H2357" s="10" t="s">
        <v>6699</v>
      </c>
      <c r="I2357" s="10" t="s">
        <v>351</v>
      </c>
    </row>
    <row r="2358" spans="1:9" x14ac:dyDescent="0.15">
      <c r="A2358" s="9">
        <v>2357</v>
      </c>
      <c r="B2358" s="10" t="s">
        <v>9</v>
      </c>
      <c r="C2358" s="10" t="s">
        <v>363</v>
      </c>
      <c r="D2358" s="10" t="s">
        <v>364</v>
      </c>
      <c r="E2358" s="11" t="str">
        <f>+HYPERLINK("http://trademark.i-assist.jp/data/china/image_1902th/79222071.pdf", "79222071")</f>
        <v>79222071</v>
      </c>
      <c r="F2358" s="10" t="s">
        <v>6700</v>
      </c>
      <c r="G2358" s="10" t="s">
        <v>6701</v>
      </c>
      <c r="H2358" s="10" t="s">
        <v>6702</v>
      </c>
      <c r="I2358" s="10" t="s">
        <v>351</v>
      </c>
    </row>
    <row r="2359" spans="1:9" x14ac:dyDescent="0.15">
      <c r="A2359" s="9">
        <v>2358</v>
      </c>
      <c r="B2359" s="10" t="s">
        <v>9</v>
      </c>
      <c r="C2359" s="10" t="s">
        <v>363</v>
      </c>
      <c r="D2359" s="10" t="s">
        <v>364</v>
      </c>
      <c r="E2359" s="11" t="str">
        <f>+HYPERLINK("http://trademark.i-assist.jp/data/china/image_1902th/79222585.pdf", "79222585")</f>
        <v>79222585</v>
      </c>
      <c r="F2359" s="10" t="s">
        <v>6703</v>
      </c>
      <c r="G2359" s="10" t="s">
        <v>6704</v>
      </c>
      <c r="H2359" s="10" t="s">
        <v>6705</v>
      </c>
      <c r="I2359" s="10" t="s">
        <v>351</v>
      </c>
    </row>
    <row r="2360" spans="1:9" x14ac:dyDescent="0.15">
      <c r="A2360" s="9">
        <v>2359</v>
      </c>
      <c r="B2360" s="10" t="s">
        <v>9</v>
      </c>
      <c r="C2360" s="10" t="s">
        <v>363</v>
      </c>
      <c r="D2360" s="10" t="s">
        <v>364</v>
      </c>
      <c r="E2360" s="11" t="str">
        <f>+HYPERLINK("http://trademark.i-assist.jp/data/china/image_1902th/79222763.pdf", "79222763")</f>
        <v>79222763</v>
      </c>
      <c r="F2360" s="10" t="s">
        <v>6706</v>
      </c>
      <c r="G2360" s="10" t="s">
        <v>6707</v>
      </c>
      <c r="H2360" s="10" t="s">
        <v>6708</v>
      </c>
      <c r="I2360" s="10" t="s">
        <v>351</v>
      </c>
    </row>
    <row r="2361" spans="1:9" x14ac:dyDescent="0.15">
      <c r="A2361" s="9">
        <v>2360</v>
      </c>
      <c r="B2361" s="10" t="s">
        <v>9</v>
      </c>
      <c r="C2361" s="10" t="s">
        <v>363</v>
      </c>
      <c r="D2361" s="10" t="s">
        <v>364</v>
      </c>
      <c r="E2361" s="11" t="str">
        <f>+HYPERLINK("http://trademark.i-assist.jp/data/china/image_1902th/79222851.pdf", "79222851")</f>
        <v>79222851</v>
      </c>
      <c r="F2361" s="10" t="s">
        <v>6709</v>
      </c>
      <c r="G2361" s="10" t="s">
        <v>6710</v>
      </c>
      <c r="H2361" s="10" t="s">
        <v>6711</v>
      </c>
      <c r="I2361" s="10" t="s">
        <v>351</v>
      </c>
    </row>
    <row r="2362" spans="1:9" x14ac:dyDescent="0.15">
      <c r="A2362" s="9">
        <v>2361</v>
      </c>
      <c r="B2362" s="10" t="s">
        <v>9</v>
      </c>
      <c r="C2362" s="10" t="s">
        <v>363</v>
      </c>
      <c r="D2362" s="10" t="s">
        <v>364</v>
      </c>
      <c r="E2362" s="11" t="str">
        <f>+HYPERLINK("http://trademark.i-assist.jp/data/china/image_1902th/79222865.pdf", "79222865")</f>
        <v>79222865</v>
      </c>
      <c r="F2362" s="10" t="s">
        <v>6712</v>
      </c>
      <c r="G2362" s="10" t="s">
        <v>6492</v>
      </c>
      <c r="H2362" s="10" t="s">
        <v>6713</v>
      </c>
      <c r="I2362" s="10" t="s">
        <v>351</v>
      </c>
    </row>
    <row r="2363" spans="1:9" x14ac:dyDescent="0.15">
      <c r="A2363" s="9">
        <v>2362</v>
      </c>
      <c r="B2363" s="10" t="s">
        <v>9</v>
      </c>
      <c r="C2363" s="10" t="s">
        <v>363</v>
      </c>
      <c r="D2363" s="10" t="s">
        <v>364</v>
      </c>
      <c r="E2363" s="11" t="str">
        <f>+HYPERLINK("http://trademark.i-assist.jp/data/china/image_1902th/79223257.pdf", "79223257")</f>
        <v>79223257</v>
      </c>
      <c r="F2363" s="10" t="s">
        <v>6714</v>
      </c>
      <c r="G2363" s="10" t="s">
        <v>5289</v>
      </c>
      <c r="H2363" s="10" t="s">
        <v>6715</v>
      </c>
      <c r="I2363" s="10" t="s">
        <v>351</v>
      </c>
    </row>
    <row r="2364" spans="1:9" x14ac:dyDescent="0.15">
      <c r="A2364" s="9">
        <v>2363</v>
      </c>
      <c r="B2364" s="10" t="s">
        <v>9</v>
      </c>
      <c r="C2364" s="10" t="s">
        <v>363</v>
      </c>
      <c r="D2364" s="10" t="s">
        <v>364</v>
      </c>
      <c r="E2364" s="11" t="str">
        <f>+HYPERLINK("http://trademark.i-assist.jp/data/china/image_1902th/79223296.pdf", "79223296")</f>
        <v>79223296</v>
      </c>
      <c r="F2364" s="10" t="s">
        <v>6716</v>
      </c>
      <c r="G2364" s="10" t="s">
        <v>6717</v>
      </c>
      <c r="H2364" s="10" t="s">
        <v>6718</v>
      </c>
      <c r="I2364" s="10" t="s">
        <v>351</v>
      </c>
    </row>
    <row r="2365" spans="1:9" x14ac:dyDescent="0.15">
      <c r="A2365" s="9">
        <v>2364</v>
      </c>
      <c r="B2365" s="10" t="s">
        <v>9</v>
      </c>
      <c r="C2365" s="10" t="s">
        <v>363</v>
      </c>
      <c r="D2365" s="10" t="s">
        <v>364</v>
      </c>
      <c r="E2365" s="11" t="str">
        <f>+HYPERLINK("http://trademark.i-assist.jp/data/china/image_1902th/79223834.pdf", "79223834")</f>
        <v>79223834</v>
      </c>
      <c r="F2365" s="10" t="s">
        <v>6719</v>
      </c>
      <c r="G2365" s="10" t="s">
        <v>6410</v>
      </c>
      <c r="H2365" s="10" t="s">
        <v>6720</v>
      </c>
      <c r="I2365" s="10" t="s">
        <v>351</v>
      </c>
    </row>
    <row r="2366" spans="1:9" x14ac:dyDescent="0.15">
      <c r="A2366" s="9">
        <v>2365</v>
      </c>
      <c r="B2366" s="10" t="s">
        <v>9</v>
      </c>
      <c r="C2366" s="10" t="s">
        <v>363</v>
      </c>
      <c r="D2366" s="10" t="s">
        <v>364</v>
      </c>
      <c r="E2366" s="11" t="str">
        <f>+HYPERLINK("http://trademark.i-assist.jp/data/china/image_1902th/79223843.pdf", "79223843")</f>
        <v>79223843</v>
      </c>
      <c r="F2366" s="10" t="s">
        <v>6721</v>
      </c>
      <c r="G2366" s="10" t="s">
        <v>300</v>
      </c>
      <c r="H2366" s="10" t="s">
        <v>6722</v>
      </c>
      <c r="I2366" s="10" t="s">
        <v>351</v>
      </c>
    </row>
    <row r="2367" spans="1:9" x14ac:dyDescent="0.15">
      <c r="A2367" s="9">
        <v>2366</v>
      </c>
      <c r="B2367" s="10" t="s">
        <v>9</v>
      </c>
      <c r="C2367" s="10" t="s">
        <v>363</v>
      </c>
      <c r="D2367" s="10" t="s">
        <v>364</v>
      </c>
      <c r="E2367" s="11" t="str">
        <f>+HYPERLINK("http://trademark.i-assist.jp/data/china/image_1902th/79223866.pdf", "79223866")</f>
        <v>79223866</v>
      </c>
      <c r="F2367" s="10" t="s">
        <v>6723</v>
      </c>
      <c r="G2367" s="10" t="s">
        <v>6642</v>
      </c>
      <c r="H2367" s="10" t="s">
        <v>6724</v>
      </c>
      <c r="I2367" s="10" t="s">
        <v>351</v>
      </c>
    </row>
    <row r="2368" spans="1:9" x14ac:dyDescent="0.15">
      <c r="A2368" s="9">
        <v>2367</v>
      </c>
      <c r="B2368" s="10" t="s">
        <v>9</v>
      </c>
      <c r="C2368" s="10" t="s">
        <v>363</v>
      </c>
      <c r="D2368" s="10" t="s">
        <v>364</v>
      </c>
      <c r="E2368" s="11" t="str">
        <f>+HYPERLINK("http://trademark.i-assist.jp/data/china/image_1902th/79223985.pdf", "79223985")</f>
        <v>79223985</v>
      </c>
      <c r="F2368" s="10" t="s">
        <v>6725</v>
      </c>
      <c r="G2368" s="10" t="s">
        <v>201</v>
      </c>
      <c r="H2368" s="10" t="s">
        <v>6726</v>
      </c>
      <c r="I2368" s="10" t="s">
        <v>351</v>
      </c>
    </row>
    <row r="2369" spans="1:9" x14ac:dyDescent="0.15">
      <c r="A2369" s="9">
        <v>2368</v>
      </c>
      <c r="B2369" s="10" t="s">
        <v>9</v>
      </c>
      <c r="C2369" s="10" t="s">
        <v>363</v>
      </c>
      <c r="D2369" s="10" t="s">
        <v>364</v>
      </c>
      <c r="E2369" s="11" t="str">
        <f>+HYPERLINK("http://trademark.i-assist.jp/data/china/image_1902th/79224035.pdf", "79224035")</f>
        <v>79224035</v>
      </c>
      <c r="F2369" s="10" t="s">
        <v>6727</v>
      </c>
      <c r="G2369" s="10" t="s">
        <v>4081</v>
      </c>
      <c r="H2369" s="10" t="s">
        <v>6728</v>
      </c>
      <c r="I2369" s="10" t="s">
        <v>351</v>
      </c>
    </row>
    <row r="2370" spans="1:9" x14ac:dyDescent="0.15">
      <c r="A2370" s="9">
        <v>2369</v>
      </c>
      <c r="B2370" s="10" t="s">
        <v>9</v>
      </c>
      <c r="C2370" s="10" t="s">
        <v>363</v>
      </c>
      <c r="D2370" s="10" t="s">
        <v>364</v>
      </c>
      <c r="E2370" s="11" t="str">
        <f>+HYPERLINK("http://trademark.i-assist.jp/data/china/image_1902th/79224048.pdf", "79224048")</f>
        <v>79224048</v>
      </c>
      <c r="F2370" s="10" t="s">
        <v>6729</v>
      </c>
      <c r="G2370" s="10" t="s">
        <v>6730</v>
      </c>
      <c r="H2370" s="10" t="s">
        <v>6731</v>
      </c>
      <c r="I2370" s="10" t="s">
        <v>351</v>
      </c>
    </row>
    <row r="2371" spans="1:9" x14ac:dyDescent="0.15">
      <c r="A2371" s="9">
        <v>2370</v>
      </c>
      <c r="B2371" s="10" t="s">
        <v>9</v>
      </c>
      <c r="C2371" s="10" t="s">
        <v>363</v>
      </c>
      <c r="D2371" s="10" t="s">
        <v>364</v>
      </c>
      <c r="E2371" s="11" t="str">
        <f>+HYPERLINK("http://trademark.i-assist.jp/data/china/image_1902th/79224180.pdf", "79224180")</f>
        <v>79224180</v>
      </c>
      <c r="F2371" s="10" t="s">
        <v>12</v>
      </c>
      <c r="G2371" s="10" t="s">
        <v>6732</v>
      </c>
      <c r="H2371" s="10" t="s">
        <v>6733</v>
      </c>
      <c r="I2371" s="10" t="s">
        <v>351</v>
      </c>
    </row>
    <row r="2372" spans="1:9" x14ac:dyDescent="0.15">
      <c r="A2372" s="9">
        <v>2371</v>
      </c>
      <c r="B2372" s="10" t="s">
        <v>9</v>
      </c>
      <c r="C2372" s="10" t="s">
        <v>363</v>
      </c>
      <c r="D2372" s="10" t="s">
        <v>364</v>
      </c>
      <c r="E2372" s="11" t="str">
        <f>+HYPERLINK("http://trademark.i-assist.jp/data/china/image_1902th/79224308.pdf", "79224308")</f>
        <v>79224308</v>
      </c>
      <c r="F2372" s="10" t="s">
        <v>6734</v>
      </c>
      <c r="G2372" s="10" t="s">
        <v>6735</v>
      </c>
      <c r="H2372" s="10" t="s">
        <v>6736</v>
      </c>
      <c r="I2372" s="10" t="s">
        <v>351</v>
      </c>
    </row>
    <row r="2373" spans="1:9" x14ac:dyDescent="0.15">
      <c r="A2373" s="9">
        <v>2372</v>
      </c>
      <c r="B2373" s="10" t="s">
        <v>9</v>
      </c>
      <c r="C2373" s="10" t="s">
        <v>363</v>
      </c>
      <c r="D2373" s="10" t="s">
        <v>364</v>
      </c>
      <c r="E2373" s="11" t="str">
        <f>+HYPERLINK("http://trademark.i-assist.jp/data/china/image_1902th/79224839.pdf", "79224839")</f>
        <v>79224839</v>
      </c>
      <c r="F2373" s="10" t="s">
        <v>6737</v>
      </c>
      <c r="G2373" s="10" t="s">
        <v>71</v>
      </c>
      <c r="H2373" s="10" t="s">
        <v>6738</v>
      </c>
      <c r="I2373" s="10" t="s">
        <v>351</v>
      </c>
    </row>
    <row r="2374" spans="1:9" x14ac:dyDescent="0.15">
      <c r="A2374" s="9">
        <v>2373</v>
      </c>
      <c r="B2374" s="10" t="s">
        <v>9</v>
      </c>
      <c r="C2374" s="10" t="s">
        <v>363</v>
      </c>
      <c r="D2374" s="10" t="s">
        <v>364</v>
      </c>
      <c r="E2374" s="11" t="str">
        <f>+HYPERLINK("http://trademark.i-assist.jp/data/china/image_1902th/79224848.pdf", "79224848")</f>
        <v>79224848</v>
      </c>
      <c r="F2374" s="10" t="s">
        <v>6739</v>
      </c>
      <c r="G2374" s="10" t="s">
        <v>6740</v>
      </c>
      <c r="H2374" s="10" t="s">
        <v>6741</v>
      </c>
      <c r="I2374" s="10" t="s">
        <v>351</v>
      </c>
    </row>
    <row r="2375" spans="1:9" x14ac:dyDescent="0.15">
      <c r="A2375" s="9">
        <v>2374</v>
      </c>
      <c r="B2375" s="10" t="s">
        <v>9</v>
      </c>
      <c r="C2375" s="10" t="s">
        <v>363</v>
      </c>
      <c r="D2375" s="10" t="s">
        <v>364</v>
      </c>
      <c r="E2375" s="11" t="str">
        <f>+HYPERLINK("http://trademark.i-assist.jp/data/china/image_1902th/79224893.pdf", "79224893")</f>
        <v>79224893</v>
      </c>
      <c r="F2375" s="10" t="s">
        <v>6742</v>
      </c>
      <c r="G2375" s="10" t="s">
        <v>71</v>
      </c>
      <c r="H2375" s="10" t="s">
        <v>6743</v>
      </c>
      <c r="I2375" s="10" t="s">
        <v>351</v>
      </c>
    </row>
    <row r="2376" spans="1:9" x14ac:dyDescent="0.15">
      <c r="A2376" s="9">
        <v>2375</v>
      </c>
      <c r="B2376" s="10" t="s">
        <v>9</v>
      </c>
      <c r="C2376" s="10" t="s">
        <v>363</v>
      </c>
      <c r="D2376" s="10" t="s">
        <v>364</v>
      </c>
      <c r="E2376" s="11" t="str">
        <f>+HYPERLINK("http://trademark.i-assist.jp/data/china/image_1902th/79224906.pdf", "79224906")</f>
        <v>79224906</v>
      </c>
      <c r="F2376" s="10" t="s">
        <v>6744</v>
      </c>
      <c r="G2376" s="10" t="s">
        <v>71</v>
      </c>
      <c r="H2376" s="10" t="s">
        <v>6745</v>
      </c>
      <c r="I2376" s="10" t="s">
        <v>351</v>
      </c>
    </row>
    <row r="2377" spans="1:9" x14ac:dyDescent="0.15">
      <c r="A2377" s="9">
        <v>2376</v>
      </c>
      <c r="B2377" s="10" t="s">
        <v>9</v>
      </c>
      <c r="C2377" s="10" t="s">
        <v>363</v>
      </c>
      <c r="D2377" s="10" t="s">
        <v>364</v>
      </c>
      <c r="E2377" s="11" t="str">
        <f>+HYPERLINK("http://trademark.i-assist.jp/data/china/image_1902th/79224918.pdf", "79224918")</f>
        <v>79224918</v>
      </c>
      <c r="F2377" s="10" t="s">
        <v>6746</v>
      </c>
      <c r="G2377" s="10" t="s">
        <v>6747</v>
      </c>
      <c r="H2377" s="10" t="s">
        <v>6748</v>
      </c>
      <c r="I2377" s="10" t="s">
        <v>351</v>
      </c>
    </row>
    <row r="2378" spans="1:9" x14ac:dyDescent="0.15">
      <c r="A2378" s="9">
        <v>2377</v>
      </c>
      <c r="B2378" s="10" t="s">
        <v>9</v>
      </c>
      <c r="C2378" s="10" t="s">
        <v>363</v>
      </c>
      <c r="D2378" s="10" t="s">
        <v>364</v>
      </c>
      <c r="E2378" s="11" t="str">
        <f>+HYPERLINK("http://trademark.i-assist.jp/data/china/image_1902th/79224972.pdf", "79224972")</f>
        <v>79224972</v>
      </c>
      <c r="F2378" s="10" t="s">
        <v>6749</v>
      </c>
      <c r="G2378" s="10" t="s">
        <v>6750</v>
      </c>
      <c r="H2378" s="10" t="s">
        <v>6751</v>
      </c>
      <c r="I2378" s="10" t="s">
        <v>351</v>
      </c>
    </row>
    <row r="2379" spans="1:9" x14ac:dyDescent="0.15">
      <c r="A2379" s="9">
        <v>2378</v>
      </c>
      <c r="B2379" s="10" t="s">
        <v>9</v>
      </c>
      <c r="C2379" s="10" t="s">
        <v>363</v>
      </c>
      <c r="D2379" s="10" t="s">
        <v>364</v>
      </c>
      <c r="E2379" s="11" t="str">
        <f>+HYPERLINK("http://trademark.i-assist.jp/data/china/image_1902th/79225187.pdf", "79225187")</f>
        <v>79225187</v>
      </c>
      <c r="F2379" s="10" t="s">
        <v>6752</v>
      </c>
      <c r="G2379" s="10" t="s">
        <v>6753</v>
      </c>
      <c r="H2379" s="10" t="s">
        <v>6754</v>
      </c>
      <c r="I2379" s="10" t="s">
        <v>351</v>
      </c>
    </row>
    <row r="2380" spans="1:9" x14ac:dyDescent="0.15">
      <c r="A2380" s="9">
        <v>2379</v>
      </c>
      <c r="B2380" s="10" t="s">
        <v>9</v>
      </c>
      <c r="C2380" s="10" t="s">
        <v>363</v>
      </c>
      <c r="D2380" s="10" t="s">
        <v>364</v>
      </c>
      <c r="E2380" s="11" t="str">
        <f>+HYPERLINK("http://trademark.i-assist.jp/data/china/image_1902th/79225188.pdf", "79225188")</f>
        <v>79225188</v>
      </c>
      <c r="F2380" s="10" t="s">
        <v>6755</v>
      </c>
      <c r="G2380" s="10" t="s">
        <v>6473</v>
      </c>
      <c r="H2380" s="10" t="s">
        <v>6756</v>
      </c>
      <c r="I2380" s="10" t="s">
        <v>351</v>
      </c>
    </row>
    <row r="2381" spans="1:9" x14ac:dyDescent="0.15">
      <c r="A2381" s="9">
        <v>2380</v>
      </c>
      <c r="B2381" s="10" t="s">
        <v>9</v>
      </c>
      <c r="C2381" s="10" t="s">
        <v>363</v>
      </c>
      <c r="D2381" s="10" t="s">
        <v>364</v>
      </c>
      <c r="E2381" s="11" t="str">
        <f>+HYPERLINK("http://trademark.i-assist.jp/data/china/image_1902th/79225207.pdf", "79225207")</f>
        <v>79225207</v>
      </c>
      <c r="F2381" s="10" t="s">
        <v>6757</v>
      </c>
      <c r="G2381" s="10" t="s">
        <v>6758</v>
      </c>
      <c r="H2381" s="10" t="s">
        <v>6759</v>
      </c>
      <c r="I2381" s="10" t="s">
        <v>351</v>
      </c>
    </row>
    <row r="2382" spans="1:9" x14ac:dyDescent="0.15">
      <c r="A2382" s="9">
        <v>2381</v>
      </c>
      <c r="B2382" s="10" t="s">
        <v>9</v>
      </c>
      <c r="C2382" s="10" t="s">
        <v>363</v>
      </c>
      <c r="D2382" s="10" t="s">
        <v>364</v>
      </c>
      <c r="E2382" s="11" t="str">
        <f>+HYPERLINK("http://trademark.i-assist.jp/data/china/image_1902th/79225295.pdf", "79225295")</f>
        <v>79225295</v>
      </c>
      <c r="F2382" s="10" t="s">
        <v>6760</v>
      </c>
      <c r="G2382" s="10" t="s">
        <v>6761</v>
      </c>
      <c r="H2382" s="10" t="s">
        <v>6762</v>
      </c>
      <c r="I2382" s="10" t="s">
        <v>351</v>
      </c>
    </row>
    <row r="2383" spans="1:9" x14ac:dyDescent="0.15">
      <c r="A2383" s="9">
        <v>2382</v>
      </c>
      <c r="B2383" s="10" t="s">
        <v>9</v>
      </c>
      <c r="C2383" s="10" t="s">
        <v>363</v>
      </c>
      <c r="D2383" s="10" t="s">
        <v>364</v>
      </c>
      <c r="E2383" s="11" t="str">
        <f>+HYPERLINK("http://trademark.i-assist.jp/data/china/image_1902th/79225415.pdf", "79225415")</f>
        <v>79225415</v>
      </c>
      <c r="F2383" s="10" t="s">
        <v>6763</v>
      </c>
      <c r="G2383" s="10" t="s">
        <v>6764</v>
      </c>
      <c r="H2383" s="10" t="s">
        <v>6765</v>
      </c>
      <c r="I2383" s="10" t="s">
        <v>351</v>
      </c>
    </row>
    <row r="2384" spans="1:9" x14ac:dyDescent="0.15">
      <c r="A2384" s="9">
        <v>2383</v>
      </c>
      <c r="B2384" s="10" t="s">
        <v>9</v>
      </c>
      <c r="C2384" s="10" t="s">
        <v>363</v>
      </c>
      <c r="D2384" s="10" t="s">
        <v>364</v>
      </c>
      <c r="E2384" s="11" t="str">
        <f>+HYPERLINK("http://trademark.i-assist.jp/data/china/image_1902th/79225454.pdf", "79225454")</f>
        <v>79225454</v>
      </c>
      <c r="F2384" s="10" t="s">
        <v>6766</v>
      </c>
      <c r="G2384" s="10" t="s">
        <v>6767</v>
      </c>
      <c r="H2384" s="10" t="s">
        <v>6768</v>
      </c>
      <c r="I2384" s="10" t="s">
        <v>351</v>
      </c>
    </row>
    <row r="2385" spans="1:9" x14ac:dyDescent="0.15">
      <c r="A2385" s="9">
        <v>2384</v>
      </c>
      <c r="B2385" s="10" t="s">
        <v>9</v>
      </c>
      <c r="C2385" s="10" t="s">
        <v>363</v>
      </c>
      <c r="D2385" s="10" t="s">
        <v>364</v>
      </c>
      <c r="E2385" s="11" t="str">
        <f>+HYPERLINK("http://trademark.i-assist.jp/data/china/image_1902th/79225463.pdf", "79225463")</f>
        <v>79225463</v>
      </c>
      <c r="F2385" s="10" t="s">
        <v>6769</v>
      </c>
      <c r="G2385" s="10" t="s">
        <v>109</v>
      </c>
      <c r="H2385" s="10" t="s">
        <v>6770</v>
      </c>
      <c r="I2385" s="10" t="s">
        <v>351</v>
      </c>
    </row>
    <row r="2386" spans="1:9" x14ac:dyDescent="0.15">
      <c r="A2386" s="9">
        <v>2385</v>
      </c>
      <c r="B2386" s="10" t="s">
        <v>9</v>
      </c>
      <c r="C2386" s="10" t="s">
        <v>363</v>
      </c>
      <c r="D2386" s="10" t="s">
        <v>364</v>
      </c>
      <c r="E2386" s="11" t="str">
        <f>+HYPERLINK("http://trademark.i-assist.jp/data/china/image_1902th/79225544.pdf", "79225544")</f>
        <v>79225544</v>
      </c>
      <c r="F2386" s="10" t="s">
        <v>6771</v>
      </c>
      <c r="G2386" s="10" t="s">
        <v>6772</v>
      </c>
      <c r="H2386" s="10" t="s">
        <v>6773</v>
      </c>
      <c r="I2386" s="10" t="s">
        <v>351</v>
      </c>
    </row>
    <row r="2387" spans="1:9" x14ac:dyDescent="0.15">
      <c r="A2387" s="9">
        <v>2386</v>
      </c>
      <c r="B2387" s="10" t="s">
        <v>9</v>
      </c>
      <c r="C2387" s="10" t="s">
        <v>363</v>
      </c>
      <c r="D2387" s="10" t="s">
        <v>364</v>
      </c>
      <c r="E2387" s="11" t="str">
        <f>+HYPERLINK("http://trademark.i-assist.jp/data/china/image_1902th/79225573.pdf", "79225573")</f>
        <v>79225573</v>
      </c>
      <c r="F2387" s="10" t="s">
        <v>6774</v>
      </c>
      <c r="G2387" s="10" t="s">
        <v>6775</v>
      </c>
      <c r="H2387" s="10" t="s">
        <v>6776</v>
      </c>
      <c r="I2387" s="10" t="s">
        <v>351</v>
      </c>
    </row>
    <row r="2388" spans="1:9" x14ac:dyDescent="0.15">
      <c r="A2388" s="9">
        <v>2387</v>
      </c>
      <c r="B2388" s="10" t="s">
        <v>9</v>
      </c>
      <c r="C2388" s="10" t="s">
        <v>363</v>
      </c>
      <c r="D2388" s="10" t="s">
        <v>364</v>
      </c>
      <c r="E2388" s="11" t="str">
        <f>+HYPERLINK("http://trademark.i-assist.jp/data/china/image_1902th/79225639.pdf", "79225639")</f>
        <v>79225639</v>
      </c>
      <c r="F2388" s="10" t="s">
        <v>6777</v>
      </c>
      <c r="G2388" s="10" t="s">
        <v>6399</v>
      </c>
      <c r="H2388" s="10" t="s">
        <v>6778</v>
      </c>
      <c r="I2388" s="10" t="s">
        <v>351</v>
      </c>
    </row>
    <row r="2389" spans="1:9" x14ac:dyDescent="0.15">
      <c r="A2389" s="9">
        <v>2388</v>
      </c>
      <c r="B2389" s="10" t="s">
        <v>9</v>
      </c>
      <c r="C2389" s="10" t="s">
        <v>363</v>
      </c>
      <c r="D2389" s="10" t="s">
        <v>364</v>
      </c>
      <c r="E2389" s="11" t="str">
        <f>+HYPERLINK("http://trademark.i-assist.jp/data/china/image_1902th/79225994.pdf", "79225994")</f>
        <v>79225994</v>
      </c>
      <c r="F2389" s="10" t="s">
        <v>6779</v>
      </c>
      <c r="G2389" s="10" t="s">
        <v>6780</v>
      </c>
      <c r="H2389" s="10" t="s">
        <v>6781</v>
      </c>
      <c r="I2389" s="10" t="s">
        <v>351</v>
      </c>
    </row>
    <row r="2390" spans="1:9" x14ac:dyDescent="0.15">
      <c r="A2390" s="9">
        <v>2389</v>
      </c>
      <c r="B2390" s="10" t="s">
        <v>9</v>
      </c>
      <c r="C2390" s="10" t="s">
        <v>363</v>
      </c>
      <c r="D2390" s="10" t="s">
        <v>364</v>
      </c>
      <c r="E2390" s="11" t="str">
        <f>+HYPERLINK("http://trademark.i-assist.jp/data/china/image_1902th/79226181.pdf", "79226181")</f>
        <v>79226181</v>
      </c>
      <c r="F2390" s="10" t="s">
        <v>6782</v>
      </c>
      <c r="G2390" s="10" t="s">
        <v>6783</v>
      </c>
      <c r="H2390" s="10" t="s">
        <v>6784</v>
      </c>
      <c r="I2390" s="10" t="s">
        <v>351</v>
      </c>
    </row>
    <row r="2391" spans="1:9" x14ac:dyDescent="0.15">
      <c r="A2391" s="9">
        <v>2390</v>
      </c>
      <c r="B2391" s="10" t="s">
        <v>9</v>
      </c>
      <c r="C2391" s="10" t="s">
        <v>363</v>
      </c>
      <c r="D2391" s="10" t="s">
        <v>364</v>
      </c>
      <c r="E2391" s="11" t="str">
        <f>+HYPERLINK("http://trademark.i-assist.jp/data/china/image_1902th/79226257.pdf", "79226257")</f>
        <v>79226257</v>
      </c>
      <c r="F2391" s="10" t="s">
        <v>6785</v>
      </c>
      <c r="G2391" s="10" t="s">
        <v>6407</v>
      </c>
      <c r="H2391" s="10" t="s">
        <v>6786</v>
      </c>
      <c r="I2391" s="10" t="s">
        <v>351</v>
      </c>
    </row>
    <row r="2392" spans="1:9" x14ac:dyDescent="0.15">
      <c r="A2392" s="9">
        <v>2391</v>
      </c>
      <c r="B2392" s="10" t="s">
        <v>9</v>
      </c>
      <c r="C2392" s="10" t="s">
        <v>363</v>
      </c>
      <c r="D2392" s="10" t="s">
        <v>364</v>
      </c>
      <c r="E2392" s="11" t="str">
        <f>+HYPERLINK("http://trademark.i-assist.jp/data/china/image_1902th/79226523.pdf", "79226523")</f>
        <v>79226523</v>
      </c>
      <c r="F2392" s="10" t="s">
        <v>12</v>
      </c>
      <c r="G2392" s="10" t="s">
        <v>6787</v>
      </c>
      <c r="H2392" s="10" t="s">
        <v>6788</v>
      </c>
      <c r="I2392" s="10" t="s">
        <v>351</v>
      </c>
    </row>
    <row r="2393" spans="1:9" x14ac:dyDescent="0.15">
      <c r="A2393" s="9">
        <v>2392</v>
      </c>
      <c r="B2393" s="10" t="s">
        <v>9</v>
      </c>
      <c r="C2393" s="10" t="s">
        <v>363</v>
      </c>
      <c r="D2393" s="10" t="s">
        <v>364</v>
      </c>
      <c r="E2393" s="11" t="str">
        <f>+HYPERLINK("http://trademark.i-assist.jp/data/china/image_1902th/79226902.pdf", "79226902")</f>
        <v>79226902</v>
      </c>
      <c r="F2393" s="10" t="s">
        <v>6789</v>
      </c>
      <c r="G2393" s="10" t="s">
        <v>6532</v>
      </c>
      <c r="H2393" s="10" t="s">
        <v>6790</v>
      </c>
      <c r="I2393" s="10" t="s">
        <v>351</v>
      </c>
    </row>
    <row r="2394" spans="1:9" x14ac:dyDescent="0.15">
      <c r="A2394" s="9">
        <v>2393</v>
      </c>
      <c r="B2394" s="10" t="s">
        <v>9</v>
      </c>
      <c r="C2394" s="10" t="s">
        <v>363</v>
      </c>
      <c r="D2394" s="10" t="s">
        <v>364</v>
      </c>
      <c r="E2394" s="11" t="str">
        <f>+HYPERLINK("http://trademark.i-assist.jp/data/china/image_1902th/79227185.pdf", "79227185")</f>
        <v>79227185</v>
      </c>
      <c r="F2394" s="10" t="s">
        <v>6791</v>
      </c>
      <c r="G2394" s="10" t="s">
        <v>6792</v>
      </c>
      <c r="H2394" s="10" t="s">
        <v>6793</v>
      </c>
      <c r="I2394" s="10" t="s">
        <v>351</v>
      </c>
    </row>
    <row r="2395" spans="1:9" x14ac:dyDescent="0.15">
      <c r="A2395" s="9">
        <v>2394</v>
      </c>
      <c r="B2395" s="10" t="s">
        <v>9</v>
      </c>
      <c r="C2395" s="10" t="s">
        <v>363</v>
      </c>
      <c r="D2395" s="10" t="s">
        <v>364</v>
      </c>
      <c r="E2395" s="11" t="str">
        <f>+HYPERLINK("http://trademark.i-assist.jp/data/china/image_1902th/79227342.pdf", "79227342")</f>
        <v>79227342</v>
      </c>
      <c r="F2395" s="10" t="s">
        <v>6794</v>
      </c>
      <c r="G2395" s="10" t="s">
        <v>6795</v>
      </c>
      <c r="H2395" s="10" t="s">
        <v>6796</v>
      </c>
      <c r="I2395" s="10" t="s">
        <v>351</v>
      </c>
    </row>
    <row r="2396" spans="1:9" x14ac:dyDescent="0.15">
      <c r="A2396" s="9">
        <v>2395</v>
      </c>
      <c r="B2396" s="10" t="s">
        <v>9</v>
      </c>
      <c r="C2396" s="10" t="s">
        <v>363</v>
      </c>
      <c r="D2396" s="10" t="s">
        <v>364</v>
      </c>
      <c r="E2396" s="11" t="str">
        <f>+HYPERLINK("http://trademark.i-assist.jp/data/china/image_1902th/79227553.pdf", "79227553")</f>
        <v>79227553</v>
      </c>
      <c r="F2396" s="10" t="s">
        <v>6797</v>
      </c>
      <c r="G2396" s="10" t="s">
        <v>109</v>
      </c>
      <c r="H2396" s="10" t="s">
        <v>6798</v>
      </c>
      <c r="I2396" s="10" t="s">
        <v>351</v>
      </c>
    </row>
    <row r="2397" spans="1:9" x14ac:dyDescent="0.15">
      <c r="A2397" s="9">
        <v>2396</v>
      </c>
      <c r="B2397" s="10" t="s">
        <v>9</v>
      </c>
      <c r="C2397" s="10" t="s">
        <v>363</v>
      </c>
      <c r="D2397" s="10" t="s">
        <v>364</v>
      </c>
      <c r="E2397" s="11" t="str">
        <f>+HYPERLINK("http://trademark.i-assist.jp/data/china/image_1902th/79227651.pdf", "79227651")</f>
        <v>79227651</v>
      </c>
      <c r="F2397" s="10" t="s">
        <v>6799</v>
      </c>
      <c r="G2397" s="10" t="s">
        <v>6800</v>
      </c>
      <c r="H2397" s="10" t="s">
        <v>6801</v>
      </c>
      <c r="I2397" s="10" t="s">
        <v>351</v>
      </c>
    </row>
    <row r="2398" spans="1:9" x14ac:dyDescent="0.15">
      <c r="A2398" s="9">
        <v>2397</v>
      </c>
      <c r="B2398" s="10" t="s">
        <v>9</v>
      </c>
      <c r="C2398" s="10" t="s">
        <v>363</v>
      </c>
      <c r="D2398" s="10" t="s">
        <v>364</v>
      </c>
      <c r="E2398" s="11" t="str">
        <f>+HYPERLINK("http://trademark.i-assist.jp/data/china/image_1902th/79227736.pdf", "79227736")</f>
        <v>79227736</v>
      </c>
      <c r="F2398" s="10" t="s">
        <v>6802</v>
      </c>
      <c r="G2398" s="10" t="s">
        <v>6803</v>
      </c>
      <c r="H2398" s="10" t="s">
        <v>6804</v>
      </c>
      <c r="I2398" s="10" t="s">
        <v>351</v>
      </c>
    </row>
    <row r="2399" spans="1:9" x14ac:dyDescent="0.15">
      <c r="A2399" s="9">
        <v>2398</v>
      </c>
      <c r="B2399" s="10" t="s">
        <v>9</v>
      </c>
      <c r="C2399" s="10" t="s">
        <v>363</v>
      </c>
      <c r="D2399" s="10" t="s">
        <v>364</v>
      </c>
      <c r="E2399" s="11" t="str">
        <f>+HYPERLINK("http://trademark.i-assist.jp/data/china/image_1902th/79227761.pdf", "79227761")</f>
        <v>79227761</v>
      </c>
      <c r="F2399" s="10" t="s">
        <v>12</v>
      </c>
      <c r="G2399" s="10" t="s">
        <v>6360</v>
      </c>
      <c r="H2399" s="10" t="s">
        <v>6805</v>
      </c>
      <c r="I2399" s="10" t="s">
        <v>351</v>
      </c>
    </row>
    <row r="2400" spans="1:9" x14ac:dyDescent="0.15">
      <c r="A2400" s="9">
        <v>2399</v>
      </c>
      <c r="B2400" s="10" t="s">
        <v>9</v>
      </c>
      <c r="C2400" s="10" t="s">
        <v>363</v>
      </c>
      <c r="D2400" s="10" t="s">
        <v>364</v>
      </c>
      <c r="E2400" s="11" t="str">
        <f>+HYPERLINK("http://trademark.i-assist.jp/data/china/image_1902th/79227802.pdf", "79227802")</f>
        <v>79227802</v>
      </c>
      <c r="F2400" s="10" t="s">
        <v>6806</v>
      </c>
      <c r="G2400" s="10" t="s">
        <v>6426</v>
      </c>
      <c r="H2400" s="10" t="s">
        <v>6807</v>
      </c>
      <c r="I2400" s="10" t="s">
        <v>351</v>
      </c>
    </row>
    <row r="2401" spans="1:9" x14ac:dyDescent="0.15">
      <c r="A2401" s="9">
        <v>2400</v>
      </c>
      <c r="B2401" s="10" t="s">
        <v>9</v>
      </c>
      <c r="C2401" s="10" t="s">
        <v>363</v>
      </c>
      <c r="D2401" s="10" t="s">
        <v>364</v>
      </c>
      <c r="E2401" s="11" t="str">
        <f>+HYPERLINK("http://trademark.i-assist.jp/data/china/image_1902th/79227881.pdf", "79227881")</f>
        <v>79227881</v>
      </c>
      <c r="F2401" s="10" t="s">
        <v>6808</v>
      </c>
      <c r="G2401" s="10" t="s">
        <v>6605</v>
      </c>
      <c r="H2401" s="10" t="s">
        <v>6809</v>
      </c>
      <c r="I2401" s="10" t="s">
        <v>351</v>
      </c>
    </row>
    <row r="2402" spans="1:9" x14ac:dyDescent="0.15">
      <c r="A2402" s="9">
        <v>2401</v>
      </c>
      <c r="B2402" s="10" t="s">
        <v>9</v>
      </c>
      <c r="C2402" s="10" t="s">
        <v>363</v>
      </c>
      <c r="D2402" s="10" t="s">
        <v>364</v>
      </c>
      <c r="E2402" s="11" t="str">
        <f>+HYPERLINK("http://trademark.i-assist.jp/data/china/image_1902th/79227973.pdf", "79227973")</f>
        <v>79227973</v>
      </c>
      <c r="F2402" s="10" t="s">
        <v>6810</v>
      </c>
      <c r="G2402" s="10" t="s">
        <v>6811</v>
      </c>
      <c r="H2402" s="10" t="s">
        <v>6812</v>
      </c>
      <c r="I2402" s="10" t="s">
        <v>351</v>
      </c>
    </row>
    <row r="2403" spans="1:9" x14ac:dyDescent="0.15">
      <c r="A2403" s="9">
        <v>2402</v>
      </c>
      <c r="B2403" s="10" t="s">
        <v>9</v>
      </c>
      <c r="C2403" s="10" t="s">
        <v>363</v>
      </c>
      <c r="D2403" s="10" t="s">
        <v>364</v>
      </c>
      <c r="E2403" s="11" t="str">
        <f>+HYPERLINK("http://trademark.i-assist.jp/data/china/image_1902th/79228190.pdf", "79228190")</f>
        <v>79228190</v>
      </c>
      <c r="F2403" s="10" t="s">
        <v>6813</v>
      </c>
      <c r="G2403" s="10" t="s">
        <v>6814</v>
      </c>
      <c r="H2403" s="10" t="s">
        <v>6815</v>
      </c>
      <c r="I2403" s="10" t="s">
        <v>351</v>
      </c>
    </row>
    <row r="2404" spans="1:9" x14ac:dyDescent="0.15">
      <c r="A2404" s="9">
        <v>2403</v>
      </c>
      <c r="B2404" s="10" t="s">
        <v>9</v>
      </c>
      <c r="C2404" s="10" t="s">
        <v>363</v>
      </c>
      <c r="D2404" s="10" t="s">
        <v>364</v>
      </c>
      <c r="E2404" s="11" t="str">
        <f>+HYPERLINK("http://trademark.i-assist.jp/data/china/image_1902th/79228615.pdf", "79228615")</f>
        <v>79228615</v>
      </c>
      <c r="F2404" s="10" t="s">
        <v>6816</v>
      </c>
      <c r="G2404" s="10" t="s">
        <v>71</v>
      </c>
      <c r="H2404" s="10" t="s">
        <v>6817</v>
      </c>
      <c r="I2404" s="10" t="s">
        <v>351</v>
      </c>
    </row>
    <row r="2405" spans="1:9" x14ac:dyDescent="0.15">
      <c r="A2405" s="9">
        <v>2404</v>
      </c>
      <c r="B2405" s="10" t="s">
        <v>9</v>
      </c>
      <c r="C2405" s="10" t="s">
        <v>363</v>
      </c>
      <c r="D2405" s="10" t="s">
        <v>364</v>
      </c>
      <c r="E2405" s="11" t="str">
        <f>+HYPERLINK("http://trademark.i-assist.jp/data/china/image_1902th/79228673.pdf", "79228673")</f>
        <v>79228673</v>
      </c>
      <c r="F2405" s="10" t="s">
        <v>6818</v>
      </c>
      <c r="G2405" s="10" t="s">
        <v>6819</v>
      </c>
      <c r="H2405" s="10" t="s">
        <v>6820</v>
      </c>
      <c r="I2405" s="10" t="s">
        <v>351</v>
      </c>
    </row>
    <row r="2406" spans="1:9" x14ac:dyDescent="0.15">
      <c r="A2406" s="9">
        <v>2405</v>
      </c>
      <c r="B2406" s="10" t="s">
        <v>9</v>
      </c>
      <c r="C2406" s="10" t="s">
        <v>363</v>
      </c>
      <c r="D2406" s="10" t="s">
        <v>364</v>
      </c>
      <c r="E2406" s="11" t="str">
        <f>+HYPERLINK("http://trademark.i-assist.jp/data/china/image_1902th/79228894.pdf", "79228894")</f>
        <v>79228894</v>
      </c>
      <c r="F2406" s="10" t="s">
        <v>6821</v>
      </c>
      <c r="G2406" s="10" t="s">
        <v>6822</v>
      </c>
      <c r="H2406" s="10" t="s">
        <v>6823</v>
      </c>
      <c r="I2406" s="10" t="s">
        <v>351</v>
      </c>
    </row>
    <row r="2407" spans="1:9" x14ac:dyDescent="0.15">
      <c r="A2407" s="9">
        <v>2406</v>
      </c>
      <c r="B2407" s="10" t="s">
        <v>9</v>
      </c>
      <c r="C2407" s="10" t="s">
        <v>363</v>
      </c>
      <c r="D2407" s="10" t="s">
        <v>364</v>
      </c>
      <c r="E2407" s="11" t="str">
        <f>+HYPERLINK("http://trademark.i-assist.jp/data/china/image_1902th/79228904.pdf", "79228904")</f>
        <v>79228904</v>
      </c>
      <c r="F2407" s="10" t="s">
        <v>6824</v>
      </c>
      <c r="G2407" s="10" t="s">
        <v>6825</v>
      </c>
      <c r="H2407" s="10" t="s">
        <v>6826</v>
      </c>
      <c r="I2407" s="10" t="s">
        <v>351</v>
      </c>
    </row>
    <row r="2408" spans="1:9" x14ac:dyDescent="0.15">
      <c r="A2408" s="9">
        <v>2407</v>
      </c>
      <c r="B2408" s="10" t="s">
        <v>9</v>
      </c>
      <c r="C2408" s="10" t="s">
        <v>363</v>
      </c>
      <c r="D2408" s="10" t="s">
        <v>364</v>
      </c>
      <c r="E2408" s="11" t="str">
        <f>+HYPERLINK("http://trademark.i-assist.jp/data/china/image_1902th/79228914.pdf", "79228914")</f>
        <v>79228914</v>
      </c>
      <c r="F2408" s="10" t="s">
        <v>6827</v>
      </c>
      <c r="G2408" s="10" t="s">
        <v>6487</v>
      </c>
      <c r="H2408" s="10" t="s">
        <v>6828</v>
      </c>
      <c r="I2408" s="10" t="s">
        <v>351</v>
      </c>
    </row>
    <row r="2409" spans="1:9" x14ac:dyDescent="0.15">
      <c r="A2409" s="9">
        <v>2408</v>
      </c>
      <c r="B2409" s="10" t="s">
        <v>9</v>
      </c>
      <c r="C2409" s="10" t="s">
        <v>363</v>
      </c>
      <c r="D2409" s="10" t="s">
        <v>364</v>
      </c>
      <c r="E2409" s="11" t="str">
        <f>+HYPERLINK("http://trademark.i-assist.jp/data/china/image_1902th/79228937.pdf", "79228937")</f>
        <v>79228937</v>
      </c>
      <c r="F2409" s="10" t="s">
        <v>6829</v>
      </c>
      <c r="G2409" s="10" t="s">
        <v>6830</v>
      </c>
      <c r="H2409" s="10" t="s">
        <v>6831</v>
      </c>
      <c r="I2409" s="10" t="s">
        <v>351</v>
      </c>
    </row>
    <row r="2410" spans="1:9" x14ac:dyDescent="0.15">
      <c r="A2410" s="9">
        <v>2409</v>
      </c>
      <c r="B2410" s="10" t="s">
        <v>9</v>
      </c>
      <c r="C2410" s="10" t="s">
        <v>363</v>
      </c>
      <c r="D2410" s="10" t="s">
        <v>364</v>
      </c>
      <c r="E2410" s="11" t="str">
        <f>+HYPERLINK("http://trademark.i-assist.jp/data/china/image_1902th/79229026.pdf", "79229026")</f>
        <v>79229026</v>
      </c>
      <c r="F2410" s="10" t="s">
        <v>6832</v>
      </c>
      <c r="G2410" s="10" t="s">
        <v>6833</v>
      </c>
      <c r="H2410" s="10" t="s">
        <v>6834</v>
      </c>
      <c r="I2410" s="10" t="s">
        <v>351</v>
      </c>
    </row>
    <row r="2411" spans="1:9" x14ac:dyDescent="0.15">
      <c r="A2411" s="9">
        <v>2410</v>
      </c>
      <c r="B2411" s="10" t="s">
        <v>9</v>
      </c>
      <c r="C2411" s="10" t="s">
        <v>363</v>
      </c>
      <c r="D2411" s="10" t="s">
        <v>364</v>
      </c>
      <c r="E2411" s="11" t="str">
        <f>+HYPERLINK("http://trademark.i-assist.jp/data/china/image_1902th/79229116.pdf", "79229116")</f>
        <v>79229116</v>
      </c>
      <c r="F2411" s="10" t="s">
        <v>6835</v>
      </c>
      <c r="G2411" s="10" t="s">
        <v>6479</v>
      </c>
      <c r="H2411" s="10" t="s">
        <v>6836</v>
      </c>
      <c r="I2411" s="10" t="s">
        <v>351</v>
      </c>
    </row>
    <row r="2412" spans="1:9" x14ac:dyDescent="0.15">
      <c r="A2412" s="9">
        <v>2411</v>
      </c>
      <c r="B2412" s="10" t="s">
        <v>9</v>
      </c>
      <c r="C2412" s="10" t="s">
        <v>363</v>
      </c>
      <c r="D2412" s="10" t="s">
        <v>364</v>
      </c>
      <c r="E2412" s="11" t="str">
        <f>+HYPERLINK("http://trademark.i-assist.jp/data/china/image_1902th/79229140.pdf", "79229140")</f>
        <v>79229140</v>
      </c>
      <c r="F2412" s="10" t="s">
        <v>6837</v>
      </c>
      <c r="G2412" s="10" t="s">
        <v>6838</v>
      </c>
      <c r="H2412" s="10" t="s">
        <v>6839</v>
      </c>
      <c r="I2412" s="10" t="s">
        <v>351</v>
      </c>
    </row>
    <row r="2413" spans="1:9" x14ac:dyDescent="0.15">
      <c r="A2413" s="9">
        <v>2412</v>
      </c>
      <c r="B2413" s="10" t="s">
        <v>9</v>
      </c>
      <c r="C2413" s="10" t="s">
        <v>363</v>
      </c>
      <c r="D2413" s="10" t="s">
        <v>364</v>
      </c>
      <c r="E2413" s="11" t="str">
        <f>+HYPERLINK("http://trademark.i-assist.jp/data/china/image_1902th/79229378.pdf", "79229378")</f>
        <v>79229378</v>
      </c>
      <c r="F2413" s="10" t="s">
        <v>6840</v>
      </c>
      <c r="G2413" s="10" t="s">
        <v>6841</v>
      </c>
      <c r="H2413" s="10" t="s">
        <v>6842</v>
      </c>
      <c r="I2413" s="10" t="s">
        <v>351</v>
      </c>
    </row>
    <row r="2414" spans="1:9" x14ac:dyDescent="0.15">
      <c r="A2414" s="9">
        <v>2413</v>
      </c>
      <c r="B2414" s="10" t="s">
        <v>9</v>
      </c>
      <c r="C2414" s="10" t="s">
        <v>363</v>
      </c>
      <c r="D2414" s="10" t="s">
        <v>364</v>
      </c>
      <c r="E2414" s="11" t="str">
        <f>+HYPERLINK("http://trademark.i-assist.jp/data/china/image_1902th/79229379.pdf", "79229379")</f>
        <v>79229379</v>
      </c>
      <c r="F2414" s="10" t="s">
        <v>6843</v>
      </c>
      <c r="G2414" s="10" t="s">
        <v>6844</v>
      </c>
      <c r="H2414" s="10" t="s">
        <v>6845</v>
      </c>
      <c r="I2414" s="10" t="s">
        <v>351</v>
      </c>
    </row>
    <row r="2415" spans="1:9" x14ac:dyDescent="0.15">
      <c r="A2415" s="9">
        <v>2414</v>
      </c>
      <c r="B2415" s="10" t="s">
        <v>9</v>
      </c>
      <c r="C2415" s="10" t="s">
        <v>363</v>
      </c>
      <c r="D2415" s="10" t="s">
        <v>364</v>
      </c>
      <c r="E2415" s="11" t="str">
        <f>+HYPERLINK("http://trademark.i-assist.jp/data/china/image_1902th/79229421.pdf", "79229421")</f>
        <v>79229421</v>
      </c>
      <c r="F2415" s="10" t="s">
        <v>6846</v>
      </c>
      <c r="G2415" s="10" t="s">
        <v>6847</v>
      </c>
      <c r="H2415" s="10" t="s">
        <v>6848</v>
      </c>
      <c r="I2415" s="10" t="s">
        <v>351</v>
      </c>
    </row>
    <row r="2416" spans="1:9" x14ac:dyDescent="0.15">
      <c r="A2416" s="9">
        <v>2415</v>
      </c>
      <c r="B2416" s="10" t="s">
        <v>9</v>
      </c>
      <c r="C2416" s="10" t="s">
        <v>363</v>
      </c>
      <c r="D2416" s="10" t="s">
        <v>364</v>
      </c>
      <c r="E2416" s="11" t="str">
        <f>+HYPERLINK("http://trademark.i-assist.jp/data/china/image_1902th/79229482.pdf", "79229482")</f>
        <v>79229482</v>
      </c>
      <c r="F2416" s="10" t="s">
        <v>6849</v>
      </c>
      <c r="G2416" s="10" t="s">
        <v>6850</v>
      </c>
      <c r="H2416" s="10" t="s">
        <v>6851</v>
      </c>
      <c r="I2416" s="10" t="s">
        <v>351</v>
      </c>
    </row>
    <row r="2417" spans="1:9" x14ac:dyDescent="0.15">
      <c r="A2417" s="9">
        <v>2416</v>
      </c>
      <c r="B2417" s="10" t="s">
        <v>9</v>
      </c>
      <c r="C2417" s="10" t="s">
        <v>363</v>
      </c>
      <c r="D2417" s="10" t="s">
        <v>364</v>
      </c>
      <c r="E2417" s="11" t="str">
        <f>+HYPERLINK("http://trademark.i-assist.jp/data/china/image_1902th/79229667.pdf", "79229667")</f>
        <v>79229667</v>
      </c>
      <c r="F2417" s="10" t="s">
        <v>6852</v>
      </c>
      <c r="G2417" s="10" t="s">
        <v>6853</v>
      </c>
      <c r="H2417" s="10" t="s">
        <v>6854</v>
      </c>
      <c r="I2417" s="10" t="s">
        <v>351</v>
      </c>
    </row>
    <row r="2418" spans="1:9" x14ac:dyDescent="0.15">
      <c r="A2418" s="9">
        <v>2417</v>
      </c>
      <c r="B2418" s="10" t="s">
        <v>9</v>
      </c>
      <c r="C2418" s="10" t="s">
        <v>363</v>
      </c>
      <c r="D2418" s="10" t="s">
        <v>364</v>
      </c>
      <c r="E2418" s="11" t="str">
        <f>+HYPERLINK("http://trademark.i-assist.jp/data/china/image_1902th/79229694.pdf", "79229694")</f>
        <v>79229694</v>
      </c>
      <c r="F2418" s="10" t="s">
        <v>6855</v>
      </c>
      <c r="G2418" s="10" t="s">
        <v>6783</v>
      </c>
      <c r="H2418" s="10" t="s">
        <v>6856</v>
      </c>
      <c r="I2418" s="10" t="s">
        <v>351</v>
      </c>
    </row>
    <row r="2419" spans="1:9" x14ac:dyDescent="0.15">
      <c r="A2419" s="9">
        <v>2418</v>
      </c>
      <c r="B2419" s="10" t="s">
        <v>9</v>
      </c>
      <c r="C2419" s="10" t="s">
        <v>363</v>
      </c>
      <c r="D2419" s="10" t="s">
        <v>364</v>
      </c>
      <c r="E2419" s="11" t="str">
        <f>+HYPERLINK("http://trademark.i-assist.jp/data/china/image_1902th/79229761.pdf", "79229761")</f>
        <v>79229761</v>
      </c>
      <c r="F2419" s="10" t="s">
        <v>6857</v>
      </c>
      <c r="G2419" s="10" t="s">
        <v>6653</v>
      </c>
      <c r="H2419" s="10" t="s">
        <v>6858</v>
      </c>
      <c r="I2419" s="10" t="s">
        <v>351</v>
      </c>
    </row>
    <row r="2420" spans="1:9" x14ac:dyDescent="0.15">
      <c r="A2420" s="9">
        <v>2419</v>
      </c>
      <c r="B2420" s="10" t="s">
        <v>9</v>
      </c>
      <c r="C2420" s="10" t="s">
        <v>363</v>
      </c>
      <c r="D2420" s="10" t="s">
        <v>364</v>
      </c>
      <c r="E2420" s="11" t="str">
        <f>+HYPERLINK("http://trademark.i-assist.jp/data/china/image_1902th/79229812.pdf", "79229812")</f>
        <v>79229812</v>
      </c>
      <c r="F2420" s="10" t="s">
        <v>6859</v>
      </c>
      <c r="G2420" s="10" t="s">
        <v>6590</v>
      </c>
      <c r="H2420" s="10" t="s">
        <v>6860</v>
      </c>
      <c r="I2420" s="10" t="s">
        <v>351</v>
      </c>
    </row>
    <row r="2421" spans="1:9" x14ac:dyDescent="0.15">
      <c r="A2421" s="9">
        <v>2420</v>
      </c>
      <c r="B2421" s="10" t="s">
        <v>9</v>
      </c>
      <c r="C2421" s="10" t="s">
        <v>363</v>
      </c>
      <c r="D2421" s="10" t="s">
        <v>364</v>
      </c>
      <c r="E2421" s="11" t="str">
        <f>+HYPERLINK("http://trademark.i-assist.jp/data/china/image_1902th/79229918.pdf", "79229918")</f>
        <v>79229918</v>
      </c>
      <c r="F2421" s="10" t="s">
        <v>6861</v>
      </c>
      <c r="G2421" s="10" t="s">
        <v>6862</v>
      </c>
      <c r="H2421" s="10" t="s">
        <v>6863</v>
      </c>
      <c r="I2421" s="10" t="s">
        <v>351</v>
      </c>
    </row>
    <row r="2422" spans="1:9" x14ac:dyDescent="0.15">
      <c r="A2422" s="9">
        <v>2421</v>
      </c>
      <c r="B2422" s="10" t="s">
        <v>9</v>
      </c>
      <c r="C2422" s="10" t="s">
        <v>363</v>
      </c>
      <c r="D2422" s="10" t="s">
        <v>364</v>
      </c>
      <c r="E2422" s="11" t="str">
        <f>+HYPERLINK("http://trademark.i-assist.jp/data/china/image_1902th/79229936.pdf", "79229936")</f>
        <v>79229936</v>
      </c>
      <c r="F2422" s="10" t="s">
        <v>6864</v>
      </c>
      <c r="G2422" s="10" t="s">
        <v>6394</v>
      </c>
      <c r="H2422" s="10" t="s">
        <v>6865</v>
      </c>
      <c r="I2422" s="10" t="s">
        <v>351</v>
      </c>
    </row>
    <row r="2423" spans="1:9" x14ac:dyDescent="0.15">
      <c r="A2423" s="9">
        <v>2422</v>
      </c>
      <c r="B2423" s="10" t="s">
        <v>9</v>
      </c>
      <c r="C2423" s="10" t="s">
        <v>363</v>
      </c>
      <c r="D2423" s="10" t="s">
        <v>364</v>
      </c>
      <c r="E2423" s="11" t="str">
        <f>+HYPERLINK("http://trademark.i-assist.jp/data/china/image_1902th/79230086.pdf", "79230086")</f>
        <v>79230086</v>
      </c>
      <c r="F2423" s="10" t="s">
        <v>6866</v>
      </c>
      <c r="G2423" s="10" t="s">
        <v>6867</v>
      </c>
      <c r="H2423" s="10" t="s">
        <v>6868</v>
      </c>
      <c r="I2423" s="10" t="s">
        <v>351</v>
      </c>
    </row>
    <row r="2424" spans="1:9" x14ac:dyDescent="0.15">
      <c r="A2424" s="9">
        <v>2423</v>
      </c>
      <c r="B2424" s="10" t="s">
        <v>9</v>
      </c>
      <c r="C2424" s="10" t="s">
        <v>363</v>
      </c>
      <c r="D2424" s="10" t="s">
        <v>364</v>
      </c>
      <c r="E2424" s="11" t="str">
        <f>+HYPERLINK("http://trademark.i-assist.jp/data/china/image_1902th/79230529.pdf", "79230529")</f>
        <v>79230529</v>
      </c>
      <c r="F2424" s="10" t="s">
        <v>6869</v>
      </c>
      <c r="G2424" s="10" t="s">
        <v>6870</v>
      </c>
      <c r="H2424" s="10" t="s">
        <v>6871</v>
      </c>
      <c r="I2424" s="10" t="s">
        <v>351</v>
      </c>
    </row>
    <row r="2425" spans="1:9" x14ac:dyDescent="0.15">
      <c r="A2425" s="9">
        <v>2424</v>
      </c>
      <c r="B2425" s="10" t="s">
        <v>9</v>
      </c>
      <c r="C2425" s="10" t="s">
        <v>363</v>
      </c>
      <c r="D2425" s="10" t="s">
        <v>364</v>
      </c>
      <c r="E2425" s="11" t="str">
        <f>+HYPERLINK("http://trademark.i-assist.jp/data/china/image_1902th/79230532.pdf", "79230532")</f>
        <v>79230532</v>
      </c>
      <c r="F2425" s="10" t="s">
        <v>6872</v>
      </c>
      <c r="G2425" s="10" t="s">
        <v>6873</v>
      </c>
      <c r="H2425" s="10" t="s">
        <v>6874</v>
      </c>
      <c r="I2425" s="10" t="s">
        <v>351</v>
      </c>
    </row>
    <row r="2426" spans="1:9" x14ac:dyDescent="0.15">
      <c r="A2426" s="9">
        <v>2425</v>
      </c>
      <c r="B2426" s="10" t="s">
        <v>9</v>
      </c>
      <c r="C2426" s="10" t="s">
        <v>363</v>
      </c>
      <c r="D2426" s="10" t="s">
        <v>364</v>
      </c>
      <c r="E2426" s="11" t="str">
        <f>+HYPERLINK("http://trademark.i-assist.jp/data/china/image_1902th/79230692.pdf", "79230692")</f>
        <v>79230692</v>
      </c>
      <c r="F2426" s="10" t="s">
        <v>6875</v>
      </c>
      <c r="G2426" s="10" t="s">
        <v>6876</v>
      </c>
      <c r="H2426" s="10" t="s">
        <v>6877</v>
      </c>
      <c r="I2426" s="10" t="s">
        <v>351</v>
      </c>
    </row>
    <row r="2427" spans="1:9" x14ac:dyDescent="0.15">
      <c r="A2427" s="9">
        <v>2426</v>
      </c>
      <c r="B2427" s="10" t="s">
        <v>9</v>
      </c>
      <c r="C2427" s="10" t="s">
        <v>363</v>
      </c>
      <c r="D2427" s="10" t="s">
        <v>364</v>
      </c>
      <c r="E2427" s="11" t="str">
        <f>+HYPERLINK("http://trademark.i-assist.jp/data/china/image_1902th/79230723.pdf", "79230723")</f>
        <v>79230723</v>
      </c>
      <c r="F2427" s="10" t="s">
        <v>6878</v>
      </c>
      <c r="G2427" s="10" t="s">
        <v>6879</v>
      </c>
      <c r="H2427" s="10" t="s">
        <v>6880</v>
      </c>
      <c r="I2427" s="10" t="s">
        <v>351</v>
      </c>
    </row>
    <row r="2428" spans="1:9" x14ac:dyDescent="0.15">
      <c r="A2428" s="9">
        <v>2427</v>
      </c>
      <c r="B2428" s="10" t="s">
        <v>9</v>
      </c>
      <c r="C2428" s="10" t="s">
        <v>363</v>
      </c>
      <c r="D2428" s="10" t="s">
        <v>364</v>
      </c>
      <c r="E2428" s="11" t="str">
        <f>+HYPERLINK("http://trademark.i-assist.jp/data/china/image_1902th/79230956.pdf", "79230956")</f>
        <v>79230956</v>
      </c>
      <c r="F2428" s="10" t="s">
        <v>6881</v>
      </c>
      <c r="G2428" s="10" t="s">
        <v>6882</v>
      </c>
      <c r="H2428" s="10" t="s">
        <v>6883</v>
      </c>
      <c r="I2428" s="10" t="s">
        <v>351</v>
      </c>
    </row>
    <row r="2429" spans="1:9" x14ac:dyDescent="0.15">
      <c r="A2429" s="9">
        <v>2428</v>
      </c>
      <c r="B2429" s="10" t="s">
        <v>9</v>
      </c>
      <c r="C2429" s="10" t="s">
        <v>363</v>
      </c>
      <c r="D2429" s="10" t="s">
        <v>364</v>
      </c>
      <c r="E2429" s="11" t="str">
        <f>+HYPERLINK("http://trademark.i-assist.jp/data/china/image_1902th/79230971.pdf", "79230971")</f>
        <v>79230971</v>
      </c>
      <c r="F2429" s="10" t="s">
        <v>6884</v>
      </c>
      <c r="G2429" s="10" t="s">
        <v>6885</v>
      </c>
      <c r="H2429" s="10" t="s">
        <v>6886</v>
      </c>
      <c r="I2429" s="10" t="s">
        <v>351</v>
      </c>
    </row>
    <row r="2430" spans="1:9" x14ac:dyDescent="0.15">
      <c r="A2430" s="9">
        <v>2429</v>
      </c>
      <c r="B2430" s="10" t="s">
        <v>9</v>
      </c>
      <c r="C2430" s="10" t="s">
        <v>363</v>
      </c>
      <c r="D2430" s="10" t="s">
        <v>364</v>
      </c>
      <c r="E2430" s="11" t="str">
        <f>+HYPERLINK("http://trademark.i-assist.jp/data/china/image_1902th/79231256.pdf", "79231256")</f>
        <v>79231256</v>
      </c>
      <c r="F2430" s="10" t="s">
        <v>6887</v>
      </c>
      <c r="G2430" s="10" t="s">
        <v>6888</v>
      </c>
      <c r="H2430" s="10" t="s">
        <v>6889</v>
      </c>
      <c r="I2430" s="10" t="s">
        <v>351</v>
      </c>
    </row>
    <row r="2431" spans="1:9" x14ac:dyDescent="0.15">
      <c r="A2431" s="9">
        <v>2430</v>
      </c>
      <c r="B2431" s="10" t="s">
        <v>9</v>
      </c>
      <c r="C2431" s="10" t="s">
        <v>363</v>
      </c>
      <c r="D2431" s="10" t="s">
        <v>364</v>
      </c>
      <c r="E2431" s="11" t="str">
        <f>+HYPERLINK("http://trademark.i-assist.jp/data/china/image_1902th/79231289.pdf", "79231289")</f>
        <v>79231289</v>
      </c>
      <c r="F2431" s="10" t="s">
        <v>6890</v>
      </c>
      <c r="G2431" s="10" t="s">
        <v>2277</v>
      </c>
      <c r="H2431" s="10" t="s">
        <v>6891</v>
      </c>
      <c r="I2431" s="10" t="s">
        <v>351</v>
      </c>
    </row>
    <row r="2432" spans="1:9" x14ac:dyDescent="0.15">
      <c r="A2432" s="9">
        <v>2431</v>
      </c>
      <c r="B2432" s="10" t="s">
        <v>9</v>
      </c>
      <c r="C2432" s="10" t="s">
        <v>363</v>
      </c>
      <c r="D2432" s="10" t="s">
        <v>364</v>
      </c>
      <c r="E2432" s="11" t="str">
        <f>+HYPERLINK("http://trademark.i-assist.jp/data/china/image_1902th/79231302.pdf", "79231302")</f>
        <v>79231302</v>
      </c>
      <c r="F2432" s="10" t="s">
        <v>6892</v>
      </c>
      <c r="G2432" s="10" t="s">
        <v>6893</v>
      </c>
      <c r="H2432" s="10" t="s">
        <v>6894</v>
      </c>
      <c r="I2432" s="10" t="s">
        <v>351</v>
      </c>
    </row>
    <row r="2433" spans="1:9" x14ac:dyDescent="0.15">
      <c r="A2433" s="9">
        <v>2432</v>
      </c>
      <c r="B2433" s="10" t="s">
        <v>9</v>
      </c>
      <c r="C2433" s="10" t="s">
        <v>363</v>
      </c>
      <c r="D2433" s="10" t="s">
        <v>364</v>
      </c>
      <c r="E2433" s="11" t="str">
        <f>+HYPERLINK("http://trademark.i-assist.jp/data/china/image_1902th/79231507.pdf", "79231507")</f>
        <v>79231507</v>
      </c>
      <c r="F2433" s="10" t="s">
        <v>6895</v>
      </c>
      <c r="G2433" s="10" t="s">
        <v>6605</v>
      </c>
      <c r="H2433" s="10" t="s">
        <v>6896</v>
      </c>
      <c r="I2433" s="10" t="s">
        <v>351</v>
      </c>
    </row>
    <row r="2434" spans="1:9" x14ac:dyDescent="0.15">
      <c r="A2434" s="9">
        <v>2433</v>
      </c>
      <c r="B2434" s="10" t="s">
        <v>9</v>
      </c>
      <c r="C2434" s="10" t="s">
        <v>363</v>
      </c>
      <c r="D2434" s="10" t="s">
        <v>364</v>
      </c>
      <c r="E2434" s="11" t="str">
        <f>+HYPERLINK("http://trademark.i-assist.jp/data/china/image_1902th/79231508.pdf", "79231508")</f>
        <v>79231508</v>
      </c>
      <c r="F2434" s="10" t="s">
        <v>6897</v>
      </c>
      <c r="G2434" s="10" t="s">
        <v>6833</v>
      </c>
      <c r="H2434" s="10" t="s">
        <v>6898</v>
      </c>
      <c r="I2434" s="10" t="s">
        <v>351</v>
      </c>
    </row>
    <row r="2435" spans="1:9" x14ac:dyDescent="0.15">
      <c r="A2435" s="9">
        <v>2434</v>
      </c>
      <c r="B2435" s="10" t="s">
        <v>9</v>
      </c>
      <c r="C2435" s="10" t="s">
        <v>363</v>
      </c>
      <c r="D2435" s="10" t="s">
        <v>364</v>
      </c>
      <c r="E2435" s="11" t="str">
        <f>+HYPERLINK("http://trademark.i-assist.jp/data/china/image_1902th/79231527.pdf", "79231527")</f>
        <v>79231527</v>
      </c>
      <c r="F2435" s="10" t="s">
        <v>6899</v>
      </c>
      <c r="G2435" s="10" t="s">
        <v>6900</v>
      </c>
      <c r="H2435" s="10" t="s">
        <v>6901</v>
      </c>
      <c r="I2435" s="10" t="s">
        <v>351</v>
      </c>
    </row>
    <row r="2436" spans="1:9" x14ac:dyDescent="0.15">
      <c r="A2436" s="9">
        <v>2435</v>
      </c>
      <c r="B2436" s="10" t="s">
        <v>9</v>
      </c>
      <c r="C2436" s="10" t="s">
        <v>363</v>
      </c>
      <c r="D2436" s="10" t="s">
        <v>364</v>
      </c>
      <c r="E2436" s="11" t="str">
        <f>+HYPERLINK("http://trademark.i-assist.jp/data/china/image_1902th/79231594.pdf", "79231594")</f>
        <v>79231594</v>
      </c>
      <c r="F2436" s="10" t="s">
        <v>6902</v>
      </c>
      <c r="G2436" s="10" t="s">
        <v>6795</v>
      </c>
      <c r="H2436" s="10" t="s">
        <v>6903</v>
      </c>
      <c r="I2436" s="10" t="s">
        <v>351</v>
      </c>
    </row>
    <row r="2437" spans="1:9" x14ac:dyDescent="0.15">
      <c r="A2437" s="9">
        <v>2436</v>
      </c>
      <c r="B2437" s="10" t="s">
        <v>9</v>
      </c>
      <c r="C2437" s="10" t="s">
        <v>363</v>
      </c>
      <c r="D2437" s="10" t="s">
        <v>364</v>
      </c>
      <c r="E2437" s="11" t="str">
        <f>+HYPERLINK("http://trademark.i-assist.jp/data/china/image_1902th/79231620.pdf", "79231620")</f>
        <v>79231620</v>
      </c>
      <c r="F2437" s="10" t="s">
        <v>6904</v>
      </c>
      <c r="G2437" s="10" t="s">
        <v>6905</v>
      </c>
      <c r="H2437" s="10" t="s">
        <v>6906</v>
      </c>
      <c r="I2437" s="10" t="s">
        <v>351</v>
      </c>
    </row>
    <row r="2438" spans="1:9" x14ac:dyDescent="0.15">
      <c r="A2438" s="9">
        <v>2437</v>
      </c>
      <c r="B2438" s="10" t="s">
        <v>9</v>
      </c>
      <c r="C2438" s="10" t="s">
        <v>363</v>
      </c>
      <c r="D2438" s="10" t="s">
        <v>364</v>
      </c>
      <c r="E2438" s="11" t="str">
        <f>+HYPERLINK("http://trademark.i-assist.jp/data/china/image_1902th/79231693.pdf", "79231693")</f>
        <v>79231693</v>
      </c>
      <c r="F2438" s="10" t="s">
        <v>12</v>
      </c>
      <c r="G2438" s="10" t="s">
        <v>6907</v>
      </c>
      <c r="H2438" s="10" t="s">
        <v>6908</v>
      </c>
      <c r="I2438" s="10" t="s">
        <v>351</v>
      </c>
    </row>
    <row r="2439" spans="1:9" x14ac:dyDescent="0.15">
      <c r="A2439" s="9">
        <v>2438</v>
      </c>
      <c r="B2439" s="10" t="s">
        <v>9</v>
      </c>
      <c r="C2439" s="10" t="s">
        <v>363</v>
      </c>
      <c r="D2439" s="10" t="s">
        <v>364</v>
      </c>
      <c r="E2439" s="11" t="str">
        <f>+HYPERLINK("http://trademark.i-assist.jp/data/china/image_1902th/79231821.pdf", "79231821")</f>
        <v>79231821</v>
      </c>
      <c r="F2439" s="10" t="s">
        <v>6909</v>
      </c>
      <c r="G2439" s="10" t="s">
        <v>6910</v>
      </c>
      <c r="H2439" s="10" t="s">
        <v>6911</v>
      </c>
      <c r="I2439" s="10" t="s">
        <v>351</v>
      </c>
    </row>
    <row r="2440" spans="1:9" x14ac:dyDescent="0.15">
      <c r="A2440" s="9">
        <v>2439</v>
      </c>
      <c r="B2440" s="10" t="s">
        <v>9</v>
      </c>
      <c r="C2440" s="10" t="s">
        <v>363</v>
      </c>
      <c r="D2440" s="10" t="s">
        <v>364</v>
      </c>
      <c r="E2440" s="11" t="str">
        <f>+HYPERLINK("http://trademark.i-assist.jp/data/china/image_1902th/79232204.pdf", "79232204")</f>
        <v>79232204</v>
      </c>
      <c r="F2440" s="10" t="s">
        <v>6912</v>
      </c>
      <c r="G2440" s="10" t="s">
        <v>6913</v>
      </c>
      <c r="H2440" s="10" t="s">
        <v>6914</v>
      </c>
      <c r="I2440" s="10" t="s">
        <v>351</v>
      </c>
    </row>
    <row r="2441" spans="1:9" x14ac:dyDescent="0.15">
      <c r="A2441" s="9">
        <v>2440</v>
      </c>
      <c r="B2441" s="10" t="s">
        <v>9</v>
      </c>
      <c r="C2441" s="10" t="s">
        <v>363</v>
      </c>
      <c r="D2441" s="10" t="s">
        <v>364</v>
      </c>
      <c r="E2441" s="11" t="str">
        <f>+HYPERLINK("http://trademark.i-assist.jp/data/china/image_1902th/79232241.pdf", "79232241")</f>
        <v>79232241</v>
      </c>
      <c r="F2441" s="10" t="s">
        <v>6915</v>
      </c>
      <c r="G2441" s="10" t="s">
        <v>71</v>
      </c>
      <c r="H2441" s="10" t="s">
        <v>6916</v>
      </c>
      <c r="I2441" s="10" t="s">
        <v>351</v>
      </c>
    </row>
    <row r="2442" spans="1:9" x14ac:dyDescent="0.15">
      <c r="A2442" s="9">
        <v>2441</v>
      </c>
      <c r="B2442" s="10" t="s">
        <v>9</v>
      </c>
      <c r="C2442" s="10" t="s">
        <v>363</v>
      </c>
      <c r="D2442" s="10" t="s">
        <v>364</v>
      </c>
      <c r="E2442" s="11" t="str">
        <f>+HYPERLINK("http://trademark.i-assist.jp/data/china/image_1902th/79232413.pdf", "79232413")</f>
        <v>79232413</v>
      </c>
      <c r="F2442" s="10" t="s">
        <v>6917</v>
      </c>
      <c r="G2442" s="10" t="s">
        <v>6575</v>
      </c>
      <c r="H2442" s="10" t="s">
        <v>6918</v>
      </c>
      <c r="I2442" s="10" t="s">
        <v>351</v>
      </c>
    </row>
    <row r="2443" spans="1:9" x14ac:dyDescent="0.15">
      <c r="A2443" s="9">
        <v>2442</v>
      </c>
      <c r="B2443" s="10" t="s">
        <v>9</v>
      </c>
      <c r="C2443" s="10" t="s">
        <v>363</v>
      </c>
      <c r="D2443" s="10" t="s">
        <v>364</v>
      </c>
      <c r="E2443" s="11" t="str">
        <f>+HYPERLINK("http://trademark.i-assist.jp/data/china/image_1902th/79232674.pdf", "79232674")</f>
        <v>79232674</v>
      </c>
      <c r="F2443" s="10" t="s">
        <v>6919</v>
      </c>
      <c r="G2443" s="10" t="s">
        <v>6920</v>
      </c>
      <c r="H2443" s="10" t="s">
        <v>6921</v>
      </c>
      <c r="I2443" s="10" t="s">
        <v>352</v>
      </c>
    </row>
    <row r="2444" spans="1:9" x14ac:dyDescent="0.15">
      <c r="A2444" s="9">
        <v>2443</v>
      </c>
      <c r="B2444" s="10" t="s">
        <v>9</v>
      </c>
      <c r="C2444" s="10" t="s">
        <v>363</v>
      </c>
      <c r="D2444" s="10" t="s">
        <v>364</v>
      </c>
      <c r="E2444" s="11" t="str">
        <f>+HYPERLINK("http://trademark.i-assist.jp/data/china/image_1902th/79232817.pdf", "79232817")</f>
        <v>79232817</v>
      </c>
      <c r="F2444" s="10" t="s">
        <v>6922</v>
      </c>
      <c r="G2444" s="10" t="s">
        <v>6923</v>
      </c>
      <c r="H2444" s="10" t="s">
        <v>6924</v>
      </c>
      <c r="I2444" s="10" t="s">
        <v>352</v>
      </c>
    </row>
    <row r="2445" spans="1:9" x14ac:dyDescent="0.15">
      <c r="A2445" s="9">
        <v>2444</v>
      </c>
      <c r="B2445" s="10" t="s">
        <v>9</v>
      </c>
      <c r="C2445" s="10" t="s">
        <v>363</v>
      </c>
      <c r="D2445" s="10" t="s">
        <v>364</v>
      </c>
      <c r="E2445" s="11" t="str">
        <f>+HYPERLINK("http://trademark.i-assist.jp/data/china/image_1902th/79233500.pdf", "79233500")</f>
        <v>79233500</v>
      </c>
      <c r="F2445" s="10" t="s">
        <v>6925</v>
      </c>
      <c r="G2445" s="10" t="s">
        <v>6926</v>
      </c>
      <c r="H2445" s="10" t="s">
        <v>6927</v>
      </c>
      <c r="I2445" s="10" t="s">
        <v>352</v>
      </c>
    </row>
    <row r="2446" spans="1:9" x14ac:dyDescent="0.15">
      <c r="A2446" s="9">
        <v>2445</v>
      </c>
      <c r="B2446" s="10" t="s">
        <v>9</v>
      </c>
      <c r="C2446" s="10" t="s">
        <v>363</v>
      </c>
      <c r="D2446" s="10" t="s">
        <v>364</v>
      </c>
      <c r="E2446" s="11" t="str">
        <f>+HYPERLINK("http://trademark.i-assist.jp/data/china/image_1902th/79233929.pdf", "79233929")</f>
        <v>79233929</v>
      </c>
      <c r="F2446" s="10" t="s">
        <v>6928</v>
      </c>
      <c r="G2446" s="10" t="s">
        <v>6929</v>
      </c>
      <c r="H2446" s="10" t="s">
        <v>6930</v>
      </c>
      <c r="I2446" s="10" t="s">
        <v>352</v>
      </c>
    </row>
    <row r="2447" spans="1:9" x14ac:dyDescent="0.15">
      <c r="A2447" s="9">
        <v>2446</v>
      </c>
      <c r="B2447" s="10" t="s">
        <v>9</v>
      </c>
      <c r="C2447" s="10" t="s">
        <v>363</v>
      </c>
      <c r="D2447" s="10" t="s">
        <v>364</v>
      </c>
      <c r="E2447" s="11" t="str">
        <f>+HYPERLINK("http://trademark.i-assist.jp/data/china/image_1902th/79234636.pdf", "79234636")</f>
        <v>79234636</v>
      </c>
      <c r="F2447" s="10" t="s">
        <v>6931</v>
      </c>
      <c r="G2447" s="10" t="s">
        <v>6932</v>
      </c>
      <c r="H2447" s="10" t="s">
        <v>6933</v>
      </c>
      <c r="I2447" s="10" t="s">
        <v>352</v>
      </c>
    </row>
    <row r="2448" spans="1:9" x14ac:dyDescent="0.15">
      <c r="A2448" s="9">
        <v>2447</v>
      </c>
      <c r="B2448" s="10" t="s">
        <v>9</v>
      </c>
      <c r="C2448" s="10" t="s">
        <v>363</v>
      </c>
      <c r="D2448" s="10" t="s">
        <v>364</v>
      </c>
      <c r="E2448" s="11" t="str">
        <f>+HYPERLINK("http://trademark.i-assist.jp/data/china/image_1902th/79234795.pdf", "79234795")</f>
        <v>79234795</v>
      </c>
      <c r="F2448" s="10" t="s">
        <v>6934</v>
      </c>
      <c r="G2448" s="10" t="s">
        <v>6935</v>
      </c>
      <c r="H2448" s="10" t="s">
        <v>6936</v>
      </c>
      <c r="I2448" s="10" t="s">
        <v>352</v>
      </c>
    </row>
    <row r="2449" spans="1:9" x14ac:dyDescent="0.15">
      <c r="A2449" s="9">
        <v>2448</v>
      </c>
      <c r="B2449" s="10" t="s">
        <v>9</v>
      </c>
      <c r="C2449" s="10" t="s">
        <v>363</v>
      </c>
      <c r="D2449" s="10" t="s">
        <v>364</v>
      </c>
      <c r="E2449" s="11" t="str">
        <f>+HYPERLINK("http://trademark.i-assist.jp/data/china/image_1902th/79235000.pdf", "79235000")</f>
        <v>79235000</v>
      </c>
      <c r="F2449" s="10" t="s">
        <v>6937</v>
      </c>
      <c r="G2449" s="10" t="s">
        <v>6938</v>
      </c>
      <c r="H2449" s="10" t="s">
        <v>6939</v>
      </c>
      <c r="I2449" s="10" t="s">
        <v>352</v>
      </c>
    </row>
    <row r="2450" spans="1:9" x14ac:dyDescent="0.15">
      <c r="A2450" s="9">
        <v>2449</v>
      </c>
      <c r="B2450" s="10" t="s">
        <v>9</v>
      </c>
      <c r="C2450" s="10" t="s">
        <v>363</v>
      </c>
      <c r="D2450" s="10" t="s">
        <v>364</v>
      </c>
      <c r="E2450" s="11" t="str">
        <f>+HYPERLINK("http://trademark.i-assist.jp/data/china/image_1902th/79235258.pdf", "79235258")</f>
        <v>79235258</v>
      </c>
      <c r="F2450" s="10" t="s">
        <v>6940</v>
      </c>
      <c r="G2450" s="10" t="s">
        <v>6941</v>
      </c>
      <c r="H2450" s="10" t="s">
        <v>6942</v>
      </c>
      <c r="I2450" s="10" t="s">
        <v>352</v>
      </c>
    </row>
    <row r="2451" spans="1:9" x14ac:dyDescent="0.15">
      <c r="A2451" s="9">
        <v>2450</v>
      </c>
      <c r="B2451" s="10" t="s">
        <v>9</v>
      </c>
      <c r="C2451" s="10" t="s">
        <v>363</v>
      </c>
      <c r="D2451" s="10" t="s">
        <v>364</v>
      </c>
      <c r="E2451" s="11" t="str">
        <f>+HYPERLINK("http://trademark.i-assist.jp/data/china/image_1902th/79235549.pdf", "79235549")</f>
        <v>79235549</v>
      </c>
      <c r="F2451" s="10" t="s">
        <v>6943</v>
      </c>
      <c r="G2451" s="10" t="s">
        <v>6944</v>
      </c>
      <c r="H2451" s="10" t="s">
        <v>6945</v>
      </c>
      <c r="I2451" s="10" t="s">
        <v>352</v>
      </c>
    </row>
    <row r="2452" spans="1:9" x14ac:dyDescent="0.15">
      <c r="A2452" s="9">
        <v>2451</v>
      </c>
      <c r="B2452" s="10" t="s">
        <v>9</v>
      </c>
      <c r="C2452" s="10" t="s">
        <v>363</v>
      </c>
      <c r="D2452" s="10" t="s">
        <v>364</v>
      </c>
      <c r="E2452" s="11" t="str">
        <f>+HYPERLINK("http://trademark.i-assist.jp/data/china/image_1902th/79235588.pdf", "79235588")</f>
        <v>79235588</v>
      </c>
      <c r="F2452" s="10" t="s">
        <v>6946</v>
      </c>
      <c r="G2452" s="10" t="s">
        <v>6947</v>
      </c>
      <c r="H2452" s="10" t="s">
        <v>6948</v>
      </c>
      <c r="I2452" s="10" t="s">
        <v>352</v>
      </c>
    </row>
    <row r="2453" spans="1:9" x14ac:dyDescent="0.15">
      <c r="A2453" s="9">
        <v>2452</v>
      </c>
      <c r="B2453" s="10" t="s">
        <v>9</v>
      </c>
      <c r="C2453" s="10" t="s">
        <v>363</v>
      </c>
      <c r="D2453" s="10" t="s">
        <v>364</v>
      </c>
      <c r="E2453" s="11" t="str">
        <f>+HYPERLINK("http://trademark.i-assist.jp/data/china/image_1902th/79235747.pdf", "79235747")</f>
        <v>79235747</v>
      </c>
      <c r="F2453" s="10" t="s">
        <v>6949</v>
      </c>
      <c r="G2453" s="10" t="s">
        <v>6950</v>
      </c>
      <c r="H2453" s="10" t="s">
        <v>6951</v>
      </c>
      <c r="I2453" s="10" t="s">
        <v>352</v>
      </c>
    </row>
    <row r="2454" spans="1:9" x14ac:dyDescent="0.15">
      <c r="A2454" s="9">
        <v>2453</v>
      </c>
      <c r="B2454" s="10" t="s">
        <v>9</v>
      </c>
      <c r="C2454" s="10" t="s">
        <v>363</v>
      </c>
      <c r="D2454" s="10" t="s">
        <v>364</v>
      </c>
      <c r="E2454" s="11" t="str">
        <f>+HYPERLINK("http://trademark.i-assist.jp/data/china/image_1902th/79235787.pdf", "79235787")</f>
        <v>79235787</v>
      </c>
      <c r="F2454" s="10" t="s">
        <v>6952</v>
      </c>
      <c r="G2454" s="10" t="s">
        <v>6953</v>
      </c>
      <c r="H2454" s="10" t="s">
        <v>6954</v>
      </c>
      <c r="I2454" s="10" t="s">
        <v>352</v>
      </c>
    </row>
    <row r="2455" spans="1:9" x14ac:dyDescent="0.15">
      <c r="A2455" s="9">
        <v>2454</v>
      </c>
      <c r="B2455" s="10" t="s">
        <v>9</v>
      </c>
      <c r="C2455" s="10" t="s">
        <v>363</v>
      </c>
      <c r="D2455" s="10" t="s">
        <v>364</v>
      </c>
      <c r="E2455" s="11" t="str">
        <f>+HYPERLINK("http://trademark.i-assist.jp/data/china/image_1902th/79235824.pdf", "79235824")</f>
        <v>79235824</v>
      </c>
      <c r="F2455" s="10" t="s">
        <v>6955</v>
      </c>
      <c r="G2455" s="10" t="s">
        <v>6956</v>
      </c>
      <c r="H2455" s="10" t="s">
        <v>6957</v>
      </c>
      <c r="I2455" s="10" t="s">
        <v>352</v>
      </c>
    </row>
    <row r="2456" spans="1:9" x14ac:dyDescent="0.15">
      <c r="A2456" s="9">
        <v>2455</v>
      </c>
      <c r="B2456" s="10" t="s">
        <v>9</v>
      </c>
      <c r="C2456" s="10" t="s">
        <v>363</v>
      </c>
      <c r="D2456" s="10" t="s">
        <v>364</v>
      </c>
      <c r="E2456" s="11" t="str">
        <f>+HYPERLINK("http://trademark.i-assist.jp/data/china/image_1902th/79235864.pdf", "79235864")</f>
        <v>79235864</v>
      </c>
      <c r="F2456" s="10" t="s">
        <v>6958</v>
      </c>
      <c r="G2456" s="10" t="s">
        <v>6959</v>
      </c>
      <c r="H2456" s="10" t="s">
        <v>6960</v>
      </c>
      <c r="I2456" s="10" t="s">
        <v>352</v>
      </c>
    </row>
    <row r="2457" spans="1:9" x14ac:dyDescent="0.15">
      <c r="A2457" s="9">
        <v>2456</v>
      </c>
      <c r="B2457" s="10" t="s">
        <v>9</v>
      </c>
      <c r="C2457" s="10" t="s">
        <v>363</v>
      </c>
      <c r="D2457" s="10" t="s">
        <v>364</v>
      </c>
      <c r="E2457" s="11" t="str">
        <f>+HYPERLINK("http://trademark.i-assist.jp/data/china/image_1902th/79236207.pdf", "79236207")</f>
        <v>79236207</v>
      </c>
      <c r="F2457" s="10" t="s">
        <v>6961</v>
      </c>
      <c r="G2457" s="10" t="s">
        <v>6962</v>
      </c>
      <c r="H2457" s="10" t="s">
        <v>6963</v>
      </c>
      <c r="I2457" s="10" t="s">
        <v>352</v>
      </c>
    </row>
    <row r="2458" spans="1:9" x14ac:dyDescent="0.15">
      <c r="A2458" s="9">
        <v>2457</v>
      </c>
      <c r="B2458" s="10" t="s">
        <v>9</v>
      </c>
      <c r="C2458" s="10" t="s">
        <v>363</v>
      </c>
      <c r="D2458" s="10" t="s">
        <v>364</v>
      </c>
      <c r="E2458" s="11" t="str">
        <f>+HYPERLINK("http://trademark.i-assist.jp/data/china/image_1902th/79236517.pdf", "79236517")</f>
        <v>79236517</v>
      </c>
      <c r="F2458" s="10" t="s">
        <v>6964</v>
      </c>
      <c r="G2458" s="10" t="s">
        <v>6965</v>
      </c>
      <c r="H2458" s="10" t="s">
        <v>6966</v>
      </c>
      <c r="I2458" s="10" t="s">
        <v>352</v>
      </c>
    </row>
    <row r="2459" spans="1:9" x14ac:dyDescent="0.15">
      <c r="A2459" s="9">
        <v>2458</v>
      </c>
      <c r="B2459" s="10" t="s">
        <v>9</v>
      </c>
      <c r="C2459" s="10" t="s">
        <v>363</v>
      </c>
      <c r="D2459" s="10" t="s">
        <v>364</v>
      </c>
      <c r="E2459" s="11" t="str">
        <f>+HYPERLINK("http://trademark.i-assist.jp/data/china/image_1902th/79236540.pdf", "79236540")</f>
        <v>79236540</v>
      </c>
      <c r="F2459" s="10" t="s">
        <v>6967</v>
      </c>
      <c r="G2459" s="10" t="s">
        <v>6968</v>
      </c>
      <c r="H2459" s="10" t="s">
        <v>6969</v>
      </c>
      <c r="I2459" s="10" t="s">
        <v>352</v>
      </c>
    </row>
    <row r="2460" spans="1:9" x14ac:dyDescent="0.15">
      <c r="A2460" s="9">
        <v>2459</v>
      </c>
      <c r="B2460" s="10" t="s">
        <v>9</v>
      </c>
      <c r="C2460" s="10" t="s">
        <v>363</v>
      </c>
      <c r="D2460" s="10" t="s">
        <v>364</v>
      </c>
      <c r="E2460" s="11" t="str">
        <f>+HYPERLINK("http://trademark.i-assist.jp/data/china/image_1902th/79236579.pdf", "79236579")</f>
        <v>79236579</v>
      </c>
      <c r="F2460" s="10" t="s">
        <v>6970</v>
      </c>
      <c r="G2460" s="10" t="s">
        <v>6971</v>
      </c>
      <c r="H2460" s="10" t="s">
        <v>6972</v>
      </c>
      <c r="I2460" s="10" t="s">
        <v>352</v>
      </c>
    </row>
    <row r="2461" spans="1:9" x14ac:dyDescent="0.15">
      <c r="A2461" s="9">
        <v>2460</v>
      </c>
      <c r="B2461" s="10" t="s">
        <v>9</v>
      </c>
      <c r="C2461" s="10" t="s">
        <v>363</v>
      </c>
      <c r="D2461" s="10" t="s">
        <v>364</v>
      </c>
      <c r="E2461" s="11" t="str">
        <f>+HYPERLINK("http://trademark.i-assist.jp/data/china/image_1902th/79236656.pdf", "79236656")</f>
        <v>79236656</v>
      </c>
      <c r="F2461" s="10" t="s">
        <v>6973</v>
      </c>
      <c r="G2461" s="10" t="s">
        <v>6959</v>
      </c>
      <c r="H2461" s="10" t="s">
        <v>6974</v>
      </c>
      <c r="I2461" s="10" t="s">
        <v>352</v>
      </c>
    </row>
    <row r="2462" spans="1:9" x14ac:dyDescent="0.15">
      <c r="A2462" s="9">
        <v>2461</v>
      </c>
      <c r="B2462" s="10" t="s">
        <v>9</v>
      </c>
      <c r="C2462" s="10" t="s">
        <v>363</v>
      </c>
      <c r="D2462" s="10" t="s">
        <v>364</v>
      </c>
      <c r="E2462" s="11" t="str">
        <f>+HYPERLINK("http://trademark.i-assist.jp/data/china/image_1902th/79236689.pdf", "79236689")</f>
        <v>79236689</v>
      </c>
      <c r="F2462" s="10" t="s">
        <v>6975</v>
      </c>
      <c r="G2462" s="10" t="s">
        <v>6976</v>
      </c>
      <c r="H2462" s="10" t="s">
        <v>6977</v>
      </c>
      <c r="I2462" s="10" t="s">
        <v>352</v>
      </c>
    </row>
    <row r="2463" spans="1:9" x14ac:dyDescent="0.15">
      <c r="A2463" s="9">
        <v>2462</v>
      </c>
      <c r="B2463" s="10" t="s">
        <v>9</v>
      </c>
      <c r="C2463" s="10" t="s">
        <v>363</v>
      </c>
      <c r="D2463" s="10" t="s">
        <v>364</v>
      </c>
      <c r="E2463" s="11" t="str">
        <f>+HYPERLINK("http://trademark.i-assist.jp/data/china/image_1902th/79236762.pdf", "79236762")</f>
        <v>79236762</v>
      </c>
      <c r="F2463" s="10" t="s">
        <v>6978</v>
      </c>
      <c r="G2463" s="10" t="s">
        <v>6979</v>
      </c>
      <c r="H2463" s="10" t="s">
        <v>6980</v>
      </c>
      <c r="I2463" s="10" t="s">
        <v>352</v>
      </c>
    </row>
    <row r="2464" spans="1:9" x14ac:dyDescent="0.15">
      <c r="A2464" s="9">
        <v>2463</v>
      </c>
      <c r="B2464" s="10" t="s">
        <v>9</v>
      </c>
      <c r="C2464" s="10" t="s">
        <v>363</v>
      </c>
      <c r="D2464" s="10" t="s">
        <v>364</v>
      </c>
      <c r="E2464" s="11" t="str">
        <f>+HYPERLINK("http://trademark.i-assist.jp/data/china/image_1902th/79237057.pdf", "79237057")</f>
        <v>79237057</v>
      </c>
      <c r="F2464" s="10" t="s">
        <v>6981</v>
      </c>
      <c r="G2464" s="10" t="s">
        <v>6982</v>
      </c>
      <c r="H2464" s="10" t="s">
        <v>6983</v>
      </c>
      <c r="I2464" s="10" t="s">
        <v>352</v>
      </c>
    </row>
    <row r="2465" spans="1:9" x14ac:dyDescent="0.15">
      <c r="A2465" s="9">
        <v>2464</v>
      </c>
      <c r="B2465" s="10" t="s">
        <v>9</v>
      </c>
      <c r="C2465" s="10" t="s">
        <v>363</v>
      </c>
      <c r="D2465" s="10" t="s">
        <v>364</v>
      </c>
      <c r="E2465" s="11" t="str">
        <f>+HYPERLINK("http://trademark.i-assist.jp/data/china/image_1902th/79237207.pdf", "79237207")</f>
        <v>79237207</v>
      </c>
      <c r="F2465" s="10" t="s">
        <v>6984</v>
      </c>
      <c r="G2465" s="10" t="s">
        <v>6985</v>
      </c>
      <c r="H2465" s="10" t="s">
        <v>6986</v>
      </c>
      <c r="I2465" s="10" t="s">
        <v>352</v>
      </c>
    </row>
    <row r="2466" spans="1:9" x14ac:dyDescent="0.15">
      <c r="A2466" s="9">
        <v>2465</v>
      </c>
      <c r="B2466" s="10" t="s">
        <v>9</v>
      </c>
      <c r="C2466" s="10" t="s">
        <v>363</v>
      </c>
      <c r="D2466" s="10" t="s">
        <v>364</v>
      </c>
      <c r="E2466" s="11" t="str">
        <f>+HYPERLINK("http://trademark.i-assist.jp/data/china/image_1902th/79237488.pdf", "79237488")</f>
        <v>79237488</v>
      </c>
      <c r="F2466" s="10" t="s">
        <v>6987</v>
      </c>
      <c r="G2466" s="10" t="s">
        <v>6987</v>
      </c>
      <c r="H2466" s="10" t="s">
        <v>6988</v>
      </c>
      <c r="I2466" s="10" t="s">
        <v>352</v>
      </c>
    </row>
    <row r="2467" spans="1:9" x14ac:dyDescent="0.15">
      <c r="A2467" s="9">
        <v>2466</v>
      </c>
      <c r="B2467" s="10" t="s">
        <v>9</v>
      </c>
      <c r="C2467" s="10" t="s">
        <v>363</v>
      </c>
      <c r="D2467" s="10" t="s">
        <v>364</v>
      </c>
      <c r="E2467" s="11" t="str">
        <f>+HYPERLINK("http://trademark.i-assist.jp/data/china/image_1902th/79237667.pdf", "79237667")</f>
        <v>79237667</v>
      </c>
      <c r="F2467" s="10" t="s">
        <v>6989</v>
      </c>
      <c r="G2467" s="10" t="s">
        <v>6990</v>
      </c>
      <c r="H2467" s="10" t="s">
        <v>6991</v>
      </c>
      <c r="I2467" s="10" t="s">
        <v>352</v>
      </c>
    </row>
    <row r="2468" spans="1:9" x14ac:dyDescent="0.15">
      <c r="A2468" s="9">
        <v>2467</v>
      </c>
      <c r="B2468" s="10" t="s">
        <v>9</v>
      </c>
      <c r="C2468" s="10" t="s">
        <v>363</v>
      </c>
      <c r="D2468" s="10" t="s">
        <v>364</v>
      </c>
      <c r="E2468" s="11" t="str">
        <f>+HYPERLINK("http://trademark.i-assist.jp/data/china/image_1902th/79237757.pdf", "79237757")</f>
        <v>79237757</v>
      </c>
      <c r="F2468" s="10" t="s">
        <v>6992</v>
      </c>
      <c r="G2468" s="10" t="s">
        <v>6953</v>
      </c>
      <c r="H2468" s="10" t="s">
        <v>6993</v>
      </c>
      <c r="I2468" s="10" t="s">
        <v>352</v>
      </c>
    </row>
    <row r="2469" spans="1:9" x14ac:dyDescent="0.15">
      <c r="A2469" s="9">
        <v>2468</v>
      </c>
      <c r="B2469" s="10" t="s">
        <v>9</v>
      </c>
      <c r="C2469" s="10" t="s">
        <v>363</v>
      </c>
      <c r="D2469" s="10" t="s">
        <v>364</v>
      </c>
      <c r="E2469" s="11" t="str">
        <f>+HYPERLINK("http://trademark.i-assist.jp/data/china/image_1902th/79237803.pdf", "79237803")</f>
        <v>79237803</v>
      </c>
      <c r="F2469" s="10" t="s">
        <v>6994</v>
      </c>
      <c r="G2469" s="10" t="s">
        <v>348</v>
      </c>
      <c r="H2469" s="10" t="s">
        <v>6995</v>
      </c>
      <c r="I2469" s="10" t="s">
        <v>352</v>
      </c>
    </row>
    <row r="2470" spans="1:9" x14ac:dyDescent="0.15">
      <c r="A2470" s="9">
        <v>2469</v>
      </c>
      <c r="B2470" s="10" t="s">
        <v>9</v>
      </c>
      <c r="C2470" s="10" t="s">
        <v>363</v>
      </c>
      <c r="D2470" s="10" t="s">
        <v>364</v>
      </c>
      <c r="E2470" s="11" t="str">
        <f>+HYPERLINK("http://trademark.i-assist.jp/data/china/image_1902th/79237875.pdf", "79237875")</f>
        <v>79237875</v>
      </c>
      <c r="F2470" s="10" t="s">
        <v>6996</v>
      </c>
      <c r="G2470" s="10" t="s">
        <v>6944</v>
      </c>
      <c r="H2470" s="10" t="s">
        <v>6997</v>
      </c>
      <c r="I2470" s="10" t="s">
        <v>352</v>
      </c>
    </row>
    <row r="2471" spans="1:9" x14ac:dyDescent="0.15">
      <c r="A2471" s="9">
        <v>2470</v>
      </c>
      <c r="B2471" s="10" t="s">
        <v>9</v>
      </c>
      <c r="C2471" s="10" t="s">
        <v>363</v>
      </c>
      <c r="D2471" s="10" t="s">
        <v>364</v>
      </c>
      <c r="E2471" s="11" t="str">
        <f>+HYPERLINK("http://trademark.i-assist.jp/data/china/image_1902th/79237881.pdf", "79237881")</f>
        <v>79237881</v>
      </c>
      <c r="F2471" s="10" t="s">
        <v>6998</v>
      </c>
      <c r="G2471" s="10" t="s">
        <v>6944</v>
      </c>
      <c r="H2471" s="10" t="s">
        <v>6999</v>
      </c>
      <c r="I2471" s="10" t="s">
        <v>352</v>
      </c>
    </row>
    <row r="2472" spans="1:9" x14ac:dyDescent="0.15">
      <c r="A2472" s="9">
        <v>2471</v>
      </c>
      <c r="B2472" s="10" t="s">
        <v>9</v>
      </c>
      <c r="C2472" s="10" t="s">
        <v>363</v>
      </c>
      <c r="D2472" s="10" t="s">
        <v>364</v>
      </c>
      <c r="E2472" s="11" t="str">
        <f>+HYPERLINK("http://trademark.i-assist.jp/data/china/image_1902th/79237892.pdf", "79237892")</f>
        <v>79237892</v>
      </c>
      <c r="F2472" s="10" t="s">
        <v>7000</v>
      </c>
      <c r="G2472" s="10" t="s">
        <v>7001</v>
      </c>
      <c r="H2472" s="10" t="s">
        <v>7002</v>
      </c>
      <c r="I2472" s="10" t="s">
        <v>352</v>
      </c>
    </row>
    <row r="2473" spans="1:9" x14ac:dyDescent="0.15">
      <c r="A2473" s="9">
        <v>2472</v>
      </c>
      <c r="B2473" s="10" t="s">
        <v>9</v>
      </c>
      <c r="C2473" s="10" t="s">
        <v>363</v>
      </c>
      <c r="D2473" s="10" t="s">
        <v>364</v>
      </c>
      <c r="E2473" s="11" t="str">
        <f>+HYPERLINK("http://trademark.i-assist.jp/data/china/image_1902th/79237899.pdf", "79237899")</f>
        <v>79237899</v>
      </c>
      <c r="F2473" s="10" t="s">
        <v>7003</v>
      </c>
      <c r="G2473" s="10" t="s">
        <v>7004</v>
      </c>
      <c r="H2473" s="10" t="s">
        <v>7005</v>
      </c>
      <c r="I2473" s="10" t="s">
        <v>352</v>
      </c>
    </row>
    <row r="2474" spans="1:9" x14ac:dyDescent="0.15">
      <c r="A2474" s="9">
        <v>2473</v>
      </c>
      <c r="B2474" s="10" t="s">
        <v>9</v>
      </c>
      <c r="C2474" s="10" t="s">
        <v>363</v>
      </c>
      <c r="D2474" s="10" t="s">
        <v>364</v>
      </c>
      <c r="E2474" s="11" t="str">
        <f>+HYPERLINK("http://trademark.i-assist.jp/data/china/image_1902th/79238238.pdf", "79238238")</f>
        <v>79238238</v>
      </c>
      <c r="F2474" s="10" t="s">
        <v>7006</v>
      </c>
      <c r="G2474" s="10" t="s">
        <v>6953</v>
      </c>
      <c r="H2474" s="10" t="s">
        <v>7007</v>
      </c>
      <c r="I2474" s="10" t="s">
        <v>352</v>
      </c>
    </row>
    <row r="2475" spans="1:9" x14ac:dyDescent="0.15">
      <c r="A2475" s="9">
        <v>2474</v>
      </c>
      <c r="B2475" s="10" t="s">
        <v>9</v>
      </c>
      <c r="C2475" s="10" t="s">
        <v>363</v>
      </c>
      <c r="D2475" s="10" t="s">
        <v>364</v>
      </c>
      <c r="E2475" s="11" t="str">
        <f>+HYPERLINK("http://trademark.i-assist.jp/data/china/image_1902th/79238792.pdf", "79238792")</f>
        <v>79238792</v>
      </c>
      <c r="F2475" s="10" t="s">
        <v>7008</v>
      </c>
      <c r="G2475" s="10" t="s">
        <v>7009</v>
      </c>
      <c r="H2475" s="10" t="s">
        <v>7010</v>
      </c>
      <c r="I2475" s="10" t="s">
        <v>352</v>
      </c>
    </row>
    <row r="2476" spans="1:9" x14ac:dyDescent="0.15">
      <c r="A2476" s="9">
        <v>2475</v>
      </c>
      <c r="B2476" s="10" t="s">
        <v>9</v>
      </c>
      <c r="C2476" s="10" t="s">
        <v>363</v>
      </c>
      <c r="D2476" s="10" t="s">
        <v>364</v>
      </c>
      <c r="E2476" s="11" t="str">
        <f>+HYPERLINK("http://trademark.i-assist.jp/data/china/image_1902th/79238814.pdf", "79238814")</f>
        <v>79238814</v>
      </c>
      <c r="F2476" s="10" t="s">
        <v>7011</v>
      </c>
      <c r="G2476" s="10" t="s">
        <v>7012</v>
      </c>
      <c r="H2476" s="10" t="s">
        <v>7013</v>
      </c>
      <c r="I2476" s="10" t="s">
        <v>352</v>
      </c>
    </row>
    <row r="2477" spans="1:9" x14ac:dyDescent="0.15">
      <c r="A2477" s="9">
        <v>2476</v>
      </c>
      <c r="B2477" s="10" t="s">
        <v>9</v>
      </c>
      <c r="C2477" s="10" t="s">
        <v>363</v>
      </c>
      <c r="D2477" s="10" t="s">
        <v>364</v>
      </c>
      <c r="E2477" s="11" t="str">
        <f>+HYPERLINK("http://trademark.i-assist.jp/data/china/image_1902th/79238819.pdf", "79238819")</f>
        <v>79238819</v>
      </c>
      <c r="F2477" s="10" t="s">
        <v>7014</v>
      </c>
      <c r="G2477" s="10" t="s">
        <v>7015</v>
      </c>
      <c r="H2477" s="10" t="s">
        <v>7016</v>
      </c>
      <c r="I2477" s="10" t="s">
        <v>352</v>
      </c>
    </row>
    <row r="2478" spans="1:9" x14ac:dyDescent="0.15">
      <c r="A2478" s="9">
        <v>2477</v>
      </c>
      <c r="B2478" s="10" t="s">
        <v>9</v>
      </c>
      <c r="C2478" s="10" t="s">
        <v>363</v>
      </c>
      <c r="D2478" s="10" t="s">
        <v>364</v>
      </c>
      <c r="E2478" s="11" t="str">
        <f>+HYPERLINK("http://trademark.i-assist.jp/data/china/image_1902th/79238897.pdf", "79238897")</f>
        <v>79238897</v>
      </c>
      <c r="F2478" s="10" t="s">
        <v>7017</v>
      </c>
      <c r="G2478" s="10" t="s">
        <v>7018</v>
      </c>
      <c r="H2478" s="10" t="s">
        <v>7019</v>
      </c>
      <c r="I2478" s="10" t="s">
        <v>352</v>
      </c>
    </row>
    <row r="2479" spans="1:9" x14ac:dyDescent="0.15">
      <c r="A2479" s="9">
        <v>2478</v>
      </c>
      <c r="B2479" s="10" t="s">
        <v>9</v>
      </c>
      <c r="C2479" s="10" t="s">
        <v>363</v>
      </c>
      <c r="D2479" s="10" t="s">
        <v>364</v>
      </c>
      <c r="E2479" s="11" t="str">
        <f>+HYPERLINK("http://trademark.i-assist.jp/data/china/image_1902th/79239430.pdf", "79239430")</f>
        <v>79239430</v>
      </c>
      <c r="F2479" s="10" t="s">
        <v>7020</v>
      </c>
      <c r="G2479" s="10" t="s">
        <v>6935</v>
      </c>
      <c r="H2479" s="10" t="s">
        <v>7021</v>
      </c>
      <c r="I2479" s="10" t="s">
        <v>352</v>
      </c>
    </row>
    <row r="2480" spans="1:9" x14ac:dyDescent="0.15">
      <c r="A2480" s="9">
        <v>2479</v>
      </c>
      <c r="B2480" s="10" t="s">
        <v>9</v>
      </c>
      <c r="C2480" s="10" t="s">
        <v>363</v>
      </c>
      <c r="D2480" s="10" t="s">
        <v>364</v>
      </c>
      <c r="E2480" s="11" t="str">
        <f>+HYPERLINK("http://trademark.i-assist.jp/data/china/image_1902th/79239761.pdf", "79239761")</f>
        <v>79239761</v>
      </c>
      <c r="F2480" s="10" t="s">
        <v>7022</v>
      </c>
      <c r="G2480" s="10" t="s">
        <v>348</v>
      </c>
      <c r="H2480" s="10" t="s">
        <v>7023</v>
      </c>
      <c r="I2480" s="10" t="s">
        <v>355</v>
      </c>
    </row>
    <row r="2481" spans="1:9" x14ac:dyDescent="0.15">
      <c r="A2481" s="9">
        <v>2480</v>
      </c>
      <c r="B2481" s="10" t="s">
        <v>9</v>
      </c>
      <c r="C2481" s="10" t="s">
        <v>363</v>
      </c>
      <c r="D2481" s="10" t="s">
        <v>364</v>
      </c>
      <c r="E2481" s="11" t="str">
        <f>+HYPERLINK("http://trademark.i-assist.jp/data/china/image_1902th/79239867.pdf", "79239867")</f>
        <v>79239867</v>
      </c>
      <c r="F2481" s="10" t="s">
        <v>7024</v>
      </c>
      <c r="G2481" s="10" t="s">
        <v>7025</v>
      </c>
      <c r="H2481" s="10" t="s">
        <v>7026</v>
      </c>
      <c r="I2481" s="10" t="s">
        <v>355</v>
      </c>
    </row>
    <row r="2482" spans="1:9" x14ac:dyDescent="0.15">
      <c r="A2482" s="9">
        <v>2481</v>
      </c>
      <c r="B2482" s="10" t="s">
        <v>9</v>
      </c>
      <c r="C2482" s="10" t="s">
        <v>363</v>
      </c>
      <c r="D2482" s="10" t="s">
        <v>364</v>
      </c>
      <c r="E2482" s="11" t="str">
        <f>+HYPERLINK("http://trademark.i-assist.jp/data/china/image_1902th/79240008.pdf", "79240008")</f>
        <v>79240008</v>
      </c>
      <c r="F2482" s="10" t="s">
        <v>7027</v>
      </c>
      <c r="G2482" s="10" t="s">
        <v>7028</v>
      </c>
      <c r="H2482" s="10" t="s">
        <v>7029</v>
      </c>
      <c r="I2482" s="10" t="s">
        <v>355</v>
      </c>
    </row>
    <row r="2483" spans="1:9" x14ac:dyDescent="0.15">
      <c r="A2483" s="9">
        <v>2482</v>
      </c>
      <c r="B2483" s="10" t="s">
        <v>9</v>
      </c>
      <c r="C2483" s="10" t="s">
        <v>363</v>
      </c>
      <c r="D2483" s="10" t="s">
        <v>364</v>
      </c>
      <c r="E2483" s="11" t="str">
        <f>+HYPERLINK("http://trademark.i-assist.jp/data/china/image_1902th/79240111.pdf", "79240111")</f>
        <v>79240111</v>
      </c>
      <c r="F2483" s="10" t="s">
        <v>12</v>
      </c>
      <c r="G2483" s="10" t="s">
        <v>7030</v>
      </c>
      <c r="H2483" s="10" t="s">
        <v>7031</v>
      </c>
      <c r="I2483" s="10" t="s">
        <v>355</v>
      </c>
    </row>
    <row r="2484" spans="1:9" x14ac:dyDescent="0.15">
      <c r="A2484" s="9">
        <v>2483</v>
      </c>
      <c r="B2484" s="10" t="s">
        <v>9</v>
      </c>
      <c r="C2484" s="10" t="s">
        <v>363</v>
      </c>
      <c r="D2484" s="10" t="s">
        <v>364</v>
      </c>
      <c r="E2484" s="11" t="str">
        <f>+HYPERLINK("http://trademark.i-assist.jp/data/china/image_1902th/79240136.pdf", "79240136")</f>
        <v>79240136</v>
      </c>
      <c r="F2484" s="10" t="s">
        <v>7032</v>
      </c>
      <c r="G2484" s="10" t="s">
        <v>7033</v>
      </c>
      <c r="H2484" s="10" t="s">
        <v>7034</v>
      </c>
      <c r="I2484" s="10" t="s">
        <v>355</v>
      </c>
    </row>
    <row r="2485" spans="1:9" x14ac:dyDescent="0.15">
      <c r="A2485" s="9">
        <v>2484</v>
      </c>
      <c r="B2485" s="10" t="s">
        <v>9</v>
      </c>
      <c r="C2485" s="10" t="s">
        <v>363</v>
      </c>
      <c r="D2485" s="10" t="s">
        <v>364</v>
      </c>
      <c r="E2485" s="11" t="str">
        <f>+HYPERLINK("http://trademark.i-assist.jp/data/china/image_1902th/79240393.pdf", "79240393")</f>
        <v>79240393</v>
      </c>
      <c r="F2485" s="10" t="s">
        <v>7035</v>
      </c>
      <c r="G2485" s="10" t="s">
        <v>7036</v>
      </c>
      <c r="H2485" s="10" t="s">
        <v>7037</v>
      </c>
      <c r="I2485" s="10" t="s">
        <v>355</v>
      </c>
    </row>
    <row r="2486" spans="1:9" x14ac:dyDescent="0.15">
      <c r="A2486" s="9">
        <v>2485</v>
      </c>
      <c r="B2486" s="10" t="s">
        <v>9</v>
      </c>
      <c r="C2486" s="10" t="s">
        <v>363</v>
      </c>
      <c r="D2486" s="10" t="s">
        <v>364</v>
      </c>
      <c r="E2486" s="11" t="str">
        <f>+HYPERLINK("http://trademark.i-assist.jp/data/china/image_1902th/79240437.pdf", "79240437")</f>
        <v>79240437</v>
      </c>
      <c r="F2486" s="10" t="s">
        <v>7038</v>
      </c>
      <c r="G2486" s="10" t="s">
        <v>7039</v>
      </c>
      <c r="H2486" s="10" t="s">
        <v>19</v>
      </c>
      <c r="I2486" s="10" t="s">
        <v>355</v>
      </c>
    </row>
    <row r="2487" spans="1:9" x14ac:dyDescent="0.15">
      <c r="A2487" s="9">
        <v>2486</v>
      </c>
      <c r="B2487" s="10" t="s">
        <v>9</v>
      </c>
      <c r="C2487" s="10" t="s">
        <v>363</v>
      </c>
      <c r="D2487" s="10" t="s">
        <v>364</v>
      </c>
      <c r="E2487" s="11" t="str">
        <f>+HYPERLINK("http://trademark.i-assist.jp/data/china/image_1902th/79240461.pdf", "79240461")</f>
        <v>79240461</v>
      </c>
      <c r="F2487" s="10" t="s">
        <v>7040</v>
      </c>
      <c r="G2487" s="10" t="s">
        <v>7041</v>
      </c>
      <c r="H2487" s="10" t="s">
        <v>7042</v>
      </c>
      <c r="I2487" s="10" t="s">
        <v>355</v>
      </c>
    </row>
    <row r="2488" spans="1:9" x14ac:dyDescent="0.15">
      <c r="A2488" s="9">
        <v>2487</v>
      </c>
      <c r="B2488" s="10" t="s">
        <v>9</v>
      </c>
      <c r="C2488" s="10" t="s">
        <v>363</v>
      </c>
      <c r="D2488" s="10" t="s">
        <v>364</v>
      </c>
      <c r="E2488" s="11" t="str">
        <f>+HYPERLINK("http://trademark.i-assist.jp/data/china/image_1902th/79240545.pdf", "79240545")</f>
        <v>79240545</v>
      </c>
      <c r="F2488" s="10" t="s">
        <v>7043</v>
      </c>
      <c r="G2488" s="10" t="s">
        <v>7044</v>
      </c>
      <c r="H2488" s="10" t="s">
        <v>7045</v>
      </c>
      <c r="I2488" s="10" t="s">
        <v>355</v>
      </c>
    </row>
    <row r="2489" spans="1:9" x14ac:dyDescent="0.15">
      <c r="A2489" s="9">
        <v>2488</v>
      </c>
      <c r="B2489" s="10" t="s">
        <v>9</v>
      </c>
      <c r="C2489" s="10" t="s">
        <v>363</v>
      </c>
      <c r="D2489" s="10" t="s">
        <v>364</v>
      </c>
      <c r="E2489" s="11" t="str">
        <f>+HYPERLINK("http://trademark.i-assist.jp/data/china/image_1902th/79240597.pdf", "79240597")</f>
        <v>79240597</v>
      </c>
      <c r="F2489" s="10" t="s">
        <v>7046</v>
      </c>
      <c r="G2489" s="10" t="s">
        <v>7047</v>
      </c>
      <c r="H2489" s="10" t="s">
        <v>7048</v>
      </c>
      <c r="I2489" s="10" t="s">
        <v>355</v>
      </c>
    </row>
    <row r="2490" spans="1:9" x14ac:dyDescent="0.15">
      <c r="A2490" s="9">
        <v>2489</v>
      </c>
      <c r="B2490" s="10" t="s">
        <v>9</v>
      </c>
      <c r="C2490" s="10" t="s">
        <v>363</v>
      </c>
      <c r="D2490" s="10" t="s">
        <v>364</v>
      </c>
      <c r="E2490" s="11" t="str">
        <f>+HYPERLINK("http://trademark.i-assist.jp/data/china/image_1902th/79240649.pdf", "79240649")</f>
        <v>79240649</v>
      </c>
      <c r="F2490" s="10" t="s">
        <v>7049</v>
      </c>
      <c r="G2490" s="10" t="s">
        <v>260</v>
      </c>
      <c r="H2490" s="10" t="s">
        <v>7050</v>
      </c>
      <c r="I2490" s="10" t="s">
        <v>355</v>
      </c>
    </row>
    <row r="2491" spans="1:9" x14ac:dyDescent="0.15">
      <c r="A2491" s="9">
        <v>2490</v>
      </c>
      <c r="B2491" s="10" t="s">
        <v>9</v>
      </c>
      <c r="C2491" s="10" t="s">
        <v>363</v>
      </c>
      <c r="D2491" s="10" t="s">
        <v>364</v>
      </c>
      <c r="E2491" s="11" t="str">
        <f>+HYPERLINK("http://trademark.i-assist.jp/data/china/image_1902th/79240712.pdf", "79240712")</f>
        <v>79240712</v>
      </c>
      <c r="F2491" s="10" t="s">
        <v>7051</v>
      </c>
      <c r="G2491" s="10" t="s">
        <v>7052</v>
      </c>
      <c r="H2491" s="10" t="s">
        <v>7053</v>
      </c>
      <c r="I2491" s="10" t="s">
        <v>355</v>
      </c>
    </row>
    <row r="2492" spans="1:9" x14ac:dyDescent="0.15">
      <c r="A2492" s="9">
        <v>2491</v>
      </c>
      <c r="B2492" s="10" t="s">
        <v>9</v>
      </c>
      <c r="C2492" s="10" t="s">
        <v>363</v>
      </c>
      <c r="D2492" s="10" t="s">
        <v>364</v>
      </c>
      <c r="E2492" s="11" t="str">
        <f>+HYPERLINK("http://trademark.i-assist.jp/data/china/image_1902th/79240943.pdf", "79240943")</f>
        <v>79240943</v>
      </c>
      <c r="F2492" s="10" t="s">
        <v>7054</v>
      </c>
      <c r="G2492" s="10" t="s">
        <v>7055</v>
      </c>
      <c r="H2492" s="10" t="s">
        <v>7056</v>
      </c>
      <c r="I2492" s="10" t="s">
        <v>355</v>
      </c>
    </row>
    <row r="2493" spans="1:9" x14ac:dyDescent="0.15">
      <c r="A2493" s="9">
        <v>2492</v>
      </c>
      <c r="B2493" s="10" t="s">
        <v>9</v>
      </c>
      <c r="C2493" s="10" t="s">
        <v>363</v>
      </c>
      <c r="D2493" s="10" t="s">
        <v>364</v>
      </c>
      <c r="E2493" s="11" t="str">
        <f>+HYPERLINK("http://trademark.i-assist.jp/data/china/image_1902th/79241245.pdf", "79241245")</f>
        <v>79241245</v>
      </c>
      <c r="F2493" s="10" t="s">
        <v>7057</v>
      </c>
      <c r="G2493" s="10" t="s">
        <v>348</v>
      </c>
      <c r="H2493" s="10" t="s">
        <v>7058</v>
      </c>
      <c r="I2493" s="10" t="s">
        <v>355</v>
      </c>
    </row>
    <row r="2494" spans="1:9" x14ac:dyDescent="0.15">
      <c r="A2494" s="9">
        <v>2493</v>
      </c>
      <c r="B2494" s="10" t="s">
        <v>9</v>
      </c>
      <c r="C2494" s="10" t="s">
        <v>363</v>
      </c>
      <c r="D2494" s="10" t="s">
        <v>364</v>
      </c>
      <c r="E2494" s="11" t="str">
        <f>+HYPERLINK("http://trademark.i-assist.jp/data/china/image_1902th/79241348.pdf", "79241348")</f>
        <v>79241348</v>
      </c>
      <c r="F2494" s="10" t="s">
        <v>7059</v>
      </c>
      <c r="G2494" s="10" t="s">
        <v>7060</v>
      </c>
      <c r="H2494" s="10" t="s">
        <v>7061</v>
      </c>
      <c r="I2494" s="10" t="s">
        <v>355</v>
      </c>
    </row>
    <row r="2495" spans="1:9" x14ac:dyDescent="0.15">
      <c r="A2495" s="9">
        <v>2494</v>
      </c>
      <c r="B2495" s="10" t="s">
        <v>9</v>
      </c>
      <c r="C2495" s="10" t="s">
        <v>363</v>
      </c>
      <c r="D2495" s="10" t="s">
        <v>364</v>
      </c>
      <c r="E2495" s="11" t="str">
        <f>+HYPERLINK("http://trademark.i-assist.jp/data/china/image_1902th/79241357.pdf", "79241357")</f>
        <v>79241357</v>
      </c>
      <c r="F2495" s="10" t="s">
        <v>7062</v>
      </c>
      <c r="G2495" s="10" t="s">
        <v>7028</v>
      </c>
      <c r="H2495" s="10" t="s">
        <v>7063</v>
      </c>
      <c r="I2495" s="10" t="s">
        <v>355</v>
      </c>
    </row>
    <row r="2496" spans="1:9" x14ac:dyDescent="0.15">
      <c r="A2496" s="9">
        <v>2495</v>
      </c>
      <c r="B2496" s="10" t="s">
        <v>9</v>
      </c>
      <c r="C2496" s="10" t="s">
        <v>363</v>
      </c>
      <c r="D2496" s="10" t="s">
        <v>364</v>
      </c>
      <c r="E2496" s="11" t="str">
        <f>+HYPERLINK("http://trademark.i-assist.jp/data/china/image_1902th/79241358.pdf", "79241358")</f>
        <v>79241358</v>
      </c>
      <c r="F2496" s="10" t="s">
        <v>7064</v>
      </c>
      <c r="G2496" s="10" t="s">
        <v>7028</v>
      </c>
      <c r="H2496" s="10" t="s">
        <v>7065</v>
      </c>
      <c r="I2496" s="10" t="s">
        <v>355</v>
      </c>
    </row>
    <row r="2497" spans="1:9" x14ac:dyDescent="0.15">
      <c r="A2497" s="9">
        <v>2496</v>
      </c>
      <c r="B2497" s="10" t="s">
        <v>9</v>
      </c>
      <c r="C2497" s="10" t="s">
        <v>363</v>
      </c>
      <c r="D2497" s="10" t="s">
        <v>364</v>
      </c>
      <c r="E2497" s="11" t="str">
        <f>+HYPERLINK("http://trademark.i-assist.jp/data/china/image_1902th/79241373.pdf", "79241373")</f>
        <v>79241373</v>
      </c>
      <c r="F2497" s="10" t="s">
        <v>7066</v>
      </c>
      <c r="G2497" s="10" t="s">
        <v>7067</v>
      </c>
      <c r="H2497" s="10" t="s">
        <v>7068</v>
      </c>
      <c r="I2497" s="10" t="s">
        <v>355</v>
      </c>
    </row>
    <row r="2498" spans="1:9" x14ac:dyDescent="0.15">
      <c r="A2498" s="9">
        <v>2497</v>
      </c>
      <c r="B2498" s="10" t="s">
        <v>9</v>
      </c>
      <c r="C2498" s="10" t="s">
        <v>363</v>
      </c>
      <c r="D2498" s="10" t="s">
        <v>364</v>
      </c>
      <c r="E2498" s="11" t="str">
        <f>+HYPERLINK("http://trademark.i-assist.jp/data/china/image_1902th/79241468.pdf", "79241468")</f>
        <v>79241468</v>
      </c>
      <c r="F2498" s="10" t="s">
        <v>7069</v>
      </c>
      <c r="G2498" s="10" t="s">
        <v>7070</v>
      </c>
      <c r="H2498" s="10" t="s">
        <v>7071</v>
      </c>
      <c r="I2498" s="10" t="s">
        <v>355</v>
      </c>
    </row>
    <row r="2499" spans="1:9" x14ac:dyDescent="0.15">
      <c r="A2499" s="9">
        <v>2498</v>
      </c>
      <c r="B2499" s="10" t="s">
        <v>9</v>
      </c>
      <c r="C2499" s="10" t="s">
        <v>363</v>
      </c>
      <c r="D2499" s="10" t="s">
        <v>364</v>
      </c>
      <c r="E2499" s="11" t="str">
        <f>+HYPERLINK("http://trademark.i-assist.jp/data/china/image_1902th/79241850.pdf", "79241850")</f>
        <v>79241850</v>
      </c>
      <c r="F2499" s="10" t="s">
        <v>7072</v>
      </c>
      <c r="G2499" s="10" t="s">
        <v>7028</v>
      </c>
      <c r="H2499" s="10" t="s">
        <v>7073</v>
      </c>
      <c r="I2499" s="10" t="s">
        <v>355</v>
      </c>
    </row>
    <row r="2500" spans="1:9" x14ac:dyDescent="0.15">
      <c r="A2500" s="9">
        <v>2499</v>
      </c>
      <c r="B2500" s="10" t="s">
        <v>9</v>
      </c>
      <c r="C2500" s="10" t="s">
        <v>363</v>
      </c>
      <c r="D2500" s="10" t="s">
        <v>364</v>
      </c>
      <c r="E2500" s="11" t="str">
        <f>+HYPERLINK("http://trademark.i-assist.jp/data/china/image_1902th/79241999.pdf", "79241999")</f>
        <v>79241999</v>
      </c>
      <c r="F2500" s="10" t="s">
        <v>7074</v>
      </c>
      <c r="G2500" s="10" t="s">
        <v>7075</v>
      </c>
      <c r="H2500" s="10" t="s">
        <v>7076</v>
      </c>
      <c r="I2500" s="10" t="s">
        <v>355</v>
      </c>
    </row>
    <row r="2501" spans="1:9" x14ac:dyDescent="0.15">
      <c r="A2501" s="9">
        <v>2500</v>
      </c>
      <c r="B2501" s="10" t="s">
        <v>9</v>
      </c>
      <c r="C2501" s="10" t="s">
        <v>363</v>
      </c>
      <c r="D2501" s="10" t="s">
        <v>364</v>
      </c>
      <c r="E2501" s="11" t="str">
        <f>+HYPERLINK("http://trademark.i-assist.jp/data/china/image_1902th/79242043.pdf", "79242043")</f>
        <v>79242043</v>
      </c>
      <c r="F2501" s="10" t="s">
        <v>7077</v>
      </c>
      <c r="G2501" s="10" t="s">
        <v>7078</v>
      </c>
      <c r="H2501" s="10" t="s">
        <v>7079</v>
      </c>
      <c r="I2501" s="10" t="s">
        <v>355</v>
      </c>
    </row>
    <row r="2502" spans="1:9" x14ac:dyDescent="0.15">
      <c r="A2502" s="9">
        <v>2501</v>
      </c>
      <c r="B2502" s="10" t="s">
        <v>9</v>
      </c>
      <c r="C2502" s="10" t="s">
        <v>363</v>
      </c>
      <c r="D2502" s="10" t="s">
        <v>364</v>
      </c>
      <c r="E2502" s="11" t="str">
        <f>+HYPERLINK("http://trademark.i-assist.jp/data/china/image_1902th/79242112.pdf", "79242112")</f>
        <v>79242112</v>
      </c>
      <c r="F2502" s="10" t="s">
        <v>7080</v>
      </c>
      <c r="G2502" s="10" t="s">
        <v>72</v>
      </c>
      <c r="H2502" s="10" t="s">
        <v>7081</v>
      </c>
      <c r="I2502" s="10" t="s">
        <v>355</v>
      </c>
    </row>
    <row r="2503" spans="1:9" x14ac:dyDescent="0.15">
      <c r="A2503" s="9">
        <v>2502</v>
      </c>
      <c r="B2503" s="10" t="s">
        <v>9</v>
      </c>
      <c r="C2503" s="10" t="s">
        <v>363</v>
      </c>
      <c r="D2503" s="10" t="s">
        <v>364</v>
      </c>
      <c r="E2503" s="11" t="str">
        <f>+HYPERLINK("http://trademark.i-assist.jp/data/china/image_1902th/79242145.pdf", "79242145")</f>
        <v>79242145</v>
      </c>
      <c r="F2503" s="10" t="s">
        <v>7082</v>
      </c>
      <c r="G2503" s="10" t="s">
        <v>7083</v>
      </c>
      <c r="H2503" s="10" t="s">
        <v>7084</v>
      </c>
      <c r="I2503" s="10" t="s">
        <v>355</v>
      </c>
    </row>
    <row r="2504" spans="1:9" x14ac:dyDescent="0.15">
      <c r="A2504" s="9">
        <v>2503</v>
      </c>
      <c r="B2504" s="10" t="s">
        <v>9</v>
      </c>
      <c r="C2504" s="10" t="s">
        <v>363</v>
      </c>
      <c r="D2504" s="10" t="s">
        <v>364</v>
      </c>
      <c r="E2504" s="11" t="str">
        <f>+HYPERLINK("http://trademark.i-assist.jp/data/china/image_1902th/79242382.pdf", "79242382")</f>
        <v>79242382</v>
      </c>
      <c r="F2504" s="10" t="s">
        <v>7085</v>
      </c>
      <c r="G2504" s="10" t="s">
        <v>7075</v>
      </c>
      <c r="H2504" s="10" t="s">
        <v>7086</v>
      </c>
      <c r="I2504" s="10" t="s">
        <v>355</v>
      </c>
    </row>
    <row r="2505" spans="1:9" x14ac:dyDescent="0.15">
      <c r="A2505" s="9">
        <v>2504</v>
      </c>
      <c r="B2505" s="10" t="s">
        <v>9</v>
      </c>
      <c r="C2505" s="10" t="s">
        <v>363</v>
      </c>
      <c r="D2505" s="10" t="s">
        <v>364</v>
      </c>
      <c r="E2505" s="11" t="str">
        <f>+HYPERLINK("http://trademark.i-assist.jp/data/china/image_1902th/79242453.pdf", "79242453")</f>
        <v>79242453</v>
      </c>
      <c r="F2505" s="10" t="s">
        <v>7087</v>
      </c>
      <c r="G2505" s="10" t="s">
        <v>270</v>
      </c>
      <c r="H2505" s="10" t="s">
        <v>7088</v>
      </c>
      <c r="I2505" s="10" t="s">
        <v>355</v>
      </c>
    </row>
    <row r="2506" spans="1:9" x14ac:dyDescent="0.15">
      <c r="A2506" s="9">
        <v>2505</v>
      </c>
      <c r="B2506" s="10" t="s">
        <v>9</v>
      </c>
      <c r="C2506" s="10" t="s">
        <v>363</v>
      </c>
      <c r="D2506" s="10" t="s">
        <v>364</v>
      </c>
      <c r="E2506" s="11" t="str">
        <f>+HYPERLINK("http://trademark.i-assist.jp/data/china/image_1902th/79242649.pdf", "79242649")</f>
        <v>79242649</v>
      </c>
      <c r="F2506" s="10" t="s">
        <v>7089</v>
      </c>
      <c r="G2506" s="10" t="s">
        <v>7090</v>
      </c>
      <c r="H2506" s="10" t="s">
        <v>19</v>
      </c>
      <c r="I2506" s="10" t="s">
        <v>355</v>
      </c>
    </row>
    <row r="2507" spans="1:9" x14ac:dyDescent="0.15">
      <c r="A2507" s="9">
        <v>2506</v>
      </c>
      <c r="B2507" s="10" t="s">
        <v>9</v>
      </c>
      <c r="C2507" s="10" t="s">
        <v>363</v>
      </c>
      <c r="D2507" s="10" t="s">
        <v>364</v>
      </c>
      <c r="E2507" s="11" t="str">
        <f>+HYPERLINK("http://trademark.i-assist.jp/data/china/image_1902th/79242699.pdf", "79242699")</f>
        <v>79242699</v>
      </c>
      <c r="F2507" s="10" t="s">
        <v>12</v>
      </c>
      <c r="G2507" s="10" t="s">
        <v>7091</v>
      </c>
      <c r="H2507" s="10" t="s">
        <v>7092</v>
      </c>
      <c r="I2507" s="10" t="s">
        <v>355</v>
      </c>
    </row>
    <row r="2508" spans="1:9" x14ac:dyDescent="0.15">
      <c r="A2508" s="9">
        <v>2507</v>
      </c>
      <c r="B2508" s="10" t="s">
        <v>9</v>
      </c>
      <c r="C2508" s="10" t="s">
        <v>363</v>
      </c>
      <c r="D2508" s="10" t="s">
        <v>364</v>
      </c>
      <c r="E2508" s="11" t="str">
        <f>+HYPERLINK("http://trademark.i-assist.jp/data/china/image_1902th/79242705.pdf", "79242705")</f>
        <v>79242705</v>
      </c>
      <c r="F2508" s="10" t="s">
        <v>7093</v>
      </c>
      <c r="G2508" s="10" t="s">
        <v>270</v>
      </c>
      <c r="H2508" s="10" t="s">
        <v>7094</v>
      </c>
      <c r="I2508" s="10" t="s">
        <v>355</v>
      </c>
    </row>
    <row r="2509" spans="1:9" x14ac:dyDescent="0.15">
      <c r="A2509" s="9">
        <v>2508</v>
      </c>
      <c r="B2509" s="10" t="s">
        <v>9</v>
      </c>
      <c r="C2509" s="10" t="s">
        <v>363</v>
      </c>
      <c r="D2509" s="10" t="s">
        <v>364</v>
      </c>
      <c r="E2509" s="11" t="str">
        <f>+HYPERLINK("http://trademark.i-assist.jp/data/china/image_1902th/79243049.pdf", "79243049")</f>
        <v>79243049</v>
      </c>
      <c r="F2509" s="10" t="s">
        <v>7095</v>
      </c>
      <c r="G2509" s="10" t="s">
        <v>7096</v>
      </c>
      <c r="H2509" s="10" t="s">
        <v>7097</v>
      </c>
      <c r="I2509" s="10" t="s">
        <v>356</v>
      </c>
    </row>
    <row r="2510" spans="1:9" x14ac:dyDescent="0.15">
      <c r="A2510" s="9">
        <v>2509</v>
      </c>
      <c r="B2510" s="10" t="s">
        <v>9</v>
      </c>
      <c r="C2510" s="10" t="s">
        <v>363</v>
      </c>
      <c r="D2510" s="10" t="s">
        <v>364</v>
      </c>
      <c r="E2510" s="11" t="str">
        <f>+HYPERLINK("http://trademark.i-assist.jp/data/china/image_1902th/79243240.pdf", "79243240")</f>
        <v>79243240</v>
      </c>
      <c r="F2510" s="10" t="s">
        <v>7098</v>
      </c>
      <c r="G2510" s="10" t="s">
        <v>7099</v>
      </c>
      <c r="H2510" s="10" t="s">
        <v>7100</v>
      </c>
      <c r="I2510" s="10" t="s">
        <v>356</v>
      </c>
    </row>
    <row r="2511" spans="1:9" x14ac:dyDescent="0.15">
      <c r="A2511" s="9">
        <v>2510</v>
      </c>
      <c r="B2511" s="10" t="s">
        <v>9</v>
      </c>
      <c r="C2511" s="10" t="s">
        <v>363</v>
      </c>
      <c r="D2511" s="10" t="s">
        <v>364</v>
      </c>
      <c r="E2511" s="11" t="str">
        <f>+HYPERLINK("http://trademark.i-assist.jp/data/china/image_1902th/79243241.pdf", "79243241")</f>
        <v>79243241</v>
      </c>
      <c r="F2511" s="10" t="s">
        <v>7101</v>
      </c>
      <c r="G2511" s="10" t="s">
        <v>7102</v>
      </c>
      <c r="H2511" s="10" t="s">
        <v>7103</v>
      </c>
      <c r="I2511" s="10" t="s">
        <v>356</v>
      </c>
    </row>
    <row r="2512" spans="1:9" x14ac:dyDescent="0.15">
      <c r="A2512" s="9">
        <v>2511</v>
      </c>
      <c r="B2512" s="10" t="s">
        <v>9</v>
      </c>
      <c r="C2512" s="10" t="s">
        <v>363</v>
      </c>
      <c r="D2512" s="10" t="s">
        <v>364</v>
      </c>
      <c r="E2512" s="11" t="str">
        <f>+HYPERLINK("http://trademark.i-assist.jp/data/china/image_1902th/79243264.pdf", "79243264")</f>
        <v>79243264</v>
      </c>
      <c r="F2512" s="10" t="s">
        <v>7104</v>
      </c>
      <c r="G2512" s="10" t="s">
        <v>7105</v>
      </c>
      <c r="H2512" s="10" t="s">
        <v>7106</v>
      </c>
      <c r="I2512" s="10" t="s">
        <v>356</v>
      </c>
    </row>
    <row r="2513" spans="1:9" x14ac:dyDescent="0.15">
      <c r="A2513" s="9">
        <v>2512</v>
      </c>
      <c r="B2513" s="10" t="s">
        <v>9</v>
      </c>
      <c r="C2513" s="10" t="s">
        <v>363</v>
      </c>
      <c r="D2513" s="10" t="s">
        <v>364</v>
      </c>
      <c r="E2513" s="11" t="str">
        <f>+HYPERLINK("http://trademark.i-assist.jp/data/china/image_1902th/79243333.pdf", "79243333")</f>
        <v>79243333</v>
      </c>
      <c r="F2513" s="10" t="s">
        <v>7107</v>
      </c>
      <c r="G2513" s="10" t="s">
        <v>4370</v>
      </c>
      <c r="H2513" s="10" t="s">
        <v>7108</v>
      </c>
      <c r="I2513" s="10" t="s">
        <v>356</v>
      </c>
    </row>
    <row r="2514" spans="1:9" x14ac:dyDescent="0.15">
      <c r="A2514" s="9">
        <v>2513</v>
      </c>
      <c r="B2514" s="10" t="s">
        <v>9</v>
      </c>
      <c r="C2514" s="10" t="s">
        <v>363</v>
      </c>
      <c r="D2514" s="10" t="s">
        <v>364</v>
      </c>
      <c r="E2514" s="11" t="str">
        <f>+HYPERLINK("http://trademark.i-assist.jp/data/china/image_1902th/79243478.pdf", "79243478")</f>
        <v>79243478</v>
      </c>
      <c r="F2514" s="10" t="s">
        <v>7109</v>
      </c>
      <c r="G2514" s="10" t="s">
        <v>7110</v>
      </c>
      <c r="H2514" s="10" t="s">
        <v>7111</v>
      </c>
      <c r="I2514" s="10" t="s">
        <v>356</v>
      </c>
    </row>
    <row r="2515" spans="1:9" x14ac:dyDescent="0.15">
      <c r="A2515" s="9">
        <v>2514</v>
      </c>
      <c r="B2515" s="10" t="s">
        <v>9</v>
      </c>
      <c r="C2515" s="10" t="s">
        <v>363</v>
      </c>
      <c r="D2515" s="10" t="s">
        <v>364</v>
      </c>
      <c r="E2515" s="11" t="str">
        <f>+HYPERLINK("http://trademark.i-assist.jp/data/china/image_1902th/79243624.pdf", "79243624")</f>
        <v>79243624</v>
      </c>
      <c r="F2515" s="10" t="s">
        <v>7112</v>
      </c>
      <c r="G2515" s="10" t="s">
        <v>7113</v>
      </c>
      <c r="H2515" s="10" t="s">
        <v>7114</v>
      </c>
      <c r="I2515" s="10" t="s">
        <v>356</v>
      </c>
    </row>
    <row r="2516" spans="1:9" x14ac:dyDescent="0.15">
      <c r="A2516" s="9">
        <v>2515</v>
      </c>
      <c r="B2516" s="10" t="s">
        <v>9</v>
      </c>
      <c r="C2516" s="10" t="s">
        <v>363</v>
      </c>
      <c r="D2516" s="10" t="s">
        <v>364</v>
      </c>
      <c r="E2516" s="11" t="str">
        <f>+HYPERLINK("http://trademark.i-assist.jp/data/china/image_1902th/79243815.pdf", "79243815")</f>
        <v>79243815</v>
      </c>
      <c r="F2516" s="10" t="s">
        <v>7115</v>
      </c>
      <c r="G2516" s="10" t="s">
        <v>7116</v>
      </c>
      <c r="H2516" s="10" t="s">
        <v>7117</v>
      </c>
      <c r="I2516" s="10" t="s">
        <v>356</v>
      </c>
    </row>
    <row r="2517" spans="1:9" x14ac:dyDescent="0.15">
      <c r="A2517" s="9">
        <v>2516</v>
      </c>
      <c r="B2517" s="10" t="s">
        <v>9</v>
      </c>
      <c r="C2517" s="10" t="s">
        <v>363</v>
      </c>
      <c r="D2517" s="10" t="s">
        <v>364</v>
      </c>
      <c r="E2517" s="11" t="str">
        <f>+HYPERLINK("http://trademark.i-assist.jp/data/china/image_1902th/79244174.pdf", "79244174")</f>
        <v>79244174</v>
      </c>
      <c r="F2517" s="10" t="s">
        <v>7118</v>
      </c>
      <c r="G2517" s="10" t="s">
        <v>3096</v>
      </c>
      <c r="H2517" s="10" t="s">
        <v>7119</v>
      </c>
      <c r="I2517" s="10" t="s">
        <v>356</v>
      </c>
    </row>
    <row r="2518" spans="1:9" x14ac:dyDescent="0.15">
      <c r="A2518" s="9">
        <v>2517</v>
      </c>
      <c r="B2518" s="10" t="s">
        <v>9</v>
      </c>
      <c r="C2518" s="10" t="s">
        <v>363</v>
      </c>
      <c r="D2518" s="10" t="s">
        <v>364</v>
      </c>
      <c r="E2518" s="11" t="str">
        <f>+HYPERLINK("http://trademark.i-assist.jp/data/china/image_1902th/79244389.pdf", "79244389")</f>
        <v>79244389</v>
      </c>
      <c r="F2518" s="10" t="s">
        <v>7120</v>
      </c>
      <c r="G2518" s="10" t="s">
        <v>7121</v>
      </c>
      <c r="H2518" s="10" t="s">
        <v>7122</v>
      </c>
      <c r="I2518" s="10" t="s">
        <v>356</v>
      </c>
    </row>
    <row r="2519" spans="1:9" x14ac:dyDescent="0.15">
      <c r="A2519" s="9">
        <v>2518</v>
      </c>
      <c r="B2519" s="10" t="s">
        <v>9</v>
      </c>
      <c r="C2519" s="10" t="s">
        <v>363</v>
      </c>
      <c r="D2519" s="10" t="s">
        <v>364</v>
      </c>
      <c r="E2519" s="11" t="str">
        <f>+HYPERLINK("http://trademark.i-assist.jp/data/china/image_1902th/79244453.pdf", "79244453")</f>
        <v>79244453</v>
      </c>
      <c r="F2519" s="10" t="s">
        <v>7123</v>
      </c>
      <c r="G2519" s="10" t="s">
        <v>7124</v>
      </c>
      <c r="H2519" s="10" t="s">
        <v>7125</v>
      </c>
      <c r="I2519" s="10" t="s">
        <v>356</v>
      </c>
    </row>
    <row r="2520" spans="1:9" x14ac:dyDescent="0.15">
      <c r="A2520" s="9">
        <v>2519</v>
      </c>
      <c r="B2520" s="10" t="s">
        <v>9</v>
      </c>
      <c r="C2520" s="10" t="s">
        <v>363</v>
      </c>
      <c r="D2520" s="10" t="s">
        <v>364</v>
      </c>
      <c r="E2520" s="11" t="str">
        <f>+HYPERLINK("http://trademark.i-assist.jp/data/china/image_1902th/79244482.pdf", "79244482")</f>
        <v>79244482</v>
      </c>
      <c r="F2520" s="10" t="s">
        <v>7126</v>
      </c>
      <c r="G2520" s="10" t="s">
        <v>7096</v>
      </c>
      <c r="H2520" s="10" t="s">
        <v>7127</v>
      </c>
      <c r="I2520" s="10" t="s">
        <v>356</v>
      </c>
    </row>
    <row r="2521" spans="1:9" x14ac:dyDescent="0.15">
      <c r="A2521" s="9">
        <v>2520</v>
      </c>
      <c r="B2521" s="10" t="s">
        <v>9</v>
      </c>
      <c r="C2521" s="10" t="s">
        <v>363</v>
      </c>
      <c r="D2521" s="10" t="s">
        <v>364</v>
      </c>
      <c r="E2521" s="11" t="str">
        <f>+HYPERLINK("http://trademark.i-assist.jp/data/china/image_1902th/79244490.pdf", "79244490")</f>
        <v>79244490</v>
      </c>
      <c r="F2521" s="10" t="s">
        <v>7128</v>
      </c>
      <c r="G2521" s="10" t="s">
        <v>7129</v>
      </c>
      <c r="H2521" s="10" t="s">
        <v>7130</v>
      </c>
      <c r="I2521" s="10" t="s">
        <v>356</v>
      </c>
    </row>
    <row r="2522" spans="1:9" x14ac:dyDescent="0.15">
      <c r="A2522" s="9">
        <v>2521</v>
      </c>
      <c r="B2522" s="10" t="s">
        <v>9</v>
      </c>
      <c r="C2522" s="10" t="s">
        <v>363</v>
      </c>
      <c r="D2522" s="10" t="s">
        <v>364</v>
      </c>
      <c r="E2522" s="11" t="str">
        <f>+HYPERLINK("http://trademark.i-assist.jp/data/china/image_1902th/79244637.pdf", "79244637")</f>
        <v>79244637</v>
      </c>
      <c r="F2522" s="10" t="s">
        <v>7131</v>
      </c>
      <c r="G2522" s="10" t="s">
        <v>7132</v>
      </c>
      <c r="H2522" s="10" t="s">
        <v>7133</v>
      </c>
      <c r="I2522" s="10" t="s">
        <v>356</v>
      </c>
    </row>
    <row r="2523" spans="1:9" x14ac:dyDescent="0.15">
      <c r="A2523" s="9">
        <v>2522</v>
      </c>
      <c r="B2523" s="10" t="s">
        <v>9</v>
      </c>
      <c r="C2523" s="10" t="s">
        <v>363</v>
      </c>
      <c r="D2523" s="10" t="s">
        <v>364</v>
      </c>
      <c r="E2523" s="11" t="str">
        <f>+HYPERLINK("http://trademark.i-assist.jp/data/china/image_1902th/79244670.pdf", "79244670")</f>
        <v>79244670</v>
      </c>
      <c r="F2523" s="10" t="s">
        <v>7134</v>
      </c>
      <c r="G2523" s="10" t="s">
        <v>7135</v>
      </c>
      <c r="H2523" s="10" t="s">
        <v>7136</v>
      </c>
      <c r="I2523" s="10" t="s">
        <v>356</v>
      </c>
    </row>
    <row r="2524" spans="1:9" x14ac:dyDescent="0.15">
      <c r="A2524" s="9">
        <v>2523</v>
      </c>
      <c r="B2524" s="10" t="s">
        <v>9</v>
      </c>
      <c r="C2524" s="10" t="s">
        <v>363</v>
      </c>
      <c r="D2524" s="10" t="s">
        <v>364</v>
      </c>
      <c r="E2524" s="11" t="str">
        <f>+HYPERLINK("http://trademark.i-assist.jp/data/china/image_1902th/79245196.pdf", "79245196")</f>
        <v>79245196</v>
      </c>
      <c r="F2524" s="10" t="s">
        <v>7137</v>
      </c>
      <c r="G2524" s="10" t="s">
        <v>346</v>
      </c>
      <c r="H2524" s="10" t="s">
        <v>7138</v>
      </c>
      <c r="I2524" s="10" t="s">
        <v>356</v>
      </c>
    </row>
    <row r="2525" spans="1:9" x14ac:dyDescent="0.15">
      <c r="A2525" s="9">
        <v>2524</v>
      </c>
      <c r="B2525" s="10" t="s">
        <v>9</v>
      </c>
      <c r="C2525" s="10" t="s">
        <v>363</v>
      </c>
      <c r="D2525" s="10" t="s">
        <v>364</v>
      </c>
      <c r="E2525" s="11" t="str">
        <f>+HYPERLINK("http://trademark.i-assist.jp/data/china/image_1902th/79245270.pdf", "79245270")</f>
        <v>79245270</v>
      </c>
      <c r="F2525" s="10" t="s">
        <v>7139</v>
      </c>
      <c r="G2525" s="10" t="s">
        <v>7140</v>
      </c>
      <c r="H2525" s="10" t="s">
        <v>7141</v>
      </c>
      <c r="I2525" s="10" t="s">
        <v>356</v>
      </c>
    </row>
    <row r="2526" spans="1:9" x14ac:dyDescent="0.15">
      <c r="A2526" s="9">
        <v>2525</v>
      </c>
      <c r="B2526" s="10" t="s">
        <v>9</v>
      </c>
      <c r="C2526" s="10" t="s">
        <v>363</v>
      </c>
      <c r="D2526" s="10" t="s">
        <v>364</v>
      </c>
      <c r="E2526" s="11" t="str">
        <f>+HYPERLINK("http://trademark.i-assist.jp/data/china/image_1902th/79245294.pdf", "79245294")</f>
        <v>79245294</v>
      </c>
      <c r="F2526" s="10" t="s">
        <v>7142</v>
      </c>
      <c r="G2526" s="10" t="s">
        <v>7143</v>
      </c>
      <c r="H2526" s="10" t="s">
        <v>7144</v>
      </c>
      <c r="I2526" s="10" t="s">
        <v>356</v>
      </c>
    </row>
    <row r="2527" spans="1:9" x14ac:dyDescent="0.15">
      <c r="A2527" s="9">
        <v>2526</v>
      </c>
      <c r="B2527" s="10" t="s">
        <v>9</v>
      </c>
      <c r="C2527" s="10" t="s">
        <v>363</v>
      </c>
      <c r="D2527" s="10" t="s">
        <v>364</v>
      </c>
      <c r="E2527" s="11" t="str">
        <f>+HYPERLINK("http://trademark.i-assist.jp/data/china/image_1902th/79245300.pdf", "79245300")</f>
        <v>79245300</v>
      </c>
      <c r="F2527" s="10" t="s">
        <v>7145</v>
      </c>
      <c r="G2527" s="10" t="s">
        <v>7143</v>
      </c>
      <c r="H2527" s="10" t="s">
        <v>7146</v>
      </c>
      <c r="I2527" s="10" t="s">
        <v>356</v>
      </c>
    </row>
    <row r="2528" spans="1:9" x14ac:dyDescent="0.15">
      <c r="A2528" s="9">
        <v>2527</v>
      </c>
      <c r="B2528" s="10" t="s">
        <v>9</v>
      </c>
      <c r="C2528" s="10" t="s">
        <v>363</v>
      </c>
      <c r="D2528" s="10" t="s">
        <v>364</v>
      </c>
      <c r="E2528" s="11" t="str">
        <f>+HYPERLINK("http://trademark.i-assist.jp/data/china/image_1902th/79245447.pdf", "79245447")</f>
        <v>79245447</v>
      </c>
      <c r="F2528" s="10" t="s">
        <v>7147</v>
      </c>
      <c r="G2528" s="10" t="s">
        <v>359</v>
      </c>
      <c r="H2528" s="10" t="s">
        <v>7148</v>
      </c>
      <c r="I2528" s="10" t="s">
        <v>356</v>
      </c>
    </row>
    <row r="2529" spans="1:9" x14ac:dyDescent="0.15">
      <c r="A2529" s="9">
        <v>2528</v>
      </c>
      <c r="B2529" s="10" t="s">
        <v>9</v>
      </c>
      <c r="C2529" s="10" t="s">
        <v>363</v>
      </c>
      <c r="D2529" s="10" t="s">
        <v>364</v>
      </c>
      <c r="E2529" s="11" t="str">
        <f>+HYPERLINK("http://trademark.i-assist.jp/data/china/image_1902th/79245683.pdf", "79245683")</f>
        <v>79245683</v>
      </c>
      <c r="F2529" s="10" t="s">
        <v>7149</v>
      </c>
      <c r="G2529" s="10" t="s">
        <v>7150</v>
      </c>
      <c r="H2529" s="10" t="s">
        <v>7151</v>
      </c>
      <c r="I2529" s="10" t="s">
        <v>356</v>
      </c>
    </row>
    <row r="2530" spans="1:9" x14ac:dyDescent="0.15">
      <c r="A2530" s="9">
        <v>2529</v>
      </c>
      <c r="B2530" s="10" t="s">
        <v>9</v>
      </c>
      <c r="C2530" s="10" t="s">
        <v>363</v>
      </c>
      <c r="D2530" s="10" t="s">
        <v>364</v>
      </c>
      <c r="E2530" s="11" t="str">
        <f>+HYPERLINK("http://trademark.i-assist.jp/data/china/image_1902th/79246383.pdf", "79246383")</f>
        <v>79246383</v>
      </c>
      <c r="F2530" s="10" t="s">
        <v>7152</v>
      </c>
      <c r="G2530" s="10" t="s">
        <v>7153</v>
      </c>
      <c r="H2530" s="10" t="s">
        <v>7154</v>
      </c>
      <c r="I2530" s="10" t="s">
        <v>356</v>
      </c>
    </row>
    <row r="2531" spans="1:9" x14ac:dyDescent="0.15">
      <c r="A2531" s="9">
        <v>2530</v>
      </c>
      <c r="B2531" s="10" t="s">
        <v>9</v>
      </c>
      <c r="C2531" s="10" t="s">
        <v>363</v>
      </c>
      <c r="D2531" s="10" t="s">
        <v>364</v>
      </c>
      <c r="E2531" s="11" t="str">
        <f>+HYPERLINK("http://trademark.i-assist.jp/data/china/image_1902th/79246528.pdf", "79246528")</f>
        <v>79246528</v>
      </c>
      <c r="F2531" s="10" t="s">
        <v>7155</v>
      </c>
      <c r="G2531" s="10" t="s">
        <v>7156</v>
      </c>
      <c r="H2531" s="10" t="s">
        <v>7157</v>
      </c>
      <c r="I2531" s="10" t="s">
        <v>356</v>
      </c>
    </row>
    <row r="2532" spans="1:9" x14ac:dyDescent="0.15">
      <c r="A2532" s="9">
        <v>2531</v>
      </c>
      <c r="B2532" s="10" t="s">
        <v>9</v>
      </c>
      <c r="C2532" s="10" t="s">
        <v>363</v>
      </c>
      <c r="D2532" s="10" t="s">
        <v>364</v>
      </c>
      <c r="E2532" s="11" t="str">
        <f>+HYPERLINK("http://trademark.i-assist.jp/data/china/image_1902th/79246688.pdf", "79246688")</f>
        <v>79246688</v>
      </c>
      <c r="F2532" s="10" t="s">
        <v>7158</v>
      </c>
      <c r="G2532" s="10" t="s">
        <v>7159</v>
      </c>
      <c r="H2532" s="10" t="s">
        <v>7160</v>
      </c>
      <c r="I2532" s="10" t="s">
        <v>356</v>
      </c>
    </row>
    <row r="2533" spans="1:9" x14ac:dyDescent="0.15">
      <c r="A2533" s="9">
        <v>2532</v>
      </c>
      <c r="B2533" s="10" t="s">
        <v>9</v>
      </c>
      <c r="C2533" s="10" t="s">
        <v>363</v>
      </c>
      <c r="D2533" s="10" t="s">
        <v>364</v>
      </c>
      <c r="E2533" s="11" t="str">
        <f>+HYPERLINK("http://trademark.i-assist.jp/data/china/image_1902th/79247253.pdf", "79247253")</f>
        <v>79247253</v>
      </c>
      <c r="F2533" s="10" t="s">
        <v>7161</v>
      </c>
      <c r="G2533" s="10" t="s">
        <v>7162</v>
      </c>
      <c r="H2533" s="10" t="s">
        <v>7163</v>
      </c>
      <c r="I2533" s="10" t="s">
        <v>356</v>
      </c>
    </row>
    <row r="2534" spans="1:9" x14ac:dyDescent="0.15">
      <c r="A2534" s="9">
        <v>2533</v>
      </c>
      <c r="B2534" s="10" t="s">
        <v>9</v>
      </c>
      <c r="C2534" s="10" t="s">
        <v>363</v>
      </c>
      <c r="D2534" s="10" t="s">
        <v>364</v>
      </c>
      <c r="E2534" s="11" t="str">
        <f>+HYPERLINK("http://trademark.i-assist.jp/data/china/image_1902th/79247451.pdf", "79247451")</f>
        <v>79247451</v>
      </c>
      <c r="F2534" s="10" t="s">
        <v>7164</v>
      </c>
      <c r="G2534" s="10" t="s">
        <v>7165</v>
      </c>
      <c r="H2534" s="10" t="s">
        <v>7166</v>
      </c>
      <c r="I2534" s="10" t="s">
        <v>356</v>
      </c>
    </row>
    <row r="2535" spans="1:9" x14ac:dyDescent="0.15">
      <c r="A2535" s="9">
        <v>2534</v>
      </c>
      <c r="B2535" s="10" t="s">
        <v>9</v>
      </c>
      <c r="C2535" s="10" t="s">
        <v>363</v>
      </c>
      <c r="D2535" s="10" t="s">
        <v>364</v>
      </c>
      <c r="E2535" s="11" t="str">
        <f>+HYPERLINK("http://trademark.i-assist.jp/data/china/image_1902th/79247969.pdf", "79247969")</f>
        <v>79247969</v>
      </c>
      <c r="F2535" s="10" t="s">
        <v>7167</v>
      </c>
      <c r="G2535" s="10" t="s">
        <v>7168</v>
      </c>
      <c r="H2535" s="10" t="s">
        <v>7169</v>
      </c>
      <c r="I2535" s="10" t="s">
        <v>356</v>
      </c>
    </row>
    <row r="2536" spans="1:9" x14ac:dyDescent="0.15">
      <c r="A2536" s="9">
        <v>2535</v>
      </c>
      <c r="B2536" s="10" t="s">
        <v>9</v>
      </c>
      <c r="C2536" s="10" t="s">
        <v>363</v>
      </c>
      <c r="D2536" s="10" t="s">
        <v>364</v>
      </c>
      <c r="E2536" s="11" t="str">
        <f>+HYPERLINK("http://trademark.i-assist.jp/data/china/image_1902th/79248149.pdf", "79248149")</f>
        <v>79248149</v>
      </c>
      <c r="F2536" s="10" t="s">
        <v>7170</v>
      </c>
      <c r="G2536" s="10" t="s">
        <v>7171</v>
      </c>
      <c r="H2536" s="10" t="s">
        <v>7172</v>
      </c>
      <c r="I2536" s="10" t="s">
        <v>356</v>
      </c>
    </row>
    <row r="2537" spans="1:9" x14ac:dyDescent="0.15">
      <c r="A2537" s="9">
        <v>2536</v>
      </c>
      <c r="B2537" s="10" t="s">
        <v>9</v>
      </c>
      <c r="C2537" s="10" t="s">
        <v>363</v>
      </c>
      <c r="D2537" s="10" t="s">
        <v>364</v>
      </c>
      <c r="E2537" s="11" t="str">
        <f>+HYPERLINK("http://trademark.i-assist.jp/data/china/image_1902th/79248170.pdf", "79248170")</f>
        <v>79248170</v>
      </c>
      <c r="F2537" s="10" t="s">
        <v>7173</v>
      </c>
      <c r="G2537" s="10" t="s">
        <v>7174</v>
      </c>
      <c r="H2537" s="10" t="s">
        <v>7175</v>
      </c>
      <c r="I2537" s="10" t="s">
        <v>356</v>
      </c>
    </row>
    <row r="2538" spans="1:9" x14ac:dyDescent="0.15">
      <c r="A2538" s="9">
        <v>2537</v>
      </c>
      <c r="B2538" s="10" t="s">
        <v>9</v>
      </c>
      <c r="C2538" s="10" t="s">
        <v>363</v>
      </c>
      <c r="D2538" s="10" t="s">
        <v>364</v>
      </c>
      <c r="E2538" s="11" t="str">
        <f>+HYPERLINK("http://trademark.i-assist.jp/data/china/image_1902th/79248197.pdf", "79248197")</f>
        <v>79248197</v>
      </c>
      <c r="F2538" s="10" t="s">
        <v>7176</v>
      </c>
      <c r="G2538" s="10" t="s">
        <v>7174</v>
      </c>
      <c r="H2538" s="10" t="s">
        <v>7177</v>
      </c>
      <c r="I2538" s="10" t="s">
        <v>356</v>
      </c>
    </row>
    <row r="2539" spans="1:9" x14ac:dyDescent="0.15">
      <c r="A2539" s="9">
        <v>2538</v>
      </c>
      <c r="B2539" s="10" t="s">
        <v>9</v>
      </c>
      <c r="C2539" s="10" t="s">
        <v>363</v>
      </c>
      <c r="D2539" s="10" t="s">
        <v>364</v>
      </c>
      <c r="E2539" s="11" t="str">
        <f>+HYPERLINK("http://trademark.i-assist.jp/data/china/image_1902th/79248212.pdf", "79248212")</f>
        <v>79248212</v>
      </c>
      <c r="F2539" s="10" t="s">
        <v>7178</v>
      </c>
      <c r="G2539" s="10" t="s">
        <v>7179</v>
      </c>
      <c r="H2539" s="10" t="s">
        <v>7180</v>
      </c>
      <c r="I2539" s="10" t="s">
        <v>356</v>
      </c>
    </row>
    <row r="2540" spans="1:9" x14ac:dyDescent="0.15">
      <c r="A2540" s="9">
        <v>2539</v>
      </c>
      <c r="B2540" s="10" t="s">
        <v>9</v>
      </c>
      <c r="C2540" s="10" t="s">
        <v>363</v>
      </c>
      <c r="D2540" s="10" t="s">
        <v>364</v>
      </c>
      <c r="E2540" s="11" t="str">
        <f>+HYPERLINK("http://trademark.i-assist.jp/data/china/image_1902th/79248246.pdf", "79248246")</f>
        <v>79248246</v>
      </c>
      <c r="F2540" s="10" t="s">
        <v>12</v>
      </c>
      <c r="G2540" s="10" t="s">
        <v>7181</v>
      </c>
      <c r="H2540" s="10" t="s">
        <v>7182</v>
      </c>
      <c r="I2540" s="10" t="s">
        <v>356</v>
      </c>
    </row>
    <row r="2541" spans="1:9" x14ac:dyDescent="0.15">
      <c r="A2541" s="9">
        <v>2540</v>
      </c>
      <c r="B2541" s="10" t="s">
        <v>9</v>
      </c>
      <c r="C2541" s="10" t="s">
        <v>363</v>
      </c>
      <c r="D2541" s="10" t="s">
        <v>364</v>
      </c>
      <c r="E2541" s="11" t="str">
        <f>+HYPERLINK("http://trademark.i-assist.jp/data/china/image_1902th/79248262.pdf", "79248262")</f>
        <v>79248262</v>
      </c>
      <c r="F2541" s="10" t="s">
        <v>7183</v>
      </c>
      <c r="G2541" s="10" t="s">
        <v>7184</v>
      </c>
      <c r="H2541" s="10" t="s">
        <v>7185</v>
      </c>
      <c r="I2541" s="10" t="s">
        <v>356</v>
      </c>
    </row>
    <row r="2542" spans="1:9" x14ac:dyDescent="0.15">
      <c r="A2542" s="9">
        <v>2541</v>
      </c>
      <c r="B2542" s="10" t="s">
        <v>9</v>
      </c>
      <c r="C2542" s="10" t="s">
        <v>363</v>
      </c>
      <c r="D2542" s="10" t="s">
        <v>364</v>
      </c>
      <c r="E2542" s="11" t="str">
        <f>+HYPERLINK("http://trademark.i-assist.jp/data/china/image_1902th/79248299.pdf", "79248299")</f>
        <v>79248299</v>
      </c>
      <c r="F2542" s="10" t="s">
        <v>7186</v>
      </c>
      <c r="G2542" s="10" t="s">
        <v>7187</v>
      </c>
      <c r="H2542" s="10" t="s">
        <v>7188</v>
      </c>
      <c r="I2542" s="10" t="s">
        <v>356</v>
      </c>
    </row>
    <row r="2543" spans="1:9" x14ac:dyDescent="0.15">
      <c r="A2543" s="9">
        <v>2542</v>
      </c>
      <c r="B2543" s="10" t="s">
        <v>9</v>
      </c>
      <c r="C2543" s="10" t="s">
        <v>363</v>
      </c>
      <c r="D2543" s="10" t="s">
        <v>364</v>
      </c>
      <c r="E2543" s="11" t="str">
        <f>+HYPERLINK("http://trademark.i-assist.jp/data/china/image_1902th/79248404.pdf", "79248404")</f>
        <v>79248404</v>
      </c>
      <c r="F2543" s="10" t="s">
        <v>7189</v>
      </c>
      <c r="G2543" s="10" t="s">
        <v>7190</v>
      </c>
      <c r="H2543" s="10" t="s">
        <v>7191</v>
      </c>
      <c r="I2543" s="10" t="s">
        <v>356</v>
      </c>
    </row>
    <row r="2544" spans="1:9" x14ac:dyDescent="0.15">
      <c r="A2544" s="9">
        <v>2543</v>
      </c>
      <c r="B2544" s="10" t="s">
        <v>9</v>
      </c>
      <c r="C2544" s="10" t="s">
        <v>363</v>
      </c>
      <c r="D2544" s="10" t="s">
        <v>364</v>
      </c>
      <c r="E2544" s="11" t="str">
        <f>+HYPERLINK("http://trademark.i-assist.jp/data/china/image_1902th/79248488.pdf", "79248488")</f>
        <v>79248488</v>
      </c>
      <c r="F2544" s="10" t="s">
        <v>7192</v>
      </c>
      <c r="G2544" s="10" t="s">
        <v>7124</v>
      </c>
      <c r="H2544" s="10" t="s">
        <v>7193</v>
      </c>
      <c r="I2544" s="10" t="s">
        <v>356</v>
      </c>
    </row>
    <row r="2545" spans="1:9" x14ac:dyDescent="0.15">
      <c r="A2545" s="9">
        <v>2544</v>
      </c>
      <c r="B2545" s="10" t="s">
        <v>9</v>
      </c>
      <c r="C2545" s="10" t="s">
        <v>363</v>
      </c>
      <c r="D2545" s="10" t="s">
        <v>364</v>
      </c>
      <c r="E2545" s="11" t="str">
        <f>+HYPERLINK("http://trademark.i-assist.jp/data/china/image_1902th/79248537.pdf", "79248537")</f>
        <v>79248537</v>
      </c>
      <c r="F2545" s="10" t="s">
        <v>12</v>
      </c>
      <c r="G2545" s="10" t="s">
        <v>7194</v>
      </c>
      <c r="H2545" s="10" t="s">
        <v>7195</v>
      </c>
      <c r="I2545" s="10" t="s">
        <v>356</v>
      </c>
    </row>
    <row r="2546" spans="1:9" x14ac:dyDescent="0.15">
      <c r="A2546" s="9">
        <v>2545</v>
      </c>
      <c r="B2546" s="10" t="s">
        <v>9</v>
      </c>
      <c r="C2546" s="10" t="s">
        <v>363</v>
      </c>
      <c r="D2546" s="10" t="s">
        <v>364</v>
      </c>
      <c r="E2546" s="11" t="str">
        <f>+HYPERLINK("http://trademark.i-assist.jp/data/china/image_1902th/79248585.pdf", "79248585")</f>
        <v>79248585</v>
      </c>
      <c r="F2546" s="10" t="s">
        <v>7196</v>
      </c>
      <c r="G2546" s="10" t="s">
        <v>4370</v>
      </c>
      <c r="H2546" s="10" t="s">
        <v>7197</v>
      </c>
      <c r="I2546" s="10" t="s">
        <v>356</v>
      </c>
    </row>
    <row r="2547" spans="1:9" x14ac:dyDescent="0.15">
      <c r="A2547" s="9">
        <v>2546</v>
      </c>
      <c r="B2547" s="10" t="s">
        <v>9</v>
      </c>
      <c r="C2547" s="10" t="s">
        <v>363</v>
      </c>
      <c r="D2547" s="10" t="s">
        <v>364</v>
      </c>
      <c r="E2547" s="11" t="str">
        <f>+HYPERLINK("http://trademark.i-assist.jp/data/china/image_1902th/79248659.pdf", "79248659")</f>
        <v>79248659</v>
      </c>
      <c r="F2547" s="10" t="s">
        <v>7198</v>
      </c>
      <c r="G2547" s="10" t="s">
        <v>7199</v>
      </c>
      <c r="H2547" s="10" t="s">
        <v>7200</v>
      </c>
      <c r="I2547" s="10" t="s">
        <v>356</v>
      </c>
    </row>
    <row r="2548" spans="1:9" x14ac:dyDescent="0.15">
      <c r="A2548" s="9">
        <v>2547</v>
      </c>
      <c r="B2548" s="10" t="s">
        <v>9</v>
      </c>
      <c r="C2548" s="10" t="s">
        <v>363</v>
      </c>
      <c r="D2548" s="10" t="s">
        <v>364</v>
      </c>
      <c r="E2548" s="11" t="str">
        <f>+HYPERLINK("http://trademark.i-assist.jp/data/china/image_1902th/79249203.pdf", "79249203")</f>
        <v>79249203</v>
      </c>
      <c r="F2548" s="10" t="s">
        <v>7201</v>
      </c>
      <c r="G2548" s="10" t="s">
        <v>7202</v>
      </c>
      <c r="H2548" s="10" t="s">
        <v>7203</v>
      </c>
      <c r="I2548" s="10" t="s">
        <v>356</v>
      </c>
    </row>
    <row r="2549" spans="1:9" x14ac:dyDescent="0.15">
      <c r="A2549" s="9">
        <v>2548</v>
      </c>
      <c r="B2549" s="10" t="s">
        <v>9</v>
      </c>
      <c r="C2549" s="10" t="s">
        <v>363</v>
      </c>
      <c r="D2549" s="10" t="s">
        <v>364</v>
      </c>
      <c r="E2549" s="11" t="str">
        <f>+HYPERLINK("http://trademark.i-assist.jp/data/china/image_1902th/79249394.pdf", "79249394")</f>
        <v>79249394</v>
      </c>
      <c r="F2549" s="10" t="s">
        <v>7204</v>
      </c>
      <c r="G2549" s="10" t="s">
        <v>7205</v>
      </c>
      <c r="H2549" s="10" t="s">
        <v>7206</v>
      </c>
      <c r="I2549" s="10" t="s">
        <v>356</v>
      </c>
    </row>
    <row r="2550" spans="1:9" x14ac:dyDescent="0.15">
      <c r="A2550" s="9">
        <v>2549</v>
      </c>
      <c r="B2550" s="10" t="s">
        <v>9</v>
      </c>
      <c r="C2550" s="10" t="s">
        <v>363</v>
      </c>
      <c r="D2550" s="10" t="s">
        <v>364</v>
      </c>
      <c r="E2550" s="11" t="str">
        <f>+HYPERLINK("http://trademark.i-assist.jp/data/china/image_1902th/79249401.pdf", "79249401")</f>
        <v>79249401</v>
      </c>
      <c r="F2550" s="10" t="s">
        <v>7207</v>
      </c>
      <c r="G2550" s="10" t="s">
        <v>7208</v>
      </c>
      <c r="H2550" s="10" t="s">
        <v>7209</v>
      </c>
      <c r="I2550" s="10" t="s">
        <v>356</v>
      </c>
    </row>
    <row r="2551" spans="1:9" x14ac:dyDescent="0.15">
      <c r="A2551" s="9">
        <v>2550</v>
      </c>
      <c r="B2551" s="10" t="s">
        <v>9</v>
      </c>
      <c r="C2551" s="10" t="s">
        <v>363</v>
      </c>
      <c r="D2551" s="10" t="s">
        <v>364</v>
      </c>
      <c r="E2551" s="11" t="str">
        <f>+HYPERLINK("http://trademark.i-assist.jp/data/china/image_1902th/79249606.pdf", "79249606")</f>
        <v>79249606</v>
      </c>
      <c r="F2551" s="10" t="s">
        <v>7210</v>
      </c>
      <c r="G2551" s="10" t="s">
        <v>7143</v>
      </c>
      <c r="H2551" s="10" t="s">
        <v>7211</v>
      </c>
      <c r="I2551" s="10" t="s">
        <v>356</v>
      </c>
    </row>
    <row r="2552" spans="1:9" x14ac:dyDescent="0.15">
      <c r="A2552" s="9">
        <v>2551</v>
      </c>
      <c r="B2552" s="10" t="s">
        <v>9</v>
      </c>
      <c r="C2552" s="10" t="s">
        <v>363</v>
      </c>
      <c r="D2552" s="10" t="s">
        <v>364</v>
      </c>
      <c r="E2552" s="11" t="str">
        <f>+HYPERLINK("http://trademark.i-assist.jp/data/china/image_1902th/79249758.pdf", "79249758")</f>
        <v>79249758</v>
      </c>
      <c r="F2552" s="10" t="s">
        <v>7212</v>
      </c>
      <c r="G2552" s="10" t="s">
        <v>7213</v>
      </c>
      <c r="H2552" s="10" t="s">
        <v>7214</v>
      </c>
      <c r="I2552" s="10" t="s">
        <v>356</v>
      </c>
    </row>
    <row r="2553" spans="1:9" x14ac:dyDescent="0.15">
      <c r="A2553" s="9">
        <v>2552</v>
      </c>
      <c r="B2553" s="10" t="s">
        <v>9</v>
      </c>
      <c r="C2553" s="10" t="s">
        <v>363</v>
      </c>
      <c r="D2553" s="10" t="s">
        <v>364</v>
      </c>
      <c r="E2553" s="11" t="str">
        <f>+HYPERLINK("http://trademark.i-assist.jp/data/china/image_1902th/79249819.pdf", "79249819")</f>
        <v>79249819</v>
      </c>
      <c r="F2553" s="10" t="s">
        <v>7215</v>
      </c>
      <c r="G2553" s="10" t="s">
        <v>7216</v>
      </c>
      <c r="H2553" s="10" t="s">
        <v>7217</v>
      </c>
      <c r="I2553" s="10" t="s">
        <v>356</v>
      </c>
    </row>
    <row r="2554" spans="1:9" x14ac:dyDescent="0.15">
      <c r="A2554" s="9">
        <v>2553</v>
      </c>
      <c r="B2554" s="10" t="s">
        <v>9</v>
      </c>
      <c r="C2554" s="10" t="s">
        <v>363</v>
      </c>
      <c r="D2554" s="10" t="s">
        <v>364</v>
      </c>
      <c r="E2554" s="11" t="str">
        <f>+HYPERLINK("http://trademark.i-assist.jp/data/china/image_1902th/79249928.pdf", "79249928")</f>
        <v>79249928</v>
      </c>
      <c r="F2554" s="10" t="s">
        <v>7218</v>
      </c>
      <c r="G2554" s="10" t="s">
        <v>359</v>
      </c>
      <c r="H2554" s="10" t="s">
        <v>7219</v>
      </c>
      <c r="I2554" s="10" t="s">
        <v>356</v>
      </c>
    </row>
    <row r="2555" spans="1:9" x14ac:dyDescent="0.15">
      <c r="A2555" s="9">
        <v>2554</v>
      </c>
      <c r="B2555" s="10" t="s">
        <v>9</v>
      </c>
      <c r="C2555" s="10" t="s">
        <v>363</v>
      </c>
      <c r="D2555" s="10" t="s">
        <v>364</v>
      </c>
      <c r="E2555" s="11" t="str">
        <f>+HYPERLINK("http://trademark.i-assist.jp/data/china/image_1902th/79250113.pdf", "79250113")</f>
        <v>79250113</v>
      </c>
      <c r="F2555" s="10" t="s">
        <v>12</v>
      </c>
      <c r="G2555" s="10" t="s">
        <v>7220</v>
      </c>
      <c r="H2555" s="10" t="s">
        <v>7221</v>
      </c>
      <c r="I2555" s="10" t="s">
        <v>356</v>
      </c>
    </row>
    <row r="2556" spans="1:9" x14ac:dyDescent="0.15">
      <c r="A2556" s="9">
        <v>2555</v>
      </c>
      <c r="B2556" s="10" t="s">
        <v>9</v>
      </c>
      <c r="C2556" s="10" t="s">
        <v>363</v>
      </c>
      <c r="D2556" s="10" t="s">
        <v>364</v>
      </c>
      <c r="E2556" s="11" t="str">
        <f>+HYPERLINK("http://trademark.i-assist.jp/data/china/image_1902th/79250166.pdf", "79250166")</f>
        <v>79250166</v>
      </c>
      <c r="F2556" s="10" t="s">
        <v>7222</v>
      </c>
      <c r="G2556" s="10" t="s">
        <v>7223</v>
      </c>
      <c r="H2556" s="10" t="s">
        <v>7224</v>
      </c>
      <c r="I2556" s="10" t="s">
        <v>356</v>
      </c>
    </row>
    <row r="2557" spans="1:9" x14ac:dyDescent="0.15">
      <c r="A2557" s="9">
        <v>2556</v>
      </c>
      <c r="B2557" s="10" t="s">
        <v>9</v>
      </c>
      <c r="C2557" s="10" t="s">
        <v>363</v>
      </c>
      <c r="D2557" s="10" t="s">
        <v>364</v>
      </c>
      <c r="E2557" s="11" t="str">
        <f>+HYPERLINK("http://trademark.i-assist.jp/data/china/image_1902th/79250476.pdf", "79250476")</f>
        <v>79250476</v>
      </c>
      <c r="F2557" s="10" t="s">
        <v>7225</v>
      </c>
      <c r="G2557" s="10" t="s">
        <v>7226</v>
      </c>
      <c r="H2557" s="10" t="s">
        <v>7227</v>
      </c>
      <c r="I2557" s="10" t="s">
        <v>356</v>
      </c>
    </row>
    <row r="2558" spans="1:9" x14ac:dyDescent="0.15">
      <c r="A2558" s="9">
        <v>2557</v>
      </c>
      <c r="B2558" s="10" t="s">
        <v>9</v>
      </c>
      <c r="C2558" s="10" t="s">
        <v>363</v>
      </c>
      <c r="D2558" s="10" t="s">
        <v>364</v>
      </c>
      <c r="E2558" s="11" t="str">
        <f>+HYPERLINK("http://trademark.i-assist.jp/data/china/image_1902th/79250528.pdf", "79250528")</f>
        <v>79250528</v>
      </c>
      <c r="F2558" s="10" t="s">
        <v>7228</v>
      </c>
      <c r="G2558" s="10" t="s">
        <v>7229</v>
      </c>
      <c r="H2558" s="10" t="s">
        <v>7230</v>
      </c>
      <c r="I2558" s="10" t="s">
        <v>356</v>
      </c>
    </row>
    <row r="2559" spans="1:9" x14ac:dyDescent="0.15">
      <c r="A2559" s="9">
        <v>2558</v>
      </c>
      <c r="B2559" s="10" t="s">
        <v>9</v>
      </c>
      <c r="C2559" s="10" t="s">
        <v>363</v>
      </c>
      <c r="D2559" s="10" t="s">
        <v>364</v>
      </c>
      <c r="E2559" s="11" t="str">
        <f>+HYPERLINK("http://trademark.i-assist.jp/data/china/image_1902th/79250532.pdf", "79250532")</f>
        <v>79250532</v>
      </c>
      <c r="F2559" s="10" t="s">
        <v>7231</v>
      </c>
      <c r="G2559" s="10" t="s">
        <v>7232</v>
      </c>
      <c r="H2559" s="10" t="s">
        <v>7233</v>
      </c>
      <c r="I2559" s="10" t="s">
        <v>356</v>
      </c>
    </row>
    <row r="2560" spans="1:9" x14ac:dyDescent="0.15">
      <c r="A2560" s="9">
        <v>2559</v>
      </c>
      <c r="B2560" s="10" t="s">
        <v>9</v>
      </c>
      <c r="C2560" s="10" t="s">
        <v>363</v>
      </c>
      <c r="D2560" s="10" t="s">
        <v>364</v>
      </c>
      <c r="E2560" s="11" t="str">
        <f>+HYPERLINK("http://trademark.i-assist.jp/data/china/image_1902th/79250937.pdf", "79250937")</f>
        <v>79250937</v>
      </c>
      <c r="F2560" s="10" t="s">
        <v>7234</v>
      </c>
      <c r="G2560" s="10" t="s">
        <v>7235</v>
      </c>
      <c r="H2560" s="10" t="s">
        <v>7236</v>
      </c>
      <c r="I2560" s="10" t="s">
        <v>356</v>
      </c>
    </row>
    <row r="2561" spans="1:9" x14ac:dyDescent="0.15">
      <c r="A2561" s="9">
        <v>2560</v>
      </c>
      <c r="B2561" s="10" t="s">
        <v>9</v>
      </c>
      <c r="C2561" s="10" t="s">
        <v>363</v>
      </c>
      <c r="D2561" s="10" t="s">
        <v>364</v>
      </c>
      <c r="E2561" s="11" t="str">
        <f>+HYPERLINK("http://trademark.i-assist.jp/data/china/image_1902th/79251006.pdf", "79251006")</f>
        <v>79251006</v>
      </c>
      <c r="F2561" s="10" t="s">
        <v>7237</v>
      </c>
      <c r="G2561" s="10" t="s">
        <v>7174</v>
      </c>
      <c r="H2561" s="10" t="s">
        <v>7238</v>
      </c>
      <c r="I2561" s="10" t="s">
        <v>356</v>
      </c>
    </row>
    <row r="2562" spans="1:9" x14ac:dyDescent="0.15">
      <c r="A2562" s="9">
        <v>2561</v>
      </c>
      <c r="B2562" s="10" t="s">
        <v>9</v>
      </c>
      <c r="C2562" s="10" t="s">
        <v>363</v>
      </c>
      <c r="D2562" s="10" t="s">
        <v>364</v>
      </c>
      <c r="E2562" s="11" t="str">
        <f>+HYPERLINK("http://trademark.i-assist.jp/data/china/image_1902th/79251665.pdf", "79251665")</f>
        <v>79251665</v>
      </c>
      <c r="F2562" s="10" t="s">
        <v>7239</v>
      </c>
      <c r="G2562" s="10" t="s">
        <v>7240</v>
      </c>
      <c r="H2562" s="10" t="s">
        <v>7241</v>
      </c>
      <c r="I2562" s="10" t="s">
        <v>356</v>
      </c>
    </row>
    <row r="2563" spans="1:9" x14ac:dyDescent="0.15">
      <c r="A2563" s="9">
        <v>2562</v>
      </c>
      <c r="B2563" s="10" t="s">
        <v>9</v>
      </c>
      <c r="C2563" s="10" t="s">
        <v>363</v>
      </c>
      <c r="D2563" s="10" t="s">
        <v>364</v>
      </c>
      <c r="E2563" s="11" t="str">
        <f>+HYPERLINK("http://trademark.i-assist.jp/data/china/image_1902th/79251670.pdf", "79251670")</f>
        <v>79251670</v>
      </c>
      <c r="F2563" s="10" t="s">
        <v>7242</v>
      </c>
      <c r="G2563" s="10" t="s">
        <v>7243</v>
      </c>
      <c r="H2563" s="10" t="s">
        <v>7244</v>
      </c>
      <c r="I2563" s="10" t="s">
        <v>356</v>
      </c>
    </row>
    <row r="2564" spans="1:9" x14ac:dyDescent="0.15">
      <c r="A2564" s="9">
        <v>2563</v>
      </c>
      <c r="B2564" s="10" t="s">
        <v>9</v>
      </c>
      <c r="C2564" s="10" t="s">
        <v>363</v>
      </c>
      <c r="D2564" s="10" t="s">
        <v>364</v>
      </c>
      <c r="E2564" s="11" t="str">
        <f>+HYPERLINK("http://trademark.i-assist.jp/data/china/image_1902th/79251787.pdf", "79251787")</f>
        <v>79251787</v>
      </c>
      <c r="F2564" s="10" t="s">
        <v>7245</v>
      </c>
      <c r="G2564" s="10" t="s">
        <v>7246</v>
      </c>
      <c r="H2564" s="10" t="s">
        <v>7247</v>
      </c>
      <c r="I2564" s="10" t="s">
        <v>356</v>
      </c>
    </row>
    <row r="2565" spans="1:9" x14ac:dyDescent="0.15">
      <c r="A2565" s="9">
        <v>2564</v>
      </c>
      <c r="B2565" s="10" t="s">
        <v>9</v>
      </c>
      <c r="C2565" s="10" t="s">
        <v>363</v>
      </c>
      <c r="D2565" s="10" t="s">
        <v>364</v>
      </c>
      <c r="E2565" s="11" t="str">
        <f>+HYPERLINK("http://trademark.i-assist.jp/data/china/image_1902th/79251977.pdf", "79251977")</f>
        <v>79251977</v>
      </c>
      <c r="F2565" s="10" t="s">
        <v>7248</v>
      </c>
      <c r="G2565" s="10" t="s">
        <v>7240</v>
      </c>
      <c r="H2565" s="10" t="s">
        <v>7249</v>
      </c>
      <c r="I2565" s="10" t="s">
        <v>356</v>
      </c>
    </row>
    <row r="2566" spans="1:9" x14ac:dyDescent="0.15">
      <c r="A2566" s="9">
        <v>2565</v>
      </c>
      <c r="B2566" s="10" t="s">
        <v>9</v>
      </c>
      <c r="C2566" s="10" t="s">
        <v>363</v>
      </c>
      <c r="D2566" s="10" t="s">
        <v>364</v>
      </c>
      <c r="E2566" s="11" t="str">
        <f>+HYPERLINK("http://trademark.i-assist.jp/data/china/image_1902th/79251994.pdf", "79251994")</f>
        <v>79251994</v>
      </c>
      <c r="F2566" s="10" t="s">
        <v>12</v>
      </c>
      <c r="G2566" s="10" t="s">
        <v>7250</v>
      </c>
      <c r="H2566" s="10" t="s">
        <v>7251</v>
      </c>
      <c r="I2566" s="10" t="s">
        <v>356</v>
      </c>
    </row>
    <row r="2567" spans="1:9" x14ac:dyDescent="0.15">
      <c r="A2567" s="9">
        <v>2566</v>
      </c>
      <c r="B2567" s="10" t="s">
        <v>9</v>
      </c>
      <c r="C2567" s="10" t="s">
        <v>363</v>
      </c>
      <c r="D2567" s="10" t="s">
        <v>364</v>
      </c>
      <c r="E2567" s="11" t="str">
        <f>+HYPERLINK("http://trademark.i-assist.jp/data/china/image_1902th/79252160.pdf", "79252160")</f>
        <v>79252160</v>
      </c>
      <c r="F2567" s="10" t="s">
        <v>7252</v>
      </c>
      <c r="G2567" s="10" t="s">
        <v>7253</v>
      </c>
      <c r="H2567" s="10" t="s">
        <v>7254</v>
      </c>
      <c r="I2567" s="10" t="s">
        <v>356</v>
      </c>
    </row>
    <row r="2568" spans="1:9" x14ac:dyDescent="0.15">
      <c r="A2568" s="9">
        <v>2567</v>
      </c>
      <c r="B2568" s="10" t="s">
        <v>9</v>
      </c>
      <c r="C2568" s="10" t="s">
        <v>363</v>
      </c>
      <c r="D2568" s="10" t="s">
        <v>364</v>
      </c>
      <c r="E2568" s="11" t="str">
        <f>+HYPERLINK("http://trademark.i-assist.jp/data/china/image_1902th/79252200.pdf", "79252200")</f>
        <v>79252200</v>
      </c>
      <c r="F2568" s="10" t="s">
        <v>7255</v>
      </c>
      <c r="G2568" s="10" t="s">
        <v>7256</v>
      </c>
      <c r="H2568" s="10" t="s">
        <v>7257</v>
      </c>
      <c r="I2568" s="10" t="s">
        <v>356</v>
      </c>
    </row>
    <row r="2569" spans="1:9" x14ac:dyDescent="0.15">
      <c r="A2569" s="9">
        <v>2568</v>
      </c>
      <c r="B2569" s="10" t="s">
        <v>9</v>
      </c>
      <c r="C2569" s="10" t="s">
        <v>363</v>
      </c>
      <c r="D2569" s="10" t="s">
        <v>364</v>
      </c>
      <c r="E2569" s="11" t="str">
        <f>+HYPERLINK("http://trademark.i-assist.jp/data/china/image_1902th/79252278.pdf", "79252278")</f>
        <v>79252278</v>
      </c>
      <c r="F2569" s="10" t="s">
        <v>7258</v>
      </c>
      <c r="G2569" s="10" t="s">
        <v>7259</v>
      </c>
      <c r="H2569" s="10" t="s">
        <v>7260</v>
      </c>
      <c r="I2569" s="10" t="s">
        <v>356</v>
      </c>
    </row>
    <row r="2570" spans="1:9" x14ac:dyDescent="0.15">
      <c r="A2570" s="9">
        <v>2569</v>
      </c>
      <c r="B2570" s="10" t="s">
        <v>9</v>
      </c>
      <c r="C2570" s="10" t="s">
        <v>363</v>
      </c>
      <c r="D2570" s="10" t="s">
        <v>364</v>
      </c>
      <c r="E2570" s="11" t="str">
        <f>+HYPERLINK("http://trademark.i-assist.jp/data/china/image_1902th/79252452.pdf", "79252452")</f>
        <v>79252452</v>
      </c>
      <c r="F2570" s="10" t="s">
        <v>7261</v>
      </c>
      <c r="G2570" s="10" t="s">
        <v>7262</v>
      </c>
      <c r="H2570" s="10" t="s">
        <v>7263</v>
      </c>
      <c r="I2570" s="10" t="s">
        <v>356</v>
      </c>
    </row>
    <row r="2571" spans="1:9" x14ac:dyDescent="0.15">
      <c r="A2571" s="9">
        <v>2570</v>
      </c>
      <c r="B2571" s="10" t="s">
        <v>9</v>
      </c>
      <c r="C2571" s="10" t="s">
        <v>363</v>
      </c>
      <c r="D2571" s="10" t="s">
        <v>364</v>
      </c>
      <c r="E2571" s="11" t="str">
        <f>+HYPERLINK("http://trademark.i-assist.jp/data/china/image_1902th/79252484.pdf", "79252484")</f>
        <v>79252484</v>
      </c>
      <c r="F2571" s="10" t="s">
        <v>7264</v>
      </c>
      <c r="G2571" s="10" t="s">
        <v>4370</v>
      </c>
      <c r="H2571" s="10" t="s">
        <v>7265</v>
      </c>
      <c r="I2571" s="10" t="s">
        <v>356</v>
      </c>
    </row>
    <row r="2572" spans="1:9" x14ac:dyDescent="0.15">
      <c r="A2572" s="9">
        <v>2571</v>
      </c>
      <c r="B2572" s="10" t="s">
        <v>9</v>
      </c>
      <c r="C2572" s="10" t="s">
        <v>363</v>
      </c>
      <c r="D2572" s="10" t="s">
        <v>364</v>
      </c>
      <c r="E2572" s="11" t="str">
        <f>+HYPERLINK("http://trademark.i-assist.jp/data/china/image_1902th/79252527.pdf", "79252527")</f>
        <v>79252527</v>
      </c>
      <c r="F2572" s="10" t="s">
        <v>7266</v>
      </c>
      <c r="G2572" s="10" t="s">
        <v>7267</v>
      </c>
      <c r="H2572" s="10" t="s">
        <v>7268</v>
      </c>
      <c r="I2572" s="10" t="s">
        <v>356</v>
      </c>
    </row>
    <row r="2573" spans="1:9" x14ac:dyDescent="0.15">
      <c r="A2573" s="9">
        <v>2572</v>
      </c>
      <c r="B2573" s="10" t="s">
        <v>9</v>
      </c>
      <c r="C2573" s="10" t="s">
        <v>363</v>
      </c>
      <c r="D2573" s="10" t="s">
        <v>364</v>
      </c>
      <c r="E2573" s="11" t="str">
        <f>+HYPERLINK("http://trademark.i-assist.jp/data/china/image_1902th/79252532.pdf", "79252532")</f>
        <v>79252532</v>
      </c>
      <c r="F2573" s="10" t="s">
        <v>7269</v>
      </c>
      <c r="G2573" s="10" t="s">
        <v>7270</v>
      </c>
      <c r="H2573" s="10" t="s">
        <v>7271</v>
      </c>
      <c r="I2573" s="10" t="s">
        <v>356</v>
      </c>
    </row>
    <row r="2574" spans="1:9" x14ac:dyDescent="0.15">
      <c r="A2574" s="9">
        <v>2573</v>
      </c>
      <c r="B2574" s="10" t="s">
        <v>9</v>
      </c>
      <c r="C2574" s="10" t="s">
        <v>363</v>
      </c>
      <c r="D2574" s="10" t="s">
        <v>364</v>
      </c>
      <c r="E2574" s="11" t="str">
        <f>+HYPERLINK("http://trademark.i-assist.jp/data/china/image_1902th/79252607.pdf", "79252607")</f>
        <v>79252607</v>
      </c>
      <c r="F2574" s="10" t="s">
        <v>7272</v>
      </c>
      <c r="G2574" s="10" t="s">
        <v>359</v>
      </c>
      <c r="H2574" s="10" t="s">
        <v>7273</v>
      </c>
      <c r="I2574" s="10" t="s">
        <v>356</v>
      </c>
    </row>
    <row r="2575" spans="1:9" x14ac:dyDescent="0.15">
      <c r="A2575" s="9">
        <v>2574</v>
      </c>
      <c r="B2575" s="10" t="s">
        <v>9</v>
      </c>
      <c r="C2575" s="10" t="s">
        <v>363</v>
      </c>
      <c r="D2575" s="10" t="s">
        <v>364</v>
      </c>
      <c r="E2575" s="11" t="str">
        <f>+HYPERLINK("http://trademark.i-assist.jp/data/china/image_1902th/79252706.pdf", "79252706")</f>
        <v>79252706</v>
      </c>
      <c r="F2575" s="10" t="s">
        <v>7274</v>
      </c>
      <c r="G2575" s="10" t="s">
        <v>7226</v>
      </c>
      <c r="H2575" s="10" t="s">
        <v>7275</v>
      </c>
      <c r="I2575" s="10" t="s">
        <v>356</v>
      </c>
    </row>
    <row r="2576" spans="1:9" x14ac:dyDescent="0.15">
      <c r="A2576" s="9">
        <v>2575</v>
      </c>
      <c r="B2576" s="10" t="s">
        <v>9</v>
      </c>
      <c r="C2576" s="10" t="s">
        <v>363</v>
      </c>
      <c r="D2576" s="10" t="s">
        <v>364</v>
      </c>
      <c r="E2576" s="11" t="str">
        <f>+HYPERLINK("http://trademark.i-assist.jp/data/china/image_1902th/79253044.pdf", "79253044")</f>
        <v>79253044</v>
      </c>
      <c r="F2576" s="10" t="s">
        <v>7276</v>
      </c>
      <c r="G2576" s="10" t="s">
        <v>7277</v>
      </c>
      <c r="H2576" s="10" t="s">
        <v>7278</v>
      </c>
      <c r="I2576" s="10" t="s">
        <v>356</v>
      </c>
    </row>
    <row r="2577" spans="1:9" x14ac:dyDescent="0.15">
      <c r="A2577" s="9">
        <v>2576</v>
      </c>
      <c r="B2577" s="10" t="s">
        <v>9</v>
      </c>
      <c r="C2577" s="10" t="s">
        <v>363</v>
      </c>
      <c r="D2577" s="10" t="s">
        <v>364</v>
      </c>
      <c r="E2577" s="11" t="str">
        <f>+HYPERLINK("http://trademark.i-assist.jp/data/china/image_1902th/79253135.pdf", "79253135")</f>
        <v>79253135</v>
      </c>
      <c r="F2577" s="10" t="s">
        <v>7279</v>
      </c>
      <c r="G2577" s="10" t="s">
        <v>7280</v>
      </c>
      <c r="H2577" s="10" t="s">
        <v>7281</v>
      </c>
      <c r="I2577" s="10" t="s">
        <v>356</v>
      </c>
    </row>
    <row r="2578" spans="1:9" x14ac:dyDescent="0.15">
      <c r="A2578" s="9">
        <v>2577</v>
      </c>
      <c r="B2578" s="10" t="s">
        <v>9</v>
      </c>
      <c r="C2578" s="10" t="s">
        <v>363</v>
      </c>
      <c r="D2578" s="10" t="s">
        <v>364</v>
      </c>
      <c r="E2578" s="11" t="str">
        <f>+HYPERLINK("http://trademark.i-assist.jp/data/china/image_1902th/79253257.pdf", "79253257")</f>
        <v>79253257</v>
      </c>
      <c r="F2578" s="10" t="s">
        <v>7282</v>
      </c>
      <c r="G2578" s="10" t="s">
        <v>7153</v>
      </c>
      <c r="H2578" s="10" t="s">
        <v>7283</v>
      </c>
      <c r="I2578" s="10" t="s">
        <v>356</v>
      </c>
    </row>
    <row r="2579" spans="1:9" x14ac:dyDescent="0.15">
      <c r="A2579" s="9">
        <v>2578</v>
      </c>
      <c r="B2579" s="10" t="s">
        <v>9</v>
      </c>
      <c r="C2579" s="10" t="s">
        <v>363</v>
      </c>
      <c r="D2579" s="10" t="s">
        <v>364</v>
      </c>
      <c r="E2579" s="11" t="str">
        <f>+HYPERLINK("http://trademark.i-assist.jp/data/china/image_1902th/79253264.pdf", "79253264")</f>
        <v>79253264</v>
      </c>
      <c r="F2579" s="10" t="s">
        <v>7284</v>
      </c>
      <c r="G2579" s="10" t="s">
        <v>7153</v>
      </c>
      <c r="H2579" s="10" t="s">
        <v>7285</v>
      </c>
      <c r="I2579" s="10" t="s">
        <v>356</v>
      </c>
    </row>
    <row r="2580" spans="1:9" x14ac:dyDescent="0.15">
      <c r="A2580" s="9">
        <v>2579</v>
      </c>
      <c r="B2580" s="10" t="s">
        <v>9</v>
      </c>
      <c r="C2580" s="10" t="s">
        <v>363</v>
      </c>
      <c r="D2580" s="10" t="s">
        <v>364</v>
      </c>
      <c r="E2580" s="11" t="str">
        <f>+HYPERLINK("http://trademark.i-assist.jp/data/china/image_1902th/79253303.pdf", "79253303")</f>
        <v>79253303</v>
      </c>
      <c r="F2580" s="10" t="s">
        <v>7286</v>
      </c>
      <c r="G2580" s="10" t="s">
        <v>7287</v>
      </c>
      <c r="H2580" s="10" t="s">
        <v>7288</v>
      </c>
      <c r="I2580" s="10" t="s">
        <v>356</v>
      </c>
    </row>
    <row r="2581" spans="1:9" x14ac:dyDescent="0.15">
      <c r="A2581" s="9">
        <v>2580</v>
      </c>
      <c r="B2581" s="10" t="s">
        <v>9</v>
      </c>
      <c r="C2581" s="10" t="s">
        <v>363</v>
      </c>
      <c r="D2581" s="10" t="s">
        <v>364</v>
      </c>
      <c r="E2581" s="11" t="str">
        <f>+HYPERLINK("http://trademark.i-assist.jp/data/china/image_1902th/79253436.pdf", "79253436")</f>
        <v>79253436</v>
      </c>
      <c r="F2581" s="10" t="s">
        <v>7289</v>
      </c>
      <c r="G2581" s="10" t="s">
        <v>320</v>
      </c>
      <c r="H2581" s="10" t="s">
        <v>7290</v>
      </c>
      <c r="I2581" s="10" t="s">
        <v>356</v>
      </c>
    </row>
    <row r="2582" spans="1:9" x14ac:dyDescent="0.15">
      <c r="A2582" s="9">
        <v>2581</v>
      </c>
      <c r="B2582" s="10" t="s">
        <v>9</v>
      </c>
      <c r="C2582" s="10" t="s">
        <v>363</v>
      </c>
      <c r="D2582" s="10" t="s">
        <v>364</v>
      </c>
      <c r="E2582" s="11" t="str">
        <f>+HYPERLINK("http://trademark.i-assist.jp/data/china/image_1902th/79253466.pdf", "79253466")</f>
        <v>79253466</v>
      </c>
      <c r="F2582" s="10" t="s">
        <v>7291</v>
      </c>
      <c r="G2582" s="10" t="s">
        <v>7292</v>
      </c>
      <c r="H2582" s="10" t="s">
        <v>7293</v>
      </c>
      <c r="I2582" s="10" t="s">
        <v>356</v>
      </c>
    </row>
    <row r="2583" spans="1:9" x14ac:dyDescent="0.15">
      <c r="A2583" s="9">
        <v>2582</v>
      </c>
      <c r="B2583" s="10" t="s">
        <v>9</v>
      </c>
      <c r="C2583" s="10" t="s">
        <v>363</v>
      </c>
      <c r="D2583" s="10" t="s">
        <v>364</v>
      </c>
      <c r="E2583" s="11" t="str">
        <f>+HYPERLINK("http://trademark.i-assist.jp/data/china/image_1902th/79253499.pdf", "79253499")</f>
        <v>79253499</v>
      </c>
      <c r="F2583" s="10" t="s">
        <v>7294</v>
      </c>
      <c r="G2583" s="10" t="s">
        <v>7174</v>
      </c>
      <c r="H2583" s="10" t="s">
        <v>7295</v>
      </c>
      <c r="I2583" s="10" t="s">
        <v>356</v>
      </c>
    </row>
    <row r="2584" spans="1:9" x14ac:dyDescent="0.15">
      <c r="A2584" s="9">
        <v>2583</v>
      </c>
      <c r="B2584" s="10" t="s">
        <v>9</v>
      </c>
      <c r="C2584" s="10" t="s">
        <v>363</v>
      </c>
      <c r="D2584" s="10" t="s">
        <v>364</v>
      </c>
      <c r="E2584" s="11" t="str">
        <f>+HYPERLINK("http://trademark.i-assist.jp/data/china/image_1902th/79253585.pdf", "79253585")</f>
        <v>79253585</v>
      </c>
      <c r="F2584" s="10" t="s">
        <v>7296</v>
      </c>
      <c r="G2584" s="10" t="s">
        <v>7096</v>
      </c>
      <c r="H2584" s="10" t="s">
        <v>7297</v>
      </c>
      <c r="I2584" s="10" t="s">
        <v>356</v>
      </c>
    </row>
    <row r="2585" spans="1:9" x14ac:dyDescent="0.15">
      <c r="A2585" s="9">
        <v>2584</v>
      </c>
      <c r="B2585" s="10" t="s">
        <v>9</v>
      </c>
      <c r="C2585" s="10" t="s">
        <v>363</v>
      </c>
      <c r="D2585" s="10" t="s">
        <v>364</v>
      </c>
      <c r="E2585" s="11" t="str">
        <f>+HYPERLINK("http://trademark.i-assist.jp/data/china/image_1902th/79253589.pdf", "79253589")</f>
        <v>79253589</v>
      </c>
      <c r="F2585" s="10" t="s">
        <v>7298</v>
      </c>
      <c r="G2585" s="10" t="s">
        <v>7299</v>
      </c>
      <c r="H2585" s="10" t="s">
        <v>7300</v>
      </c>
      <c r="I2585" s="10" t="s">
        <v>356</v>
      </c>
    </row>
    <row r="2586" spans="1:9" x14ac:dyDescent="0.15">
      <c r="A2586" s="9">
        <v>2585</v>
      </c>
      <c r="B2586" s="10" t="s">
        <v>9</v>
      </c>
      <c r="C2586" s="10" t="s">
        <v>363</v>
      </c>
      <c r="D2586" s="10" t="s">
        <v>364</v>
      </c>
      <c r="E2586" s="11" t="str">
        <f>+HYPERLINK("http://trademark.i-assist.jp/data/china/image_1902th/79253660.pdf", "79253660")</f>
        <v>79253660</v>
      </c>
      <c r="F2586" s="10" t="s">
        <v>7301</v>
      </c>
      <c r="G2586" s="10" t="s">
        <v>7302</v>
      </c>
      <c r="H2586" s="10" t="s">
        <v>7303</v>
      </c>
      <c r="I2586" s="10" t="s">
        <v>356</v>
      </c>
    </row>
    <row r="2587" spans="1:9" x14ac:dyDescent="0.15">
      <c r="A2587" s="9">
        <v>2586</v>
      </c>
      <c r="B2587" s="10" t="s">
        <v>9</v>
      </c>
      <c r="C2587" s="10" t="s">
        <v>363</v>
      </c>
      <c r="D2587" s="10" t="s">
        <v>364</v>
      </c>
      <c r="E2587" s="11" t="str">
        <f>+HYPERLINK("http://trademark.i-assist.jp/data/china/image_1902th/79253824.pdf", "79253824")</f>
        <v>79253824</v>
      </c>
      <c r="F2587" s="10" t="s">
        <v>7304</v>
      </c>
      <c r="G2587" s="10" t="s">
        <v>7305</v>
      </c>
      <c r="H2587" s="10" t="s">
        <v>7306</v>
      </c>
      <c r="I2587" s="10" t="s">
        <v>356</v>
      </c>
    </row>
    <row r="2588" spans="1:9" x14ac:dyDescent="0.15">
      <c r="A2588" s="9">
        <v>2587</v>
      </c>
      <c r="B2588" s="10" t="s">
        <v>9</v>
      </c>
      <c r="C2588" s="10" t="s">
        <v>363</v>
      </c>
      <c r="D2588" s="10" t="s">
        <v>364</v>
      </c>
      <c r="E2588" s="11" t="str">
        <f>+HYPERLINK("http://trademark.i-assist.jp/data/china/image_1902th/79253880.pdf", "79253880")</f>
        <v>79253880</v>
      </c>
      <c r="F2588" s="10" t="s">
        <v>7307</v>
      </c>
      <c r="G2588" s="10" t="s">
        <v>7121</v>
      </c>
      <c r="H2588" s="10" t="s">
        <v>7308</v>
      </c>
      <c r="I2588" s="10" t="s">
        <v>356</v>
      </c>
    </row>
    <row r="2589" spans="1:9" x14ac:dyDescent="0.15">
      <c r="A2589" s="9">
        <v>2588</v>
      </c>
      <c r="B2589" s="10" t="s">
        <v>9</v>
      </c>
      <c r="C2589" s="10" t="s">
        <v>363</v>
      </c>
      <c r="D2589" s="10" t="s">
        <v>364</v>
      </c>
      <c r="E2589" s="11" t="str">
        <f>+HYPERLINK("http://trademark.i-assist.jp/data/china/image_1902th/79253898.pdf", "79253898")</f>
        <v>79253898</v>
      </c>
      <c r="F2589" s="10" t="s">
        <v>7309</v>
      </c>
      <c r="G2589" s="10" t="s">
        <v>7310</v>
      </c>
      <c r="H2589" s="10" t="s">
        <v>7311</v>
      </c>
      <c r="I2589" s="10" t="s">
        <v>356</v>
      </c>
    </row>
    <row r="2590" spans="1:9" x14ac:dyDescent="0.15">
      <c r="A2590" s="9">
        <v>2589</v>
      </c>
      <c r="B2590" s="10" t="s">
        <v>9</v>
      </c>
      <c r="C2590" s="10" t="s">
        <v>363</v>
      </c>
      <c r="D2590" s="10" t="s">
        <v>364</v>
      </c>
      <c r="E2590" s="11" t="str">
        <f>+HYPERLINK("http://trademark.i-assist.jp/data/china/image_1902th/79254073.pdf", "79254073")</f>
        <v>79254073</v>
      </c>
      <c r="F2590" s="10" t="s">
        <v>7312</v>
      </c>
      <c r="G2590" s="10" t="s">
        <v>7313</v>
      </c>
      <c r="H2590" s="10" t="s">
        <v>7314</v>
      </c>
      <c r="I2590" s="10" t="s">
        <v>356</v>
      </c>
    </row>
    <row r="2591" spans="1:9" x14ac:dyDescent="0.15">
      <c r="A2591" s="9">
        <v>2590</v>
      </c>
      <c r="B2591" s="10" t="s">
        <v>9</v>
      </c>
      <c r="C2591" s="10" t="s">
        <v>363</v>
      </c>
      <c r="D2591" s="10" t="s">
        <v>364</v>
      </c>
      <c r="E2591" s="11" t="str">
        <f>+HYPERLINK("http://trademark.i-assist.jp/data/china/image_1902th/79254286.pdf", "79254286")</f>
        <v>79254286</v>
      </c>
      <c r="F2591" s="10" t="s">
        <v>7315</v>
      </c>
      <c r="G2591" s="10" t="s">
        <v>7162</v>
      </c>
      <c r="H2591" s="10" t="s">
        <v>7316</v>
      </c>
      <c r="I2591" s="10" t="s">
        <v>356</v>
      </c>
    </row>
    <row r="2592" spans="1:9" x14ac:dyDescent="0.15">
      <c r="A2592" s="9">
        <v>2591</v>
      </c>
      <c r="B2592" s="10" t="s">
        <v>9</v>
      </c>
      <c r="C2592" s="10" t="s">
        <v>363</v>
      </c>
      <c r="D2592" s="10" t="s">
        <v>364</v>
      </c>
      <c r="E2592" s="11" t="str">
        <f>+HYPERLINK("http://trademark.i-assist.jp/data/china/image_1902th/79254342.pdf", "79254342")</f>
        <v>79254342</v>
      </c>
      <c r="F2592" s="10" t="s">
        <v>7317</v>
      </c>
      <c r="G2592" s="10" t="s">
        <v>7318</v>
      </c>
      <c r="H2592" s="10" t="s">
        <v>7319</v>
      </c>
      <c r="I2592" s="10" t="s">
        <v>356</v>
      </c>
    </row>
    <row r="2593" spans="1:9" x14ac:dyDescent="0.15">
      <c r="A2593" s="9">
        <v>2592</v>
      </c>
      <c r="B2593" s="10" t="s">
        <v>9</v>
      </c>
      <c r="C2593" s="10" t="s">
        <v>363</v>
      </c>
      <c r="D2593" s="10" t="s">
        <v>364</v>
      </c>
      <c r="E2593" s="11" t="str">
        <f>+HYPERLINK("http://trademark.i-assist.jp/data/china/image_1902th/79254455.pdf", "79254455")</f>
        <v>79254455</v>
      </c>
      <c r="F2593" s="10" t="s">
        <v>7320</v>
      </c>
      <c r="G2593" s="10" t="s">
        <v>7321</v>
      </c>
      <c r="H2593" s="10" t="s">
        <v>7322</v>
      </c>
      <c r="I2593" s="10" t="s">
        <v>356</v>
      </c>
    </row>
    <row r="2594" spans="1:9" x14ac:dyDescent="0.15">
      <c r="A2594" s="9">
        <v>2593</v>
      </c>
      <c r="B2594" s="10" t="s">
        <v>9</v>
      </c>
      <c r="C2594" s="10" t="s">
        <v>363</v>
      </c>
      <c r="D2594" s="10" t="s">
        <v>364</v>
      </c>
      <c r="E2594" s="11" t="str">
        <f>+HYPERLINK("http://trademark.i-assist.jp/data/china/image_1902th/79254504.pdf", "79254504")</f>
        <v>79254504</v>
      </c>
      <c r="F2594" s="10" t="s">
        <v>7323</v>
      </c>
      <c r="G2594" s="10" t="s">
        <v>7324</v>
      </c>
      <c r="H2594" s="10" t="s">
        <v>7325</v>
      </c>
      <c r="I2594" s="10" t="s">
        <v>356</v>
      </c>
    </row>
    <row r="2595" spans="1:9" x14ac:dyDescent="0.15">
      <c r="A2595" s="9">
        <v>2594</v>
      </c>
      <c r="B2595" s="10" t="s">
        <v>9</v>
      </c>
      <c r="C2595" s="10" t="s">
        <v>363</v>
      </c>
      <c r="D2595" s="10" t="s">
        <v>364</v>
      </c>
      <c r="E2595" s="11" t="str">
        <f>+HYPERLINK("http://trademark.i-assist.jp/data/china/image_1902th/79254550.pdf", "79254550")</f>
        <v>79254550</v>
      </c>
      <c r="F2595" s="10" t="s">
        <v>7326</v>
      </c>
      <c r="G2595" s="10" t="s">
        <v>7143</v>
      </c>
      <c r="H2595" s="10" t="s">
        <v>7327</v>
      </c>
      <c r="I2595" s="10" t="s">
        <v>356</v>
      </c>
    </row>
    <row r="2596" spans="1:9" x14ac:dyDescent="0.15">
      <c r="A2596" s="9">
        <v>2595</v>
      </c>
      <c r="B2596" s="10" t="s">
        <v>9</v>
      </c>
      <c r="C2596" s="10" t="s">
        <v>363</v>
      </c>
      <c r="D2596" s="10" t="s">
        <v>364</v>
      </c>
      <c r="E2596" s="11" t="str">
        <f>+HYPERLINK("http://trademark.i-assist.jp/data/china/image_1902th/79254560.pdf", "79254560")</f>
        <v>79254560</v>
      </c>
      <c r="F2596" s="10" t="s">
        <v>7328</v>
      </c>
      <c r="G2596" s="10" t="s">
        <v>7329</v>
      </c>
      <c r="H2596" s="10" t="s">
        <v>7330</v>
      </c>
      <c r="I2596" s="10" t="s">
        <v>356</v>
      </c>
    </row>
    <row r="2597" spans="1:9" x14ac:dyDescent="0.15">
      <c r="A2597" s="9">
        <v>2596</v>
      </c>
      <c r="B2597" s="10" t="s">
        <v>9</v>
      </c>
      <c r="C2597" s="10" t="s">
        <v>363</v>
      </c>
      <c r="D2597" s="10" t="s">
        <v>364</v>
      </c>
      <c r="E2597" s="11" t="str">
        <f>+HYPERLINK("http://trademark.i-assist.jp/data/china/image_1902th/79254613.pdf", "79254613")</f>
        <v>79254613</v>
      </c>
      <c r="F2597" s="10" t="s">
        <v>7331</v>
      </c>
      <c r="G2597" s="10" t="s">
        <v>7096</v>
      </c>
      <c r="H2597" s="10" t="s">
        <v>7332</v>
      </c>
      <c r="I2597" s="10" t="s">
        <v>356</v>
      </c>
    </row>
    <row r="2598" spans="1:9" x14ac:dyDescent="0.15">
      <c r="A2598" s="9">
        <v>2597</v>
      </c>
      <c r="B2598" s="10" t="s">
        <v>9</v>
      </c>
      <c r="C2598" s="10" t="s">
        <v>363</v>
      </c>
      <c r="D2598" s="10" t="s">
        <v>364</v>
      </c>
      <c r="E2598" s="11" t="str">
        <f>+HYPERLINK("http://trademark.i-assist.jp/data/china/image_1902th/79254687.pdf", "79254687")</f>
        <v>79254687</v>
      </c>
      <c r="F2598" s="10" t="s">
        <v>7333</v>
      </c>
      <c r="G2598" s="10" t="s">
        <v>7334</v>
      </c>
      <c r="H2598" s="10" t="s">
        <v>7335</v>
      </c>
      <c r="I2598" s="10" t="s">
        <v>356</v>
      </c>
    </row>
    <row r="2599" spans="1:9" x14ac:dyDescent="0.15">
      <c r="A2599" s="9">
        <v>2598</v>
      </c>
      <c r="B2599" s="10" t="s">
        <v>9</v>
      </c>
      <c r="C2599" s="10" t="s">
        <v>363</v>
      </c>
      <c r="D2599" s="10" t="s">
        <v>364</v>
      </c>
      <c r="E2599" s="11" t="str">
        <f>+HYPERLINK("http://trademark.i-assist.jp/data/china/image_1902th/79254728.pdf", "79254728")</f>
        <v>79254728</v>
      </c>
      <c r="F2599" s="10" t="s">
        <v>7336</v>
      </c>
      <c r="G2599" s="10" t="s">
        <v>7337</v>
      </c>
      <c r="H2599" s="10" t="s">
        <v>7338</v>
      </c>
      <c r="I2599" s="10" t="s">
        <v>356</v>
      </c>
    </row>
    <row r="2600" spans="1:9" x14ac:dyDescent="0.15">
      <c r="A2600" s="9">
        <v>2599</v>
      </c>
      <c r="B2600" s="10" t="s">
        <v>9</v>
      </c>
      <c r="C2600" s="10" t="s">
        <v>363</v>
      </c>
      <c r="D2600" s="10" t="s">
        <v>364</v>
      </c>
      <c r="E2600" s="11" t="str">
        <f>+HYPERLINK("http://trademark.i-assist.jp/data/china/image_1902th/79254802.pdf", "79254802")</f>
        <v>79254802</v>
      </c>
      <c r="F2600" s="10" t="s">
        <v>7339</v>
      </c>
      <c r="G2600" s="10" t="s">
        <v>7205</v>
      </c>
      <c r="H2600" s="10" t="s">
        <v>7340</v>
      </c>
      <c r="I2600" s="10" t="s">
        <v>356</v>
      </c>
    </row>
    <row r="2601" spans="1:9" x14ac:dyDescent="0.15">
      <c r="A2601" s="9">
        <v>2600</v>
      </c>
      <c r="B2601" s="10" t="s">
        <v>9</v>
      </c>
      <c r="C2601" s="10" t="s">
        <v>363</v>
      </c>
      <c r="D2601" s="10" t="s">
        <v>364</v>
      </c>
      <c r="E2601" s="11" t="str">
        <f>+HYPERLINK("http://trademark.i-assist.jp/data/china/image_1902th/79255257.pdf", "79255257")</f>
        <v>79255257</v>
      </c>
      <c r="F2601" s="10" t="s">
        <v>7341</v>
      </c>
      <c r="G2601" s="10" t="s">
        <v>7342</v>
      </c>
      <c r="H2601" s="10" t="s">
        <v>7343</v>
      </c>
      <c r="I2601" s="10" t="s">
        <v>356</v>
      </c>
    </row>
    <row r="2602" spans="1:9" x14ac:dyDescent="0.15">
      <c r="A2602" s="9">
        <v>2601</v>
      </c>
      <c r="B2602" s="10" t="s">
        <v>9</v>
      </c>
      <c r="C2602" s="10" t="s">
        <v>363</v>
      </c>
      <c r="D2602" s="10" t="s">
        <v>364</v>
      </c>
      <c r="E2602" s="11" t="str">
        <f>+HYPERLINK("http://trademark.i-assist.jp/data/china/image_1902th/79255529.pdf", "79255529")</f>
        <v>79255529</v>
      </c>
      <c r="F2602" s="10" t="s">
        <v>7344</v>
      </c>
      <c r="G2602" s="10" t="s">
        <v>359</v>
      </c>
      <c r="H2602" s="10" t="s">
        <v>7345</v>
      </c>
      <c r="I2602" s="10" t="s">
        <v>356</v>
      </c>
    </row>
    <row r="2603" spans="1:9" x14ac:dyDescent="0.15">
      <c r="A2603" s="9">
        <v>2602</v>
      </c>
      <c r="B2603" s="10" t="s">
        <v>9</v>
      </c>
      <c r="C2603" s="10" t="s">
        <v>363</v>
      </c>
      <c r="D2603" s="10" t="s">
        <v>364</v>
      </c>
      <c r="E2603" s="11" t="str">
        <f>+HYPERLINK("http://trademark.i-assist.jp/data/china/image_1902th/79255695.pdf", "79255695")</f>
        <v>79255695</v>
      </c>
      <c r="F2603" s="10" t="s">
        <v>7346</v>
      </c>
      <c r="G2603" s="10" t="s">
        <v>7347</v>
      </c>
      <c r="H2603" s="10" t="s">
        <v>7348</v>
      </c>
      <c r="I2603" s="10" t="s">
        <v>356</v>
      </c>
    </row>
    <row r="2604" spans="1:9" x14ac:dyDescent="0.15">
      <c r="A2604" s="9">
        <v>2603</v>
      </c>
      <c r="B2604" s="10" t="s">
        <v>9</v>
      </c>
      <c r="C2604" s="10" t="s">
        <v>363</v>
      </c>
      <c r="D2604" s="10" t="s">
        <v>364</v>
      </c>
      <c r="E2604" s="11" t="str">
        <f>+HYPERLINK("http://trademark.i-assist.jp/data/china/image_1902th/79255699.pdf", "79255699")</f>
        <v>79255699</v>
      </c>
      <c r="F2604" s="10" t="s">
        <v>7349</v>
      </c>
      <c r="G2604" s="10" t="s">
        <v>7121</v>
      </c>
      <c r="H2604" s="10" t="s">
        <v>7350</v>
      </c>
      <c r="I2604" s="10" t="s">
        <v>356</v>
      </c>
    </row>
    <row r="2605" spans="1:9" x14ac:dyDescent="0.15">
      <c r="A2605" s="9">
        <v>2604</v>
      </c>
      <c r="B2605" s="10" t="s">
        <v>9</v>
      </c>
      <c r="C2605" s="10" t="s">
        <v>363</v>
      </c>
      <c r="D2605" s="10" t="s">
        <v>364</v>
      </c>
      <c r="E2605" s="11" t="str">
        <f>+HYPERLINK("http://trademark.i-assist.jp/data/china/image_1902th/79255721.pdf", "79255721")</f>
        <v>79255721</v>
      </c>
      <c r="F2605" s="10" t="s">
        <v>7351</v>
      </c>
      <c r="G2605" s="10" t="s">
        <v>7352</v>
      </c>
      <c r="H2605" s="10" t="s">
        <v>7353</v>
      </c>
      <c r="I2605" s="10" t="s">
        <v>356</v>
      </c>
    </row>
    <row r="2606" spans="1:9" x14ac:dyDescent="0.15">
      <c r="A2606" s="9">
        <v>2605</v>
      </c>
      <c r="B2606" s="10" t="s">
        <v>9</v>
      </c>
      <c r="C2606" s="10" t="s">
        <v>363</v>
      </c>
      <c r="D2606" s="10" t="s">
        <v>364</v>
      </c>
      <c r="E2606" s="11" t="str">
        <f>+HYPERLINK("http://trademark.i-assist.jp/data/china/image_1902th/79255944.pdf", "79255944")</f>
        <v>79255944</v>
      </c>
      <c r="F2606" s="10" t="s">
        <v>7354</v>
      </c>
      <c r="G2606" s="10" t="s">
        <v>7355</v>
      </c>
      <c r="H2606" s="10" t="s">
        <v>7356</v>
      </c>
      <c r="I2606" s="10" t="s">
        <v>356</v>
      </c>
    </row>
    <row r="2607" spans="1:9" x14ac:dyDescent="0.15">
      <c r="A2607" s="9">
        <v>2606</v>
      </c>
      <c r="B2607" s="10" t="s">
        <v>9</v>
      </c>
      <c r="C2607" s="10" t="s">
        <v>363</v>
      </c>
      <c r="D2607" s="10" t="s">
        <v>364</v>
      </c>
      <c r="E2607" s="11" t="str">
        <f>+HYPERLINK("http://trademark.i-assist.jp/data/china/image_1902th/79256114.pdf", "79256114")</f>
        <v>79256114</v>
      </c>
      <c r="F2607" s="10" t="s">
        <v>7357</v>
      </c>
      <c r="G2607" s="10" t="s">
        <v>7358</v>
      </c>
      <c r="H2607" s="10" t="s">
        <v>7359</v>
      </c>
      <c r="I2607" s="10" t="s">
        <v>356</v>
      </c>
    </row>
    <row r="2608" spans="1:9" x14ac:dyDescent="0.15">
      <c r="A2608" s="9">
        <v>2607</v>
      </c>
      <c r="B2608" s="10" t="s">
        <v>9</v>
      </c>
      <c r="C2608" s="10" t="s">
        <v>363</v>
      </c>
      <c r="D2608" s="10" t="s">
        <v>364</v>
      </c>
      <c r="E2608" s="11" t="str">
        <f>+HYPERLINK("http://trademark.i-assist.jp/data/china/image_1902th/79256144.pdf", "79256144")</f>
        <v>79256144</v>
      </c>
      <c r="F2608" s="10" t="s">
        <v>7360</v>
      </c>
      <c r="G2608" s="10" t="s">
        <v>7361</v>
      </c>
      <c r="H2608" s="10" t="s">
        <v>7362</v>
      </c>
      <c r="I2608" s="10" t="s">
        <v>356</v>
      </c>
    </row>
    <row r="2609" spans="1:9" x14ac:dyDescent="0.15">
      <c r="A2609" s="9">
        <v>2608</v>
      </c>
      <c r="B2609" s="10" t="s">
        <v>9</v>
      </c>
      <c r="C2609" s="10" t="s">
        <v>363</v>
      </c>
      <c r="D2609" s="10" t="s">
        <v>364</v>
      </c>
      <c r="E2609" s="11" t="str">
        <f>+HYPERLINK("http://trademark.i-assist.jp/data/china/image_1902th/79256181.pdf", "79256181")</f>
        <v>79256181</v>
      </c>
      <c r="F2609" s="10" t="s">
        <v>7363</v>
      </c>
      <c r="G2609" s="10" t="s">
        <v>7364</v>
      </c>
      <c r="H2609" s="10" t="s">
        <v>7365</v>
      </c>
      <c r="I2609" s="10" t="s">
        <v>356</v>
      </c>
    </row>
    <row r="2610" spans="1:9" x14ac:dyDescent="0.15">
      <c r="A2610" s="9">
        <v>2609</v>
      </c>
      <c r="B2610" s="10" t="s">
        <v>9</v>
      </c>
      <c r="C2610" s="10" t="s">
        <v>363</v>
      </c>
      <c r="D2610" s="10" t="s">
        <v>364</v>
      </c>
      <c r="E2610" s="11" t="str">
        <f>+HYPERLINK("http://trademark.i-assist.jp/data/china/image_1902th/79256242.pdf", "79256242")</f>
        <v>79256242</v>
      </c>
      <c r="F2610" s="10" t="s">
        <v>7366</v>
      </c>
      <c r="G2610" s="10" t="s">
        <v>7367</v>
      </c>
      <c r="H2610" s="10" t="s">
        <v>7368</v>
      </c>
      <c r="I2610" s="10" t="s">
        <v>356</v>
      </c>
    </row>
    <row r="2611" spans="1:9" x14ac:dyDescent="0.15">
      <c r="A2611" s="9">
        <v>2610</v>
      </c>
      <c r="B2611" s="10" t="s">
        <v>9</v>
      </c>
      <c r="C2611" s="10" t="s">
        <v>363</v>
      </c>
      <c r="D2611" s="10" t="s">
        <v>364</v>
      </c>
      <c r="E2611" s="11" t="str">
        <f>+HYPERLINK("http://trademark.i-assist.jp/data/china/image_1902th/79256396.pdf", "79256396")</f>
        <v>79256396</v>
      </c>
      <c r="F2611" s="10" t="s">
        <v>7369</v>
      </c>
      <c r="G2611" s="10" t="s">
        <v>7370</v>
      </c>
      <c r="H2611" s="10" t="s">
        <v>7371</v>
      </c>
      <c r="I2611" s="10" t="s">
        <v>356</v>
      </c>
    </row>
    <row r="2612" spans="1:9" x14ac:dyDescent="0.15">
      <c r="A2612" s="9">
        <v>2611</v>
      </c>
      <c r="B2612" s="10" t="s">
        <v>9</v>
      </c>
      <c r="C2612" s="10" t="s">
        <v>363</v>
      </c>
      <c r="D2612" s="10" t="s">
        <v>364</v>
      </c>
      <c r="E2612" s="11" t="str">
        <f>+HYPERLINK("http://trademark.i-assist.jp/data/china/image_1902th/79256623.pdf", "79256623")</f>
        <v>79256623</v>
      </c>
      <c r="F2612" s="10" t="s">
        <v>7372</v>
      </c>
      <c r="G2612" s="10" t="s">
        <v>7373</v>
      </c>
      <c r="H2612" s="10" t="s">
        <v>7374</v>
      </c>
      <c r="I2612" s="10" t="s">
        <v>356</v>
      </c>
    </row>
    <row r="2613" spans="1:9" x14ac:dyDescent="0.15">
      <c r="A2613" s="9">
        <v>2612</v>
      </c>
      <c r="B2613" s="10" t="s">
        <v>9</v>
      </c>
      <c r="C2613" s="10" t="s">
        <v>363</v>
      </c>
      <c r="D2613" s="10" t="s">
        <v>364</v>
      </c>
      <c r="E2613" s="11" t="str">
        <f>+HYPERLINK("http://trademark.i-assist.jp/data/china/image_1902th/79256802.pdf", "79256802")</f>
        <v>79256802</v>
      </c>
      <c r="F2613" s="10" t="s">
        <v>7375</v>
      </c>
      <c r="G2613" s="10" t="s">
        <v>7376</v>
      </c>
      <c r="H2613" s="10" t="s">
        <v>7377</v>
      </c>
      <c r="I2613" s="10" t="s">
        <v>356</v>
      </c>
    </row>
    <row r="2614" spans="1:9" x14ac:dyDescent="0.15">
      <c r="A2614" s="9">
        <v>2613</v>
      </c>
      <c r="B2614" s="10" t="s">
        <v>9</v>
      </c>
      <c r="C2614" s="10" t="s">
        <v>363</v>
      </c>
      <c r="D2614" s="10" t="s">
        <v>364</v>
      </c>
      <c r="E2614" s="11" t="str">
        <f>+HYPERLINK("http://trademark.i-assist.jp/data/china/image_1902th/79256966.pdf", "79256966")</f>
        <v>79256966</v>
      </c>
      <c r="F2614" s="10" t="s">
        <v>7378</v>
      </c>
      <c r="G2614" s="10" t="s">
        <v>7379</v>
      </c>
      <c r="H2614" s="10" t="s">
        <v>7380</v>
      </c>
      <c r="I2614" s="10" t="s">
        <v>356</v>
      </c>
    </row>
    <row r="2615" spans="1:9" x14ac:dyDescent="0.15">
      <c r="A2615" s="9">
        <v>2614</v>
      </c>
      <c r="B2615" s="10" t="s">
        <v>9</v>
      </c>
      <c r="C2615" s="10" t="s">
        <v>363</v>
      </c>
      <c r="D2615" s="10" t="s">
        <v>364</v>
      </c>
      <c r="E2615" s="11" t="str">
        <f>+HYPERLINK("http://trademark.i-assist.jp/data/china/image_1902th/79257129.pdf", "79257129")</f>
        <v>79257129</v>
      </c>
      <c r="F2615" s="10" t="s">
        <v>7381</v>
      </c>
      <c r="G2615" s="10" t="s">
        <v>7382</v>
      </c>
      <c r="H2615" s="10" t="s">
        <v>7383</v>
      </c>
      <c r="I2615" s="10" t="s">
        <v>356</v>
      </c>
    </row>
    <row r="2616" spans="1:9" x14ac:dyDescent="0.15">
      <c r="A2616" s="9">
        <v>2615</v>
      </c>
      <c r="B2616" s="10" t="s">
        <v>9</v>
      </c>
      <c r="C2616" s="10" t="s">
        <v>363</v>
      </c>
      <c r="D2616" s="10" t="s">
        <v>364</v>
      </c>
      <c r="E2616" s="11" t="str">
        <f>+HYPERLINK("http://trademark.i-assist.jp/data/china/image_1902th/79257278.pdf", "79257278")</f>
        <v>79257278</v>
      </c>
      <c r="F2616" s="10" t="s">
        <v>7384</v>
      </c>
      <c r="G2616" s="10" t="s">
        <v>7385</v>
      </c>
      <c r="H2616" s="10" t="s">
        <v>7386</v>
      </c>
      <c r="I2616" s="10" t="s">
        <v>356</v>
      </c>
    </row>
    <row r="2617" spans="1:9" x14ac:dyDescent="0.15">
      <c r="A2617" s="9">
        <v>2616</v>
      </c>
      <c r="B2617" s="10" t="s">
        <v>9</v>
      </c>
      <c r="C2617" s="10" t="s">
        <v>363</v>
      </c>
      <c r="D2617" s="10" t="s">
        <v>364</v>
      </c>
      <c r="E2617" s="11" t="str">
        <f>+HYPERLINK("http://trademark.i-assist.jp/data/china/image_1902th/79257283.pdf", "79257283")</f>
        <v>79257283</v>
      </c>
      <c r="F2617" s="10" t="s">
        <v>7387</v>
      </c>
      <c r="G2617" s="10" t="s">
        <v>7388</v>
      </c>
      <c r="H2617" s="10" t="s">
        <v>7389</v>
      </c>
      <c r="I2617" s="10" t="s">
        <v>356</v>
      </c>
    </row>
    <row r="2618" spans="1:9" x14ac:dyDescent="0.15">
      <c r="A2618" s="9">
        <v>2617</v>
      </c>
      <c r="B2618" s="10" t="s">
        <v>9</v>
      </c>
      <c r="C2618" s="10" t="s">
        <v>363</v>
      </c>
      <c r="D2618" s="10" t="s">
        <v>364</v>
      </c>
      <c r="E2618" s="11" t="str">
        <f>+HYPERLINK("http://trademark.i-assist.jp/data/china/image_1902th/79257506.pdf", "79257506")</f>
        <v>79257506</v>
      </c>
      <c r="F2618" s="10" t="s">
        <v>7390</v>
      </c>
      <c r="G2618" s="10" t="s">
        <v>7391</v>
      </c>
      <c r="H2618" s="10" t="s">
        <v>7392</v>
      </c>
      <c r="I2618" s="10" t="s">
        <v>356</v>
      </c>
    </row>
    <row r="2619" spans="1:9" x14ac:dyDescent="0.15">
      <c r="A2619" s="9">
        <v>2618</v>
      </c>
      <c r="B2619" s="10" t="s">
        <v>9</v>
      </c>
      <c r="C2619" s="10" t="s">
        <v>363</v>
      </c>
      <c r="D2619" s="10" t="s">
        <v>364</v>
      </c>
      <c r="E2619" s="11" t="str">
        <f>+HYPERLINK("http://trademark.i-assist.jp/data/china/image_1902th/79257617.pdf", "79257617")</f>
        <v>79257617</v>
      </c>
      <c r="F2619" s="10" t="s">
        <v>7212</v>
      </c>
      <c r="G2619" s="10" t="s">
        <v>7213</v>
      </c>
      <c r="H2619" s="10" t="s">
        <v>7393</v>
      </c>
      <c r="I2619" s="10" t="s">
        <v>356</v>
      </c>
    </row>
    <row r="2620" spans="1:9" x14ac:dyDescent="0.15">
      <c r="A2620" s="9">
        <v>2619</v>
      </c>
      <c r="B2620" s="10" t="s">
        <v>9</v>
      </c>
      <c r="C2620" s="10" t="s">
        <v>363</v>
      </c>
      <c r="D2620" s="10" t="s">
        <v>364</v>
      </c>
      <c r="E2620" s="11" t="str">
        <f>+HYPERLINK("http://trademark.i-assist.jp/data/china/image_1902th/79257622.pdf", "79257622")</f>
        <v>79257622</v>
      </c>
      <c r="F2620" s="10" t="s">
        <v>7394</v>
      </c>
      <c r="G2620" s="10" t="s">
        <v>7395</v>
      </c>
      <c r="H2620" s="10" t="s">
        <v>7396</v>
      </c>
      <c r="I2620" s="10" t="s">
        <v>356</v>
      </c>
    </row>
    <row r="2621" spans="1:9" x14ac:dyDescent="0.15">
      <c r="A2621" s="9">
        <v>2620</v>
      </c>
      <c r="B2621" s="10" t="s">
        <v>9</v>
      </c>
      <c r="C2621" s="10" t="s">
        <v>363</v>
      </c>
      <c r="D2621" s="10" t="s">
        <v>364</v>
      </c>
      <c r="E2621" s="11" t="str">
        <f>+HYPERLINK("http://trademark.i-assist.jp/data/china/image_1902th/79257632.pdf", "79257632")</f>
        <v>79257632</v>
      </c>
      <c r="F2621" s="10" t="s">
        <v>7397</v>
      </c>
      <c r="G2621" s="10" t="s">
        <v>7398</v>
      </c>
      <c r="H2621" s="10" t="s">
        <v>7399</v>
      </c>
      <c r="I2621" s="10" t="s">
        <v>356</v>
      </c>
    </row>
    <row r="2622" spans="1:9" x14ac:dyDescent="0.15">
      <c r="A2622" s="9">
        <v>2621</v>
      </c>
      <c r="B2622" s="10" t="s">
        <v>9</v>
      </c>
      <c r="C2622" s="10" t="s">
        <v>363</v>
      </c>
      <c r="D2622" s="10" t="s">
        <v>364</v>
      </c>
      <c r="E2622" s="11" t="str">
        <f>+HYPERLINK("http://trademark.i-assist.jp/data/china/image_1902th/79257773.pdf", "79257773")</f>
        <v>79257773</v>
      </c>
      <c r="F2622" s="10" t="s">
        <v>7400</v>
      </c>
      <c r="G2622" s="10" t="s">
        <v>7401</v>
      </c>
      <c r="H2622" s="10" t="s">
        <v>7402</v>
      </c>
      <c r="I2622" s="10" t="s">
        <v>356</v>
      </c>
    </row>
    <row r="2623" spans="1:9" x14ac:dyDescent="0.15">
      <c r="A2623" s="9">
        <v>2622</v>
      </c>
      <c r="B2623" s="10" t="s">
        <v>9</v>
      </c>
      <c r="C2623" s="10" t="s">
        <v>363</v>
      </c>
      <c r="D2623" s="10" t="s">
        <v>364</v>
      </c>
      <c r="E2623" s="11" t="str">
        <f>+HYPERLINK("http://trademark.i-assist.jp/data/china/image_1902th/79258305.pdf", "79258305")</f>
        <v>79258305</v>
      </c>
      <c r="F2623" s="10" t="s">
        <v>7403</v>
      </c>
      <c r="G2623" s="10" t="s">
        <v>7404</v>
      </c>
      <c r="H2623" s="10" t="s">
        <v>7405</v>
      </c>
      <c r="I2623" s="10" t="s">
        <v>356</v>
      </c>
    </row>
    <row r="2624" spans="1:9" x14ac:dyDescent="0.15">
      <c r="A2624" s="9">
        <v>2623</v>
      </c>
      <c r="B2624" s="10" t="s">
        <v>9</v>
      </c>
      <c r="C2624" s="10" t="s">
        <v>363</v>
      </c>
      <c r="D2624" s="10" t="s">
        <v>364</v>
      </c>
      <c r="E2624" s="11" t="str">
        <f>+HYPERLINK("http://trademark.i-assist.jp/data/china/image_1902th/79258324.pdf", "79258324")</f>
        <v>79258324</v>
      </c>
      <c r="F2624" s="10" t="s">
        <v>7406</v>
      </c>
      <c r="G2624" s="10" t="s">
        <v>7407</v>
      </c>
      <c r="H2624" s="10" t="s">
        <v>7408</v>
      </c>
      <c r="I2624" s="10" t="s">
        <v>356</v>
      </c>
    </row>
    <row r="2625" spans="1:9" x14ac:dyDescent="0.15">
      <c r="A2625" s="9">
        <v>2624</v>
      </c>
      <c r="B2625" s="10" t="s">
        <v>9</v>
      </c>
      <c r="C2625" s="10" t="s">
        <v>363</v>
      </c>
      <c r="D2625" s="10" t="s">
        <v>364</v>
      </c>
      <c r="E2625" s="11" t="str">
        <f>+HYPERLINK("http://trademark.i-assist.jp/data/china/image_1902th/79258334.pdf", "79258334")</f>
        <v>79258334</v>
      </c>
      <c r="F2625" s="10" t="s">
        <v>7409</v>
      </c>
      <c r="G2625" s="10" t="s">
        <v>7407</v>
      </c>
      <c r="H2625" s="10" t="s">
        <v>7410</v>
      </c>
      <c r="I2625" s="10" t="s">
        <v>356</v>
      </c>
    </row>
    <row r="2626" spans="1:9" x14ac:dyDescent="0.15">
      <c r="A2626" s="9">
        <v>2625</v>
      </c>
      <c r="B2626" s="10" t="s">
        <v>9</v>
      </c>
      <c r="C2626" s="10" t="s">
        <v>363</v>
      </c>
      <c r="D2626" s="10" t="s">
        <v>364</v>
      </c>
      <c r="E2626" s="11" t="str">
        <f>+HYPERLINK("http://trademark.i-assist.jp/data/china/image_1902th/79258413.pdf", "79258413")</f>
        <v>79258413</v>
      </c>
      <c r="F2626" s="10" t="s">
        <v>7411</v>
      </c>
      <c r="G2626" s="10" t="s">
        <v>7412</v>
      </c>
      <c r="H2626" s="10" t="s">
        <v>7413</v>
      </c>
      <c r="I2626" s="10" t="s">
        <v>356</v>
      </c>
    </row>
    <row r="2627" spans="1:9" x14ac:dyDescent="0.15">
      <c r="A2627" s="9">
        <v>2626</v>
      </c>
      <c r="B2627" s="10" t="s">
        <v>9</v>
      </c>
      <c r="C2627" s="10" t="s">
        <v>363</v>
      </c>
      <c r="D2627" s="10" t="s">
        <v>364</v>
      </c>
      <c r="E2627" s="11" t="str">
        <f>+HYPERLINK("http://trademark.i-assist.jp/data/china/image_1902th/79258469.pdf", "79258469")</f>
        <v>79258469</v>
      </c>
      <c r="F2627" s="10" t="s">
        <v>7414</v>
      </c>
      <c r="G2627" s="10" t="s">
        <v>7415</v>
      </c>
      <c r="H2627" s="10" t="s">
        <v>7416</v>
      </c>
      <c r="I2627" s="10" t="s">
        <v>356</v>
      </c>
    </row>
    <row r="2628" spans="1:9" x14ac:dyDescent="0.15">
      <c r="A2628" s="9">
        <v>2627</v>
      </c>
      <c r="B2628" s="10" t="s">
        <v>9</v>
      </c>
      <c r="C2628" s="10" t="s">
        <v>363</v>
      </c>
      <c r="D2628" s="10" t="s">
        <v>364</v>
      </c>
      <c r="E2628" s="11" t="str">
        <f>+HYPERLINK("http://trademark.i-assist.jp/data/china/image_1902th/79258529.pdf", "79258529")</f>
        <v>79258529</v>
      </c>
      <c r="F2628" s="10" t="s">
        <v>7417</v>
      </c>
      <c r="G2628" s="10" t="s">
        <v>7418</v>
      </c>
      <c r="H2628" s="10" t="s">
        <v>7419</v>
      </c>
      <c r="I2628" s="10" t="s">
        <v>356</v>
      </c>
    </row>
    <row r="2629" spans="1:9" x14ac:dyDescent="0.15">
      <c r="A2629" s="9">
        <v>2628</v>
      </c>
      <c r="B2629" s="10" t="s">
        <v>9</v>
      </c>
      <c r="C2629" s="10" t="s">
        <v>363</v>
      </c>
      <c r="D2629" s="10" t="s">
        <v>364</v>
      </c>
      <c r="E2629" s="11" t="str">
        <f>+HYPERLINK("http://trademark.i-assist.jp/data/china/image_1902th/79258936.pdf", "79258936")</f>
        <v>79258936</v>
      </c>
      <c r="F2629" s="10" t="s">
        <v>7420</v>
      </c>
      <c r="G2629" s="10" t="s">
        <v>7421</v>
      </c>
      <c r="H2629" s="10" t="s">
        <v>7422</v>
      </c>
      <c r="I2629" s="10" t="s">
        <v>356</v>
      </c>
    </row>
    <row r="2630" spans="1:9" x14ac:dyDescent="0.15">
      <c r="A2630" s="9">
        <v>2629</v>
      </c>
      <c r="B2630" s="10" t="s">
        <v>9</v>
      </c>
      <c r="C2630" s="10" t="s">
        <v>363</v>
      </c>
      <c r="D2630" s="10" t="s">
        <v>364</v>
      </c>
      <c r="E2630" s="11" t="str">
        <f>+HYPERLINK("http://trademark.i-assist.jp/data/china/image_1902th/79259027.pdf", "79259027")</f>
        <v>79259027</v>
      </c>
      <c r="F2630" s="10" t="s">
        <v>7423</v>
      </c>
      <c r="G2630" s="10" t="s">
        <v>7424</v>
      </c>
      <c r="H2630" s="10" t="s">
        <v>7425</v>
      </c>
      <c r="I2630" s="10" t="s">
        <v>356</v>
      </c>
    </row>
    <row r="2631" spans="1:9" x14ac:dyDescent="0.15">
      <c r="A2631" s="9">
        <v>2630</v>
      </c>
      <c r="B2631" s="10" t="s">
        <v>9</v>
      </c>
      <c r="C2631" s="10" t="s">
        <v>363</v>
      </c>
      <c r="D2631" s="10" t="s">
        <v>364</v>
      </c>
      <c r="E2631" s="11" t="str">
        <f>+HYPERLINK("http://trademark.i-assist.jp/data/china/image_1902th/79259265.pdf", "79259265")</f>
        <v>79259265</v>
      </c>
      <c r="F2631" s="10" t="s">
        <v>7426</v>
      </c>
      <c r="G2631" s="10" t="s">
        <v>7096</v>
      </c>
      <c r="H2631" s="10" t="s">
        <v>7427</v>
      </c>
      <c r="I2631" s="10" t="s">
        <v>356</v>
      </c>
    </row>
    <row r="2632" spans="1:9" x14ac:dyDescent="0.15">
      <c r="A2632" s="9">
        <v>2631</v>
      </c>
      <c r="B2632" s="10" t="s">
        <v>9</v>
      </c>
      <c r="C2632" s="10" t="s">
        <v>363</v>
      </c>
      <c r="D2632" s="10" t="s">
        <v>364</v>
      </c>
      <c r="E2632" s="11" t="str">
        <f>+HYPERLINK("http://trademark.i-assist.jp/data/china/image_1902th/79259395.pdf", "79259395")</f>
        <v>79259395</v>
      </c>
      <c r="F2632" s="10" t="s">
        <v>7428</v>
      </c>
      <c r="G2632" s="10" t="s">
        <v>7342</v>
      </c>
      <c r="H2632" s="10" t="s">
        <v>7429</v>
      </c>
      <c r="I2632" s="10" t="s">
        <v>356</v>
      </c>
    </row>
    <row r="2633" spans="1:9" x14ac:dyDescent="0.15">
      <c r="A2633" s="9">
        <v>2632</v>
      </c>
      <c r="B2633" s="10" t="s">
        <v>9</v>
      </c>
      <c r="C2633" s="10" t="s">
        <v>363</v>
      </c>
      <c r="D2633" s="10" t="s">
        <v>364</v>
      </c>
      <c r="E2633" s="11" t="str">
        <f>+HYPERLINK("http://trademark.i-assist.jp/data/china/image_1902th/79259725.pdf", "79259725")</f>
        <v>79259725</v>
      </c>
      <c r="F2633" s="10" t="s">
        <v>7430</v>
      </c>
      <c r="G2633" s="10" t="s">
        <v>7431</v>
      </c>
      <c r="H2633" s="10" t="s">
        <v>7432</v>
      </c>
      <c r="I2633" s="10" t="s">
        <v>356</v>
      </c>
    </row>
    <row r="2634" spans="1:9" x14ac:dyDescent="0.15">
      <c r="A2634" s="9">
        <v>2633</v>
      </c>
      <c r="B2634" s="10" t="s">
        <v>9</v>
      </c>
      <c r="C2634" s="10" t="s">
        <v>363</v>
      </c>
      <c r="D2634" s="10" t="s">
        <v>364</v>
      </c>
      <c r="E2634" s="11" t="str">
        <f>+HYPERLINK("http://trademark.i-assist.jp/data/china/image_1902th/79259820.pdf", "79259820")</f>
        <v>79259820</v>
      </c>
      <c r="F2634" s="10" t="s">
        <v>7433</v>
      </c>
      <c r="G2634" s="10" t="s">
        <v>7321</v>
      </c>
      <c r="H2634" s="10" t="s">
        <v>7434</v>
      </c>
      <c r="I2634" s="10" t="s">
        <v>356</v>
      </c>
    </row>
    <row r="2635" spans="1:9" x14ac:dyDescent="0.15">
      <c r="A2635" s="9">
        <v>2634</v>
      </c>
      <c r="B2635" s="10" t="s">
        <v>9</v>
      </c>
      <c r="C2635" s="10" t="s">
        <v>363</v>
      </c>
      <c r="D2635" s="10" t="s">
        <v>364</v>
      </c>
      <c r="E2635" s="11" t="str">
        <f>+HYPERLINK("http://trademark.i-assist.jp/data/china/image_1902th/79259928.pdf", "79259928")</f>
        <v>79259928</v>
      </c>
      <c r="F2635" s="10" t="s">
        <v>7435</v>
      </c>
      <c r="G2635" s="10" t="s">
        <v>7435</v>
      </c>
      <c r="H2635" s="10" t="s">
        <v>7436</v>
      </c>
      <c r="I2635" s="10" t="s">
        <v>356</v>
      </c>
    </row>
    <row r="2636" spans="1:9" x14ac:dyDescent="0.15">
      <c r="A2636" s="9">
        <v>2635</v>
      </c>
      <c r="B2636" s="10" t="s">
        <v>9</v>
      </c>
      <c r="C2636" s="10" t="s">
        <v>363</v>
      </c>
      <c r="D2636" s="10" t="s">
        <v>364</v>
      </c>
      <c r="E2636" s="11" t="str">
        <f>+HYPERLINK("http://trademark.i-assist.jp/data/china/image_1902th/79260008.pdf", "79260008")</f>
        <v>79260008</v>
      </c>
      <c r="F2636" s="10" t="s">
        <v>7437</v>
      </c>
      <c r="G2636" s="10" t="s">
        <v>7438</v>
      </c>
      <c r="H2636" s="10" t="s">
        <v>7439</v>
      </c>
      <c r="I2636" s="10" t="s">
        <v>356</v>
      </c>
    </row>
    <row r="2637" spans="1:9" x14ac:dyDescent="0.15">
      <c r="A2637" s="9">
        <v>2636</v>
      </c>
      <c r="B2637" s="10" t="s">
        <v>9</v>
      </c>
      <c r="C2637" s="10" t="s">
        <v>363</v>
      </c>
      <c r="D2637" s="10" t="s">
        <v>364</v>
      </c>
      <c r="E2637" s="11" t="str">
        <f>+HYPERLINK("http://trademark.i-assist.jp/data/china/image_1902th/79260011.pdf", "79260011")</f>
        <v>79260011</v>
      </c>
      <c r="F2637" s="10" t="s">
        <v>7440</v>
      </c>
      <c r="G2637" s="10" t="s">
        <v>7441</v>
      </c>
      <c r="H2637" s="10" t="s">
        <v>7442</v>
      </c>
      <c r="I2637" s="10" t="s">
        <v>356</v>
      </c>
    </row>
    <row r="2638" spans="1:9" x14ac:dyDescent="0.15">
      <c r="A2638" s="9">
        <v>2637</v>
      </c>
      <c r="B2638" s="10" t="s">
        <v>9</v>
      </c>
      <c r="C2638" s="10" t="s">
        <v>363</v>
      </c>
      <c r="D2638" s="10" t="s">
        <v>364</v>
      </c>
      <c r="E2638" s="11" t="str">
        <f>+HYPERLINK("http://trademark.i-assist.jp/data/china/image_1902th/79260014.pdf", "79260014")</f>
        <v>79260014</v>
      </c>
      <c r="F2638" s="10" t="s">
        <v>7443</v>
      </c>
      <c r="G2638" s="10" t="s">
        <v>7444</v>
      </c>
      <c r="H2638" s="10" t="s">
        <v>7445</v>
      </c>
      <c r="I2638" s="10" t="s">
        <v>356</v>
      </c>
    </row>
    <row r="2639" spans="1:9" x14ac:dyDescent="0.15">
      <c r="A2639" s="9">
        <v>2638</v>
      </c>
      <c r="B2639" s="10" t="s">
        <v>9</v>
      </c>
      <c r="C2639" s="10" t="s">
        <v>363</v>
      </c>
      <c r="D2639" s="10" t="s">
        <v>364</v>
      </c>
      <c r="E2639" s="11" t="str">
        <f>+HYPERLINK("http://trademark.i-assist.jp/data/china/image_1902th/79260156.pdf", "79260156")</f>
        <v>79260156</v>
      </c>
      <c r="F2639" s="10" t="s">
        <v>7446</v>
      </c>
      <c r="G2639" s="10" t="s">
        <v>7447</v>
      </c>
      <c r="H2639" s="10" t="s">
        <v>7448</v>
      </c>
      <c r="I2639" s="10" t="s">
        <v>356</v>
      </c>
    </row>
    <row r="2640" spans="1:9" x14ac:dyDescent="0.15">
      <c r="A2640" s="9">
        <v>2639</v>
      </c>
      <c r="B2640" s="10" t="s">
        <v>9</v>
      </c>
      <c r="C2640" s="10" t="s">
        <v>363</v>
      </c>
      <c r="D2640" s="10" t="s">
        <v>364</v>
      </c>
      <c r="E2640" s="11" t="str">
        <f>+HYPERLINK("http://trademark.i-assist.jp/data/china/image_1902th/79260159.pdf", "79260159")</f>
        <v>79260159</v>
      </c>
      <c r="F2640" s="10" t="s">
        <v>7449</v>
      </c>
      <c r="G2640" s="10" t="s">
        <v>7450</v>
      </c>
      <c r="H2640" s="10" t="s">
        <v>7451</v>
      </c>
      <c r="I2640" s="10" t="s">
        <v>356</v>
      </c>
    </row>
    <row r="2641" spans="1:9" x14ac:dyDescent="0.15">
      <c r="A2641" s="9">
        <v>2640</v>
      </c>
      <c r="B2641" s="10" t="s">
        <v>9</v>
      </c>
      <c r="C2641" s="10" t="s">
        <v>363</v>
      </c>
      <c r="D2641" s="10" t="s">
        <v>364</v>
      </c>
      <c r="E2641" s="11" t="str">
        <f>+HYPERLINK("http://trademark.i-assist.jp/data/china/image_1902th/79260355.pdf", "79260355")</f>
        <v>79260355</v>
      </c>
      <c r="F2641" s="10" t="s">
        <v>7452</v>
      </c>
      <c r="G2641" s="10" t="s">
        <v>7453</v>
      </c>
      <c r="H2641" s="10" t="s">
        <v>7454</v>
      </c>
      <c r="I2641" s="10" t="s">
        <v>356</v>
      </c>
    </row>
    <row r="2642" spans="1:9" x14ac:dyDescent="0.15">
      <c r="A2642" s="9">
        <v>2641</v>
      </c>
      <c r="B2642" s="10" t="s">
        <v>9</v>
      </c>
      <c r="C2642" s="10" t="s">
        <v>363</v>
      </c>
      <c r="D2642" s="10" t="s">
        <v>364</v>
      </c>
      <c r="E2642" s="11" t="str">
        <f>+HYPERLINK("http://trademark.i-assist.jp/data/china/image_1902th/79260454.pdf", "79260454")</f>
        <v>79260454</v>
      </c>
      <c r="F2642" s="10" t="s">
        <v>7455</v>
      </c>
      <c r="G2642" s="10" t="s">
        <v>7456</v>
      </c>
      <c r="H2642" s="10" t="s">
        <v>7457</v>
      </c>
      <c r="I2642" s="10" t="s">
        <v>356</v>
      </c>
    </row>
    <row r="2643" spans="1:9" x14ac:dyDescent="0.15">
      <c r="A2643" s="9">
        <v>2642</v>
      </c>
      <c r="B2643" s="10" t="s">
        <v>9</v>
      </c>
      <c r="C2643" s="10" t="s">
        <v>363</v>
      </c>
      <c r="D2643" s="10" t="s">
        <v>364</v>
      </c>
      <c r="E2643" s="11" t="str">
        <f>+HYPERLINK("http://trademark.i-assist.jp/data/china/image_1902th/79260553.pdf", "79260553")</f>
        <v>79260553</v>
      </c>
      <c r="F2643" s="10" t="s">
        <v>7458</v>
      </c>
      <c r="G2643" s="10" t="s">
        <v>7459</v>
      </c>
      <c r="H2643" s="10" t="s">
        <v>7460</v>
      </c>
      <c r="I2643" s="10" t="s">
        <v>356</v>
      </c>
    </row>
    <row r="2644" spans="1:9" x14ac:dyDescent="0.15">
      <c r="A2644" s="9">
        <v>2643</v>
      </c>
      <c r="B2644" s="10" t="s">
        <v>9</v>
      </c>
      <c r="C2644" s="10" t="s">
        <v>363</v>
      </c>
      <c r="D2644" s="10" t="s">
        <v>364</v>
      </c>
      <c r="E2644" s="11" t="str">
        <f>+HYPERLINK("http://trademark.i-assist.jp/data/china/image_1902th/79260619.pdf", "79260619")</f>
        <v>79260619</v>
      </c>
      <c r="F2644" s="10" t="s">
        <v>7461</v>
      </c>
      <c r="G2644" s="10" t="s">
        <v>320</v>
      </c>
      <c r="H2644" s="10" t="s">
        <v>7462</v>
      </c>
      <c r="I2644" s="10" t="s">
        <v>356</v>
      </c>
    </row>
    <row r="2645" spans="1:9" x14ac:dyDescent="0.15">
      <c r="A2645" s="9">
        <v>2644</v>
      </c>
      <c r="B2645" s="10" t="s">
        <v>9</v>
      </c>
      <c r="C2645" s="10" t="s">
        <v>363</v>
      </c>
      <c r="D2645" s="10" t="s">
        <v>364</v>
      </c>
      <c r="E2645" s="11" t="str">
        <f>+HYPERLINK("http://trademark.i-assist.jp/data/china/image_1902th/79260799.pdf", "79260799")</f>
        <v>79260799</v>
      </c>
      <c r="F2645" s="10" t="s">
        <v>7463</v>
      </c>
      <c r="G2645" s="10" t="s">
        <v>7464</v>
      </c>
      <c r="H2645" s="10" t="s">
        <v>7465</v>
      </c>
      <c r="I2645" s="10" t="s">
        <v>356</v>
      </c>
    </row>
    <row r="2646" spans="1:9" x14ac:dyDescent="0.15">
      <c r="A2646" s="9">
        <v>2645</v>
      </c>
      <c r="B2646" s="10" t="s">
        <v>9</v>
      </c>
      <c r="C2646" s="10" t="s">
        <v>363</v>
      </c>
      <c r="D2646" s="10" t="s">
        <v>364</v>
      </c>
      <c r="E2646" s="11" t="str">
        <f>+HYPERLINK("http://trademark.i-assist.jp/data/china/image_1902th/79260983.pdf", "79260983")</f>
        <v>79260983</v>
      </c>
      <c r="F2646" s="10" t="s">
        <v>7466</v>
      </c>
      <c r="G2646" s="10" t="s">
        <v>7467</v>
      </c>
      <c r="H2646" s="10" t="s">
        <v>7468</v>
      </c>
      <c r="I2646" s="10" t="s">
        <v>356</v>
      </c>
    </row>
    <row r="2647" spans="1:9" x14ac:dyDescent="0.15">
      <c r="A2647" s="9">
        <v>2646</v>
      </c>
      <c r="B2647" s="10" t="s">
        <v>9</v>
      </c>
      <c r="C2647" s="10" t="s">
        <v>363</v>
      </c>
      <c r="D2647" s="10" t="s">
        <v>364</v>
      </c>
      <c r="E2647" s="11" t="str">
        <f>+HYPERLINK("http://trademark.i-assist.jp/data/china/image_1902th/79261138.pdf", "79261138")</f>
        <v>79261138</v>
      </c>
      <c r="F2647" s="10" t="s">
        <v>7469</v>
      </c>
      <c r="G2647" s="10" t="s">
        <v>7470</v>
      </c>
      <c r="H2647" s="10" t="s">
        <v>7471</v>
      </c>
      <c r="I2647" s="10" t="s">
        <v>356</v>
      </c>
    </row>
    <row r="2648" spans="1:9" x14ac:dyDescent="0.15">
      <c r="A2648" s="9">
        <v>2647</v>
      </c>
      <c r="B2648" s="10" t="s">
        <v>9</v>
      </c>
      <c r="C2648" s="10" t="s">
        <v>363</v>
      </c>
      <c r="D2648" s="10" t="s">
        <v>364</v>
      </c>
      <c r="E2648" s="11" t="str">
        <f>+HYPERLINK("http://trademark.i-assist.jp/data/china/image_1902th/79261717.pdf", "79261717")</f>
        <v>79261717</v>
      </c>
      <c r="F2648" s="10" t="s">
        <v>7472</v>
      </c>
      <c r="G2648" s="10" t="s">
        <v>7473</v>
      </c>
      <c r="H2648" s="10" t="s">
        <v>7474</v>
      </c>
      <c r="I2648" s="10" t="s">
        <v>356</v>
      </c>
    </row>
    <row r="2649" spans="1:9" x14ac:dyDescent="0.15">
      <c r="A2649" s="9">
        <v>2648</v>
      </c>
      <c r="B2649" s="10" t="s">
        <v>9</v>
      </c>
      <c r="C2649" s="10" t="s">
        <v>363</v>
      </c>
      <c r="D2649" s="10" t="s">
        <v>364</v>
      </c>
      <c r="E2649" s="11" t="str">
        <f>+HYPERLINK("http://trademark.i-assist.jp/data/china/image_1902th/79261739.pdf", "79261739")</f>
        <v>79261739</v>
      </c>
      <c r="F2649" s="10" t="s">
        <v>7475</v>
      </c>
      <c r="G2649" s="10" t="s">
        <v>7476</v>
      </c>
      <c r="H2649" s="10" t="s">
        <v>7477</v>
      </c>
      <c r="I2649" s="10" t="s">
        <v>356</v>
      </c>
    </row>
    <row r="2650" spans="1:9" x14ac:dyDescent="0.15">
      <c r="A2650" s="9">
        <v>2649</v>
      </c>
      <c r="B2650" s="10" t="s">
        <v>9</v>
      </c>
      <c r="C2650" s="10" t="s">
        <v>363</v>
      </c>
      <c r="D2650" s="10" t="s">
        <v>364</v>
      </c>
      <c r="E2650" s="11" t="str">
        <f>+HYPERLINK("http://trademark.i-assist.jp/data/china/image_1902th/79262035.pdf", "79262035")</f>
        <v>79262035</v>
      </c>
      <c r="F2650" s="10" t="s">
        <v>7478</v>
      </c>
      <c r="G2650" s="10" t="s">
        <v>7479</v>
      </c>
      <c r="H2650" s="10" t="s">
        <v>7480</v>
      </c>
      <c r="I2650" s="10" t="s">
        <v>356</v>
      </c>
    </row>
    <row r="2651" spans="1:9" x14ac:dyDescent="0.15">
      <c r="A2651" s="9">
        <v>2650</v>
      </c>
      <c r="B2651" s="10" t="s">
        <v>9</v>
      </c>
      <c r="C2651" s="10" t="s">
        <v>363</v>
      </c>
      <c r="D2651" s="10" t="s">
        <v>364</v>
      </c>
      <c r="E2651" s="11" t="str">
        <f>+HYPERLINK("http://trademark.i-assist.jp/data/china/image_1902th/79262145.pdf", "79262145")</f>
        <v>79262145</v>
      </c>
      <c r="F2651" s="10" t="s">
        <v>7481</v>
      </c>
      <c r="G2651" s="10" t="s">
        <v>7441</v>
      </c>
      <c r="H2651" s="10" t="s">
        <v>7482</v>
      </c>
      <c r="I2651" s="10" t="s">
        <v>356</v>
      </c>
    </row>
    <row r="2652" spans="1:9" x14ac:dyDescent="0.15">
      <c r="A2652" s="9">
        <v>2651</v>
      </c>
      <c r="B2652" s="10" t="s">
        <v>9</v>
      </c>
      <c r="C2652" s="10" t="s">
        <v>363</v>
      </c>
      <c r="D2652" s="10" t="s">
        <v>364</v>
      </c>
      <c r="E2652" s="11" t="str">
        <f>+HYPERLINK("http://trademark.i-assist.jp/data/china/image_1902th/79262326.pdf", "79262326")</f>
        <v>79262326</v>
      </c>
      <c r="F2652" s="10" t="s">
        <v>7483</v>
      </c>
      <c r="G2652" s="10" t="s">
        <v>7165</v>
      </c>
      <c r="H2652" s="10" t="s">
        <v>7484</v>
      </c>
      <c r="I2652" s="10" t="s">
        <v>356</v>
      </c>
    </row>
    <row r="2653" spans="1:9" x14ac:dyDescent="0.15">
      <c r="A2653" s="9">
        <v>2652</v>
      </c>
      <c r="B2653" s="10" t="s">
        <v>9</v>
      </c>
      <c r="C2653" s="10" t="s">
        <v>363</v>
      </c>
      <c r="D2653" s="10" t="s">
        <v>364</v>
      </c>
      <c r="E2653" s="11" t="str">
        <f>+HYPERLINK("http://trademark.i-assist.jp/data/china/image_1902th/79262616.pdf", "79262616")</f>
        <v>79262616</v>
      </c>
      <c r="F2653" s="10" t="s">
        <v>7485</v>
      </c>
      <c r="G2653" s="10" t="s">
        <v>7486</v>
      </c>
      <c r="H2653" s="10" t="s">
        <v>7487</v>
      </c>
      <c r="I2653" s="10" t="s">
        <v>356</v>
      </c>
    </row>
    <row r="2654" spans="1:9" x14ac:dyDescent="0.15">
      <c r="A2654" s="9">
        <v>2653</v>
      </c>
      <c r="B2654" s="10" t="s">
        <v>9</v>
      </c>
      <c r="C2654" s="10" t="s">
        <v>363</v>
      </c>
      <c r="D2654" s="10" t="s">
        <v>364</v>
      </c>
      <c r="E2654" s="11" t="str">
        <f>+HYPERLINK("http://trademark.i-assist.jp/data/china/image_1902th/79262987.pdf", "79262987")</f>
        <v>79262987</v>
      </c>
      <c r="F2654" s="10" t="s">
        <v>7488</v>
      </c>
      <c r="G2654" s="10" t="s">
        <v>7489</v>
      </c>
      <c r="H2654" s="10" t="s">
        <v>7490</v>
      </c>
      <c r="I2654" s="10" t="s">
        <v>356</v>
      </c>
    </row>
    <row r="2655" spans="1:9" x14ac:dyDescent="0.15">
      <c r="A2655" s="9">
        <v>2654</v>
      </c>
      <c r="B2655" s="10" t="s">
        <v>9</v>
      </c>
      <c r="C2655" s="10" t="s">
        <v>363</v>
      </c>
      <c r="D2655" s="10" t="s">
        <v>364</v>
      </c>
      <c r="E2655" s="11" t="str">
        <f>+HYPERLINK("http://trademark.i-assist.jp/data/china/image_1902th/79262990.pdf", "79262990")</f>
        <v>79262990</v>
      </c>
      <c r="F2655" s="10" t="s">
        <v>7491</v>
      </c>
      <c r="G2655" s="10" t="s">
        <v>7235</v>
      </c>
      <c r="H2655" s="10" t="s">
        <v>7492</v>
      </c>
      <c r="I2655" s="10" t="s">
        <v>356</v>
      </c>
    </row>
    <row r="2656" spans="1:9" x14ac:dyDescent="0.15">
      <c r="A2656" s="9">
        <v>2655</v>
      </c>
      <c r="B2656" s="10" t="s">
        <v>9</v>
      </c>
      <c r="C2656" s="10" t="s">
        <v>363</v>
      </c>
      <c r="D2656" s="10" t="s">
        <v>364</v>
      </c>
      <c r="E2656" s="11" t="str">
        <f>+HYPERLINK("http://trademark.i-assist.jp/data/china/image_1902th/79263236.pdf", "79263236")</f>
        <v>79263236</v>
      </c>
      <c r="F2656" s="10" t="s">
        <v>7493</v>
      </c>
      <c r="G2656" s="10" t="s">
        <v>7494</v>
      </c>
      <c r="H2656" s="10" t="s">
        <v>7495</v>
      </c>
      <c r="I2656" s="10" t="s">
        <v>356</v>
      </c>
    </row>
    <row r="2657" spans="1:9" x14ac:dyDescent="0.15">
      <c r="A2657" s="9">
        <v>2656</v>
      </c>
      <c r="B2657" s="10" t="s">
        <v>9</v>
      </c>
      <c r="C2657" s="10" t="s">
        <v>363</v>
      </c>
      <c r="D2657" s="10" t="s">
        <v>364</v>
      </c>
      <c r="E2657" s="11" t="str">
        <f>+HYPERLINK("http://trademark.i-assist.jp/data/china/image_1902th/79263819.pdf", "79263819")</f>
        <v>79263819</v>
      </c>
      <c r="F2657" s="10" t="s">
        <v>7496</v>
      </c>
      <c r="G2657" s="10" t="s">
        <v>7321</v>
      </c>
      <c r="H2657" s="10" t="s">
        <v>7497</v>
      </c>
      <c r="I2657" s="10" t="s">
        <v>356</v>
      </c>
    </row>
    <row r="2658" spans="1:9" x14ac:dyDescent="0.15">
      <c r="A2658" s="9">
        <v>2657</v>
      </c>
      <c r="B2658" s="10" t="s">
        <v>9</v>
      </c>
      <c r="C2658" s="10" t="s">
        <v>363</v>
      </c>
      <c r="D2658" s="10" t="s">
        <v>364</v>
      </c>
      <c r="E2658" s="11" t="str">
        <f>+HYPERLINK("http://trademark.i-assist.jp/data/china/image_1902th/79263829.pdf", "79263829")</f>
        <v>79263829</v>
      </c>
      <c r="F2658" s="10" t="s">
        <v>7498</v>
      </c>
      <c r="G2658" s="10" t="s">
        <v>7321</v>
      </c>
      <c r="H2658" s="10" t="s">
        <v>7499</v>
      </c>
      <c r="I2658" s="10" t="s">
        <v>356</v>
      </c>
    </row>
    <row r="2659" spans="1:9" x14ac:dyDescent="0.15">
      <c r="A2659" s="9">
        <v>2658</v>
      </c>
      <c r="B2659" s="10" t="s">
        <v>9</v>
      </c>
      <c r="C2659" s="10" t="s">
        <v>363</v>
      </c>
      <c r="D2659" s="10" t="s">
        <v>364</v>
      </c>
      <c r="E2659" s="11" t="str">
        <f>+HYPERLINK("http://trademark.i-assist.jp/data/china/image_1902th/79264090.pdf", "79264090")</f>
        <v>79264090</v>
      </c>
      <c r="F2659" s="10" t="s">
        <v>7500</v>
      </c>
      <c r="G2659" s="10" t="s">
        <v>7121</v>
      </c>
      <c r="H2659" s="10" t="s">
        <v>7501</v>
      </c>
      <c r="I2659" s="10" t="s">
        <v>356</v>
      </c>
    </row>
    <row r="2660" spans="1:9" x14ac:dyDescent="0.15">
      <c r="A2660" s="9">
        <v>2659</v>
      </c>
      <c r="B2660" s="10" t="s">
        <v>9</v>
      </c>
      <c r="C2660" s="10" t="s">
        <v>363</v>
      </c>
      <c r="D2660" s="10" t="s">
        <v>364</v>
      </c>
      <c r="E2660" s="11" t="str">
        <f>+HYPERLINK("http://trademark.i-assist.jp/data/china/image_1902th/79264940.pdf", "79264940")</f>
        <v>79264940</v>
      </c>
      <c r="F2660" s="10" t="s">
        <v>7502</v>
      </c>
      <c r="G2660" s="10" t="s">
        <v>7162</v>
      </c>
      <c r="H2660" s="10" t="s">
        <v>7503</v>
      </c>
      <c r="I2660" s="10" t="s">
        <v>356</v>
      </c>
    </row>
    <row r="2661" spans="1:9" x14ac:dyDescent="0.15">
      <c r="A2661" s="9">
        <v>2660</v>
      </c>
      <c r="B2661" s="10" t="s">
        <v>9</v>
      </c>
      <c r="C2661" s="10" t="s">
        <v>363</v>
      </c>
      <c r="D2661" s="10" t="s">
        <v>364</v>
      </c>
      <c r="E2661" s="11" t="str">
        <f>+HYPERLINK("http://trademark.i-assist.jp/data/china/image_1902th/79264962.pdf", "79264962")</f>
        <v>79264962</v>
      </c>
      <c r="F2661" s="10" t="s">
        <v>7504</v>
      </c>
      <c r="G2661" s="10" t="s">
        <v>7162</v>
      </c>
      <c r="H2661" s="10" t="s">
        <v>7505</v>
      </c>
      <c r="I2661" s="10" t="s">
        <v>356</v>
      </c>
    </row>
    <row r="2662" spans="1:9" x14ac:dyDescent="0.15">
      <c r="A2662" s="9">
        <v>2661</v>
      </c>
      <c r="B2662" s="10" t="s">
        <v>9</v>
      </c>
      <c r="C2662" s="10" t="s">
        <v>363</v>
      </c>
      <c r="D2662" s="10" t="s">
        <v>364</v>
      </c>
      <c r="E2662" s="11" t="str">
        <f>+HYPERLINK("http://trademark.i-assist.jp/data/china/image_1902th/79264996.pdf", "79264996")</f>
        <v>79264996</v>
      </c>
      <c r="F2662" s="10" t="s">
        <v>7506</v>
      </c>
      <c r="G2662" s="10" t="s">
        <v>7507</v>
      </c>
      <c r="H2662" s="10" t="s">
        <v>7508</v>
      </c>
      <c r="I2662" s="10" t="s">
        <v>356</v>
      </c>
    </row>
    <row r="2663" spans="1:9" x14ac:dyDescent="0.15">
      <c r="A2663" s="9">
        <v>2662</v>
      </c>
      <c r="B2663" s="10" t="s">
        <v>9</v>
      </c>
      <c r="C2663" s="10" t="s">
        <v>363</v>
      </c>
      <c r="D2663" s="10" t="s">
        <v>364</v>
      </c>
      <c r="E2663" s="11" t="str">
        <f>+HYPERLINK("http://trademark.i-assist.jp/data/china/image_1902th/79265668.pdf", "79265668")</f>
        <v>79265668</v>
      </c>
      <c r="F2663" s="10" t="s">
        <v>7509</v>
      </c>
      <c r="G2663" s="10" t="s">
        <v>7510</v>
      </c>
      <c r="H2663" s="10" t="s">
        <v>7511</v>
      </c>
      <c r="I2663" s="10" t="s">
        <v>356</v>
      </c>
    </row>
    <row r="2664" spans="1:9" x14ac:dyDescent="0.15">
      <c r="A2664" s="9">
        <v>2663</v>
      </c>
      <c r="B2664" s="10" t="s">
        <v>9</v>
      </c>
      <c r="C2664" s="10" t="s">
        <v>363</v>
      </c>
      <c r="D2664" s="10" t="s">
        <v>364</v>
      </c>
      <c r="E2664" s="11" t="str">
        <f>+HYPERLINK("http://trademark.i-assist.jp/data/china/image_1902th/79265675.pdf", "79265675")</f>
        <v>79265675</v>
      </c>
      <c r="F2664" s="10" t="s">
        <v>7512</v>
      </c>
      <c r="G2664" s="10" t="s">
        <v>7513</v>
      </c>
      <c r="H2664" s="10" t="s">
        <v>7514</v>
      </c>
      <c r="I2664" s="10" t="s">
        <v>356</v>
      </c>
    </row>
    <row r="2665" spans="1:9" x14ac:dyDescent="0.15">
      <c r="A2665" s="9">
        <v>2664</v>
      </c>
      <c r="B2665" s="10" t="s">
        <v>9</v>
      </c>
      <c r="C2665" s="10" t="s">
        <v>363</v>
      </c>
      <c r="D2665" s="10" t="s">
        <v>364</v>
      </c>
      <c r="E2665" s="11" t="str">
        <f>+HYPERLINK("http://trademark.i-assist.jp/data/china/image_1902th/79266036.pdf", "79266036")</f>
        <v>79266036</v>
      </c>
      <c r="F2665" s="10" t="s">
        <v>7515</v>
      </c>
      <c r="G2665" s="10" t="s">
        <v>7321</v>
      </c>
      <c r="H2665" s="10" t="s">
        <v>7516</v>
      </c>
      <c r="I2665" s="10" t="s">
        <v>356</v>
      </c>
    </row>
    <row r="2666" spans="1:9" x14ac:dyDescent="0.15">
      <c r="A2666" s="9">
        <v>2665</v>
      </c>
      <c r="B2666" s="10" t="s">
        <v>9</v>
      </c>
      <c r="C2666" s="10" t="s">
        <v>363</v>
      </c>
      <c r="D2666" s="10" t="s">
        <v>364</v>
      </c>
      <c r="E2666" s="11" t="str">
        <f>+HYPERLINK("http://trademark.i-assist.jp/data/china/image_1902th/79266092.pdf", "79266092")</f>
        <v>79266092</v>
      </c>
      <c r="F2666" s="10" t="s">
        <v>7517</v>
      </c>
      <c r="G2666" s="10" t="s">
        <v>7124</v>
      </c>
      <c r="H2666" s="10" t="s">
        <v>15</v>
      </c>
      <c r="I2666" s="10" t="s">
        <v>356</v>
      </c>
    </row>
    <row r="2667" spans="1:9" x14ac:dyDescent="0.15">
      <c r="A2667" s="9">
        <v>2666</v>
      </c>
      <c r="B2667" s="10" t="s">
        <v>9</v>
      </c>
      <c r="C2667" s="10" t="s">
        <v>363</v>
      </c>
      <c r="D2667" s="10" t="s">
        <v>364</v>
      </c>
      <c r="E2667" s="11" t="str">
        <f>+HYPERLINK("http://trademark.i-assist.jp/data/china/image_1902th/79266252.pdf", "79266252")</f>
        <v>79266252</v>
      </c>
      <c r="F2667" s="10" t="s">
        <v>7518</v>
      </c>
      <c r="G2667" s="10" t="s">
        <v>7519</v>
      </c>
      <c r="H2667" s="10" t="s">
        <v>7520</v>
      </c>
      <c r="I2667" s="10" t="s">
        <v>356</v>
      </c>
    </row>
    <row r="2668" spans="1:9" x14ac:dyDescent="0.15">
      <c r="A2668" s="9">
        <v>2667</v>
      </c>
      <c r="B2668" s="10" t="s">
        <v>9</v>
      </c>
      <c r="C2668" s="10" t="s">
        <v>363</v>
      </c>
      <c r="D2668" s="10" t="s">
        <v>364</v>
      </c>
      <c r="E2668" s="11" t="str">
        <f>+HYPERLINK("http://trademark.i-assist.jp/data/china/image_1902th/79266503.pdf", "79266503")</f>
        <v>79266503</v>
      </c>
      <c r="F2668" s="10" t="s">
        <v>7521</v>
      </c>
      <c r="G2668" s="10" t="s">
        <v>7522</v>
      </c>
      <c r="H2668" s="10" t="s">
        <v>7523</v>
      </c>
      <c r="I2668" s="10" t="s">
        <v>356</v>
      </c>
    </row>
    <row r="2669" spans="1:9" x14ac:dyDescent="0.15">
      <c r="A2669" s="9">
        <v>2668</v>
      </c>
      <c r="B2669" s="10" t="s">
        <v>9</v>
      </c>
      <c r="C2669" s="10" t="s">
        <v>363</v>
      </c>
      <c r="D2669" s="10" t="s">
        <v>364</v>
      </c>
      <c r="E2669" s="11" t="str">
        <f>+HYPERLINK("http://trademark.i-assist.jp/data/china/image_1902th/79266686.pdf", "79266686")</f>
        <v>79266686</v>
      </c>
      <c r="F2669" s="10" t="s">
        <v>12</v>
      </c>
      <c r="G2669" s="10" t="s">
        <v>7524</v>
      </c>
      <c r="H2669" s="10" t="s">
        <v>7525</v>
      </c>
      <c r="I2669" s="10" t="s">
        <v>356</v>
      </c>
    </row>
    <row r="2670" spans="1:9" x14ac:dyDescent="0.15">
      <c r="A2670" s="9">
        <v>2669</v>
      </c>
      <c r="B2670" s="10" t="s">
        <v>9</v>
      </c>
      <c r="C2670" s="10" t="s">
        <v>363</v>
      </c>
      <c r="D2670" s="10" t="s">
        <v>364</v>
      </c>
      <c r="E2670" s="11" t="str">
        <f>+HYPERLINK("http://trademark.i-assist.jp/data/china/image_1902th/79266863.pdf", "79266863")</f>
        <v>79266863</v>
      </c>
      <c r="F2670" s="10" t="s">
        <v>7526</v>
      </c>
      <c r="G2670" s="10" t="s">
        <v>7527</v>
      </c>
      <c r="H2670" s="10" t="s">
        <v>7528</v>
      </c>
      <c r="I2670" s="10" t="s">
        <v>356</v>
      </c>
    </row>
    <row r="2671" spans="1:9" x14ac:dyDescent="0.15">
      <c r="A2671" s="9">
        <v>2670</v>
      </c>
      <c r="B2671" s="10" t="s">
        <v>9</v>
      </c>
      <c r="C2671" s="10" t="s">
        <v>363</v>
      </c>
      <c r="D2671" s="10" t="s">
        <v>364</v>
      </c>
      <c r="E2671" s="11" t="str">
        <f>+HYPERLINK("http://trademark.i-assist.jp/data/china/image_1902th/79266902.pdf", "79266902")</f>
        <v>79266902</v>
      </c>
      <c r="F2671" s="10" t="s">
        <v>7529</v>
      </c>
      <c r="G2671" s="10" t="s">
        <v>7530</v>
      </c>
      <c r="H2671" s="10" t="s">
        <v>7531</v>
      </c>
      <c r="I2671" s="10" t="s">
        <v>356</v>
      </c>
    </row>
    <row r="2672" spans="1:9" x14ac:dyDescent="0.15">
      <c r="A2672" s="9">
        <v>2671</v>
      </c>
      <c r="B2672" s="10" t="s">
        <v>9</v>
      </c>
      <c r="C2672" s="10" t="s">
        <v>363</v>
      </c>
      <c r="D2672" s="10" t="s">
        <v>364</v>
      </c>
      <c r="E2672" s="11" t="str">
        <f>+HYPERLINK("http://trademark.i-assist.jp/data/china/image_1902th/79266931.pdf", "79266931")</f>
        <v>79266931</v>
      </c>
      <c r="F2672" s="10" t="s">
        <v>7532</v>
      </c>
      <c r="G2672" s="10" t="s">
        <v>7096</v>
      </c>
      <c r="H2672" s="10" t="s">
        <v>7533</v>
      </c>
      <c r="I2672" s="10" t="s">
        <v>356</v>
      </c>
    </row>
    <row r="2673" spans="1:9" x14ac:dyDescent="0.15">
      <c r="A2673" s="9">
        <v>2672</v>
      </c>
      <c r="B2673" s="10" t="s">
        <v>9</v>
      </c>
      <c r="C2673" s="10" t="s">
        <v>363</v>
      </c>
      <c r="D2673" s="10" t="s">
        <v>364</v>
      </c>
      <c r="E2673" s="11" t="str">
        <f>+HYPERLINK("http://trademark.i-assist.jp/data/china/image_1902th/79267052.pdf", "79267052")</f>
        <v>79267052</v>
      </c>
      <c r="F2673" s="10" t="s">
        <v>7534</v>
      </c>
      <c r="G2673" s="10" t="s">
        <v>7535</v>
      </c>
      <c r="H2673" s="10" t="s">
        <v>7536</v>
      </c>
      <c r="I2673" s="10" t="s">
        <v>356</v>
      </c>
    </row>
    <row r="2674" spans="1:9" x14ac:dyDescent="0.15">
      <c r="A2674" s="9">
        <v>2673</v>
      </c>
      <c r="B2674" s="10" t="s">
        <v>9</v>
      </c>
      <c r="C2674" s="10" t="s">
        <v>363</v>
      </c>
      <c r="D2674" s="10" t="s">
        <v>364</v>
      </c>
      <c r="E2674" s="11" t="str">
        <f>+HYPERLINK("http://trademark.i-assist.jp/data/china/image_1902th/79267107.pdf", "79267107")</f>
        <v>79267107</v>
      </c>
      <c r="F2674" s="10" t="s">
        <v>7537</v>
      </c>
      <c r="G2674" s="10" t="s">
        <v>7259</v>
      </c>
      <c r="H2674" s="10" t="s">
        <v>7538</v>
      </c>
      <c r="I2674" s="10" t="s">
        <v>356</v>
      </c>
    </row>
    <row r="2675" spans="1:9" x14ac:dyDescent="0.15">
      <c r="A2675" s="9">
        <v>2674</v>
      </c>
      <c r="B2675" s="10" t="s">
        <v>9</v>
      </c>
      <c r="C2675" s="10" t="s">
        <v>363</v>
      </c>
      <c r="D2675" s="10" t="s">
        <v>364</v>
      </c>
      <c r="E2675" s="11" t="str">
        <f>+HYPERLINK("http://trademark.i-assist.jp/data/china/image_1902th/79267125.pdf", "79267125")</f>
        <v>79267125</v>
      </c>
      <c r="F2675" s="10" t="s">
        <v>7539</v>
      </c>
      <c r="G2675" s="10" t="s">
        <v>7540</v>
      </c>
      <c r="H2675" s="10" t="s">
        <v>7541</v>
      </c>
      <c r="I2675" s="10" t="s">
        <v>356</v>
      </c>
    </row>
    <row r="2676" spans="1:9" x14ac:dyDescent="0.15">
      <c r="A2676" s="9">
        <v>2675</v>
      </c>
      <c r="B2676" s="10" t="s">
        <v>9</v>
      </c>
      <c r="C2676" s="10" t="s">
        <v>363</v>
      </c>
      <c r="D2676" s="10" t="s">
        <v>364</v>
      </c>
      <c r="E2676" s="11" t="str">
        <f>+HYPERLINK("http://trademark.i-assist.jp/data/china/image_1902th/79267234.pdf", "79267234")</f>
        <v>79267234</v>
      </c>
      <c r="F2676" s="10" t="s">
        <v>7542</v>
      </c>
      <c r="G2676" s="10" t="s">
        <v>7121</v>
      </c>
      <c r="H2676" s="10" t="s">
        <v>7543</v>
      </c>
      <c r="I2676" s="10" t="s">
        <v>356</v>
      </c>
    </row>
    <row r="2677" spans="1:9" x14ac:dyDescent="0.15">
      <c r="A2677" s="9">
        <v>2676</v>
      </c>
      <c r="B2677" s="10" t="s">
        <v>9</v>
      </c>
      <c r="C2677" s="10" t="s">
        <v>363</v>
      </c>
      <c r="D2677" s="10" t="s">
        <v>364</v>
      </c>
      <c r="E2677" s="11" t="str">
        <f>+HYPERLINK("http://trademark.i-assist.jp/data/china/image_1902th/79267300.pdf", "79267300")</f>
        <v>79267300</v>
      </c>
      <c r="F2677" s="10" t="s">
        <v>7544</v>
      </c>
      <c r="G2677" s="10" t="s">
        <v>7121</v>
      </c>
      <c r="H2677" s="10" t="s">
        <v>7545</v>
      </c>
      <c r="I2677" s="10" t="s">
        <v>356</v>
      </c>
    </row>
    <row r="2678" spans="1:9" x14ac:dyDescent="0.15">
      <c r="A2678" s="9">
        <v>2677</v>
      </c>
      <c r="B2678" s="10" t="s">
        <v>9</v>
      </c>
      <c r="C2678" s="10" t="s">
        <v>363</v>
      </c>
      <c r="D2678" s="10" t="s">
        <v>364</v>
      </c>
      <c r="E2678" s="11" t="str">
        <f>+HYPERLINK("http://trademark.i-assist.jp/data/china/image_1902th/79267321.pdf", "79267321")</f>
        <v>79267321</v>
      </c>
      <c r="F2678" s="10" t="s">
        <v>7546</v>
      </c>
      <c r="G2678" s="10" t="s">
        <v>7547</v>
      </c>
      <c r="H2678" s="10" t="s">
        <v>7548</v>
      </c>
      <c r="I2678" s="10" t="s">
        <v>356</v>
      </c>
    </row>
    <row r="2679" spans="1:9" x14ac:dyDescent="0.15">
      <c r="A2679" s="9">
        <v>2678</v>
      </c>
      <c r="B2679" s="10" t="s">
        <v>9</v>
      </c>
      <c r="C2679" s="10" t="s">
        <v>363</v>
      </c>
      <c r="D2679" s="10" t="s">
        <v>364</v>
      </c>
      <c r="E2679" s="11" t="str">
        <f>+HYPERLINK("http://trademark.i-assist.jp/data/china/image_1902th/79267382.pdf", "79267382")</f>
        <v>79267382</v>
      </c>
      <c r="F2679" s="10" t="s">
        <v>7549</v>
      </c>
      <c r="G2679" s="10" t="s">
        <v>7550</v>
      </c>
      <c r="H2679" s="10" t="s">
        <v>7551</v>
      </c>
      <c r="I2679" s="10" t="s">
        <v>356</v>
      </c>
    </row>
    <row r="2680" spans="1:9" x14ac:dyDescent="0.15">
      <c r="A2680" s="9">
        <v>2679</v>
      </c>
      <c r="B2680" s="10" t="s">
        <v>9</v>
      </c>
      <c r="C2680" s="10" t="s">
        <v>363</v>
      </c>
      <c r="D2680" s="10" t="s">
        <v>364</v>
      </c>
      <c r="E2680" s="11" t="str">
        <f>+HYPERLINK("http://trademark.i-assist.jp/data/china/image_1902th/79267674.pdf", "79267674")</f>
        <v>79267674</v>
      </c>
      <c r="F2680" s="10" t="s">
        <v>7552</v>
      </c>
      <c r="G2680" s="10" t="s">
        <v>7553</v>
      </c>
      <c r="H2680" s="10" t="s">
        <v>7554</v>
      </c>
      <c r="I2680" s="10" t="s">
        <v>356</v>
      </c>
    </row>
    <row r="2681" spans="1:9" x14ac:dyDescent="0.15">
      <c r="A2681" s="9">
        <v>2680</v>
      </c>
      <c r="B2681" s="10" t="s">
        <v>9</v>
      </c>
      <c r="C2681" s="10" t="s">
        <v>363</v>
      </c>
      <c r="D2681" s="10" t="s">
        <v>364</v>
      </c>
      <c r="E2681" s="11" t="str">
        <f>+HYPERLINK("http://trademark.i-assist.jp/data/china/image_1902th/79268154.pdf", "79268154")</f>
        <v>79268154</v>
      </c>
      <c r="F2681" s="10" t="s">
        <v>7555</v>
      </c>
      <c r="G2681" s="10" t="s">
        <v>7556</v>
      </c>
      <c r="H2681" s="10" t="s">
        <v>7557</v>
      </c>
      <c r="I2681" s="10" t="s">
        <v>356</v>
      </c>
    </row>
    <row r="2682" spans="1:9" x14ac:dyDescent="0.15">
      <c r="A2682" s="9">
        <v>2681</v>
      </c>
      <c r="B2682" s="10" t="s">
        <v>9</v>
      </c>
      <c r="C2682" s="10" t="s">
        <v>363</v>
      </c>
      <c r="D2682" s="10" t="s">
        <v>364</v>
      </c>
      <c r="E2682" s="11" t="str">
        <f>+HYPERLINK("http://trademark.i-assist.jp/data/china/image_1902th/79268180.pdf", "79268180")</f>
        <v>79268180</v>
      </c>
      <c r="F2682" s="10" t="s">
        <v>7558</v>
      </c>
      <c r="G2682" s="10" t="s">
        <v>7559</v>
      </c>
      <c r="H2682" s="10" t="s">
        <v>7560</v>
      </c>
      <c r="I2682" s="10" t="s">
        <v>356</v>
      </c>
    </row>
    <row r="2683" spans="1:9" x14ac:dyDescent="0.15">
      <c r="A2683" s="9">
        <v>2682</v>
      </c>
      <c r="B2683" s="10" t="s">
        <v>9</v>
      </c>
      <c r="C2683" s="10" t="s">
        <v>363</v>
      </c>
      <c r="D2683" s="10" t="s">
        <v>364</v>
      </c>
      <c r="E2683" s="11" t="str">
        <f>+HYPERLINK("http://trademark.i-assist.jp/data/china/image_1902th/79268258.pdf", "79268258")</f>
        <v>79268258</v>
      </c>
      <c r="F2683" s="10" t="s">
        <v>12</v>
      </c>
      <c r="G2683" s="10" t="s">
        <v>357</v>
      </c>
      <c r="H2683" s="10" t="s">
        <v>7561</v>
      </c>
      <c r="I2683" s="10" t="s">
        <v>356</v>
      </c>
    </row>
    <row r="2684" spans="1:9" x14ac:dyDescent="0.15">
      <c r="A2684" s="9">
        <v>2683</v>
      </c>
      <c r="B2684" s="10" t="s">
        <v>9</v>
      </c>
      <c r="C2684" s="10" t="s">
        <v>363</v>
      </c>
      <c r="D2684" s="10" t="s">
        <v>364</v>
      </c>
      <c r="E2684" s="11" t="str">
        <f>+HYPERLINK("http://trademark.i-assist.jp/data/china/image_1902th/79268673.pdf", "79268673")</f>
        <v>79268673</v>
      </c>
      <c r="F2684" s="10" t="s">
        <v>12</v>
      </c>
      <c r="G2684" s="10" t="s">
        <v>7562</v>
      </c>
      <c r="H2684" s="10" t="s">
        <v>7563</v>
      </c>
      <c r="I2684" s="10" t="s">
        <v>356</v>
      </c>
    </row>
    <row r="2685" spans="1:9" x14ac:dyDescent="0.15">
      <c r="A2685" s="9">
        <v>2684</v>
      </c>
      <c r="B2685" s="10" t="s">
        <v>9</v>
      </c>
      <c r="C2685" s="10" t="s">
        <v>363</v>
      </c>
      <c r="D2685" s="10" t="s">
        <v>364</v>
      </c>
      <c r="E2685" s="11" t="str">
        <f>+HYPERLINK("http://trademark.i-assist.jp/data/china/image_1902th/79268729.pdf", "79268729")</f>
        <v>79268729</v>
      </c>
      <c r="F2685" s="10" t="s">
        <v>7564</v>
      </c>
      <c r="G2685" s="10" t="s">
        <v>7235</v>
      </c>
      <c r="H2685" s="10" t="s">
        <v>7565</v>
      </c>
      <c r="I2685" s="10" t="s">
        <v>356</v>
      </c>
    </row>
    <row r="2686" spans="1:9" x14ac:dyDescent="0.15">
      <c r="A2686" s="9">
        <v>2685</v>
      </c>
      <c r="B2686" s="10" t="s">
        <v>9</v>
      </c>
      <c r="C2686" s="10" t="s">
        <v>363</v>
      </c>
      <c r="D2686" s="10" t="s">
        <v>364</v>
      </c>
      <c r="E2686" s="11" t="str">
        <f>+HYPERLINK("http://trademark.i-assist.jp/data/china/image_1902th/79268995.pdf", "79268995")</f>
        <v>79268995</v>
      </c>
      <c r="F2686" s="10" t="s">
        <v>7566</v>
      </c>
      <c r="G2686" s="10" t="s">
        <v>7385</v>
      </c>
      <c r="H2686" s="10" t="s">
        <v>7567</v>
      </c>
      <c r="I2686" s="10" t="s">
        <v>356</v>
      </c>
    </row>
    <row r="2687" spans="1:9" x14ac:dyDescent="0.15">
      <c r="A2687" s="9">
        <v>2686</v>
      </c>
      <c r="B2687" s="10" t="s">
        <v>9</v>
      </c>
      <c r="C2687" s="10" t="s">
        <v>363</v>
      </c>
      <c r="D2687" s="10" t="s">
        <v>364</v>
      </c>
      <c r="E2687" s="11" t="str">
        <f>+HYPERLINK("http://trademark.i-assist.jp/data/china/image_1902th/79269183.pdf", "79269183")</f>
        <v>79269183</v>
      </c>
      <c r="F2687" s="10" t="s">
        <v>7568</v>
      </c>
      <c r="G2687" s="10" t="s">
        <v>7569</v>
      </c>
      <c r="H2687" s="10" t="s">
        <v>7570</v>
      </c>
      <c r="I2687" s="10" t="s">
        <v>356</v>
      </c>
    </row>
    <row r="2688" spans="1:9" x14ac:dyDescent="0.15">
      <c r="A2688" s="9">
        <v>2687</v>
      </c>
      <c r="B2688" s="10" t="s">
        <v>9</v>
      </c>
      <c r="C2688" s="10" t="s">
        <v>363</v>
      </c>
      <c r="D2688" s="10" t="s">
        <v>364</v>
      </c>
      <c r="E2688" s="11" t="str">
        <f>+HYPERLINK("http://trademark.i-assist.jp/data/china/image_1902th/79269261.pdf", "79269261")</f>
        <v>79269261</v>
      </c>
      <c r="F2688" s="10" t="s">
        <v>7571</v>
      </c>
      <c r="G2688" s="10" t="s">
        <v>7572</v>
      </c>
      <c r="H2688" s="10" t="s">
        <v>7573</v>
      </c>
      <c r="I2688" s="10" t="s">
        <v>356</v>
      </c>
    </row>
    <row r="2689" spans="1:9" x14ac:dyDescent="0.15">
      <c r="A2689" s="9">
        <v>2688</v>
      </c>
      <c r="B2689" s="10" t="s">
        <v>9</v>
      </c>
      <c r="C2689" s="10" t="s">
        <v>363</v>
      </c>
      <c r="D2689" s="10" t="s">
        <v>364</v>
      </c>
      <c r="E2689" s="11" t="str">
        <f>+HYPERLINK("http://trademark.i-assist.jp/data/china/image_1902th/79269698.pdf", "79269698")</f>
        <v>79269698</v>
      </c>
      <c r="F2689" s="10" t="s">
        <v>7574</v>
      </c>
      <c r="G2689" s="10" t="s">
        <v>7575</v>
      </c>
      <c r="H2689" s="10" t="s">
        <v>7576</v>
      </c>
      <c r="I2689" s="10" t="s">
        <v>356</v>
      </c>
    </row>
    <row r="2690" spans="1:9" x14ac:dyDescent="0.15">
      <c r="A2690" s="9">
        <v>2689</v>
      </c>
      <c r="B2690" s="10" t="s">
        <v>9</v>
      </c>
      <c r="C2690" s="10" t="s">
        <v>363</v>
      </c>
      <c r="D2690" s="10" t="s">
        <v>364</v>
      </c>
      <c r="E2690" s="11" t="str">
        <f>+HYPERLINK("http://trademark.i-assist.jp/data/china/image_1902th/79269813.pdf", "79269813")</f>
        <v>79269813</v>
      </c>
      <c r="F2690" s="10" t="s">
        <v>7577</v>
      </c>
      <c r="G2690" s="10" t="s">
        <v>7578</v>
      </c>
      <c r="H2690" s="10" t="s">
        <v>7579</v>
      </c>
      <c r="I2690" s="10" t="s">
        <v>356</v>
      </c>
    </row>
    <row r="2691" spans="1:9" x14ac:dyDescent="0.15">
      <c r="A2691" s="9">
        <v>2690</v>
      </c>
      <c r="B2691" s="10" t="s">
        <v>9</v>
      </c>
      <c r="C2691" s="10" t="s">
        <v>363</v>
      </c>
      <c r="D2691" s="10" t="s">
        <v>364</v>
      </c>
      <c r="E2691" s="11" t="str">
        <f>+HYPERLINK("http://trademark.i-assist.jp/data/china/image_1902th/79270025.pdf", "79270025")</f>
        <v>79270025</v>
      </c>
      <c r="F2691" s="10" t="s">
        <v>7580</v>
      </c>
      <c r="G2691" s="10" t="s">
        <v>7581</v>
      </c>
      <c r="H2691" s="10" t="s">
        <v>7582</v>
      </c>
      <c r="I2691" s="10" t="s">
        <v>356</v>
      </c>
    </row>
    <row r="2692" spans="1:9" x14ac:dyDescent="0.15">
      <c r="A2692" s="9">
        <v>2691</v>
      </c>
      <c r="B2692" s="10" t="s">
        <v>9</v>
      </c>
      <c r="C2692" s="10" t="s">
        <v>363</v>
      </c>
      <c r="D2692" s="10" t="s">
        <v>364</v>
      </c>
      <c r="E2692" s="11" t="str">
        <f>+HYPERLINK("http://trademark.i-assist.jp/data/china/image_1902th/79270072.pdf", "79270072")</f>
        <v>79270072</v>
      </c>
      <c r="F2692" s="10" t="s">
        <v>7583</v>
      </c>
      <c r="G2692" s="10" t="s">
        <v>7096</v>
      </c>
      <c r="H2692" s="10" t="s">
        <v>7584</v>
      </c>
      <c r="I2692" s="10" t="s">
        <v>356</v>
      </c>
    </row>
    <row r="2693" spans="1:9" x14ac:dyDescent="0.15">
      <c r="A2693" s="9">
        <v>2692</v>
      </c>
      <c r="B2693" s="10" t="s">
        <v>9</v>
      </c>
      <c r="C2693" s="10" t="s">
        <v>363</v>
      </c>
      <c r="D2693" s="10" t="s">
        <v>364</v>
      </c>
      <c r="E2693" s="11" t="str">
        <f>+HYPERLINK("http://trademark.i-assist.jp/data/china/image_1902th/79270080.pdf", "79270080")</f>
        <v>79270080</v>
      </c>
      <c r="F2693" s="10" t="s">
        <v>7585</v>
      </c>
      <c r="G2693" s="10" t="s">
        <v>7096</v>
      </c>
      <c r="H2693" s="10" t="s">
        <v>7586</v>
      </c>
      <c r="I2693" s="10" t="s">
        <v>356</v>
      </c>
    </row>
    <row r="2694" spans="1:9" x14ac:dyDescent="0.15">
      <c r="A2694" s="9">
        <v>2693</v>
      </c>
      <c r="B2694" s="10" t="s">
        <v>9</v>
      </c>
      <c r="C2694" s="10" t="s">
        <v>363</v>
      </c>
      <c r="D2694" s="10" t="s">
        <v>364</v>
      </c>
      <c r="E2694" s="11" t="str">
        <f>+HYPERLINK("http://trademark.i-assist.jp/data/china/image_1902th/79270089.pdf", "79270089")</f>
        <v>79270089</v>
      </c>
      <c r="F2694" s="10" t="s">
        <v>7587</v>
      </c>
      <c r="G2694" s="10" t="s">
        <v>7096</v>
      </c>
      <c r="H2694" s="10" t="s">
        <v>7588</v>
      </c>
      <c r="I2694" s="10" t="s">
        <v>356</v>
      </c>
    </row>
    <row r="2695" spans="1:9" x14ac:dyDescent="0.15">
      <c r="A2695" s="9">
        <v>2694</v>
      </c>
      <c r="B2695" s="10" t="s">
        <v>9</v>
      </c>
      <c r="C2695" s="10" t="s">
        <v>363</v>
      </c>
      <c r="D2695" s="10" t="s">
        <v>364</v>
      </c>
      <c r="E2695" s="11" t="str">
        <f>+HYPERLINK("http://trademark.i-assist.jp/data/china/image_1902th/79270338.pdf", "79270338")</f>
        <v>79270338</v>
      </c>
      <c r="F2695" s="10" t="s">
        <v>7589</v>
      </c>
      <c r="G2695" s="10" t="s">
        <v>7590</v>
      </c>
      <c r="H2695" s="10" t="s">
        <v>7591</v>
      </c>
      <c r="I2695" s="10" t="s">
        <v>356</v>
      </c>
    </row>
    <row r="2696" spans="1:9" x14ac:dyDescent="0.15">
      <c r="A2696" s="9">
        <v>2695</v>
      </c>
      <c r="B2696" s="10" t="s">
        <v>9</v>
      </c>
      <c r="C2696" s="10" t="s">
        <v>363</v>
      </c>
      <c r="D2696" s="10" t="s">
        <v>364</v>
      </c>
      <c r="E2696" s="11" t="str">
        <f>+HYPERLINK("http://trademark.i-assist.jp/data/china/image_1902th/79270565.pdf", "79270565")</f>
        <v>79270565</v>
      </c>
      <c r="F2696" s="10" t="s">
        <v>7592</v>
      </c>
      <c r="G2696" s="10" t="s">
        <v>7143</v>
      </c>
      <c r="H2696" s="10" t="s">
        <v>7593</v>
      </c>
      <c r="I2696" s="10" t="s">
        <v>356</v>
      </c>
    </row>
    <row r="2697" spans="1:9" x14ac:dyDescent="0.15">
      <c r="A2697" s="9">
        <v>2696</v>
      </c>
      <c r="B2697" s="10" t="s">
        <v>9</v>
      </c>
      <c r="C2697" s="10" t="s">
        <v>363</v>
      </c>
      <c r="D2697" s="10" t="s">
        <v>364</v>
      </c>
      <c r="E2697" s="11" t="str">
        <f>+HYPERLINK("http://trademark.i-assist.jp/data/china/image_1902th/79271043.pdf", "79271043")</f>
        <v>79271043</v>
      </c>
      <c r="F2697" s="10" t="s">
        <v>7594</v>
      </c>
      <c r="G2697" s="10" t="s">
        <v>7595</v>
      </c>
      <c r="H2697" s="10" t="s">
        <v>7596</v>
      </c>
      <c r="I2697" s="10" t="s">
        <v>358</v>
      </c>
    </row>
    <row r="2698" spans="1:9" x14ac:dyDescent="0.15">
      <c r="A2698" s="9">
        <v>2697</v>
      </c>
      <c r="B2698" s="10" t="s">
        <v>9</v>
      </c>
      <c r="C2698" s="10" t="s">
        <v>363</v>
      </c>
      <c r="D2698" s="10" t="s">
        <v>364</v>
      </c>
      <c r="E2698" s="11" t="str">
        <f>+HYPERLINK("http://trademark.i-assist.jp/data/china/image_1902th/79271289.pdf", "79271289")</f>
        <v>79271289</v>
      </c>
      <c r="F2698" s="10" t="s">
        <v>7597</v>
      </c>
      <c r="G2698" s="10" t="s">
        <v>161</v>
      </c>
      <c r="H2698" s="10" t="s">
        <v>7598</v>
      </c>
      <c r="I2698" s="10" t="s">
        <v>358</v>
      </c>
    </row>
    <row r="2699" spans="1:9" x14ac:dyDescent="0.15">
      <c r="A2699" s="9">
        <v>2698</v>
      </c>
      <c r="B2699" s="10" t="s">
        <v>9</v>
      </c>
      <c r="C2699" s="10" t="s">
        <v>363</v>
      </c>
      <c r="D2699" s="10" t="s">
        <v>364</v>
      </c>
      <c r="E2699" s="11" t="str">
        <f>+HYPERLINK("http://trademark.i-assist.jp/data/china/image_1902th/79271363.pdf", "79271363")</f>
        <v>79271363</v>
      </c>
      <c r="F2699" s="10" t="s">
        <v>7599</v>
      </c>
      <c r="G2699" s="10" t="s">
        <v>7600</v>
      </c>
      <c r="H2699" s="10" t="s">
        <v>7601</v>
      </c>
      <c r="I2699" s="10" t="s">
        <v>358</v>
      </c>
    </row>
    <row r="2700" spans="1:9" x14ac:dyDescent="0.15">
      <c r="A2700" s="9">
        <v>2699</v>
      </c>
      <c r="B2700" s="10" t="s">
        <v>9</v>
      </c>
      <c r="C2700" s="10" t="s">
        <v>363</v>
      </c>
      <c r="D2700" s="10" t="s">
        <v>364</v>
      </c>
      <c r="E2700" s="11" t="str">
        <f>+HYPERLINK("http://trademark.i-assist.jp/data/china/image_1902th/79271394.pdf", "79271394")</f>
        <v>79271394</v>
      </c>
      <c r="F2700" s="10" t="s">
        <v>7602</v>
      </c>
      <c r="G2700" s="10" t="s">
        <v>7603</v>
      </c>
      <c r="H2700" s="10" t="s">
        <v>7604</v>
      </c>
      <c r="I2700" s="10" t="s">
        <v>358</v>
      </c>
    </row>
    <row r="2701" spans="1:9" x14ac:dyDescent="0.15">
      <c r="A2701" s="9">
        <v>2700</v>
      </c>
      <c r="B2701" s="10" t="s">
        <v>9</v>
      </c>
      <c r="C2701" s="10" t="s">
        <v>363</v>
      </c>
      <c r="D2701" s="10" t="s">
        <v>364</v>
      </c>
      <c r="E2701" s="11" t="str">
        <f>+HYPERLINK("http://trademark.i-assist.jp/data/china/image_1902th/79271470.pdf", "79271470")</f>
        <v>79271470</v>
      </c>
      <c r="F2701" s="10" t="s">
        <v>7605</v>
      </c>
      <c r="G2701" s="10" t="s">
        <v>7606</v>
      </c>
      <c r="H2701" s="10" t="s">
        <v>7607</v>
      </c>
      <c r="I2701" s="10" t="s">
        <v>358</v>
      </c>
    </row>
    <row r="2702" spans="1:9" x14ac:dyDescent="0.15">
      <c r="A2702" s="9">
        <v>2701</v>
      </c>
      <c r="B2702" s="10" t="s">
        <v>9</v>
      </c>
      <c r="C2702" s="10" t="s">
        <v>363</v>
      </c>
      <c r="D2702" s="10" t="s">
        <v>364</v>
      </c>
      <c r="E2702" s="11" t="str">
        <f>+HYPERLINK("http://trademark.i-assist.jp/data/china/image_1902th/79271550.pdf", "79271550")</f>
        <v>79271550</v>
      </c>
      <c r="F2702" s="10" t="s">
        <v>7608</v>
      </c>
      <c r="G2702" s="10" t="s">
        <v>7609</v>
      </c>
      <c r="H2702" s="10" t="s">
        <v>7610</v>
      </c>
      <c r="I2702" s="10" t="s">
        <v>358</v>
      </c>
    </row>
    <row r="2703" spans="1:9" x14ac:dyDescent="0.15">
      <c r="A2703" s="9">
        <v>2702</v>
      </c>
      <c r="B2703" s="10" t="s">
        <v>9</v>
      </c>
      <c r="C2703" s="10" t="s">
        <v>363</v>
      </c>
      <c r="D2703" s="10" t="s">
        <v>364</v>
      </c>
      <c r="E2703" s="11" t="str">
        <f>+HYPERLINK("http://trademark.i-assist.jp/data/china/image_1902th/79271796.pdf", "79271796")</f>
        <v>79271796</v>
      </c>
      <c r="F2703" s="10" t="s">
        <v>7611</v>
      </c>
      <c r="G2703" s="10" t="s">
        <v>7612</v>
      </c>
      <c r="H2703" s="10" t="s">
        <v>7613</v>
      </c>
      <c r="I2703" s="10" t="s">
        <v>358</v>
      </c>
    </row>
    <row r="2704" spans="1:9" x14ac:dyDescent="0.15">
      <c r="A2704" s="9">
        <v>2703</v>
      </c>
      <c r="B2704" s="10" t="s">
        <v>9</v>
      </c>
      <c r="C2704" s="10" t="s">
        <v>363</v>
      </c>
      <c r="D2704" s="10" t="s">
        <v>364</v>
      </c>
      <c r="E2704" s="11" t="str">
        <f>+HYPERLINK("http://trademark.i-assist.jp/data/china/image_1902th/79271900.pdf", "79271900")</f>
        <v>79271900</v>
      </c>
      <c r="F2704" s="10" t="s">
        <v>7614</v>
      </c>
      <c r="G2704" s="10" t="s">
        <v>7615</v>
      </c>
      <c r="H2704" s="10" t="s">
        <v>7616</v>
      </c>
      <c r="I2704" s="10" t="s">
        <v>358</v>
      </c>
    </row>
    <row r="2705" spans="1:9" x14ac:dyDescent="0.15">
      <c r="A2705" s="9">
        <v>2704</v>
      </c>
      <c r="B2705" s="10" t="s">
        <v>9</v>
      </c>
      <c r="C2705" s="10" t="s">
        <v>363</v>
      </c>
      <c r="D2705" s="10" t="s">
        <v>364</v>
      </c>
      <c r="E2705" s="11" t="str">
        <f>+HYPERLINK("http://trademark.i-assist.jp/data/china/image_1902th/79272239.pdf", "79272239")</f>
        <v>79272239</v>
      </c>
      <c r="F2705" s="10" t="s">
        <v>7617</v>
      </c>
      <c r="G2705" s="10" t="s">
        <v>7618</v>
      </c>
      <c r="H2705" s="10" t="s">
        <v>7619</v>
      </c>
      <c r="I2705" s="10" t="s">
        <v>358</v>
      </c>
    </row>
    <row r="2706" spans="1:9" x14ac:dyDescent="0.15">
      <c r="A2706" s="9">
        <v>2705</v>
      </c>
      <c r="B2706" s="10" t="s">
        <v>9</v>
      </c>
      <c r="C2706" s="10" t="s">
        <v>363</v>
      </c>
      <c r="D2706" s="10" t="s">
        <v>364</v>
      </c>
      <c r="E2706" s="11" t="str">
        <f>+HYPERLINK("http://trademark.i-assist.jp/data/china/image_1902th/79272514.pdf", "79272514")</f>
        <v>79272514</v>
      </c>
      <c r="F2706" s="10" t="s">
        <v>7620</v>
      </c>
      <c r="G2706" s="10" t="s">
        <v>7621</v>
      </c>
      <c r="H2706" s="10" t="s">
        <v>7622</v>
      </c>
      <c r="I2706" s="10" t="s">
        <v>358</v>
      </c>
    </row>
    <row r="2707" spans="1:9" x14ac:dyDescent="0.15">
      <c r="A2707" s="9">
        <v>2706</v>
      </c>
      <c r="B2707" s="10" t="s">
        <v>9</v>
      </c>
      <c r="C2707" s="10" t="s">
        <v>363</v>
      </c>
      <c r="D2707" s="10" t="s">
        <v>364</v>
      </c>
      <c r="E2707" s="11" t="str">
        <f>+HYPERLINK("http://trademark.i-assist.jp/data/china/image_1902th/79272535.pdf", "79272535")</f>
        <v>79272535</v>
      </c>
      <c r="F2707" s="10" t="s">
        <v>7623</v>
      </c>
      <c r="G2707" s="10" t="s">
        <v>7624</v>
      </c>
      <c r="H2707" s="10" t="s">
        <v>7625</v>
      </c>
      <c r="I2707" s="10" t="s">
        <v>358</v>
      </c>
    </row>
    <row r="2708" spans="1:9" x14ac:dyDescent="0.15">
      <c r="A2708" s="9">
        <v>2707</v>
      </c>
      <c r="B2708" s="10" t="s">
        <v>9</v>
      </c>
      <c r="C2708" s="10" t="s">
        <v>363</v>
      </c>
      <c r="D2708" s="10" t="s">
        <v>364</v>
      </c>
      <c r="E2708" s="11" t="str">
        <f>+HYPERLINK("http://trademark.i-assist.jp/data/china/image_1902th/79272610.pdf", "79272610")</f>
        <v>79272610</v>
      </c>
      <c r="F2708" s="10" t="s">
        <v>7626</v>
      </c>
      <c r="G2708" s="10" t="s">
        <v>5503</v>
      </c>
      <c r="H2708" s="10" t="s">
        <v>7627</v>
      </c>
      <c r="I2708" s="10" t="s">
        <v>358</v>
      </c>
    </row>
    <row r="2709" spans="1:9" x14ac:dyDescent="0.15">
      <c r="A2709" s="9">
        <v>2708</v>
      </c>
      <c r="B2709" s="10" t="s">
        <v>9</v>
      </c>
      <c r="C2709" s="10" t="s">
        <v>363</v>
      </c>
      <c r="D2709" s="10" t="s">
        <v>364</v>
      </c>
      <c r="E2709" s="11" t="str">
        <f>+HYPERLINK("http://trademark.i-assist.jp/data/china/image_1902th/79272616.pdf", "79272616")</f>
        <v>79272616</v>
      </c>
      <c r="F2709" s="10" t="s">
        <v>7628</v>
      </c>
      <c r="G2709" s="10" t="s">
        <v>7629</v>
      </c>
      <c r="H2709" s="10" t="s">
        <v>7630</v>
      </c>
      <c r="I2709" s="10" t="s">
        <v>358</v>
      </c>
    </row>
    <row r="2710" spans="1:9" x14ac:dyDescent="0.15">
      <c r="A2710" s="9">
        <v>2709</v>
      </c>
      <c r="B2710" s="10" t="s">
        <v>9</v>
      </c>
      <c r="C2710" s="10" t="s">
        <v>363</v>
      </c>
      <c r="D2710" s="10" t="s">
        <v>364</v>
      </c>
      <c r="E2710" s="11" t="str">
        <f>+HYPERLINK("http://trademark.i-assist.jp/data/china/image_1902th/79272698.pdf", "79272698")</f>
        <v>79272698</v>
      </c>
      <c r="F2710" s="10" t="s">
        <v>7631</v>
      </c>
      <c r="G2710" s="10" t="s">
        <v>7632</v>
      </c>
      <c r="H2710" s="10" t="s">
        <v>7633</v>
      </c>
      <c r="I2710" s="10" t="s">
        <v>358</v>
      </c>
    </row>
    <row r="2711" spans="1:9" x14ac:dyDescent="0.15">
      <c r="A2711" s="9">
        <v>2710</v>
      </c>
      <c r="B2711" s="10" t="s">
        <v>9</v>
      </c>
      <c r="C2711" s="10" t="s">
        <v>363</v>
      </c>
      <c r="D2711" s="10" t="s">
        <v>364</v>
      </c>
      <c r="E2711" s="11" t="str">
        <f>+HYPERLINK("http://trademark.i-assist.jp/data/china/image_1902th/79272899.pdf", "79272899")</f>
        <v>79272899</v>
      </c>
      <c r="F2711" s="10" t="s">
        <v>7634</v>
      </c>
      <c r="G2711" s="10" t="s">
        <v>4048</v>
      </c>
      <c r="H2711" s="10" t="s">
        <v>7635</v>
      </c>
      <c r="I2711" s="10" t="s">
        <v>358</v>
      </c>
    </row>
    <row r="2712" spans="1:9" x14ac:dyDescent="0.15">
      <c r="A2712" s="9">
        <v>2711</v>
      </c>
      <c r="B2712" s="10" t="s">
        <v>9</v>
      </c>
      <c r="C2712" s="10" t="s">
        <v>363</v>
      </c>
      <c r="D2712" s="10" t="s">
        <v>364</v>
      </c>
      <c r="E2712" s="11" t="str">
        <f>+HYPERLINK("http://trademark.i-assist.jp/data/china/image_1902th/79272970.pdf", "79272970")</f>
        <v>79272970</v>
      </c>
      <c r="F2712" s="10" t="s">
        <v>7636</v>
      </c>
      <c r="G2712" s="10" t="s">
        <v>7637</v>
      </c>
      <c r="H2712" s="10" t="s">
        <v>7638</v>
      </c>
      <c r="I2712" s="10" t="s">
        <v>358</v>
      </c>
    </row>
    <row r="2713" spans="1:9" x14ac:dyDescent="0.15">
      <c r="A2713" s="9">
        <v>2712</v>
      </c>
      <c r="B2713" s="10" t="s">
        <v>9</v>
      </c>
      <c r="C2713" s="10" t="s">
        <v>363</v>
      </c>
      <c r="D2713" s="10" t="s">
        <v>364</v>
      </c>
      <c r="E2713" s="11" t="str">
        <f>+HYPERLINK("http://trademark.i-assist.jp/data/china/image_1902th/79272991.pdf", "79272991")</f>
        <v>79272991</v>
      </c>
      <c r="F2713" s="10" t="s">
        <v>7639</v>
      </c>
      <c r="G2713" s="10" t="s">
        <v>7637</v>
      </c>
      <c r="H2713" s="10" t="s">
        <v>7640</v>
      </c>
      <c r="I2713" s="10" t="s">
        <v>358</v>
      </c>
    </row>
    <row r="2714" spans="1:9" x14ac:dyDescent="0.15">
      <c r="A2714" s="9">
        <v>2713</v>
      </c>
      <c r="B2714" s="10" t="s">
        <v>9</v>
      </c>
      <c r="C2714" s="10" t="s">
        <v>363</v>
      </c>
      <c r="D2714" s="10" t="s">
        <v>364</v>
      </c>
      <c r="E2714" s="11" t="str">
        <f>+HYPERLINK("http://trademark.i-assist.jp/data/china/image_1902th/79273031.pdf", "79273031")</f>
        <v>79273031</v>
      </c>
      <c r="F2714" s="10" t="s">
        <v>7641</v>
      </c>
      <c r="G2714" s="10" t="s">
        <v>7642</v>
      </c>
      <c r="H2714" s="10" t="s">
        <v>7643</v>
      </c>
      <c r="I2714" s="10" t="s">
        <v>358</v>
      </c>
    </row>
    <row r="2715" spans="1:9" x14ac:dyDescent="0.15">
      <c r="A2715" s="9">
        <v>2714</v>
      </c>
      <c r="B2715" s="10" t="s">
        <v>9</v>
      </c>
      <c r="C2715" s="10" t="s">
        <v>363</v>
      </c>
      <c r="D2715" s="10" t="s">
        <v>364</v>
      </c>
      <c r="E2715" s="11" t="str">
        <f>+HYPERLINK("http://trademark.i-assist.jp/data/china/image_1902th/79273327.pdf", "79273327")</f>
        <v>79273327</v>
      </c>
      <c r="F2715" s="10" t="s">
        <v>7644</v>
      </c>
      <c r="G2715" s="10" t="s">
        <v>7645</v>
      </c>
      <c r="H2715" s="10" t="s">
        <v>7646</v>
      </c>
      <c r="I2715" s="10" t="s">
        <v>358</v>
      </c>
    </row>
    <row r="2716" spans="1:9" x14ac:dyDescent="0.15">
      <c r="A2716" s="9">
        <v>2715</v>
      </c>
      <c r="B2716" s="10" t="s">
        <v>9</v>
      </c>
      <c r="C2716" s="10" t="s">
        <v>363</v>
      </c>
      <c r="D2716" s="10" t="s">
        <v>364</v>
      </c>
      <c r="E2716" s="11" t="str">
        <f>+HYPERLINK("http://trademark.i-assist.jp/data/china/image_1902th/79273483.pdf", "79273483")</f>
        <v>79273483</v>
      </c>
      <c r="F2716" s="10" t="s">
        <v>7647</v>
      </c>
      <c r="G2716" s="10" t="s">
        <v>7648</v>
      </c>
      <c r="H2716" s="10" t="s">
        <v>7649</v>
      </c>
      <c r="I2716" s="10" t="s">
        <v>358</v>
      </c>
    </row>
    <row r="2717" spans="1:9" x14ac:dyDescent="0.15">
      <c r="A2717" s="9">
        <v>2716</v>
      </c>
      <c r="B2717" s="10" t="s">
        <v>9</v>
      </c>
      <c r="C2717" s="10" t="s">
        <v>363</v>
      </c>
      <c r="D2717" s="10" t="s">
        <v>364</v>
      </c>
      <c r="E2717" s="11" t="str">
        <f>+HYPERLINK("http://trademark.i-assist.jp/data/china/image_1902th/79273821.pdf", "79273821")</f>
        <v>79273821</v>
      </c>
      <c r="F2717" s="10" t="s">
        <v>7650</v>
      </c>
      <c r="G2717" s="10" t="s">
        <v>7651</v>
      </c>
      <c r="H2717" s="10" t="s">
        <v>7652</v>
      </c>
      <c r="I2717" s="10" t="s">
        <v>358</v>
      </c>
    </row>
    <row r="2718" spans="1:9" x14ac:dyDescent="0.15">
      <c r="A2718" s="9">
        <v>2717</v>
      </c>
      <c r="B2718" s="10" t="s">
        <v>9</v>
      </c>
      <c r="C2718" s="10" t="s">
        <v>363</v>
      </c>
      <c r="D2718" s="10" t="s">
        <v>364</v>
      </c>
      <c r="E2718" s="11" t="str">
        <f>+HYPERLINK("http://trademark.i-assist.jp/data/china/image_1902th/79273827.pdf", "79273827")</f>
        <v>79273827</v>
      </c>
      <c r="F2718" s="10" t="s">
        <v>7653</v>
      </c>
      <c r="G2718" s="10" t="s">
        <v>7654</v>
      </c>
      <c r="H2718" s="10" t="s">
        <v>7655</v>
      </c>
      <c r="I2718" s="10" t="s">
        <v>358</v>
      </c>
    </row>
    <row r="2719" spans="1:9" x14ac:dyDescent="0.15">
      <c r="A2719" s="9">
        <v>2718</v>
      </c>
      <c r="B2719" s="10" t="s">
        <v>9</v>
      </c>
      <c r="C2719" s="10" t="s">
        <v>363</v>
      </c>
      <c r="D2719" s="10" t="s">
        <v>364</v>
      </c>
      <c r="E2719" s="11" t="str">
        <f>+HYPERLINK("http://trademark.i-assist.jp/data/china/image_1902th/79273967.pdf", "79273967")</f>
        <v>79273967</v>
      </c>
      <c r="F2719" s="10" t="s">
        <v>7656</v>
      </c>
      <c r="G2719" s="10" t="s">
        <v>7657</v>
      </c>
      <c r="H2719" s="10" t="s">
        <v>7658</v>
      </c>
      <c r="I2719" s="10" t="s">
        <v>358</v>
      </c>
    </row>
    <row r="2720" spans="1:9" x14ac:dyDescent="0.15">
      <c r="A2720" s="9">
        <v>2719</v>
      </c>
      <c r="B2720" s="10" t="s">
        <v>9</v>
      </c>
      <c r="C2720" s="10" t="s">
        <v>363</v>
      </c>
      <c r="D2720" s="10" t="s">
        <v>364</v>
      </c>
      <c r="E2720" s="11" t="str">
        <f>+HYPERLINK("http://trademark.i-assist.jp/data/china/image_1902th/79273980.pdf", "79273980")</f>
        <v>79273980</v>
      </c>
      <c r="F2720" s="10" t="s">
        <v>7659</v>
      </c>
      <c r="G2720" s="10" t="s">
        <v>7660</v>
      </c>
      <c r="H2720" s="10" t="s">
        <v>7661</v>
      </c>
      <c r="I2720" s="10" t="s">
        <v>358</v>
      </c>
    </row>
    <row r="2721" spans="1:9" x14ac:dyDescent="0.15">
      <c r="A2721" s="9">
        <v>2720</v>
      </c>
      <c r="B2721" s="10" t="s">
        <v>9</v>
      </c>
      <c r="C2721" s="10" t="s">
        <v>363</v>
      </c>
      <c r="D2721" s="10" t="s">
        <v>364</v>
      </c>
      <c r="E2721" s="11" t="str">
        <f>+HYPERLINK("http://trademark.i-assist.jp/data/china/image_1902th/79274283.pdf", "79274283")</f>
        <v>79274283</v>
      </c>
      <c r="F2721" s="10" t="s">
        <v>7662</v>
      </c>
      <c r="G2721" s="10" t="s">
        <v>7663</v>
      </c>
      <c r="H2721" s="10" t="s">
        <v>7664</v>
      </c>
      <c r="I2721" s="10" t="s">
        <v>358</v>
      </c>
    </row>
    <row r="2722" spans="1:9" x14ac:dyDescent="0.15">
      <c r="A2722" s="9">
        <v>2721</v>
      </c>
      <c r="B2722" s="10" t="s">
        <v>9</v>
      </c>
      <c r="C2722" s="10" t="s">
        <v>363</v>
      </c>
      <c r="D2722" s="10" t="s">
        <v>364</v>
      </c>
      <c r="E2722" s="11" t="str">
        <f>+HYPERLINK("http://trademark.i-assist.jp/data/china/image_1902th/79274310.pdf", "79274310")</f>
        <v>79274310</v>
      </c>
      <c r="F2722" s="10" t="s">
        <v>7665</v>
      </c>
      <c r="G2722" s="10" t="s">
        <v>7666</v>
      </c>
      <c r="H2722" s="10" t="s">
        <v>7667</v>
      </c>
      <c r="I2722" s="10" t="s">
        <v>358</v>
      </c>
    </row>
    <row r="2723" spans="1:9" x14ac:dyDescent="0.15">
      <c r="A2723" s="9">
        <v>2722</v>
      </c>
      <c r="B2723" s="10" t="s">
        <v>9</v>
      </c>
      <c r="C2723" s="10" t="s">
        <v>363</v>
      </c>
      <c r="D2723" s="10" t="s">
        <v>364</v>
      </c>
      <c r="E2723" s="11" t="str">
        <f>+HYPERLINK("http://trademark.i-assist.jp/data/china/image_1902th/79274467.pdf", "79274467")</f>
        <v>79274467</v>
      </c>
      <c r="F2723" s="10" t="s">
        <v>7668</v>
      </c>
      <c r="G2723" s="10" t="s">
        <v>7669</v>
      </c>
      <c r="H2723" s="10" t="s">
        <v>7670</v>
      </c>
      <c r="I2723" s="10" t="s">
        <v>358</v>
      </c>
    </row>
    <row r="2724" spans="1:9" x14ac:dyDescent="0.15">
      <c r="A2724" s="9">
        <v>2723</v>
      </c>
      <c r="B2724" s="10" t="s">
        <v>9</v>
      </c>
      <c r="C2724" s="10" t="s">
        <v>363</v>
      </c>
      <c r="D2724" s="10" t="s">
        <v>364</v>
      </c>
      <c r="E2724" s="11" t="str">
        <f>+HYPERLINK("http://trademark.i-assist.jp/data/china/image_1902th/79274609.pdf", "79274609")</f>
        <v>79274609</v>
      </c>
      <c r="F2724" s="10" t="s">
        <v>7671</v>
      </c>
      <c r="G2724" s="10" t="s">
        <v>7672</v>
      </c>
      <c r="H2724" s="10" t="s">
        <v>7673</v>
      </c>
      <c r="I2724" s="10" t="s">
        <v>358</v>
      </c>
    </row>
    <row r="2725" spans="1:9" x14ac:dyDescent="0.15">
      <c r="A2725" s="9">
        <v>2724</v>
      </c>
      <c r="B2725" s="10" t="s">
        <v>9</v>
      </c>
      <c r="C2725" s="10" t="s">
        <v>363</v>
      </c>
      <c r="D2725" s="10" t="s">
        <v>364</v>
      </c>
      <c r="E2725" s="11" t="str">
        <f>+HYPERLINK("http://trademark.i-assist.jp/data/china/image_1902th/79274635.pdf", "79274635")</f>
        <v>79274635</v>
      </c>
      <c r="F2725" s="10" t="s">
        <v>7674</v>
      </c>
      <c r="G2725" s="10" t="s">
        <v>7675</v>
      </c>
      <c r="H2725" s="10" t="s">
        <v>7676</v>
      </c>
      <c r="I2725" s="10" t="s">
        <v>358</v>
      </c>
    </row>
    <row r="2726" spans="1:9" x14ac:dyDescent="0.15">
      <c r="A2726" s="9">
        <v>2725</v>
      </c>
      <c r="B2726" s="10" t="s">
        <v>9</v>
      </c>
      <c r="C2726" s="10" t="s">
        <v>363</v>
      </c>
      <c r="D2726" s="10" t="s">
        <v>364</v>
      </c>
      <c r="E2726" s="11" t="str">
        <f>+HYPERLINK("http://trademark.i-assist.jp/data/china/image_1902th/79274807.pdf", "79274807")</f>
        <v>79274807</v>
      </c>
      <c r="F2726" s="10" t="s">
        <v>7677</v>
      </c>
      <c r="G2726" s="10" t="s">
        <v>7678</v>
      </c>
      <c r="H2726" s="10" t="s">
        <v>7679</v>
      </c>
      <c r="I2726" s="10" t="s">
        <v>358</v>
      </c>
    </row>
    <row r="2727" spans="1:9" x14ac:dyDescent="0.15">
      <c r="A2727" s="9">
        <v>2726</v>
      </c>
      <c r="B2727" s="10" t="s">
        <v>9</v>
      </c>
      <c r="C2727" s="10" t="s">
        <v>363</v>
      </c>
      <c r="D2727" s="10" t="s">
        <v>364</v>
      </c>
      <c r="E2727" s="11" t="str">
        <f>+HYPERLINK("http://trademark.i-assist.jp/data/china/image_1902th/79274817.pdf", "79274817")</f>
        <v>79274817</v>
      </c>
      <c r="F2727" s="10" t="s">
        <v>7680</v>
      </c>
      <c r="G2727" s="10" t="s">
        <v>7678</v>
      </c>
      <c r="H2727" s="10" t="s">
        <v>7681</v>
      </c>
      <c r="I2727" s="10" t="s">
        <v>358</v>
      </c>
    </row>
    <row r="2728" spans="1:9" x14ac:dyDescent="0.15">
      <c r="A2728" s="9">
        <v>2727</v>
      </c>
      <c r="B2728" s="10" t="s">
        <v>9</v>
      </c>
      <c r="C2728" s="10" t="s">
        <v>363</v>
      </c>
      <c r="D2728" s="10" t="s">
        <v>364</v>
      </c>
      <c r="E2728" s="11" t="str">
        <f>+HYPERLINK("http://trademark.i-assist.jp/data/china/image_1902th/79274872.pdf", "79274872")</f>
        <v>79274872</v>
      </c>
      <c r="F2728" s="10" t="s">
        <v>7682</v>
      </c>
      <c r="G2728" s="10" t="s">
        <v>7683</v>
      </c>
      <c r="H2728" s="10" t="s">
        <v>7684</v>
      </c>
      <c r="I2728" s="10" t="s">
        <v>358</v>
      </c>
    </row>
    <row r="2729" spans="1:9" x14ac:dyDescent="0.15">
      <c r="A2729" s="9">
        <v>2728</v>
      </c>
      <c r="B2729" s="10" t="s">
        <v>9</v>
      </c>
      <c r="C2729" s="10" t="s">
        <v>363</v>
      </c>
      <c r="D2729" s="10" t="s">
        <v>364</v>
      </c>
      <c r="E2729" s="11" t="str">
        <f>+HYPERLINK("http://trademark.i-assist.jp/data/china/image_1902th/79275074.pdf", "79275074")</f>
        <v>79275074</v>
      </c>
      <c r="F2729" s="10" t="s">
        <v>7685</v>
      </c>
      <c r="G2729" s="10" t="s">
        <v>7686</v>
      </c>
      <c r="H2729" s="10" t="s">
        <v>7687</v>
      </c>
      <c r="I2729" s="10" t="s">
        <v>358</v>
      </c>
    </row>
    <row r="2730" spans="1:9" x14ac:dyDescent="0.15">
      <c r="A2730" s="9">
        <v>2729</v>
      </c>
      <c r="B2730" s="10" t="s">
        <v>9</v>
      </c>
      <c r="C2730" s="10" t="s">
        <v>363</v>
      </c>
      <c r="D2730" s="10" t="s">
        <v>364</v>
      </c>
      <c r="E2730" s="11" t="str">
        <f>+HYPERLINK("http://trademark.i-assist.jp/data/china/image_1902th/79275172.pdf", "79275172")</f>
        <v>79275172</v>
      </c>
      <c r="F2730" s="10" t="s">
        <v>7688</v>
      </c>
      <c r="G2730" s="10" t="s">
        <v>1120</v>
      </c>
      <c r="H2730" s="10" t="s">
        <v>7689</v>
      </c>
      <c r="I2730" s="10" t="s">
        <v>358</v>
      </c>
    </row>
    <row r="2731" spans="1:9" x14ac:dyDescent="0.15">
      <c r="A2731" s="9">
        <v>2730</v>
      </c>
      <c r="B2731" s="10" t="s">
        <v>9</v>
      </c>
      <c r="C2731" s="10" t="s">
        <v>363</v>
      </c>
      <c r="D2731" s="10" t="s">
        <v>364</v>
      </c>
      <c r="E2731" s="11" t="str">
        <f>+HYPERLINK("http://trademark.i-assist.jp/data/china/image_1902th/79275323.pdf", "79275323")</f>
        <v>79275323</v>
      </c>
      <c r="F2731" s="10" t="s">
        <v>7690</v>
      </c>
      <c r="G2731" s="10" t="s">
        <v>284</v>
      </c>
      <c r="H2731" s="10" t="s">
        <v>7689</v>
      </c>
      <c r="I2731" s="10" t="s">
        <v>358</v>
      </c>
    </row>
    <row r="2732" spans="1:9" x14ac:dyDescent="0.15">
      <c r="A2732" s="9">
        <v>2731</v>
      </c>
      <c r="B2732" s="10" t="s">
        <v>9</v>
      </c>
      <c r="C2732" s="10" t="s">
        <v>363</v>
      </c>
      <c r="D2732" s="10" t="s">
        <v>364</v>
      </c>
      <c r="E2732" s="11" t="str">
        <f>+HYPERLINK("http://trademark.i-assist.jp/data/china/image_1902th/79275494.pdf", "79275494")</f>
        <v>79275494</v>
      </c>
      <c r="F2732" s="10" t="s">
        <v>7691</v>
      </c>
      <c r="G2732" s="10" t="s">
        <v>7692</v>
      </c>
      <c r="H2732" s="10" t="s">
        <v>7693</v>
      </c>
      <c r="I2732" s="10" t="s">
        <v>358</v>
      </c>
    </row>
    <row r="2733" spans="1:9" x14ac:dyDescent="0.15">
      <c r="A2733" s="9">
        <v>2732</v>
      </c>
      <c r="B2733" s="10" t="s">
        <v>9</v>
      </c>
      <c r="C2733" s="10" t="s">
        <v>363</v>
      </c>
      <c r="D2733" s="10" t="s">
        <v>364</v>
      </c>
      <c r="E2733" s="11" t="str">
        <f>+HYPERLINK("http://trademark.i-assist.jp/data/china/image_1902th/79275522.pdf", "79275522")</f>
        <v>79275522</v>
      </c>
      <c r="F2733" s="10" t="s">
        <v>7694</v>
      </c>
      <c r="G2733" s="10" t="s">
        <v>7695</v>
      </c>
      <c r="H2733" s="10" t="s">
        <v>7696</v>
      </c>
      <c r="I2733" s="10" t="s">
        <v>358</v>
      </c>
    </row>
    <row r="2734" spans="1:9" x14ac:dyDescent="0.15">
      <c r="A2734" s="9">
        <v>2733</v>
      </c>
      <c r="B2734" s="10" t="s">
        <v>9</v>
      </c>
      <c r="C2734" s="10" t="s">
        <v>363</v>
      </c>
      <c r="D2734" s="10" t="s">
        <v>364</v>
      </c>
      <c r="E2734" s="11" t="str">
        <f>+HYPERLINK("http://trademark.i-assist.jp/data/china/image_1902th/79275683.pdf", "79275683")</f>
        <v>79275683</v>
      </c>
      <c r="F2734" s="10" t="s">
        <v>7697</v>
      </c>
      <c r="G2734" s="10" t="s">
        <v>7698</v>
      </c>
      <c r="H2734" s="10" t="s">
        <v>7699</v>
      </c>
      <c r="I2734" s="10" t="s">
        <v>358</v>
      </c>
    </row>
    <row r="2735" spans="1:9" x14ac:dyDescent="0.15">
      <c r="A2735" s="9">
        <v>2734</v>
      </c>
      <c r="B2735" s="10" t="s">
        <v>9</v>
      </c>
      <c r="C2735" s="10" t="s">
        <v>363</v>
      </c>
      <c r="D2735" s="10" t="s">
        <v>364</v>
      </c>
      <c r="E2735" s="11" t="str">
        <f>+HYPERLINK("http://trademark.i-assist.jp/data/china/image_1902th/79275729.pdf", "79275729")</f>
        <v>79275729</v>
      </c>
      <c r="F2735" s="10" t="s">
        <v>7700</v>
      </c>
      <c r="G2735" s="10" t="s">
        <v>7701</v>
      </c>
      <c r="H2735" s="10" t="s">
        <v>7702</v>
      </c>
      <c r="I2735" s="10" t="s">
        <v>358</v>
      </c>
    </row>
    <row r="2736" spans="1:9" x14ac:dyDescent="0.15">
      <c r="A2736" s="9">
        <v>2735</v>
      </c>
      <c r="B2736" s="10" t="s">
        <v>9</v>
      </c>
      <c r="C2736" s="10" t="s">
        <v>363</v>
      </c>
      <c r="D2736" s="10" t="s">
        <v>364</v>
      </c>
      <c r="E2736" s="11" t="str">
        <f>+HYPERLINK("http://trademark.i-assist.jp/data/china/image_1902th/79275747.pdf", "79275747")</f>
        <v>79275747</v>
      </c>
      <c r="F2736" s="10" t="s">
        <v>7703</v>
      </c>
      <c r="G2736" s="10" t="s">
        <v>7704</v>
      </c>
      <c r="H2736" s="10" t="s">
        <v>7705</v>
      </c>
      <c r="I2736" s="10" t="s">
        <v>358</v>
      </c>
    </row>
    <row r="2737" spans="1:9" x14ac:dyDescent="0.15">
      <c r="A2737" s="9">
        <v>2736</v>
      </c>
      <c r="B2737" s="10" t="s">
        <v>9</v>
      </c>
      <c r="C2737" s="10" t="s">
        <v>363</v>
      </c>
      <c r="D2737" s="10" t="s">
        <v>364</v>
      </c>
      <c r="E2737" s="11" t="str">
        <f>+HYPERLINK("http://trademark.i-assist.jp/data/china/image_1902th/79275924.pdf", "79275924")</f>
        <v>79275924</v>
      </c>
      <c r="F2737" s="10" t="s">
        <v>7706</v>
      </c>
      <c r="G2737" s="10" t="s">
        <v>7707</v>
      </c>
      <c r="H2737" s="10" t="s">
        <v>7708</v>
      </c>
      <c r="I2737" s="10" t="s">
        <v>358</v>
      </c>
    </row>
    <row r="2738" spans="1:9" x14ac:dyDescent="0.15">
      <c r="A2738" s="9">
        <v>2737</v>
      </c>
      <c r="B2738" s="10" t="s">
        <v>9</v>
      </c>
      <c r="C2738" s="10" t="s">
        <v>363</v>
      </c>
      <c r="D2738" s="10" t="s">
        <v>364</v>
      </c>
      <c r="E2738" s="11" t="str">
        <f>+HYPERLINK("http://trademark.i-assist.jp/data/china/image_1902th/79275931.pdf", "79275931")</f>
        <v>79275931</v>
      </c>
      <c r="F2738" s="10" t="s">
        <v>7709</v>
      </c>
      <c r="G2738" s="10" t="s">
        <v>7710</v>
      </c>
      <c r="H2738" s="10" t="s">
        <v>7711</v>
      </c>
      <c r="I2738" s="10" t="s">
        <v>358</v>
      </c>
    </row>
    <row r="2739" spans="1:9" x14ac:dyDescent="0.15">
      <c r="A2739" s="9">
        <v>2738</v>
      </c>
      <c r="B2739" s="10" t="s">
        <v>9</v>
      </c>
      <c r="C2739" s="10" t="s">
        <v>363</v>
      </c>
      <c r="D2739" s="10" t="s">
        <v>364</v>
      </c>
      <c r="E2739" s="11" t="str">
        <f>+HYPERLINK("http://trademark.i-assist.jp/data/china/image_1902th/79276053.pdf", "79276053")</f>
        <v>79276053</v>
      </c>
      <c r="F2739" s="10" t="s">
        <v>7712</v>
      </c>
      <c r="G2739" s="10" t="s">
        <v>7713</v>
      </c>
      <c r="H2739" s="10" t="s">
        <v>7714</v>
      </c>
      <c r="I2739" s="10" t="s">
        <v>358</v>
      </c>
    </row>
    <row r="2740" spans="1:9" x14ac:dyDescent="0.15">
      <c r="A2740" s="9">
        <v>2739</v>
      </c>
      <c r="B2740" s="10" t="s">
        <v>9</v>
      </c>
      <c r="C2740" s="10" t="s">
        <v>363</v>
      </c>
      <c r="D2740" s="10" t="s">
        <v>364</v>
      </c>
      <c r="E2740" s="11" t="str">
        <f>+HYPERLINK("http://trademark.i-assist.jp/data/china/image_1902th/79276210.pdf", "79276210")</f>
        <v>79276210</v>
      </c>
      <c r="F2740" s="10" t="s">
        <v>7715</v>
      </c>
      <c r="G2740" s="10" t="s">
        <v>7716</v>
      </c>
      <c r="H2740" s="10" t="s">
        <v>7717</v>
      </c>
      <c r="I2740" s="10" t="s">
        <v>358</v>
      </c>
    </row>
    <row r="2741" spans="1:9" x14ac:dyDescent="0.15">
      <c r="A2741" s="9">
        <v>2740</v>
      </c>
      <c r="B2741" s="10" t="s">
        <v>9</v>
      </c>
      <c r="C2741" s="10" t="s">
        <v>363</v>
      </c>
      <c r="D2741" s="10" t="s">
        <v>364</v>
      </c>
      <c r="E2741" s="11" t="str">
        <f>+HYPERLINK("http://trademark.i-assist.jp/data/china/image_1902th/79277129.pdf", "79277129")</f>
        <v>79277129</v>
      </c>
      <c r="F2741" s="10" t="s">
        <v>7718</v>
      </c>
      <c r="G2741" s="10" t="s">
        <v>7701</v>
      </c>
      <c r="H2741" s="10" t="s">
        <v>7719</v>
      </c>
      <c r="I2741" s="10" t="s">
        <v>358</v>
      </c>
    </row>
    <row r="2742" spans="1:9" x14ac:dyDescent="0.15">
      <c r="A2742" s="9">
        <v>2741</v>
      </c>
      <c r="B2742" s="10" t="s">
        <v>9</v>
      </c>
      <c r="C2742" s="10" t="s">
        <v>363</v>
      </c>
      <c r="D2742" s="10" t="s">
        <v>364</v>
      </c>
      <c r="E2742" s="11" t="str">
        <f>+HYPERLINK("http://trademark.i-assist.jp/data/china/image_1902th/79277216.pdf", "79277216")</f>
        <v>79277216</v>
      </c>
      <c r="F2742" s="10" t="s">
        <v>7720</v>
      </c>
      <c r="G2742" s="10" t="s">
        <v>159</v>
      </c>
      <c r="H2742" s="10" t="s">
        <v>7721</v>
      </c>
      <c r="I2742" s="10" t="s">
        <v>358</v>
      </c>
    </row>
    <row r="2743" spans="1:9" x14ac:dyDescent="0.15">
      <c r="A2743" s="9">
        <v>2742</v>
      </c>
      <c r="B2743" s="10" t="s">
        <v>9</v>
      </c>
      <c r="C2743" s="10" t="s">
        <v>363</v>
      </c>
      <c r="D2743" s="10" t="s">
        <v>364</v>
      </c>
      <c r="E2743" s="11" t="str">
        <f>+HYPERLINK("http://trademark.i-assist.jp/data/china/image_1902th/79277231.pdf", "79277231")</f>
        <v>79277231</v>
      </c>
      <c r="F2743" s="10" t="s">
        <v>7722</v>
      </c>
      <c r="G2743" s="10" t="s">
        <v>7723</v>
      </c>
      <c r="H2743" s="10" t="s">
        <v>7724</v>
      </c>
      <c r="I2743" s="10" t="s">
        <v>358</v>
      </c>
    </row>
    <row r="2744" spans="1:9" x14ac:dyDescent="0.15">
      <c r="A2744" s="9">
        <v>2743</v>
      </c>
      <c r="B2744" s="10" t="s">
        <v>9</v>
      </c>
      <c r="C2744" s="10" t="s">
        <v>363</v>
      </c>
      <c r="D2744" s="10" t="s">
        <v>364</v>
      </c>
      <c r="E2744" s="11" t="str">
        <f>+HYPERLINK("http://trademark.i-assist.jp/data/china/image_1902th/79277427.pdf", "79277427")</f>
        <v>79277427</v>
      </c>
      <c r="F2744" s="10" t="s">
        <v>7725</v>
      </c>
      <c r="G2744" s="10" t="s">
        <v>7726</v>
      </c>
      <c r="H2744" s="10" t="s">
        <v>7727</v>
      </c>
      <c r="I2744" s="10" t="s">
        <v>358</v>
      </c>
    </row>
    <row r="2745" spans="1:9" x14ac:dyDescent="0.15">
      <c r="A2745" s="9">
        <v>2744</v>
      </c>
      <c r="B2745" s="10" t="s">
        <v>9</v>
      </c>
      <c r="C2745" s="10" t="s">
        <v>363</v>
      </c>
      <c r="D2745" s="10" t="s">
        <v>364</v>
      </c>
      <c r="E2745" s="11" t="str">
        <f>+HYPERLINK("http://trademark.i-assist.jp/data/china/image_1902th/79277554.pdf", "79277554")</f>
        <v>79277554</v>
      </c>
      <c r="F2745" s="10" t="s">
        <v>7728</v>
      </c>
      <c r="G2745" s="10" t="s">
        <v>1120</v>
      </c>
      <c r="H2745" s="10" t="s">
        <v>7729</v>
      </c>
      <c r="I2745" s="10" t="s">
        <v>358</v>
      </c>
    </row>
    <row r="2746" spans="1:9" x14ac:dyDescent="0.15">
      <c r="A2746" s="9">
        <v>2745</v>
      </c>
      <c r="B2746" s="10" t="s">
        <v>9</v>
      </c>
      <c r="C2746" s="10" t="s">
        <v>363</v>
      </c>
      <c r="D2746" s="10" t="s">
        <v>364</v>
      </c>
      <c r="E2746" s="11" t="str">
        <f>+HYPERLINK("http://trademark.i-assist.jp/data/china/image_1902th/79277561.pdf", "79277561")</f>
        <v>79277561</v>
      </c>
      <c r="F2746" s="10" t="s">
        <v>7730</v>
      </c>
      <c r="G2746" s="10" t="s">
        <v>1120</v>
      </c>
      <c r="H2746" s="10" t="s">
        <v>7731</v>
      </c>
      <c r="I2746" s="10" t="s">
        <v>358</v>
      </c>
    </row>
    <row r="2747" spans="1:9" x14ac:dyDescent="0.15">
      <c r="A2747" s="9">
        <v>2746</v>
      </c>
      <c r="B2747" s="10" t="s">
        <v>9</v>
      </c>
      <c r="C2747" s="10" t="s">
        <v>363</v>
      </c>
      <c r="D2747" s="10" t="s">
        <v>364</v>
      </c>
      <c r="E2747" s="11" t="str">
        <f>+HYPERLINK("http://trademark.i-assist.jp/data/china/image_1902th/79277702.pdf", "79277702")</f>
        <v>79277702</v>
      </c>
      <c r="F2747" s="10" t="s">
        <v>7732</v>
      </c>
      <c r="G2747" s="10" t="s">
        <v>3737</v>
      </c>
      <c r="H2747" s="10" t="s">
        <v>3738</v>
      </c>
      <c r="I2747" s="10" t="s">
        <v>358</v>
      </c>
    </row>
    <row r="2748" spans="1:9" x14ac:dyDescent="0.15">
      <c r="A2748" s="9">
        <v>2747</v>
      </c>
      <c r="B2748" s="10" t="s">
        <v>9</v>
      </c>
      <c r="C2748" s="10" t="s">
        <v>363</v>
      </c>
      <c r="D2748" s="10" t="s">
        <v>364</v>
      </c>
      <c r="E2748" s="11" t="str">
        <f>+HYPERLINK("http://trademark.i-assist.jp/data/china/image_1902th/79277757.pdf", "79277757")</f>
        <v>79277757</v>
      </c>
      <c r="F2748" s="10" t="s">
        <v>7733</v>
      </c>
      <c r="G2748" s="10" t="s">
        <v>7734</v>
      </c>
      <c r="H2748" s="10" t="s">
        <v>7735</v>
      </c>
      <c r="I2748" s="10" t="s">
        <v>358</v>
      </c>
    </row>
    <row r="2749" spans="1:9" x14ac:dyDescent="0.15">
      <c r="A2749" s="9">
        <v>2748</v>
      </c>
      <c r="B2749" s="10" t="s">
        <v>9</v>
      </c>
      <c r="C2749" s="10" t="s">
        <v>363</v>
      </c>
      <c r="D2749" s="10" t="s">
        <v>364</v>
      </c>
      <c r="E2749" s="11" t="str">
        <f>+HYPERLINK("http://trademark.i-assist.jp/data/china/image_1902th/79277760.pdf", "79277760")</f>
        <v>79277760</v>
      </c>
      <c r="F2749" s="10" t="s">
        <v>7736</v>
      </c>
      <c r="G2749" s="10" t="s">
        <v>7734</v>
      </c>
      <c r="H2749" s="10" t="s">
        <v>15</v>
      </c>
      <c r="I2749" s="10" t="s">
        <v>358</v>
      </c>
    </row>
    <row r="2750" spans="1:9" x14ac:dyDescent="0.15">
      <c r="A2750" s="9">
        <v>2749</v>
      </c>
      <c r="B2750" s="10" t="s">
        <v>9</v>
      </c>
      <c r="C2750" s="10" t="s">
        <v>363</v>
      </c>
      <c r="D2750" s="10" t="s">
        <v>364</v>
      </c>
      <c r="E2750" s="11" t="str">
        <f>+HYPERLINK("http://trademark.i-assist.jp/data/china/image_1902th/79277770.pdf", "79277770")</f>
        <v>79277770</v>
      </c>
      <c r="F2750" s="10" t="s">
        <v>7737</v>
      </c>
      <c r="G2750" s="10" t="s">
        <v>7651</v>
      </c>
      <c r="H2750" s="10" t="s">
        <v>7738</v>
      </c>
      <c r="I2750" s="10" t="s">
        <v>358</v>
      </c>
    </row>
    <row r="2751" spans="1:9" x14ac:dyDescent="0.15">
      <c r="A2751" s="9">
        <v>2750</v>
      </c>
      <c r="B2751" s="10" t="s">
        <v>9</v>
      </c>
      <c r="C2751" s="10" t="s">
        <v>363</v>
      </c>
      <c r="D2751" s="10" t="s">
        <v>364</v>
      </c>
      <c r="E2751" s="11" t="str">
        <f>+HYPERLINK("http://trademark.i-assist.jp/data/china/image_1902th/79277867.pdf", "79277867")</f>
        <v>79277867</v>
      </c>
      <c r="F2751" s="10" t="s">
        <v>7739</v>
      </c>
      <c r="G2751" s="10" t="s">
        <v>7663</v>
      </c>
      <c r="H2751" s="10" t="s">
        <v>7740</v>
      </c>
      <c r="I2751" s="10" t="s">
        <v>358</v>
      </c>
    </row>
    <row r="2752" spans="1:9" x14ac:dyDescent="0.15">
      <c r="A2752" s="9">
        <v>2751</v>
      </c>
      <c r="B2752" s="10" t="s">
        <v>9</v>
      </c>
      <c r="C2752" s="10" t="s">
        <v>363</v>
      </c>
      <c r="D2752" s="10" t="s">
        <v>364</v>
      </c>
      <c r="E2752" s="11" t="str">
        <f>+HYPERLINK("http://trademark.i-assist.jp/data/china/image_1902th/79278022.pdf", "79278022")</f>
        <v>79278022</v>
      </c>
      <c r="F2752" s="10" t="s">
        <v>7741</v>
      </c>
      <c r="G2752" s="10" t="s">
        <v>7742</v>
      </c>
      <c r="H2752" s="10" t="s">
        <v>7743</v>
      </c>
      <c r="I2752" s="10" t="s">
        <v>358</v>
      </c>
    </row>
    <row r="2753" spans="1:9" x14ac:dyDescent="0.15">
      <c r="A2753" s="9">
        <v>2752</v>
      </c>
      <c r="B2753" s="10" t="s">
        <v>9</v>
      </c>
      <c r="C2753" s="10" t="s">
        <v>363</v>
      </c>
      <c r="D2753" s="10" t="s">
        <v>364</v>
      </c>
      <c r="E2753" s="11" t="str">
        <f>+HYPERLINK("http://trademark.i-assist.jp/data/china/image_1902th/79278194.pdf", "79278194")</f>
        <v>79278194</v>
      </c>
      <c r="F2753" s="10" t="s">
        <v>12</v>
      </c>
      <c r="G2753" s="10" t="s">
        <v>7744</v>
      </c>
      <c r="H2753" s="10" t="s">
        <v>7745</v>
      </c>
      <c r="I2753" s="10" t="s">
        <v>358</v>
      </c>
    </row>
    <row r="2754" spans="1:9" x14ac:dyDescent="0.15">
      <c r="A2754" s="9">
        <v>2753</v>
      </c>
      <c r="B2754" s="10" t="s">
        <v>9</v>
      </c>
      <c r="C2754" s="10" t="s">
        <v>363</v>
      </c>
      <c r="D2754" s="10" t="s">
        <v>364</v>
      </c>
      <c r="E2754" s="11" t="str">
        <f>+HYPERLINK("http://trademark.i-assist.jp/data/china/image_1902th/79278266.pdf", "79278266")</f>
        <v>79278266</v>
      </c>
      <c r="F2754" s="10" t="s">
        <v>12</v>
      </c>
      <c r="G2754" s="10" t="s">
        <v>7746</v>
      </c>
      <c r="H2754" s="10" t="s">
        <v>7747</v>
      </c>
      <c r="I2754" s="10" t="s">
        <v>358</v>
      </c>
    </row>
    <row r="2755" spans="1:9" x14ac:dyDescent="0.15">
      <c r="A2755" s="9">
        <v>2754</v>
      </c>
      <c r="B2755" s="10" t="s">
        <v>9</v>
      </c>
      <c r="C2755" s="10" t="s">
        <v>363</v>
      </c>
      <c r="D2755" s="10" t="s">
        <v>364</v>
      </c>
      <c r="E2755" s="11" t="str">
        <f>+HYPERLINK("http://trademark.i-assist.jp/data/china/image_1902th/79278288.pdf", "79278288")</f>
        <v>79278288</v>
      </c>
      <c r="F2755" s="10" t="s">
        <v>7748</v>
      </c>
      <c r="G2755" s="10" t="s">
        <v>7749</v>
      </c>
      <c r="H2755" s="10" t="s">
        <v>7750</v>
      </c>
      <c r="I2755" s="10" t="s">
        <v>358</v>
      </c>
    </row>
    <row r="2756" spans="1:9" x14ac:dyDescent="0.15">
      <c r="A2756" s="9">
        <v>2755</v>
      </c>
      <c r="B2756" s="10" t="s">
        <v>9</v>
      </c>
      <c r="C2756" s="10" t="s">
        <v>363</v>
      </c>
      <c r="D2756" s="10" t="s">
        <v>364</v>
      </c>
      <c r="E2756" s="11" t="str">
        <f>+HYPERLINK("http://trademark.i-assist.jp/data/china/image_1902th/79278299.pdf", "79278299")</f>
        <v>79278299</v>
      </c>
      <c r="F2756" s="10" t="s">
        <v>12</v>
      </c>
      <c r="G2756" s="10" t="s">
        <v>7751</v>
      </c>
      <c r="H2756" s="10" t="s">
        <v>7752</v>
      </c>
      <c r="I2756" s="10" t="s">
        <v>358</v>
      </c>
    </row>
    <row r="2757" spans="1:9" x14ac:dyDescent="0.15">
      <c r="A2757" s="9">
        <v>2756</v>
      </c>
      <c r="B2757" s="10" t="s">
        <v>9</v>
      </c>
      <c r="C2757" s="10" t="s">
        <v>363</v>
      </c>
      <c r="D2757" s="10" t="s">
        <v>364</v>
      </c>
      <c r="E2757" s="11" t="str">
        <f>+HYPERLINK("http://trademark.i-assist.jp/data/china/image_1902th/79278771.pdf", "79278771")</f>
        <v>79278771</v>
      </c>
      <c r="F2757" s="10" t="s">
        <v>7753</v>
      </c>
      <c r="G2757" s="10" t="s">
        <v>7754</v>
      </c>
      <c r="H2757" s="10" t="s">
        <v>7755</v>
      </c>
      <c r="I2757" s="10" t="s">
        <v>358</v>
      </c>
    </row>
    <row r="2758" spans="1:9" x14ac:dyDescent="0.15">
      <c r="A2758" s="9">
        <v>2757</v>
      </c>
      <c r="B2758" s="10" t="s">
        <v>9</v>
      </c>
      <c r="C2758" s="10" t="s">
        <v>363</v>
      </c>
      <c r="D2758" s="10" t="s">
        <v>364</v>
      </c>
      <c r="E2758" s="11" t="str">
        <f>+HYPERLINK("http://trademark.i-assist.jp/data/china/image_1902th/79278843.pdf", "79278843")</f>
        <v>79278843</v>
      </c>
      <c r="F2758" s="10" t="s">
        <v>7756</v>
      </c>
      <c r="G2758" s="10" t="s">
        <v>7757</v>
      </c>
      <c r="H2758" s="10" t="s">
        <v>7758</v>
      </c>
      <c r="I2758" s="10" t="s">
        <v>358</v>
      </c>
    </row>
    <row r="2759" spans="1:9" x14ac:dyDescent="0.15">
      <c r="A2759" s="9">
        <v>2758</v>
      </c>
      <c r="B2759" s="10" t="s">
        <v>9</v>
      </c>
      <c r="C2759" s="10" t="s">
        <v>363</v>
      </c>
      <c r="D2759" s="10" t="s">
        <v>364</v>
      </c>
      <c r="E2759" s="11" t="str">
        <f>+HYPERLINK("http://trademark.i-assist.jp/data/china/image_1902th/79278935.pdf", "79278935")</f>
        <v>79278935</v>
      </c>
      <c r="F2759" s="10" t="s">
        <v>7759</v>
      </c>
      <c r="G2759" s="10" t="s">
        <v>7760</v>
      </c>
      <c r="H2759" s="10" t="s">
        <v>7761</v>
      </c>
      <c r="I2759" s="10" t="s">
        <v>358</v>
      </c>
    </row>
    <row r="2760" spans="1:9" x14ac:dyDescent="0.15">
      <c r="A2760" s="9">
        <v>2759</v>
      </c>
      <c r="B2760" s="10" t="s">
        <v>9</v>
      </c>
      <c r="C2760" s="10" t="s">
        <v>363</v>
      </c>
      <c r="D2760" s="10" t="s">
        <v>364</v>
      </c>
      <c r="E2760" s="11" t="str">
        <f>+HYPERLINK("http://trademark.i-assist.jp/data/china/image_1902th/79279002.pdf", "79279002")</f>
        <v>79279002</v>
      </c>
      <c r="F2760" s="10" t="s">
        <v>7762</v>
      </c>
      <c r="G2760" s="10" t="s">
        <v>7621</v>
      </c>
      <c r="H2760" s="10" t="s">
        <v>7763</v>
      </c>
      <c r="I2760" s="10" t="s">
        <v>358</v>
      </c>
    </row>
    <row r="2761" spans="1:9" x14ac:dyDescent="0.15">
      <c r="A2761" s="9">
        <v>2760</v>
      </c>
      <c r="B2761" s="10" t="s">
        <v>9</v>
      </c>
      <c r="C2761" s="10" t="s">
        <v>363</v>
      </c>
      <c r="D2761" s="10" t="s">
        <v>364</v>
      </c>
      <c r="E2761" s="11" t="str">
        <f>+HYPERLINK("http://trademark.i-assist.jp/data/china/image_1902th/79279019.pdf", "79279019")</f>
        <v>79279019</v>
      </c>
      <c r="F2761" s="10" t="s">
        <v>7764</v>
      </c>
      <c r="G2761" s="10" t="s">
        <v>7765</v>
      </c>
      <c r="H2761" s="10" t="s">
        <v>7766</v>
      </c>
      <c r="I2761" s="10" t="s">
        <v>358</v>
      </c>
    </row>
    <row r="2762" spans="1:9" x14ac:dyDescent="0.15">
      <c r="A2762" s="9">
        <v>2761</v>
      </c>
      <c r="B2762" s="10" t="s">
        <v>9</v>
      </c>
      <c r="C2762" s="10" t="s">
        <v>363</v>
      </c>
      <c r="D2762" s="10" t="s">
        <v>364</v>
      </c>
      <c r="E2762" s="11" t="str">
        <f>+HYPERLINK("http://trademark.i-assist.jp/data/china/image_1902th/79279488.pdf", "79279488")</f>
        <v>79279488</v>
      </c>
      <c r="F2762" s="10" t="s">
        <v>7767</v>
      </c>
      <c r="G2762" s="10" t="s">
        <v>7663</v>
      </c>
      <c r="H2762" s="10" t="s">
        <v>7768</v>
      </c>
      <c r="I2762" s="10" t="s">
        <v>358</v>
      </c>
    </row>
    <row r="2763" spans="1:9" x14ac:dyDescent="0.15">
      <c r="A2763" s="9">
        <v>2762</v>
      </c>
      <c r="B2763" s="10" t="s">
        <v>9</v>
      </c>
      <c r="C2763" s="10" t="s">
        <v>363</v>
      </c>
      <c r="D2763" s="10" t="s">
        <v>364</v>
      </c>
      <c r="E2763" s="11" t="str">
        <f>+HYPERLINK("http://trademark.i-assist.jp/data/china/image_1902th/79279619.pdf", "79279619")</f>
        <v>79279619</v>
      </c>
      <c r="F2763" s="10" t="s">
        <v>7769</v>
      </c>
      <c r="G2763" s="10" t="s">
        <v>7770</v>
      </c>
      <c r="H2763" s="10" t="s">
        <v>7771</v>
      </c>
      <c r="I2763" s="10" t="s">
        <v>358</v>
      </c>
    </row>
    <row r="2764" spans="1:9" x14ac:dyDescent="0.15">
      <c r="A2764" s="9">
        <v>2763</v>
      </c>
      <c r="B2764" s="10" t="s">
        <v>9</v>
      </c>
      <c r="C2764" s="10" t="s">
        <v>363</v>
      </c>
      <c r="D2764" s="10" t="s">
        <v>364</v>
      </c>
      <c r="E2764" s="11" t="str">
        <f>+HYPERLINK("http://trademark.i-assist.jp/data/china/image_1902th/79279818.pdf", "79279818")</f>
        <v>79279818</v>
      </c>
      <c r="F2764" s="10" t="s">
        <v>7772</v>
      </c>
      <c r="G2764" s="10" t="s">
        <v>7773</v>
      </c>
      <c r="H2764" s="10" t="s">
        <v>7774</v>
      </c>
      <c r="I2764" s="10" t="s">
        <v>358</v>
      </c>
    </row>
    <row r="2765" spans="1:9" x14ac:dyDescent="0.15">
      <c r="A2765" s="9">
        <v>2764</v>
      </c>
      <c r="B2765" s="10" t="s">
        <v>9</v>
      </c>
      <c r="C2765" s="10" t="s">
        <v>363</v>
      </c>
      <c r="D2765" s="10" t="s">
        <v>364</v>
      </c>
      <c r="E2765" s="11" t="str">
        <f>+HYPERLINK("http://trademark.i-assist.jp/data/china/image_1902th/79279848.pdf", "79279848")</f>
        <v>79279848</v>
      </c>
      <c r="F2765" s="10" t="s">
        <v>7775</v>
      </c>
      <c r="G2765" s="10" t="s">
        <v>7776</v>
      </c>
      <c r="H2765" s="10" t="s">
        <v>7777</v>
      </c>
      <c r="I2765" s="10" t="s">
        <v>358</v>
      </c>
    </row>
    <row r="2766" spans="1:9" x14ac:dyDescent="0.15">
      <c r="A2766" s="9">
        <v>2765</v>
      </c>
      <c r="B2766" s="10" t="s">
        <v>9</v>
      </c>
      <c r="C2766" s="10" t="s">
        <v>363</v>
      </c>
      <c r="D2766" s="10" t="s">
        <v>364</v>
      </c>
      <c r="E2766" s="11" t="str">
        <f>+HYPERLINK("http://trademark.i-assist.jp/data/china/image_1902th/79279898.pdf", "79279898")</f>
        <v>79279898</v>
      </c>
      <c r="F2766" s="10" t="s">
        <v>7778</v>
      </c>
      <c r="G2766" s="10" t="s">
        <v>7779</v>
      </c>
      <c r="H2766" s="10" t="s">
        <v>7780</v>
      </c>
      <c r="I2766" s="10" t="s">
        <v>358</v>
      </c>
    </row>
    <row r="2767" spans="1:9" x14ac:dyDescent="0.15">
      <c r="A2767" s="9">
        <v>2766</v>
      </c>
      <c r="B2767" s="10" t="s">
        <v>9</v>
      </c>
      <c r="C2767" s="10" t="s">
        <v>363</v>
      </c>
      <c r="D2767" s="10" t="s">
        <v>364</v>
      </c>
      <c r="E2767" s="11" t="str">
        <f>+HYPERLINK("http://trademark.i-assist.jp/data/china/image_1902th/79280464.pdf", "79280464")</f>
        <v>79280464</v>
      </c>
      <c r="F2767" s="10" t="s">
        <v>7781</v>
      </c>
      <c r="G2767" s="10" t="s">
        <v>1120</v>
      </c>
      <c r="H2767" s="10" t="s">
        <v>7782</v>
      </c>
      <c r="I2767" s="10" t="s">
        <v>358</v>
      </c>
    </row>
    <row r="2768" spans="1:9" x14ac:dyDescent="0.15">
      <c r="A2768" s="9">
        <v>2767</v>
      </c>
      <c r="B2768" s="10" t="s">
        <v>9</v>
      </c>
      <c r="C2768" s="10" t="s">
        <v>363</v>
      </c>
      <c r="D2768" s="10" t="s">
        <v>364</v>
      </c>
      <c r="E2768" s="11" t="str">
        <f>+HYPERLINK("http://trademark.i-assist.jp/data/china/image_1902th/79280595.pdf", "79280595")</f>
        <v>79280595</v>
      </c>
      <c r="F2768" s="10" t="s">
        <v>12</v>
      </c>
      <c r="G2768" s="10" t="s">
        <v>7783</v>
      </c>
      <c r="H2768" s="10" t="s">
        <v>7784</v>
      </c>
      <c r="I2768" s="10" t="s">
        <v>358</v>
      </c>
    </row>
    <row r="2769" spans="1:9" x14ac:dyDescent="0.15">
      <c r="A2769" s="9">
        <v>2768</v>
      </c>
      <c r="B2769" s="10" t="s">
        <v>9</v>
      </c>
      <c r="C2769" s="10" t="s">
        <v>363</v>
      </c>
      <c r="D2769" s="10" t="s">
        <v>364</v>
      </c>
      <c r="E2769" s="11" t="str">
        <f>+HYPERLINK("http://trademark.i-assist.jp/data/china/image_1902th/79280632.pdf", "79280632")</f>
        <v>79280632</v>
      </c>
      <c r="F2769" s="10" t="s">
        <v>7785</v>
      </c>
      <c r="G2769" s="10" t="s">
        <v>7786</v>
      </c>
      <c r="H2769" s="10" t="s">
        <v>7787</v>
      </c>
      <c r="I2769" s="10" t="s">
        <v>358</v>
      </c>
    </row>
    <row r="2770" spans="1:9" x14ac:dyDescent="0.15">
      <c r="A2770" s="9">
        <v>2769</v>
      </c>
      <c r="B2770" s="10" t="s">
        <v>9</v>
      </c>
      <c r="C2770" s="10" t="s">
        <v>363</v>
      </c>
      <c r="D2770" s="10" t="s">
        <v>364</v>
      </c>
      <c r="E2770" s="11" t="str">
        <f>+HYPERLINK("http://trademark.i-assist.jp/data/china/image_1902th/79280759.pdf", "79280759")</f>
        <v>79280759</v>
      </c>
      <c r="F2770" s="10" t="s">
        <v>7788</v>
      </c>
      <c r="G2770" s="10" t="s">
        <v>7789</v>
      </c>
      <c r="H2770" s="10" t="s">
        <v>7790</v>
      </c>
      <c r="I2770" s="10" t="s">
        <v>358</v>
      </c>
    </row>
    <row r="2771" spans="1:9" x14ac:dyDescent="0.15">
      <c r="A2771" s="9">
        <v>2770</v>
      </c>
      <c r="B2771" s="10" t="s">
        <v>9</v>
      </c>
      <c r="C2771" s="10" t="s">
        <v>363</v>
      </c>
      <c r="D2771" s="10" t="s">
        <v>364</v>
      </c>
      <c r="E2771" s="11" t="str">
        <f>+HYPERLINK("http://trademark.i-assist.jp/data/china/image_1902th/79280915.pdf", "79280915")</f>
        <v>79280915</v>
      </c>
      <c r="F2771" s="10" t="s">
        <v>7791</v>
      </c>
      <c r="G2771" s="10" t="s">
        <v>7792</v>
      </c>
      <c r="H2771" s="10" t="s">
        <v>7793</v>
      </c>
      <c r="I2771" s="10" t="s">
        <v>358</v>
      </c>
    </row>
    <row r="2772" spans="1:9" x14ac:dyDescent="0.15">
      <c r="A2772" s="9">
        <v>2771</v>
      </c>
      <c r="B2772" s="10" t="s">
        <v>9</v>
      </c>
      <c r="C2772" s="10" t="s">
        <v>363</v>
      </c>
      <c r="D2772" s="10" t="s">
        <v>364</v>
      </c>
      <c r="E2772" s="11" t="str">
        <f>+HYPERLINK("http://trademark.i-assist.jp/data/china/image_1902th/79280918.pdf", "79280918")</f>
        <v>79280918</v>
      </c>
      <c r="F2772" s="10" t="s">
        <v>7794</v>
      </c>
      <c r="G2772" s="10" t="s">
        <v>7663</v>
      </c>
      <c r="H2772" s="10" t="s">
        <v>7795</v>
      </c>
      <c r="I2772" s="10" t="s">
        <v>358</v>
      </c>
    </row>
    <row r="2773" spans="1:9" x14ac:dyDescent="0.15">
      <c r="A2773" s="9">
        <v>2772</v>
      </c>
      <c r="B2773" s="10" t="s">
        <v>9</v>
      </c>
      <c r="C2773" s="10" t="s">
        <v>363</v>
      </c>
      <c r="D2773" s="10" t="s">
        <v>364</v>
      </c>
      <c r="E2773" s="11" t="str">
        <f>+HYPERLINK("http://trademark.i-assist.jp/data/china/image_1902th/79280936.pdf", "79280936")</f>
        <v>79280936</v>
      </c>
      <c r="F2773" s="10" t="s">
        <v>7796</v>
      </c>
      <c r="G2773" s="10" t="s">
        <v>7797</v>
      </c>
      <c r="H2773" s="10" t="s">
        <v>7798</v>
      </c>
      <c r="I2773" s="10" t="s">
        <v>358</v>
      </c>
    </row>
    <row r="2774" spans="1:9" x14ac:dyDescent="0.15">
      <c r="A2774" s="9">
        <v>2773</v>
      </c>
      <c r="B2774" s="10" t="s">
        <v>9</v>
      </c>
      <c r="C2774" s="10" t="s">
        <v>363</v>
      </c>
      <c r="D2774" s="10" t="s">
        <v>364</v>
      </c>
      <c r="E2774" s="11" t="str">
        <f>+HYPERLINK("http://trademark.i-assist.jp/data/china/image_1902th/79281014.pdf", "79281014")</f>
        <v>79281014</v>
      </c>
      <c r="F2774" s="10" t="s">
        <v>7799</v>
      </c>
      <c r="G2774" s="10" t="s">
        <v>7800</v>
      </c>
      <c r="H2774" s="10" t="s">
        <v>7801</v>
      </c>
      <c r="I2774" s="10" t="s">
        <v>358</v>
      </c>
    </row>
    <row r="2775" spans="1:9" x14ac:dyDescent="0.15">
      <c r="A2775" s="9">
        <v>2774</v>
      </c>
      <c r="B2775" s="10" t="s">
        <v>9</v>
      </c>
      <c r="C2775" s="10" t="s">
        <v>363</v>
      </c>
      <c r="D2775" s="10" t="s">
        <v>364</v>
      </c>
      <c r="E2775" s="11" t="str">
        <f>+HYPERLINK("http://trademark.i-assist.jp/data/china/image_1902th/79281179.pdf", "79281179")</f>
        <v>79281179</v>
      </c>
      <c r="F2775" s="10" t="s">
        <v>7802</v>
      </c>
      <c r="G2775" s="10" t="s">
        <v>7803</v>
      </c>
      <c r="H2775" s="10" t="s">
        <v>7804</v>
      </c>
      <c r="I2775" s="10" t="s">
        <v>358</v>
      </c>
    </row>
    <row r="2776" spans="1:9" x14ac:dyDescent="0.15">
      <c r="A2776" s="9">
        <v>2775</v>
      </c>
      <c r="B2776" s="10" t="s">
        <v>9</v>
      </c>
      <c r="C2776" s="10" t="s">
        <v>363</v>
      </c>
      <c r="D2776" s="10" t="s">
        <v>364</v>
      </c>
      <c r="E2776" s="11" t="str">
        <f>+HYPERLINK("http://trademark.i-assist.jp/data/china/image_1902th/79281266.pdf", "79281266")</f>
        <v>79281266</v>
      </c>
      <c r="F2776" s="10" t="s">
        <v>7805</v>
      </c>
      <c r="G2776" s="10" t="s">
        <v>7806</v>
      </c>
      <c r="H2776" s="10" t="s">
        <v>7807</v>
      </c>
      <c r="I2776" s="10" t="s">
        <v>358</v>
      </c>
    </row>
    <row r="2777" spans="1:9" x14ac:dyDescent="0.15">
      <c r="A2777" s="9">
        <v>2776</v>
      </c>
      <c r="B2777" s="10" t="s">
        <v>9</v>
      </c>
      <c r="C2777" s="10" t="s">
        <v>363</v>
      </c>
      <c r="D2777" s="10" t="s">
        <v>364</v>
      </c>
      <c r="E2777" s="11" t="str">
        <f>+HYPERLINK("http://trademark.i-assist.jp/data/china/image_1902th/79281307.pdf", "79281307")</f>
        <v>79281307</v>
      </c>
      <c r="F2777" s="10" t="s">
        <v>7808</v>
      </c>
      <c r="G2777" s="10" t="s">
        <v>1120</v>
      </c>
      <c r="H2777" s="10" t="s">
        <v>7809</v>
      </c>
      <c r="I2777" s="10" t="s">
        <v>358</v>
      </c>
    </row>
    <row r="2778" spans="1:9" x14ac:dyDescent="0.15">
      <c r="A2778" s="9">
        <v>2777</v>
      </c>
      <c r="B2778" s="10" t="s">
        <v>9</v>
      </c>
      <c r="C2778" s="10" t="s">
        <v>363</v>
      </c>
      <c r="D2778" s="10" t="s">
        <v>364</v>
      </c>
      <c r="E2778" s="11" t="str">
        <f>+HYPERLINK("http://trademark.i-assist.jp/data/china/image_1902th/79281439.pdf", "79281439")</f>
        <v>79281439</v>
      </c>
      <c r="F2778" s="10" t="s">
        <v>7810</v>
      </c>
      <c r="G2778" s="10" t="s">
        <v>7811</v>
      </c>
      <c r="H2778" s="10" t="s">
        <v>7812</v>
      </c>
      <c r="I2778" s="10" t="s">
        <v>358</v>
      </c>
    </row>
    <row r="2779" spans="1:9" x14ac:dyDescent="0.15">
      <c r="A2779" s="9">
        <v>2778</v>
      </c>
      <c r="B2779" s="10" t="s">
        <v>9</v>
      </c>
      <c r="C2779" s="10" t="s">
        <v>363</v>
      </c>
      <c r="D2779" s="10" t="s">
        <v>364</v>
      </c>
      <c r="E2779" s="11" t="str">
        <f>+HYPERLINK("http://trademark.i-assist.jp/data/china/image_1902th/79281491.pdf", "79281491")</f>
        <v>79281491</v>
      </c>
      <c r="F2779" s="10" t="s">
        <v>7813</v>
      </c>
      <c r="G2779" s="10" t="s">
        <v>7814</v>
      </c>
      <c r="H2779" s="10" t="s">
        <v>7815</v>
      </c>
      <c r="I2779" s="10" t="s">
        <v>358</v>
      </c>
    </row>
    <row r="2780" spans="1:9" x14ac:dyDescent="0.15">
      <c r="A2780" s="9">
        <v>2779</v>
      </c>
      <c r="B2780" s="10" t="s">
        <v>9</v>
      </c>
      <c r="C2780" s="10" t="s">
        <v>363</v>
      </c>
      <c r="D2780" s="10" t="s">
        <v>364</v>
      </c>
      <c r="E2780" s="11" t="str">
        <f>+HYPERLINK("http://trademark.i-assist.jp/data/china/image_1902th/79281640.pdf", "79281640")</f>
        <v>79281640</v>
      </c>
      <c r="F2780" s="10" t="s">
        <v>7816</v>
      </c>
      <c r="G2780" s="10" t="s">
        <v>7817</v>
      </c>
      <c r="H2780" s="10" t="s">
        <v>7818</v>
      </c>
      <c r="I2780" s="10" t="s">
        <v>358</v>
      </c>
    </row>
    <row r="2781" spans="1:9" x14ac:dyDescent="0.15">
      <c r="A2781" s="9">
        <v>2780</v>
      </c>
      <c r="B2781" s="10" t="s">
        <v>9</v>
      </c>
      <c r="C2781" s="10" t="s">
        <v>363</v>
      </c>
      <c r="D2781" s="10" t="s">
        <v>364</v>
      </c>
      <c r="E2781" s="11" t="str">
        <f>+HYPERLINK("http://trademark.i-assist.jp/data/china/image_1902th/79282247.pdf", "79282247")</f>
        <v>79282247</v>
      </c>
      <c r="F2781" s="10" t="s">
        <v>7819</v>
      </c>
      <c r="G2781" s="10" t="s">
        <v>4048</v>
      </c>
      <c r="H2781" s="10" t="s">
        <v>7820</v>
      </c>
      <c r="I2781" s="10" t="s">
        <v>358</v>
      </c>
    </row>
    <row r="2782" spans="1:9" x14ac:dyDescent="0.15">
      <c r="A2782" s="9">
        <v>2781</v>
      </c>
      <c r="B2782" s="10" t="s">
        <v>9</v>
      </c>
      <c r="C2782" s="10" t="s">
        <v>363</v>
      </c>
      <c r="D2782" s="10" t="s">
        <v>364</v>
      </c>
      <c r="E2782" s="11" t="str">
        <f>+HYPERLINK("http://trademark.i-assist.jp/data/china/image_1902th/79282319.pdf", "79282319")</f>
        <v>79282319</v>
      </c>
      <c r="F2782" s="10" t="s">
        <v>7821</v>
      </c>
      <c r="G2782" s="10" t="s">
        <v>7822</v>
      </c>
      <c r="H2782" s="10" t="s">
        <v>7823</v>
      </c>
      <c r="I2782" s="10" t="s">
        <v>358</v>
      </c>
    </row>
    <row r="2783" spans="1:9" x14ac:dyDescent="0.15">
      <c r="A2783" s="9">
        <v>2782</v>
      </c>
      <c r="B2783" s="10" t="s">
        <v>9</v>
      </c>
      <c r="C2783" s="10" t="s">
        <v>363</v>
      </c>
      <c r="D2783" s="10" t="s">
        <v>364</v>
      </c>
      <c r="E2783" s="11" t="str">
        <f>+HYPERLINK("http://trademark.i-assist.jp/data/china/image_1902th/79282449.pdf", "79282449")</f>
        <v>79282449</v>
      </c>
      <c r="F2783" s="10" t="s">
        <v>7824</v>
      </c>
      <c r="G2783" s="10" t="s">
        <v>7825</v>
      </c>
      <c r="H2783" s="10" t="s">
        <v>7826</v>
      </c>
      <c r="I2783" s="10" t="s">
        <v>358</v>
      </c>
    </row>
    <row r="2784" spans="1:9" x14ac:dyDescent="0.15">
      <c r="A2784" s="9">
        <v>2783</v>
      </c>
      <c r="B2784" s="10" t="s">
        <v>9</v>
      </c>
      <c r="C2784" s="10" t="s">
        <v>363</v>
      </c>
      <c r="D2784" s="10" t="s">
        <v>364</v>
      </c>
      <c r="E2784" s="11" t="str">
        <f>+HYPERLINK("http://trademark.i-assist.jp/data/china/image_1902th/79282696.pdf", "79282696")</f>
        <v>79282696</v>
      </c>
      <c r="F2784" s="10" t="s">
        <v>7827</v>
      </c>
      <c r="G2784" s="10" t="s">
        <v>320</v>
      </c>
      <c r="H2784" s="10" t="s">
        <v>7828</v>
      </c>
      <c r="I2784" s="10" t="s">
        <v>358</v>
      </c>
    </row>
    <row r="2785" spans="1:9" x14ac:dyDescent="0.15">
      <c r="A2785" s="9">
        <v>2784</v>
      </c>
      <c r="B2785" s="10" t="s">
        <v>9</v>
      </c>
      <c r="C2785" s="10" t="s">
        <v>363</v>
      </c>
      <c r="D2785" s="10" t="s">
        <v>364</v>
      </c>
      <c r="E2785" s="11" t="str">
        <f>+HYPERLINK("http://trademark.i-assist.jp/data/china/image_1902th/79283104.pdf", "79283104")</f>
        <v>79283104</v>
      </c>
      <c r="F2785" s="10" t="s">
        <v>7829</v>
      </c>
      <c r="G2785" s="10" t="s">
        <v>7830</v>
      </c>
      <c r="H2785" s="10" t="s">
        <v>7831</v>
      </c>
      <c r="I2785" s="10" t="s">
        <v>358</v>
      </c>
    </row>
    <row r="2786" spans="1:9" x14ac:dyDescent="0.15">
      <c r="A2786" s="9">
        <v>2785</v>
      </c>
      <c r="B2786" s="10" t="s">
        <v>9</v>
      </c>
      <c r="C2786" s="10" t="s">
        <v>363</v>
      </c>
      <c r="D2786" s="10" t="s">
        <v>364</v>
      </c>
      <c r="E2786" s="11" t="str">
        <f>+HYPERLINK("http://trademark.i-assist.jp/data/china/image_1902th/79283229.pdf", "79283229")</f>
        <v>79283229</v>
      </c>
      <c r="F2786" s="10" t="s">
        <v>7832</v>
      </c>
      <c r="G2786" s="10" t="s">
        <v>7833</v>
      </c>
      <c r="H2786" s="10" t="s">
        <v>7834</v>
      </c>
      <c r="I2786" s="10" t="s">
        <v>358</v>
      </c>
    </row>
    <row r="2787" spans="1:9" x14ac:dyDescent="0.15">
      <c r="A2787" s="9">
        <v>2786</v>
      </c>
      <c r="B2787" s="10" t="s">
        <v>9</v>
      </c>
      <c r="C2787" s="10" t="s">
        <v>363</v>
      </c>
      <c r="D2787" s="10" t="s">
        <v>364</v>
      </c>
      <c r="E2787" s="11" t="str">
        <f>+HYPERLINK("http://trademark.i-assist.jp/data/china/image_1902th/79283631.pdf", "79283631")</f>
        <v>79283631</v>
      </c>
      <c r="F2787" s="10" t="s">
        <v>7835</v>
      </c>
      <c r="G2787" s="10" t="s">
        <v>7836</v>
      </c>
      <c r="H2787" s="10" t="s">
        <v>7837</v>
      </c>
      <c r="I2787" s="10" t="s">
        <v>358</v>
      </c>
    </row>
    <row r="2788" spans="1:9" x14ac:dyDescent="0.15">
      <c r="A2788" s="9">
        <v>2787</v>
      </c>
      <c r="B2788" s="10" t="s">
        <v>9</v>
      </c>
      <c r="C2788" s="10" t="s">
        <v>363</v>
      </c>
      <c r="D2788" s="10" t="s">
        <v>364</v>
      </c>
      <c r="E2788" s="11" t="str">
        <f>+HYPERLINK("http://trademark.i-assist.jp/data/china/image_1902th/79283922.pdf", "79283922")</f>
        <v>79283922</v>
      </c>
      <c r="F2788" s="10" t="s">
        <v>7838</v>
      </c>
      <c r="G2788" s="10" t="s">
        <v>7839</v>
      </c>
      <c r="H2788" s="10" t="s">
        <v>7840</v>
      </c>
      <c r="I2788" s="10" t="s">
        <v>358</v>
      </c>
    </row>
    <row r="2789" spans="1:9" x14ac:dyDescent="0.15">
      <c r="A2789" s="9">
        <v>2788</v>
      </c>
      <c r="B2789" s="10" t="s">
        <v>9</v>
      </c>
      <c r="C2789" s="10" t="s">
        <v>363</v>
      </c>
      <c r="D2789" s="10" t="s">
        <v>364</v>
      </c>
      <c r="E2789" s="11" t="str">
        <f>+HYPERLINK("http://trademark.i-assist.jp/data/china/image_1902th/79283946.pdf", "79283946")</f>
        <v>79283946</v>
      </c>
      <c r="F2789" s="10" t="s">
        <v>7841</v>
      </c>
      <c r="G2789" s="10" t="s">
        <v>7789</v>
      </c>
      <c r="H2789" s="10" t="s">
        <v>7842</v>
      </c>
      <c r="I2789" s="10" t="s">
        <v>358</v>
      </c>
    </row>
    <row r="2790" spans="1:9" x14ac:dyDescent="0.15">
      <c r="A2790" s="9">
        <v>2789</v>
      </c>
      <c r="B2790" s="10" t="s">
        <v>9</v>
      </c>
      <c r="C2790" s="10" t="s">
        <v>363</v>
      </c>
      <c r="D2790" s="10" t="s">
        <v>364</v>
      </c>
      <c r="E2790" s="11" t="str">
        <f>+HYPERLINK("http://trademark.i-assist.jp/data/china/image_1902th/79284266.pdf", "79284266")</f>
        <v>79284266</v>
      </c>
      <c r="F2790" s="10" t="s">
        <v>7843</v>
      </c>
      <c r="G2790" s="10" t="s">
        <v>7844</v>
      </c>
      <c r="H2790" s="10" t="s">
        <v>7845</v>
      </c>
      <c r="I2790" s="10" t="s">
        <v>358</v>
      </c>
    </row>
    <row r="2791" spans="1:9" x14ac:dyDescent="0.15">
      <c r="A2791" s="9">
        <v>2790</v>
      </c>
      <c r="B2791" s="10" t="s">
        <v>9</v>
      </c>
      <c r="C2791" s="10" t="s">
        <v>363</v>
      </c>
      <c r="D2791" s="10" t="s">
        <v>364</v>
      </c>
      <c r="E2791" s="11" t="str">
        <f>+HYPERLINK("http://trademark.i-assist.jp/data/china/image_1902th/79284323.pdf", "79284323")</f>
        <v>79284323</v>
      </c>
      <c r="F2791" s="10" t="s">
        <v>7846</v>
      </c>
      <c r="G2791" s="10" t="s">
        <v>7654</v>
      </c>
      <c r="H2791" s="10" t="s">
        <v>7847</v>
      </c>
      <c r="I2791" s="10" t="s">
        <v>358</v>
      </c>
    </row>
    <row r="2792" spans="1:9" x14ac:dyDescent="0.15">
      <c r="A2792" s="9">
        <v>2791</v>
      </c>
      <c r="B2792" s="10" t="s">
        <v>9</v>
      </c>
      <c r="C2792" s="10" t="s">
        <v>363</v>
      </c>
      <c r="D2792" s="10" t="s">
        <v>364</v>
      </c>
      <c r="E2792" s="11" t="str">
        <f>+HYPERLINK("http://trademark.i-assist.jp/data/china/image_1902th/79284328.pdf", "79284328")</f>
        <v>79284328</v>
      </c>
      <c r="F2792" s="10" t="s">
        <v>7848</v>
      </c>
      <c r="G2792" s="10" t="s">
        <v>7654</v>
      </c>
      <c r="H2792" s="10" t="s">
        <v>7849</v>
      </c>
      <c r="I2792" s="10" t="s">
        <v>358</v>
      </c>
    </row>
    <row r="2793" spans="1:9" x14ac:dyDescent="0.15">
      <c r="A2793" s="9">
        <v>2792</v>
      </c>
      <c r="B2793" s="10" t="s">
        <v>9</v>
      </c>
      <c r="C2793" s="10" t="s">
        <v>363</v>
      </c>
      <c r="D2793" s="10" t="s">
        <v>364</v>
      </c>
      <c r="E2793" s="11" t="str">
        <f>+HYPERLINK("http://trademark.i-assist.jp/data/china/image_1902th/79284553.pdf", "79284553")</f>
        <v>79284553</v>
      </c>
      <c r="F2793" s="10" t="s">
        <v>12</v>
      </c>
      <c r="G2793" s="10" t="s">
        <v>7850</v>
      </c>
      <c r="H2793" s="10" t="s">
        <v>7851</v>
      </c>
      <c r="I2793" s="10" t="s">
        <v>358</v>
      </c>
    </row>
    <row r="2794" spans="1:9" x14ac:dyDescent="0.15">
      <c r="A2794" s="9">
        <v>2793</v>
      </c>
      <c r="B2794" s="10" t="s">
        <v>9</v>
      </c>
      <c r="C2794" s="10" t="s">
        <v>363</v>
      </c>
      <c r="D2794" s="10" t="s">
        <v>364</v>
      </c>
      <c r="E2794" s="11" t="str">
        <f>+HYPERLINK("http://trademark.i-assist.jp/data/china/image_1902th/79284665.pdf", "79284665")</f>
        <v>79284665</v>
      </c>
      <c r="F2794" s="10" t="s">
        <v>7852</v>
      </c>
      <c r="G2794" s="10" t="s">
        <v>7853</v>
      </c>
      <c r="H2794" s="10" t="s">
        <v>7854</v>
      </c>
      <c r="I2794" s="10" t="s">
        <v>358</v>
      </c>
    </row>
    <row r="2795" spans="1:9" x14ac:dyDescent="0.15">
      <c r="A2795" s="9">
        <v>2794</v>
      </c>
      <c r="B2795" s="10" t="s">
        <v>9</v>
      </c>
      <c r="C2795" s="10" t="s">
        <v>363</v>
      </c>
      <c r="D2795" s="10" t="s">
        <v>364</v>
      </c>
      <c r="E2795" s="11" t="str">
        <f>+HYPERLINK("http://trademark.i-assist.jp/data/china/image_1902th/79284954.pdf", "79284954")</f>
        <v>79284954</v>
      </c>
      <c r="F2795" s="10" t="s">
        <v>7855</v>
      </c>
      <c r="G2795" s="10" t="s">
        <v>7856</v>
      </c>
      <c r="H2795" s="10" t="s">
        <v>7857</v>
      </c>
      <c r="I2795" s="10" t="s">
        <v>358</v>
      </c>
    </row>
    <row r="2796" spans="1:9" x14ac:dyDescent="0.15">
      <c r="A2796" s="9">
        <v>2795</v>
      </c>
      <c r="B2796" s="10" t="s">
        <v>9</v>
      </c>
      <c r="C2796" s="10" t="s">
        <v>363</v>
      </c>
      <c r="D2796" s="10" t="s">
        <v>364</v>
      </c>
      <c r="E2796" s="11" t="str">
        <f>+HYPERLINK("http://trademark.i-assist.jp/data/china/image_1902th/79285064.pdf", "79285064")</f>
        <v>79285064</v>
      </c>
      <c r="F2796" s="10" t="s">
        <v>7858</v>
      </c>
      <c r="G2796" s="10" t="s">
        <v>1120</v>
      </c>
      <c r="H2796" s="10" t="s">
        <v>7859</v>
      </c>
      <c r="I2796" s="10" t="s">
        <v>358</v>
      </c>
    </row>
    <row r="2797" spans="1:9" x14ac:dyDescent="0.15">
      <c r="A2797" s="9">
        <v>2796</v>
      </c>
      <c r="B2797" s="10" t="s">
        <v>9</v>
      </c>
      <c r="C2797" s="10" t="s">
        <v>363</v>
      </c>
      <c r="D2797" s="10" t="s">
        <v>364</v>
      </c>
      <c r="E2797" s="11" t="str">
        <f>+HYPERLINK("http://trademark.i-assist.jp/data/china/image_1902th/79285152.pdf", "79285152")</f>
        <v>79285152</v>
      </c>
      <c r="F2797" s="10" t="s">
        <v>7860</v>
      </c>
      <c r="G2797" s="10" t="s">
        <v>7861</v>
      </c>
      <c r="H2797" s="10" t="s">
        <v>7862</v>
      </c>
      <c r="I2797" s="10" t="s">
        <v>358</v>
      </c>
    </row>
    <row r="2798" spans="1:9" x14ac:dyDescent="0.15">
      <c r="A2798" s="9">
        <v>2797</v>
      </c>
      <c r="B2798" s="10" t="s">
        <v>9</v>
      </c>
      <c r="C2798" s="10" t="s">
        <v>363</v>
      </c>
      <c r="D2798" s="10" t="s">
        <v>364</v>
      </c>
      <c r="E2798" s="11" t="str">
        <f>+HYPERLINK("http://trademark.i-assist.jp/data/china/image_1902th/79285226.pdf", "79285226")</f>
        <v>79285226</v>
      </c>
      <c r="F2798" s="10" t="s">
        <v>7863</v>
      </c>
      <c r="G2798" s="10" t="s">
        <v>7864</v>
      </c>
      <c r="H2798" s="10" t="s">
        <v>7865</v>
      </c>
      <c r="I2798" s="10" t="s">
        <v>358</v>
      </c>
    </row>
    <row r="2799" spans="1:9" x14ac:dyDescent="0.15">
      <c r="A2799" s="9">
        <v>2798</v>
      </c>
      <c r="B2799" s="10" t="s">
        <v>9</v>
      </c>
      <c r="C2799" s="10" t="s">
        <v>363</v>
      </c>
      <c r="D2799" s="10" t="s">
        <v>364</v>
      </c>
      <c r="E2799" s="11" t="str">
        <f>+HYPERLINK("http://trademark.i-assist.jp/data/china/image_1902th/79285254.pdf", "79285254")</f>
        <v>79285254</v>
      </c>
      <c r="F2799" s="10" t="s">
        <v>7866</v>
      </c>
      <c r="G2799" s="10" t="s">
        <v>7704</v>
      </c>
      <c r="H2799" s="10" t="s">
        <v>7867</v>
      </c>
      <c r="I2799" s="10" t="s">
        <v>358</v>
      </c>
    </row>
    <row r="2800" spans="1:9" x14ac:dyDescent="0.15">
      <c r="A2800" s="9">
        <v>2799</v>
      </c>
      <c r="B2800" s="10" t="s">
        <v>9</v>
      </c>
      <c r="C2800" s="10" t="s">
        <v>363</v>
      </c>
      <c r="D2800" s="10" t="s">
        <v>364</v>
      </c>
      <c r="E2800" s="11" t="str">
        <f>+HYPERLINK("http://trademark.i-assist.jp/data/china/image_1902th/79285484.pdf", "79285484")</f>
        <v>79285484</v>
      </c>
      <c r="F2800" s="10" t="s">
        <v>7868</v>
      </c>
      <c r="G2800" s="10" t="s">
        <v>7869</v>
      </c>
      <c r="H2800" s="10" t="s">
        <v>7870</v>
      </c>
      <c r="I2800" s="10" t="s">
        <v>358</v>
      </c>
    </row>
    <row r="2801" spans="1:9" x14ac:dyDescent="0.15">
      <c r="A2801" s="9">
        <v>2800</v>
      </c>
      <c r="B2801" s="10" t="s">
        <v>9</v>
      </c>
      <c r="C2801" s="10" t="s">
        <v>363</v>
      </c>
      <c r="D2801" s="10" t="s">
        <v>364</v>
      </c>
      <c r="E2801" s="11" t="str">
        <f>+HYPERLINK("http://trademark.i-assist.jp/data/china/image_1902th/79285591.pdf", "79285591")</f>
        <v>79285591</v>
      </c>
      <c r="F2801" s="10" t="s">
        <v>7871</v>
      </c>
      <c r="G2801" s="10" t="s">
        <v>7595</v>
      </c>
      <c r="H2801" s="10" t="s">
        <v>7872</v>
      </c>
      <c r="I2801" s="10" t="s">
        <v>358</v>
      </c>
    </row>
    <row r="2802" spans="1:9" x14ac:dyDescent="0.15">
      <c r="A2802" s="9">
        <v>2801</v>
      </c>
      <c r="B2802" s="10" t="s">
        <v>9</v>
      </c>
      <c r="C2802" s="10" t="s">
        <v>363</v>
      </c>
      <c r="D2802" s="10" t="s">
        <v>364</v>
      </c>
      <c r="E2802" s="11" t="str">
        <f>+HYPERLINK("http://trademark.i-assist.jp/data/china/image_1902th/79285593.pdf", "79285593")</f>
        <v>79285593</v>
      </c>
      <c r="F2802" s="10" t="s">
        <v>7873</v>
      </c>
      <c r="G2802" s="10" t="s">
        <v>4987</v>
      </c>
      <c r="H2802" s="10" t="s">
        <v>7874</v>
      </c>
      <c r="I2802" s="10" t="s">
        <v>358</v>
      </c>
    </row>
    <row r="2803" spans="1:9" x14ac:dyDescent="0.15">
      <c r="A2803" s="9">
        <v>2802</v>
      </c>
      <c r="B2803" s="10" t="s">
        <v>9</v>
      </c>
      <c r="C2803" s="10" t="s">
        <v>363</v>
      </c>
      <c r="D2803" s="10" t="s">
        <v>364</v>
      </c>
      <c r="E2803" s="11" t="str">
        <f>+HYPERLINK("http://trademark.i-assist.jp/data/china/image_1902th/79285982.pdf", "79285982")</f>
        <v>79285982</v>
      </c>
      <c r="F2803" s="10" t="s">
        <v>7875</v>
      </c>
      <c r="G2803" s="10" t="s">
        <v>7811</v>
      </c>
      <c r="H2803" s="10" t="s">
        <v>7876</v>
      </c>
      <c r="I2803" s="10" t="s">
        <v>358</v>
      </c>
    </row>
    <row r="2804" spans="1:9" x14ac:dyDescent="0.15">
      <c r="A2804" s="9">
        <v>2803</v>
      </c>
      <c r="B2804" s="10" t="s">
        <v>9</v>
      </c>
      <c r="C2804" s="10" t="s">
        <v>363</v>
      </c>
      <c r="D2804" s="10" t="s">
        <v>364</v>
      </c>
      <c r="E2804" s="11" t="str">
        <f>+HYPERLINK("http://trademark.i-assist.jp/data/china/image_1902th/79286249.pdf", "79286249")</f>
        <v>79286249</v>
      </c>
      <c r="F2804" s="10" t="s">
        <v>7877</v>
      </c>
      <c r="G2804" s="10" t="s">
        <v>7878</v>
      </c>
      <c r="H2804" s="10" t="s">
        <v>7879</v>
      </c>
      <c r="I2804" s="10" t="s">
        <v>358</v>
      </c>
    </row>
    <row r="2805" spans="1:9" x14ac:dyDescent="0.15">
      <c r="A2805" s="9">
        <v>2804</v>
      </c>
      <c r="B2805" s="10" t="s">
        <v>9</v>
      </c>
      <c r="C2805" s="10" t="s">
        <v>363</v>
      </c>
      <c r="D2805" s="10" t="s">
        <v>364</v>
      </c>
      <c r="E2805" s="11" t="str">
        <f>+HYPERLINK("http://trademark.i-assist.jp/data/china/image_1902th/79286281.pdf", "79286281")</f>
        <v>79286281</v>
      </c>
      <c r="F2805" s="10" t="s">
        <v>7880</v>
      </c>
      <c r="G2805" s="10" t="s">
        <v>4048</v>
      </c>
      <c r="H2805" s="10" t="s">
        <v>7881</v>
      </c>
      <c r="I2805" s="10" t="s">
        <v>358</v>
      </c>
    </row>
    <row r="2806" spans="1:9" x14ac:dyDescent="0.15">
      <c r="A2806" s="9">
        <v>2805</v>
      </c>
      <c r="B2806" s="10" t="s">
        <v>9</v>
      </c>
      <c r="C2806" s="10" t="s">
        <v>363</v>
      </c>
      <c r="D2806" s="10" t="s">
        <v>364</v>
      </c>
      <c r="E2806" s="11" t="str">
        <f>+HYPERLINK("http://trademark.i-assist.jp/data/china/image_1902th/79286363.pdf", "79286363")</f>
        <v>79286363</v>
      </c>
      <c r="F2806" s="10" t="s">
        <v>7882</v>
      </c>
      <c r="G2806" s="10" t="s">
        <v>1120</v>
      </c>
      <c r="H2806" s="10" t="s">
        <v>7883</v>
      </c>
      <c r="I2806" s="10" t="s">
        <v>358</v>
      </c>
    </row>
    <row r="2807" spans="1:9" x14ac:dyDescent="0.15">
      <c r="A2807" s="9">
        <v>2806</v>
      </c>
      <c r="B2807" s="10" t="s">
        <v>9</v>
      </c>
      <c r="C2807" s="10" t="s">
        <v>363</v>
      </c>
      <c r="D2807" s="10" t="s">
        <v>364</v>
      </c>
      <c r="E2807" s="11" t="str">
        <f>+HYPERLINK("http://trademark.i-assist.jp/data/china/image_1902th/79286424.pdf", "79286424")</f>
        <v>79286424</v>
      </c>
      <c r="F2807" s="10" t="s">
        <v>7884</v>
      </c>
      <c r="G2807" s="10" t="s">
        <v>7885</v>
      </c>
      <c r="H2807" s="10" t="s">
        <v>7886</v>
      </c>
      <c r="I2807" s="10" t="s">
        <v>358</v>
      </c>
    </row>
    <row r="2808" spans="1:9" x14ac:dyDescent="0.15">
      <c r="A2808" s="9">
        <v>2807</v>
      </c>
      <c r="B2808" s="10" t="s">
        <v>9</v>
      </c>
      <c r="C2808" s="10" t="s">
        <v>363</v>
      </c>
      <c r="D2808" s="10" t="s">
        <v>364</v>
      </c>
      <c r="E2808" s="11" t="str">
        <f>+HYPERLINK("http://trademark.i-assist.jp/data/china/image_1902th/79286455.pdf", "79286455")</f>
        <v>79286455</v>
      </c>
      <c r="F2808" s="10" t="s">
        <v>7887</v>
      </c>
      <c r="G2808" s="10" t="s">
        <v>7888</v>
      </c>
      <c r="H2808" s="10" t="s">
        <v>7889</v>
      </c>
      <c r="I2808" s="10" t="s">
        <v>358</v>
      </c>
    </row>
    <row r="2809" spans="1:9" x14ac:dyDescent="0.15">
      <c r="A2809" s="9">
        <v>2808</v>
      </c>
      <c r="B2809" s="10" t="s">
        <v>9</v>
      </c>
      <c r="C2809" s="10" t="s">
        <v>363</v>
      </c>
      <c r="D2809" s="10" t="s">
        <v>364</v>
      </c>
      <c r="E2809" s="11" t="str">
        <f>+HYPERLINK("http://trademark.i-assist.jp/data/china/image_1902th/79286502.pdf", "79286502")</f>
        <v>79286502</v>
      </c>
      <c r="F2809" s="10" t="s">
        <v>7890</v>
      </c>
      <c r="G2809" s="10" t="s">
        <v>7701</v>
      </c>
      <c r="H2809" s="10" t="s">
        <v>7891</v>
      </c>
      <c r="I2809" s="10" t="s">
        <v>358</v>
      </c>
    </row>
    <row r="2810" spans="1:9" x14ac:dyDescent="0.15">
      <c r="A2810" s="9">
        <v>2809</v>
      </c>
      <c r="B2810" s="10" t="s">
        <v>9</v>
      </c>
      <c r="C2810" s="10" t="s">
        <v>363</v>
      </c>
      <c r="D2810" s="10" t="s">
        <v>364</v>
      </c>
      <c r="E2810" s="11" t="str">
        <f>+HYPERLINK("http://trademark.i-assist.jp/data/china/image_1902th/79286713.pdf", "79286713")</f>
        <v>79286713</v>
      </c>
      <c r="F2810" s="10" t="s">
        <v>7892</v>
      </c>
      <c r="G2810" s="10" t="s">
        <v>7893</v>
      </c>
      <c r="H2810" s="10" t="s">
        <v>7894</v>
      </c>
      <c r="I2810" s="10" t="s">
        <v>358</v>
      </c>
    </row>
    <row r="2811" spans="1:9" x14ac:dyDescent="0.15">
      <c r="A2811" s="9">
        <v>2810</v>
      </c>
      <c r="B2811" s="10" t="s">
        <v>9</v>
      </c>
      <c r="C2811" s="10" t="s">
        <v>363</v>
      </c>
      <c r="D2811" s="10" t="s">
        <v>364</v>
      </c>
      <c r="E2811" s="11" t="str">
        <f>+HYPERLINK("http://trademark.i-assist.jp/data/china/image_1902th/79286815.pdf", "79286815")</f>
        <v>79286815</v>
      </c>
      <c r="F2811" s="10" t="s">
        <v>7895</v>
      </c>
      <c r="G2811" s="10" t="s">
        <v>7896</v>
      </c>
      <c r="H2811" s="10" t="s">
        <v>7897</v>
      </c>
      <c r="I2811" s="10" t="s">
        <v>358</v>
      </c>
    </row>
    <row r="2812" spans="1:9" x14ac:dyDescent="0.15">
      <c r="A2812" s="9">
        <v>2811</v>
      </c>
      <c r="B2812" s="10" t="s">
        <v>9</v>
      </c>
      <c r="C2812" s="10" t="s">
        <v>363</v>
      </c>
      <c r="D2812" s="10" t="s">
        <v>364</v>
      </c>
      <c r="E2812" s="11" t="str">
        <f>+HYPERLINK("http://trademark.i-assist.jp/data/china/image_1902th/79286962.pdf", "79286962")</f>
        <v>79286962</v>
      </c>
      <c r="F2812" s="10" t="s">
        <v>7898</v>
      </c>
      <c r="G2812" s="10" t="s">
        <v>7789</v>
      </c>
      <c r="H2812" s="10" t="s">
        <v>7899</v>
      </c>
      <c r="I2812" s="10" t="s">
        <v>358</v>
      </c>
    </row>
    <row r="2813" spans="1:9" x14ac:dyDescent="0.15">
      <c r="A2813" s="9">
        <v>2812</v>
      </c>
      <c r="B2813" s="10" t="s">
        <v>9</v>
      </c>
      <c r="C2813" s="10" t="s">
        <v>363</v>
      </c>
      <c r="D2813" s="10" t="s">
        <v>364</v>
      </c>
      <c r="E2813" s="11" t="str">
        <f>+HYPERLINK("http://trademark.i-assist.jp/data/china/image_1902th/79286985.pdf", "79286985")</f>
        <v>79286985</v>
      </c>
      <c r="F2813" s="10" t="s">
        <v>7900</v>
      </c>
      <c r="G2813" s="10" t="s">
        <v>7844</v>
      </c>
      <c r="H2813" s="10" t="s">
        <v>7901</v>
      </c>
      <c r="I2813" s="10" t="s">
        <v>358</v>
      </c>
    </row>
    <row r="2814" spans="1:9" x14ac:dyDescent="0.15">
      <c r="A2814" s="9">
        <v>2813</v>
      </c>
      <c r="B2814" s="10" t="s">
        <v>9</v>
      </c>
      <c r="C2814" s="10" t="s">
        <v>363</v>
      </c>
      <c r="D2814" s="10" t="s">
        <v>364</v>
      </c>
      <c r="E2814" s="11" t="str">
        <f>+HYPERLINK("http://trademark.i-assist.jp/data/china/image_1902th/79286988.pdf", "79286988")</f>
        <v>79286988</v>
      </c>
      <c r="F2814" s="10" t="s">
        <v>7902</v>
      </c>
      <c r="G2814" s="10" t="s">
        <v>7903</v>
      </c>
      <c r="H2814" s="10" t="s">
        <v>7904</v>
      </c>
      <c r="I2814" s="10" t="s">
        <v>358</v>
      </c>
    </row>
    <row r="2815" spans="1:9" x14ac:dyDescent="0.15">
      <c r="A2815" s="9">
        <v>2814</v>
      </c>
      <c r="B2815" s="10" t="s">
        <v>9</v>
      </c>
      <c r="C2815" s="10" t="s">
        <v>363</v>
      </c>
      <c r="D2815" s="10" t="s">
        <v>364</v>
      </c>
      <c r="E2815" s="11" t="str">
        <f>+HYPERLINK("http://trademark.i-assist.jp/data/china/image_1902th/79287229.pdf", "79287229")</f>
        <v>79287229</v>
      </c>
      <c r="F2815" s="10" t="s">
        <v>7905</v>
      </c>
      <c r="G2815" s="10" t="s">
        <v>7906</v>
      </c>
      <c r="H2815" s="10" t="s">
        <v>7907</v>
      </c>
      <c r="I2815" s="10" t="s">
        <v>358</v>
      </c>
    </row>
    <row r="2816" spans="1:9" x14ac:dyDescent="0.15">
      <c r="A2816" s="9">
        <v>2815</v>
      </c>
      <c r="B2816" s="10" t="s">
        <v>9</v>
      </c>
      <c r="C2816" s="10" t="s">
        <v>363</v>
      </c>
      <c r="D2816" s="10" t="s">
        <v>364</v>
      </c>
      <c r="E2816" s="11" t="str">
        <f>+HYPERLINK("http://trademark.i-assist.jp/data/china/image_1902th/79287260.pdf", "79287260")</f>
        <v>79287260</v>
      </c>
      <c r="F2816" s="10" t="s">
        <v>7908</v>
      </c>
      <c r="G2816" s="10" t="s">
        <v>7909</v>
      </c>
      <c r="H2816" s="10" t="s">
        <v>7910</v>
      </c>
      <c r="I2816" s="10" t="s">
        <v>358</v>
      </c>
    </row>
    <row r="2817" spans="1:9" x14ac:dyDescent="0.15">
      <c r="A2817" s="9">
        <v>2816</v>
      </c>
      <c r="B2817" s="10" t="s">
        <v>9</v>
      </c>
      <c r="C2817" s="10" t="s">
        <v>363</v>
      </c>
      <c r="D2817" s="10" t="s">
        <v>364</v>
      </c>
      <c r="E2817" s="11" t="str">
        <f>+HYPERLINK("http://trademark.i-assist.jp/data/china/image_1902th/79287348.pdf", "79287348")</f>
        <v>79287348</v>
      </c>
      <c r="F2817" s="10" t="s">
        <v>7911</v>
      </c>
      <c r="G2817" s="10" t="s">
        <v>7912</v>
      </c>
      <c r="H2817" s="10" t="s">
        <v>7913</v>
      </c>
      <c r="I2817" s="10" t="s">
        <v>358</v>
      </c>
    </row>
    <row r="2818" spans="1:9" x14ac:dyDescent="0.15">
      <c r="A2818" s="9">
        <v>2817</v>
      </c>
      <c r="B2818" s="10" t="s">
        <v>9</v>
      </c>
      <c r="C2818" s="10" t="s">
        <v>363</v>
      </c>
      <c r="D2818" s="10" t="s">
        <v>364</v>
      </c>
      <c r="E2818" s="11" t="str">
        <f>+HYPERLINK("http://trademark.i-assist.jp/data/china/image_1902th/79287563.pdf", "79287563")</f>
        <v>79287563</v>
      </c>
      <c r="F2818" s="10" t="s">
        <v>7914</v>
      </c>
      <c r="G2818" s="10" t="s">
        <v>7915</v>
      </c>
      <c r="H2818" s="10" t="s">
        <v>7916</v>
      </c>
      <c r="I2818" s="10" t="s">
        <v>358</v>
      </c>
    </row>
    <row r="2819" spans="1:9" x14ac:dyDescent="0.15">
      <c r="A2819" s="9">
        <v>2818</v>
      </c>
      <c r="B2819" s="10" t="s">
        <v>9</v>
      </c>
      <c r="C2819" s="10" t="s">
        <v>363</v>
      </c>
      <c r="D2819" s="10" t="s">
        <v>364</v>
      </c>
      <c r="E2819" s="11" t="str">
        <f>+HYPERLINK("http://trademark.i-assist.jp/data/china/image_1902th/79287913.pdf", "79287913")</f>
        <v>79287913</v>
      </c>
      <c r="F2819" s="10" t="s">
        <v>7917</v>
      </c>
      <c r="G2819" s="10" t="s">
        <v>7918</v>
      </c>
      <c r="H2819" s="10" t="s">
        <v>7919</v>
      </c>
      <c r="I2819" s="10" t="s">
        <v>358</v>
      </c>
    </row>
    <row r="2820" spans="1:9" x14ac:dyDescent="0.15">
      <c r="A2820" s="9">
        <v>2819</v>
      </c>
      <c r="B2820" s="10" t="s">
        <v>9</v>
      </c>
      <c r="C2820" s="10" t="s">
        <v>363</v>
      </c>
      <c r="D2820" s="10" t="s">
        <v>364</v>
      </c>
      <c r="E2820" s="11" t="str">
        <f>+HYPERLINK("http://trademark.i-assist.jp/data/china/image_1902th/79288108.pdf", "79288108")</f>
        <v>79288108</v>
      </c>
      <c r="F2820" s="10" t="s">
        <v>7920</v>
      </c>
      <c r="G2820" s="10" t="s">
        <v>144</v>
      </c>
      <c r="H2820" s="10" t="s">
        <v>7921</v>
      </c>
      <c r="I2820" s="10" t="s">
        <v>358</v>
      </c>
    </row>
    <row r="2821" spans="1:9" x14ac:dyDescent="0.15">
      <c r="A2821" s="9">
        <v>2820</v>
      </c>
      <c r="B2821" s="10" t="s">
        <v>9</v>
      </c>
      <c r="C2821" s="10" t="s">
        <v>363</v>
      </c>
      <c r="D2821" s="10" t="s">
        <v>364</v>
      </c>
      <c r="E2821" s="11" t="str">
        <f>+HYPERLINK("http://trademark.i-assist.jp/data/china/image_1902th/79288136.pdf", "79288136")</f>
        <v>79288136</v>
      </c>
      <c r="F2821" s="10" t="s">
        <v>12</v>
      </c>
      <c r="G2821" s="10" t="s">
        <v>7922</v>
      </c>
      <c r="H2821" s="10" t="s">
        <v>7923</v>
      </c>
      <c r="I2821" s="10" t="s">
        <v>358</v>
      </c>
    </row>
    <row r="2822" spans="1:9" x14ac:dyDescent="0.15">
      <c r="A2822" s="9">
        <v>2821</v>
      </c>
      <c r="B2822" s="10" t="s">
        <v>9</v>
      </c>
      <c r="C2822" s="10" t="s">
        <v>363</v>
      </c>
      <c r="D2822" s="10" t="s">
        <v>364</v>
      </c>
      <c r="E2822" s="11" t="str">
        <f>+HYPERLINK("http://trademark.i-assist.jp/data/china/image_1902th/79288153.pdf", "79288153")</f>
        <v>79288153</v>
      </c>
      <c r="F2822" s="10" t="s">
        <v>7924</v>
      </c>
      <c r="G2822" s="10" t="s">
        <v>7621</v>
      </c>
      <c r="H2822" s="10" t="s">
        <v>7925</v>
      </c>
      <c r="I2822" s="10" t="s">
        <v>358</v>
      </c>
    </row>
    <row r="2823" spans="1:9" x14ac:dyDescent="0.15">
      <c r="A2823" s="9">
        <v>2822</v>
      </c>
      <c r="B2823" s="10" t="s">
        <v>9</v>
      </c>
      <c r="C2823" s="10" t="s">
        <v>363</v>
      </c>
      <c r="D2823" s="10" t="s">
        <v>364</v>
      </c>
      <c r="E2823" s="11" t="str">
        <f>+HYPERLINK("http://trademark.i-assist.jp/data/china/image_1902th/79288760.pdf", "79288760")</f>
        <v>79288760</v>
      </c>
      <c r="F2823" s="10" t="s">
        <v>7926</v>
      </c>
      <c r="G2823" s="10" t="s">
        <v>2741</v>
      </c>
      <c r="H2823" s="10" t="s">
        <v>7927</v>
      </c>
      <c r="I2823" s="10" t="s">
        <v>358</v>
      </c>
    </row>
    <row r="2824" spans="1:9" x14ac:dyDescent="0.15">
      <c r="A2824" s="9">
        <v>2823</v>
      </c>
      <c r="B2824" s="10" t="s">
        <v>9</v>
      </c>
      <c r="C2824" s="10" t="s">
        <v>363</v>
      </c>
      <c r="D2824" s="10" t="s">
        <v>364</v>
      </c>
      <c r="E2824" s="11" t="str">
        <f>+HYPERLINK("http://trademark.i-assist.jp/data/china/image_1902th/79288771.pdf", "79288771")</f>
        <v>79288771</v>
      </c>
      <c r="F2824" s="10" t="s">
        <v>7928</v>
      </c>
      <c r="G2824" s="10" t="s">
        <v>1120</v>
      </c>
      <c r="H2824" s="10" t="s">
        <v>7929</v>
      </c>
      <c r="I2824" s="10" t="s">
        <v>358</v>
      </c>
    </row>
    <row r="2825" spans="1:9" x14ac:dyDescent="0.15">
      <c r="A2825" s="9">
        <v>2824</v>
      </c>
      <c r="B2825" s="10" t="s">
        <v>9</v>
      </c>
      <c r="C2825" s="10" t="s">
        <v>363</v>
      </c>
      <c r="D2825" s="10" t="s">
        <v>364</v>
      </c>
      <c r="E2825" s="11" t="str">
        <f>+HYPERLINK("http://trademark.i-assist.jp/data/china/image_1902th/79288798.pdf", "79288798")</f>
        <v>79288798</v>
      </c>
      <c r="F2825" s="10" t="s">
        <v>7930</v>
      </c>
      <c r="G2825" s="10" t="s">
        <v>1120</v>
      </c>
      <c r="H2825" s="10" t="s">
        <v>7931</v>
      </c>
      <c r="I2825" s="10" t="s">
        <v>358</v>
      </c>
    </row>
    <row r="2826" spans="1:9" x14ac:dyDescent="0.15">
      <c r="A2826" s="9">
        <v>2825</v>
      </c>
      <c r="B2826" s="10" t="s">
        <v>9</v>
      </c>
      <c r="C2826" s="10" t="s">
        <v>363</v>
      </c>
      <c r="D2826" s="10" t="s">
        <v>364</v>
      </c>
      <c r="E2826" s="11" t="str">
        <f>+HYPERLINK("http://trademark.i-assist.jp/data/china/image_1902th/79288870.pdf", "79288870")</f>
        <v>79288870</v>
      </c>
      <c r="F2826" s="10" t="s">
        <v>7932</v>
      </c>
      <c r="G2826" s="10" t="s">
        <v>7933</v>
      </c>
      <c r="H2826" s="10" t="s">
        <v>7934</v>
      </c>
      <c r="I2826" s="10" t="s">
        <v>358</v>
      </c>
    </row>
    <row r="2827" spans="1:9" x14ac:dyDescent="0.15">
      <c r="A2827" s="9">
        <v>2826</v>
      </c>
      <c r="B2827" s="10" t="s">
        <v>9</v>
      </c>
      <c r="C2827" s="10" t="s">
        <v>363</v>
      </c>
      <c r="D2827" s="10" t="s">
        <v>364</v>
      </c>
      <c r="E2827" s="11" t="str">
        <f>+HYPERLINK("http://trademark.i-assist.jp/data/china/image_1902th/79289320.pdf", "79289320")</f>
        <v>79289320</v>
      </c>
      <c r="F2827" s="10" t="s">
        <v>7935</v>
      </c>
      <c r="G2827" s="10" t="s">
        <v>7936</v>
      </c>
      <c r="H2827" s="10" t="s">
        <v>7937</v>
      </c>
      <c r="I2827" s="10" t="s">
        <v>358</v>
      </c>
    </row>
    <row r="2828" spans="1:9" x14ac:dyDescent="0.15">
      <c r="A2828" s="9">
        <v>2827</v>
      </c>
      <c r="B2828" s="10" t="s">
        <v>9</v>
      </c>
      <c r="C2828" s="10" t="s">
        <v>363</v>
      </c>
      <c r="D2828" s="10" t="s">
        <v>364</v>
      </c>
      <c r="E2828" s="11" t="str">
        <f>+HYPERLINK("http://trademark.i-assist.jp/data/china/image_1902th/79289472.pdf", "79289472")</f>
        <v>79289472</v>
      </c>
      <c r="F2828" s="10" t="s">
        <v>7938</v>
      </c>
      <c r="G2828" s="10" t="s">
        <v>7939</v>
      </c>
      <c r="H2828" s="10" t="s">
        <v>7940</v>
      </c>
      <c r="I2828" s="10" t="s">
        <v>358</v>
      </c>
    </row>
    <row r="2829" spans="1:9" x14ac:dyDescent="0.15">
      <c r="A2829" s="9">
        <v>2828</v>
      </c>
      <c r="B2829" s="10" t="s">
        <v>9</v>
      </c>
      <c r="C2829" s="10" t="s">
        <v>363</v>
      </c>
      <c r="D2829" s="10" t="s">
        <v>364</v>
      </c>
      <c r="E2829" s="11" t="str">
        <f>+HYPERLINK("http://trademark.i-assist.jp/data/china/image_1902th/79289680.pdf", "79289680")</f>
        <v>79289680</v>
      </c>
      <c r="F2829" s="10" t="s">
        <v>12</v>
      </c>
      <c r="G2829" s="10" t="s">
        <v>7941</v>
      </c>
      <c r="H2829" s="10" t="s">
        <v>7942</v>
      </c>
      <c r="I2829" s="10" t="s">
        <v>358</v>
      </c>
    </row>
    <row r="2830" spans="1:9" x14ac:dyDescent="0.15">
      <c r="A2830" s="9">
        <v>2829</v>
      </c>
      <c r="B2830" s="10" t="s">
        <v>9</v>
      </c>
      <c r="C2830" s="10" t="s">
        <v>363</v>
      </c>
      <c r="D2830" s="10" t="s">
        <v>364</v>
      </c>
      <c r="E2830" s="11" t="str">
        <f>+HYPERLINK("http://trademark.i-assist.jp/data/china/image_1902th/79289727.pdf", "79289727")</f>
        <v>79289727</v>
      </c>
      <c r="F2830" s="10" t="s">
        <v>7943</v>
      </c>
      <c r="G2830" s="10" t="s">
        <v>7654</v>
      </c>
      <c r="H2830" s="10" t="s">
        <v>7944</v>
      </c>
      <c r="I2830" s="10" t="s">
        <v>358</v>
      </c>
    </row>
    <row r="2831" spans="1:9" x14ac:dyDescent="0.15">
      <c r="A2831" s="9">
        <v>2830</v>
      </c>
      <c r="B2831" s="10" t="s">
        <v>9</v>
      </c>
      <c r="C2831" s="10" t="s">
        <v>363</v>
      </c>
      <c r="D2831" s="10" t="s">
        <v>364</v>
      </c>
      <c r="E2831" s="11" t="str">
        <f>+HYPERLINK("http://trademark.i-assist.jp/data/china/image_1902th/79289871.pdf", "79289871")</f>
        <v>79289871</v>
      </c>
      <c r="F2831" s="10" t="s">
        <v>7945</v>
      </c>
      <c r="G2831" s="10" t="s">
        <v>7946</v>
      </c>
      <c r="H2831" s="10" t="s">
        <v>7947</v>
      </c>
      <c r="I2831" s="10" t="s">
        <v>358</v>
      </c>
    </row>
    <row r="2832" spans="1:9" x14ac:dyDescent="0.15">
      <c r="A2832" s="9">
        <v>2831</v>
      </c>
      <c r="B2832" s="10" t="s">
        <v>9</v>
      </c>
      <c r="C2832" s="10" t="s">
        <v>363</v>
      </c>
      <c r="D2832" s="10" t="s">
        <v>364</v>
      </c>
      <c r="E2832" s="11" t="str">
        <f>+HYPERLINK("http://trademark.i-assist.jp/data/china/image_1902th/79290336.pdf", "79290336")</f>
        <v>79290336</v>
      </c>
      <c r="F2832" s="10" t="s">
        <v>7948</v>
      </c>
      <c r="G2832" s="10" t="s">
        <v>1120</v>
      </c>
      <c r="H2832" s="10" t="s">
        <v>7949</v>
      </c>
      <c r="I2832" s="10" t="s">
        <v>358</v>
      </c>
    </row>
    <row r="2833" spans="1:9" x14ac:dyDescent="0.15">
      <c r="A2833" s="9">
        <v>2832</v>
      </c>
      <c r="B2833" s="10" t="s">
        <v>9</v>
      </c>
      <c r="C2833" s="10" t="s">
        <v>363</v>
      </c>
      <c r="D2833" s="10" t="s">
        <v>364</v>
      </c>
      <c r="E2833" s="11" t="str">
        <f>+HYPERLINK("http://trademark.i-assist.jp/data/china/image_1902th/79290529.pdf", "79290529")</f>
        <v>79290529</v>
      </c>
      <c r="F2833" s="10" t="s">
        <v>7950</v>
      </c>
      <c r="G2833" s="10" t="s">
        <v>7951</v>
      </c>
      <c r="H2833" s="10" t="s">
        <v>7952</v>
      </c>
      <c r="I2833" s="10" t="s">
        <v>358</v>
      </c>
    </row>
    <row r="2834" spans="1:9" x14ac:dyDescent="0.15">
      <c r="A2834" s="9">
        <v>2833</v>
      </c>
      <c r="B2834" s="10" t="s">
        <v>9</v>
      </c>
      <c r="C2834" s="10" t="s">
        <v>363</v>
      </c>
      <c r="D2834" s="10" t="s">
        <v>364</v>
      </c>
      <c r="E2834" s="11" t="str">
        <f>+HYPERLINK("http://trademark.i-assist.jp/data/china/image_1902th/79290606.pdf", "79290606")</f>
        <v>79290606</v>
      </c>
      <c r="F2834" s="10" t="s">
        <v>7953</v>
      </c>
      <c r="G2834" s="10" t="s">
        <v>149</v>
      </c>
      <c r="H2834" s="10" t="s">
        <v>7954</v>
      </c>
      <c r="I2834" s="10" t="s">
        <v>358</v>
      </c>
    </row>
    <row r="2835" spans="1:9" x14ac:dyDescent="0.15">
      <c r="A2835" s="9">
        <v>2834</v>
      </c>
      <c r="B2835" s="10" t="s">
        <v>9</v>
      </c>
      <c r="C2835" s="10" t="s">
        <v>363</v>
      </c>
      <c r="D2835" s="10" t="s">
        <v>364</v>
      </c>
      <c r="E2835" s="11" t="str">
        <f>+HYPERLINK("http://trademark.i-assist.jp/data/china/image_1902th/79291221.pdf", "79291221")</f>
        <v>79291221</v>
      </c>
      <c r="F2835" s="10" t="s">
        <v>7955</v>
      </c>
      <c r="G2835" s="10" t="s">
        <v>7663</v>
      </c>
      <c r="H2835" s="10" t="s">
        <v>7956</v>
      </c>
      <c r="I2835" s="10" t="s">
        <v>358</v>
      </c>
    </row>
    <row r="2836" spans="1:9" x14ac:dyDescent="0.15">
      <c r="A2836" s="9">
        <v>2835</v>
      </c>
      <c r="B2836" s="10" t="s">
        <v>9</v>
      </c>
      <c r="C2836" s="10" t="s">
        <v>363</v>
      </c>
      <c r="D2836" s="10" t="s">
        <v>364</v>
      </c>
      <c r="E2836" s="11" t="str">
        <f>+HYPERLINK("http://trademark.i-assist.jp/data/china/image_1902th/79291367.pdf", "79291367")</f>
        <v>79291367</v>
      </c>
      <c r="F2836" s="10" t="s">
        <v>7957</v>
      </c>
      <c r="G2836" s="10" t="s">
        <v>7645</v>
      </c>
      <c r="H2836" s="10" t="s">
        <v>7958</v>
      </c>
      <c r="I2836" s="10" t="s">
        <v>358</v>
      </c>
    </row>
    <row r="2837" spans="1:9" x14ac:dyDescent="0.15">
      <c r="A2837" s="9">
        <v>2836</v>
      </c>
      <c r="B2837" s="10" t="s">
        <v>9</v>
      </c>
      <c r="C2837" s="10" t="s">
        <v>363</v>
      </c>
      <c r="D2837" s="10" t="s">
        <v>364</v>
      </c>
      <c r="E2837" s="11" t="str">
        <f>+HYPERLINK("http://trademark.i-assist.jp/data/china/image_1902th/79291370.pdf", "79291370")</f>
        <v>79291370</v>
      </c>
      <c r="F2837" s="10" t="s">
        <v>7959</v>
      </c>
      <c r="G2837" s="10" t="s">
        <v>7960</v>
      </c>
      <c r="H2837" s="10" t="s">
        <v>7961</v>
      </c>
      <c r="I2837" s="10" t="s">
        <v>358</v>
      </c>
    </row>
    <row r="2838" spans="1:9" x14ac:dyDescent="0.15">
      <c r="A2838" s="9">
        <v>2837</v>
      </c>
      <c r="B2838" s="10" t="s">
        <v>9</v>
      </c>
      <c r="C2838" s="10" t="s">
        <v>363</v>
      </c>
      <c r="D2838" s="10" t="s">
        <v>364</v>
      </c>
      <c r="E2838" s="11" t="str">
        <f>+HYPERLINK("http://trademark.i-assist.jp/data/china/image_1902th/79291515.pdf", "79291515")</f>
        <v>79291515</v>
      </c>
      <c r="F2838" s="10" t="s">
        <v>7962</v>
      </c>
      <c r="G2838" s="10" t="s">
        <v>7962</v>
      </c>
      <c r="H2838" s="10" t="s">
        <v>7963</v>
      </c>
      <c r="I2838" s="10" t="s">
        <v>358</v>
      </c>
    </row>
    <row r="2839" spans="1:9" x14ac:dyDescent="0.15">
      <c r="A2839" s="9">
        <v>2838</v>
      </c>
      <c r="B2839" s="10" t="s">
        <v>9</v>
      </c>
      <c r="C2839" s="10" t="s">
        <v>363</v>
      </c>
      <c r="D2839" s="10" t="s">
        <v>364</v>
      </c>
      <c r="E2839" s="11" t="str">
        <f>+HYPERLINK("http://trademark.i-assist.jp/data/china/image_1902th/79291622.pdf", "79291622")</f>
        <v>79291622</v>
      </c>
      <c r="F2839" s="10" t="s">
        <v>7964</v>
      </c>
      <c r="G2839" s="10" t="s">
        <v>7965</v>
      </c>
      <c r="H2839" s="10" t="s">
        <v>7966</v>
      </c>
      <c r="I2839" s="10" t="s">
        <v>358</v>
      </c>
    </row>
    <row r="2840" spans="1:9" x14ac:dyDescent="0.15">
      <c r="A2840" s="9">
        <v>2839</v>
      </c>
      <c r="B2840" s="10" t="s">
        <v>9</v>
      </c>
      <c r="C2840" s="10" t="s">
        <v>363</v>
      </c>
      <c r="D2840" s="10" t="s">
        <v>364</v>
      </c>
      <c r="E2840" s="11" t="str">
        <f>+HYPERLINK("http://trademark.i-assist.jp/data/china/image_1902th/79291914.pdf", "79291914")</f>
        <v>79291914</v>
      </c>
      <c r="F2840" s="10" t="s">
        <v>7967</v>
      </c>
      <c r="G2840" s="10" t="s">
        <v>7704</v>
      </c>
      <c r="H2840" s="10" t="s">
        <v>7968</v>
      </c>
      <c r="I2840" s="10" t="s">
        <v>358</v>
      </c>
    </row>
    <row r="2841" spans="1:9" x14ac:dyDescent="0.15">
      <c r="A2841" s="9">
        <v>2840</v>
      </c>
      <c r="B2841" s="10" t="s">
        <v>9</v>
      </c>
      <c r="C2841" s="10" t="s">
        <v>363</v>
      </c>
      <c r="D2841" s="10" t="s">
        <v>364</v>
      </c>
      <c r="E2841" s="11" t="str">
        <f>+HYPERLINK("http://trademark.i-assist.jp/data/china/image_1902th/79291994.pdf", "79291994")</f>
        <v>79291994</v>
      </c>
      <c r="F2841" s="10" t="s">
        <v>12</v>
      </c>
      <c r="G2841" s="10" t="s">
        <v>7969</v>
      </c>
      <c r="H2841" s="10" t="s">
        <v>7970</v>
      </c>
      <c r="I2841" s="10" t="s">
        <v>358</v>
      </c>
    </row>
    <row r="2842" spans="1:9" x14ac:dyDescent="0.15">
      <c r="A2842" s="9">
        <v>2841</v>
      </c>
      <c r="B2842" s="10" t="s">
        <v>9</v>
      </c>
      <c r="C2842" s="10" t="s">
        <v>363</v>
      </c>
      <c r="D2842" s="10" t="s">
        <v>364</v>
      </c>
      <c r="E2842" s="11" t="str">
        <f>+HYPERLINK("http://trademark.i-assist.jp/data/china/image_1902th/79292164.pdf", "79292164")</f>
        <v>79292164</v>
      </c>
      <c r="F2842" s="10" t="s">
        <v>7971</v>
      </c>
      <c r="G2842" s="10" t="s">
        <v>7654</v>
      </c>
      <c r="H2842" s="10" t="s">
        <v>7972</v>
      </c>
      <c r="I2842" s="10" t="s">
        <v>358</v>
      </c>
    </row>
    <row r="2843" spans="1:9" x14ac:dyDescent="0.15">
      <c r="A2843" s="9">
        <v>2842</v>
      </c>
      <c r="B2843" s="10" t="s">
        <v>9</v>
      </c>
      <c r="C2843" s="10" t="s">
        <v>363</v>
      </c>
      <c r="D2843" s="10" t="s">
        <v>364</v>
      </c>
      <c r="E2843" s="11" t="str">
        <f>+HYPERLINK("http://trademark.i-assist.jp/data/china/image_1902th/79292590.pdf", "79292590")</f>
        <v>79292590</v>
      </c>
      <c r="F2843" s="10" t="s">
        <v>7973</v>
      </c>
      <c r="G2843" s="10" t="s">
        <v>7760</v>
      </c>
      <c r="H2843" s="10" t="s">
        <v>7974</v>
      </c>
      <c r="I2843" s="10" t="s">
        <v>358</v>
      </c>
    </row>
    <row r="2844" spans="1:9" x14ac:dyDescent="0.15">
      <c r="A2844" s="9">
        <v>2843</v>
      </c>
      <c r="B2844" s="10" t="s">
        <v>9</v>
      </c>
      <c r="C2844" s="10" t="s">
        <v>363</v>
      </c>
      <c r="D2844" s="10" t="s">
        <v>364</v>
      </c>
      <c r="E2844" s="11" t="str">
        <f>+HYPERLINK("http://trademark.i-assist.jp/data/china/image_1902th/79292639.pdf", "79292639")</f>
        <v>79292639</v>
      </c>
      <c r="F2844" s="10" t="s">
        <v>7975</v>
      </c>
      <c r="G2844" s="10" t="s">
        <v>7976</v>
      </c>
      <c r="H2844" s="10" t="s">
        <v>7977</v>
      </c>
      <c r="I2844" s="10" t="s">
        <v>358</v>
      </c>
    </row>
    <row r="2845" spans="1:9" x14ac:dyDescent="0.15">
      <c r="A2845" s="9">
        <v>2844</v>
      </c>
      <c r="B2845" s="10" t="s">
        <v>9</v>
      </c>
      <c r="C2845" s="10" t="s">
        <v>363</v>
      </c>
      <c r="D2845" s="10" t="s">
        <v>364</v>
      </c>
      <c r="E2845" s="11" t="str">
        <f>+HYPERLINK("http://trademark.i-assist.jp/data/china/image_1902th/79292931.pdf", "79292931")</f>
        <v>79292931</v>
      </c>
      <c r="F2845" s="10" t="s">
        <v>7978</v>
      </c>
      <c r="G2845" s="10" t="s">
        <v>7979</v>
      </c>
      <c r="H2845" s="10" t="s">
        <v>7980</v>
      </c>
      <c r="I2845" s="10" t="s">
        <v>358</v>
      </c>
    </row>
    <row r="2846" spans="1:9" x14ac:dyDescent="0.15">
      <c r="A2846" s="9">
        <v>2845</v>
      </c>
      <c r="B2846" s="10" t="s">
        <v>9</v>
      </c>
      <c r="C2846" s="10" t="s">
        <v>363</v>
      </c>
      <c r="D2846" s="10" t="s">
        <v>364</v>
      </c>
      <c r="E2846" s="11" t="str">
        <f>+HYPERLINK("http://trademark.i-assist.jp/data/china/image_1902th/79292957.pdf", "79292957")</f>
        <v>79292957</v>
      </c>
      <c r="F2846" s="10" t="s">
        <v>7981</v>
      </c>
      <c r="G2846" s="10" t="s">
        <v>5894</v>
      </c>
      <c r="H2846" s="10" t="s">
        <v>7982</v>
      </c>
      <c r="I2846" s="10" t="s">
        <v>358</v>
      </c>
    </row>
    <row r="2847" spans="1:9" x14ac:dyDescent="0.15">
      <c r="A2847" s="9">
        <v>2846</v>
      </c>
      <c r="B2847" s="10" t="s">
        <v>9</v>
      </c>
      <c r="C2847" s="10" t="s">
        <v>363</v>
      </c>
      <c r="D2847" s="10" t="s">
        <v>364</v>
      </c>
      <c r="E2847" s="11" t="str">
        <f>+HYPERLINK("http://trademark.i-assist.jp/data/china/image_1902th/79292987.pdf", "79292987")</f>
        <v>79292987</v>
      </c>
      <c r="F2847" s="10" t="s">
        <v>7983</v>
      </c>
      <c r="G2847" s="10" t="s">
        <v>7984</v>
      </c>
      <c r="H2847" s="10" t="s">
        <v>7985</v>
      </c>
      <c r="I2847" s="10" t="s">
        <v>358</v>
      </c>
    </row>
    <row r="2848" spans="1:9" x14ac:dyDescent="0.15">
      <c r="A2848" s="9">
        <v>2847</v>
      </c>
      <c r="B2848" s="10" t="s">
        <v>9</v>
      </c>
      <c r="C2848" s="10" t="s">
        <v>363</v>
      </c>
      <c r="D2848" s="10" t="s">
        <v>364</v>
      </c>
      <c r="E2848" s="11" t="str">
        <f>+HYPERLINK("http://trademark.i-assist.jp/data/china/image_1902th/79293112.pdf", "79293112")</f>
        <v>79293112</v>
      </c>
      <c r="F2848" s="10" t="s">
        <v>7986</v>
      </c>
      <c r="G2848" s="10" t="s">
        <v>7987</v>
      </c>
      <c r="H2848" s="10" t="s">
        <v>7988</v>
      </c>
      <c r="I2848" s="10" t="s">
        <v>358</v>
      </c>
    </row>
    <row r="2849" spans="1:9" x14ac:dyDescent="0.15">
      <c r="A2849" s="9">
        <v>2848</v>
      </c>
      <c r="B2849" s="10" t="s">
        <v>9</v>
      </c>
      <c r="C2849" s="10" t="s">
        <v>363</v>
      </c>
      <c r="D2849" s="10" t="s">
        <v>364</v>
      </c>
      <c r="E2849" s="11" t="str">
        <f>+HYPERLINK("http://trademark.i-assist.jp/data/china/image_1902th/79293136.pdf", "79293136")</f>
        <v>79293136</v>
      </c>
      <c r="F2849" s="10" t="s">
        <v>7989</v>
      </c>
      <c r="G2849" s="10" t="s">
        <v>7990</v>
      </c>
      <c r="H2849" s="10" t="s">
        <v>7991</v>
      </c>
      <c r="I2849" s="10" t="s">
        <v>358</v>
      </c>
    </row>
    <row r="2850" spans="1:9" x14ac:dyDescent="0.15">
      <c r="A2850" s="9">
        <v>2849</v>
      </c>
      <c r="B2850" s="10" t="s">
        <v>9</v>
      </c>
      <c r="C2850" s="10" t="s">
        <v>363</v>
      </c>
      <c r="D2850" s="10" t="s">
        <v>364</v>
      </c>
      <c r="E2850" s="11" t="str">
        <f>+HYPERLINK("http://trademark.i-assist.jp/data/china/image_1902th/79293422.pdf", "79293422")</f>
        <v>79293422</v>
      </c>
      <c r="F2850" s="10" t="s">
        <v>7992</v>
      </c>
      <c r="G2850" s="10" t="s">
        <v>7993</v>
      </c>
      <c r="H2850" s="10" t="s">
        <v>7994</v>
      </c>
      <c r="I2850" s="10" t="s">
        <v>358</v>
      </c>
    </row>
    <row r="2851" spans="1:9" x14ac:dyDescent="0.15">
      <c r="A2851" s="9">
        <v>2850</v>
      </c>
      <c r="B2851" s="10" t="s">
        <v>9</v>
      </c>
      <c r="C2851" s="10" t="s">
        <v>363</v>
      </c>
      <c r="D2851" s="10" t="s">
        <v>364</v>
      </c>
      <c r="E2851" s="11" t="str">
        <f>+HYPERLINK("http://trademark.i-assist.jp/data/china/image_1902th/79293648.pdf", "79293648")</f>
        <v>79293648</v>
      </c>
      <c r="F2851" s="10" t="s">
        <v>7995</v>
      </c>
      <c r="G2851" s="10" t="s">
        <v>7789</v>
      </c>
      <c r="H2851" s="10" t="s">
        <v>7996</v>
      </c>
      <c r="I2851" s="10" t="s">
        <v>358</v>
      </c>
    </row>
    <row r="2852" spans="1:9" x14ac:dyDescent="0.15">
      <c r="A2852" s="9">
        <v>2851</v>
      </c>
      <c r="B2852" s="10" t="s">
        <v>9</v>
      </c>
      <c r="C2852" s="10" t="s">
        <v>363</v>
      </c>
      <c r="D2852" s="10" t="s">
        <v>364</v>
      </c>
      <c r="E2852" s="11" t="str">
        <f>+HYPERLINK("http://trademark.i-assist.jp/data/china/image_1902th/79294208.pdf", "79294208")</f>
        <v>79294208</v>
      </c>
      <c r="F2852" s="10" t="s">
        <v>7997</v>
      </c>
      <c r="G2852" s="10" t="s">
        <v>284</v>
      </c>
      <c r="H2852" s="10" t="s">
        <v>7998</v>
      </c>
      <c r="I2852" s="10" t="s">
        <v>358</v>
      </c>
    </row>
    <row r="2853" spans="1:9" x14ac:dyDescent="0.15">
      <c r="A2853" s="9">
        <v>2852</v>
      </c>
      <c r="B2853" s="10" t="s">
        <v>9</v>
      </c>
      <c r="C2853" s="10" t="s">
        <v>363</v>
      </c>
      <c r="D2853" s="10" t="s">
        <v>364</v>
      </c>
      <c r="E2853" s="11" t="str">
        <f>+HYPERLINK("http://trademark.i-assist.jp/data/china/image_1902th/79294319.pdf", "79294319")</f>
        <v>79294319</v>
      </c>
      <c r="F2853" s="10" t="s">
        <v>7999</v>
      </c>
      <c r="G2853" s="10" t="s">
        <v>300</v>
      </c>
      <c r="H2853" s="10" t="s">
        <v>8000</v>
      </c>
      <c r="I2853" s="10" t="s">
        <v>358</v>
      </c>
    </row>
    <row r="2854" spans="1:9" x14ac:dyDescent="0.15">
      <c r="A2854" s="9">
        <v>2853</v>
      </c>
      <c r="B2854" s="10" t="s">
        <v>9</v>
      </c>
      <c r="C2854" s="10" t="s">
        <v>363</v>
      </c>
      <c r="D2854" s="10" t="s">
        <v>364</v>
      </c>
      <c r="E2854" s="11" t="str">
        <f>+HYPERLINK("http://trademark.i-assist.jp/data/china/image_1902th/79294359.pdf", "79294359")</f>
        <v>79294359</v>
      </c>
      <c r="F2854" s="10" t="s">
        <v>8001</v>
      </c>
      <c r="G2854" s="10" t="s">
        <v>8002</v>
      </c>
      <c r="H2854" s="10" t="s">
        <v>8003</v>
      </c>
      <c r="I2854" s="10" t="s">
        <v>358</v>
      </c>
    </row>
    <row r="2855" spans="1:9" x14ac:dyDescent="0.15">
      <c r="A2855" s="9">
        <v>2854</v>
      </c>
      <c r="B2855" s="10" t="s">
        <v>9</v>
      </c>
      <c r="C2855" s="10" t="s">
        <v>363</v>
      </c>
      <c r="D2855" s="10" t="s">
        <v>364</v>
      </c>
      <c r="E2855" s="11" t="str">
        <f>+HYPERLINK("http://trademark.i-assist.jp/data/china/image_1902th/79294405.pdf", "79294405")</f>
        <v>79294405</v>
      </c>
      <c r="F2855" s="10" t="s">
        <v>8004</v>
      </c>
      <c r="G2855" s="10" t="s">
        <v>8005</v>
      </c>
      <c r="H2855" s="10" t="s">
        <v>8006</v>
      </c>
      <c r="I2855" s="10" t="s">
        <v>358</v>
      </c>
    </row>
    <row r="2856" spans="1:9" x14ac:dyDescent="0.15">
      <c r="A2856" s="9">
        <v>2855</v>
      </c>
      <c r="B2856" s="10" t="s">
        <v>9</v>
      </c>
      <c r="C2856" s="10" t="s">
        <v>363</v>
      </c>
      <c r="D2856" s="10" t="s">
        <v>364</v>
      </c>
      <c r="E2856" s="11" t="str">
        <f>+HYPERLINK("http://trademark.i-assist.jp/data/china/image_1902th/79294592.pdf", "79294592")</f>
        <v>79294592</v>
      </c>
      <c r="F2856" s="10" t="s">
        <v>8007</v>
      </c>
      <c r="G2856" s="10" t="s">
        <v>8008</v>
      </c>
      <c r="H2856" s="10" t="s">
        <v>8009</v>
      </c>
      <c r="I2856" s="10" t="s">
        <v>358</v>
      </c>
    </row>
    <row r="2857" spans="1:9" x14ac:dyDescent="0.15">
      <c r="A2857" s="9">
        <v>2856</v>
      </c>
      <c r="B2857" s="10" t="s">
        <v>9</v>
      </c>
      <c r="C2857" s="10" t="s">
        <v>363</v>
      </c>
      <c r="D2857" s="10" t="s">
        <v>364</v>
      </c>
      <c r="E2857" s="11" t="str">
        <f>+HYPERLINK("http://trademark.i-assist.jp/data/china/image_1902th/79294610.pdf", "79294610")</f>
        <v>79294610</v>
      </c>
      <c r="F2857" s="10" t="s">
        <v>8010</v>
      </c>
      <c r="G2857" s="10" t="s">
        <v>8011</v>
      </c>
      <c r="H2857" s="10" t="s">
        <v>8012</v>
      </c>
      <c r="I2857" s="10" t="s">
        <v>358</v>
      </c>
    </row>
    <row r="2858" spans="1:9" x14ac:dyDescent="0.15">
      <c r="A2858" s="9">
        <v>2857</v>
      </c>
      <c r="B2858" s="10" t="s">
        <v>9</v>
      </c>
      <c r="C2858" s="10" t="s">
        <v>363</v>
      </c>
      <c r="D2858" s="10" t="s">
        <v>364</v>
      </c>
      <c r="E2858" s="11" t="str">
        <f>+HYPERLINK("http://trademark.i-assist.jp/data/china/image_1902th/79294615.pdf", "79294615")</f>
        <v>79294615</v>
      </c>
      <c r="F2858" s="10" t="s">
        <v>8013</v>
      </c>
      <c r="G2858" s="10" t="s">
        <v>7603</v>
      </c>
      <c r="H2858" s="10" t="s">
        <v>8014</v>
      </c>
      <c r="I2858" s="10" t="s">
        <v>358</v>
      </c>
    </row>
    <row r="2859" spans="1:9" x14ac:dyDescent="0.15">
      <c r="A2859" s="9">
        <v>2858</v>
      </c>
      <c r="B2859" s="10" t="s">
        <v>9</v>
      </c>
      <c r="C2859" s="10" t="s">
        <v>363</v>
      </c>
      <c r="D2859" s="10" t="s">
        <v>364</v>
      </c>
      <c r="E2859" s="11" t="str">
        <f>+HYPERLINK("http://trademark.i-assist.jp/data/china/image_1902th/79294644.pdf", "79294644")</f>
        <v>79294644</v>
      </c>
      <c r="F2859" s="10" t="s">
        <v>8015</v>
      </c>
      <c r="G2859" s="10" t="s">
        <v>303</v>
      </c>
      <c r="H2859" s="10" t="s">
        <v>8016</v>
      </c>
      <c r="I2859" s="10" t="s">
        <v>358</v>
      </c>
    </row>
    <row r="2860" spans="1:9" x14ac:dyDescent="0.15">
      <c r="A2860" s="9">
        <v>2859</v>
      </c>
      <c r="B2860" s="10" t="s">
        <v>9</v>
      </c>
      <c r="C2860" s="10" t="s">
        <v>363</v>
      </c>
      <c r="D2860" s="10" t="s">
        <v>364</v>
      </c>
      <c r="E2860" s="11" t="str">
        <f>+HYPERLINK("http://trademark.i-assist.jp/data/china/image_1902th/79294683.pdf", "79294683")</f>
        <v>79294683</v>
      </c>
      <c r="F2860" s="10" t="s">
        <v>8017</v>
      </c>
      <c r="G2860" s="10" t="s">
        <v>8018</v>
      </c>
      <c r="H2860" s="10" t="s">
        <v>8019</v>
      </c>
      <c r="I2860" s="10" t="s">
        <v>358</v>
      </c>
    </row>
    <row r="2861" spans="1:9" x14ac:dyDescent="0.15">
      <c r="A2861" s="9">
        <v>2860</v>
      </c>
      <c r="B2861" s="10" t="s">
        <v>9</v>
      </c>
      <c r="C2861" s="10" t="s">
        <v>363</v>
      </c>
      <c r="D2861" s="10" t="s">
        <v>364</v>
      </c>
      <c r="E2861" s="11" t="str">
        <f>+HYPERLINK("http://trademark.i-assist.jp/data/china/image_1902th/79294853.pdf", "79294853")</f>
        <v>79294853</v>
      </c>
      <c r="F2861" s="10" t="s">
        <v>8020</v>
      </c>
      <c r="G2861" s="10" t="s">
        <v>8021</v>
      </c>
      <c r="H2861" s="10" t="s">
        <v>8022</v>
      </c>
      <c r="I2861" s="10" t="s">
        <v>358</v>
      </c>
    </row>
    <row r="2862" spans="1:9" x14ac:dyDescent="0.15">
      <c r="A2862" s="9">
        <v>2861</v>
      </c>
      <c r="B2862" s="10" t="s">
        <v>9</v>
      </c>
      <c r="C2862" s="10" t="s">
        <v>363</v>
      </c>
      <c r="D2862" s="10" t="s">
        <v>364</v>
      </c>
      <c r="E2862" s="11" t="str">
        <f>+HYPERLINK("http://trademark.i-assist.jp/data/china/image_1902th/79294923.pdf", "79294923")</f>
        <v>79294923</v>
      </c>
      <c r="F2862" s="10" t="s">
        <v>8023</v>
      </c>
      <c r="G2862" s="10" t="s">
        <v>1120</v>
      </c>
      <c r="H2862" s="10" t="s">
        <v>8024</v>
      </c>
      <c r="I2862" s="10" t="s">
        <v>358</v>
      </c>
    </row>
    <row r="2863" spans="1:9" x14ac:dyDescent="0.15">
      <c r="A2863" s="9">
        <v>2862</v>
      </c>
      <c r="B2863" s="10" t="s">
        <v>9</v>
      </c>
      <c r="C2863" s="10" t="s">
        <v>363</v>
      </c>
      <c r="D2863" s="10" t="s">
        <v>364</v>
      </c>
      <c r="E2863" s="11" t="str">
        <f>+HYPERLINK("http://trademark.i-assist.jp/data/china/image_1902th/79294926.pdf", "79294926")</f>
        <v>79294926</v>
      </c>
      <c r="F2863" s="10" t="s">
        <v>8025</v>
      </c>
      <c r="G2863" s="10" t="s">
        <v>1120</v>
      </c>
      <c r="H2863" s="10" t="s">
        <v>8026</v>
      </c>
      <c r="I2863" s="10" t="s">
        <v>358</v>
      </c>
    </row>
    <row r="2864" spans="1:9" x14ac:dyDescent="0.15">
      <c r="A2864" s="9">
        <v>2863</v>
      </c>
      <c r="B2864" s="10" t="s">
        <v>9</v>
      </c>
      <c r="C2864" s="10" t="s">
        <v>363</v>
      </c>
      <c r="D2864" s="10" t="s">
        <v>364</v>
      </c>
      <c r="E2864" s="11" t="str">
        <f>+HYPERLINK("http://trademark.i-assist.jp/data/china/image_1902th/79294964.pdf", "79294964")</f>
        <v>79294964</v>
      </c>
      <c r="F2864" s="10" t="s">
        <v>8027</v>
      </c>
      <c r="G2864" s="10" t="s">
        <v>1120</v>
      </c>
      <c r="H2864" s="10" t="s">
        <v>8028</v>
      </c>
      <c r="I2864" s="10" t="s">
        <v>358</v>
      </c>
    </row>
    <row r="2865" spans="1:9" x14ac:dyDescent="0.15">
      <c r="A2865" s="9">
        <v>2864</v>
      </c>
      <c r="B2865" s="10" t="s">
        <v>9</v>
      </c>
      <c r="C2865" s="10" t="s">
        <v>363</v>
      </c>
      <c r="D2865" s="10" t="s">
        <v>364</v>
      </c>
      <c r="E2865" s="11" t="str">
        <f>+HYPERLINK("http://trademark.i-assist.jp/data/china/image_1902th/79295186.pdf", "79295186")</f>
        <v>79295186</v>
      </c>
      <c r="F2865" s="10" t="s">
        <v>8029</v>
      </c>
      <c r="G2865" s="10" t="s">
        <v>8030</v>
      </c>
      <c r="H2865" s="10" t="s">
        <v>8031</v>
      </c>
      <c r="I2865" s="10" t="s">
        <v>358</v>
      </c>
    </row>
    <row r="2866" spans="1:9" x14ac:dyDescent="0.15">
      <c r="A2866" s="9">
        <v>2865</v>
      </c>
      <c r="B2866" s="10" t="s">
        <v>9</v>
      </c>
      <c r="C2866" s="10" t="s">
        <v>363</v>
      </c>
      <c r="D2866" s="10" t="s">
        <v>364</v>
      </c>
      <c r="E2866" s="11" t="str">
        <f>+HYPERLINK("http://trademark.i-assist.jp/data/china/image_1902th/79295335.pdf", "79295335")</f>
        <v>79295335</v>
      </c>
      <c r="F2866" s="10" t="s">
        <v>8032</v>
      </c>
      <c r="G2866" s="10" t="s">
        <v>106</v>
      </c>
      <c r="H2866" s="10" t="s">
        <v>8033</v>
      </c>
      <c r="I2866" s="10" t="s">
        <v>358</v>
      </c>
    </row>
    <row r="2867" spans="1:9" x14ac:dyDescent="0.15">
      <c r="A2867" s="9">
        <v>2866</v>
      </c>
      <c r="B2867" s="10" t="s">
        <v>9</v>
      </c>
      <c r="C2867" s="10" t="s">
        <v>363</v>
      </c>
      <c r="D2867" s="10" t="s">
        <v>364</v>
      </c>
      <c r="E2867" s="11" t="str">
        <f>+HYPERLINK("http://trademark.i-assist.jp/data/china/image_1902th/79295569.pdf", "79295569")</f>
        <v>79295569</v>
      </c>
      <c r="F2867" s="10" t="s">
        <v>8034</v>
      </c>
      <c r="G2867" s="10" t="s">
        <v>7909</v>
      </c>
      <c r="H2867" s="10" t="s">
        <v>8035</v>
      </c>
      <c r="I2867" s="10" t="s">
        <v>358</v>
      </c>
    </row>
    <row r="2868" spans="1:9" x14ac:dyDescent="0.15">
      <c r="A2868" s="9">
        <v>2867</v>
      </c>
      <c r="B2868" s="10" t="s">
        <v>9</v>
      </c>
      <c r="C2868" s="10" t="s">
        <v>363</v>
      </c>
      <c r="D2868" s="10" t="s">
        <v>364</v>
      </c>
      <c r="E2868" s="11" t="str">
        <f>+HYPERLINK("http://trademark.i-assist.jp/data/china/image_1902th/79295594.pdf", "79295594")</f>
        <v>79295594</v>
      </c>
      <c r="F2868" s="10" t="s">
        <v>8036</v>
      </c>
      <c r="G2868" s="10" t="s">
        <v>8037</v>
      </c>
      <c r="H2868" s="10" t="s">
        <v>8038</v>
      </c>
      <c r="I2868" s="10" t="s">
        <v>358</v>
      </c>
    </row>
    <row r="2869" spans="1:9" x14ac:dyDescent="0.15">
      <c r="A2869" s="9">
        <v>2868</v>
      </c>
      <c r="B2869" s="10" t="s">
        <v>9</v>
      </c>
      <c r="C2869" s="10" t="s">
        <v>363</v>
      </c>
      <c r="D2869" s="10" t="s">
        <v>364</v>
      </c>
      <c r="E2869" s="11" t="str">
        <f>+HYPERLINK("http://trademark.i-assist.jp/data/china/image_1902th/79295711.pdf", "79295711")</f>
        <v>79295711</v>
      </c>
      <c r="F2869" s="10" t="s">
        <v>8039</v>
      </c>
      <c r="G2869" s="10" t="s">
        <v>8040</v>
      </c>
      <c r="H2869" s="10" t="s">
        <v>8041</v>
      </c>
      <c r="I2869" s="10" t="s">
        <v>358</v>
      </c>
    </row>
    <row r="2870" spans="1:9" x14ac:dyDescent="0.15">
      <c r="A2870" s="9">
        <v>2869</v>
      </c>
      <c r="B2870" s="10" t="s">
        <v>9</v>
      </c>
      <c r="C2870" s="10" t="s">
        <v>363</v>
      </c>
      <c r="D2870" s="10" t="s">
        <v>364</v>
      </c>
      <c r="E2870" s="11" t="str">
        <f>+HYPERLINK("http://trademark.i-assist.jp/data/china/image_1902th/79295968.pdf", "79295968")</f>
        <v>79295968</v>
      </c>
      <c r="F2870" s="10" t="s">
        <v>8042</v>
      </c>
      <c r="G2870" s="10" t="s">
        <v>7789</v>
      </c>
      <c r="H2870" s="10" t="s">
        <v>8043</v>
      </c>
      <c r="I2870" s="10" t="s">
        <v>358</v>
      </c>
    </row>
    <row r="2871" spans="1:9" x14ac:dyDescent="0.15">
      <c r="A2871" s="9">
        <v>2870</v>
      </c>
      <c r="B2871" s="10" t="s">
        <v>9</v>
      </c>
      <c r="C2871" s="10" t="s">
        <v>363</v>
      </c>
      <c r="D2871" s="10" t="s">
        <v>364</v>
      </c>
      <c r="E2871" s="11" t="str">
        <f>+HYPERLINK("http://trademark.i-assist.jp/data/china/image_1902th/79296129.pdf", "79296129")</f>
        <v>79296129</v>
      </c>
      <c r="F2871" s="10" t="s">
        <v>8044</v>
      </c>
      <c r="G2871" s="10" t="s">
        <v>1120</v>
      </c>
      <c r="H2871" s="10" t="s">
        <v>8045</v>
      </c>
      <c r="I2871" s="10" t="s">
        <v>358</v>
      </c>
    </row>
    <row r="2872" spans="1:9" x14ac:dyDescent="0.15">
      <c r="A2872" s="9">
        <v>2871</v>
      </c>
      <c r="B2872" s="10" t="s">
        <v>9</v>
      </c>
      <c r="C2872" s="10" t="s">
        <v>363</v>
      </c>
      <c r="D2872" s="10" t="s">
        <v>364</v>
      </c>
      <c r="E2872" s="11" t="str">
        <f>+HYPERLINK("http://trademark.i-assist.jp/data/china/image_1902th/79296278.pdf", "79296278")</f>
        <v>79296278</v>
      </c>
      <c r="F2872" s="10" t="s">
        <v>8046</v>
      </c>
      <c r="G2872" s="10" t="s">
        <v>325</v>
      </c>
      <c r="H2872" s="10" t="s">
        <v>8047</v>
      </c>
      <c r="I2872" s="10" t="s">
        <v>358</v>
      </c>
    </row>
    <row r="2873" spans="1:9" x14ac:dyDescent="0.15">
      <c r="A2873" s="9">
        <v>2872</v>
      </c>
      <c r="B2873" s="10" t="s">
        <v>9</v>
      </c>
      <c r="C2873" s="10" t="s">
        <v>363</v>
      </c>
      <c r="D2873" s="10" t="s">
        <v>364</v>
      </c>
      <c r="E2873" s="11" t="str">
        <f>+HYPERLINK("http://trademark.i-assist.jp/data/china/image_1902th/79296416.pdf", "79296416")</f>
        <v>79296416</v>
      </c>
      <c r="F2873" s="10" t="s">
        <v>8048</v>
      </c>
      <c r="G2873" s="10" t="s">
        <v>2014</v>
      </c>
      <c r="H2873" s="10" t="s">
        <v>8049</v>
      </c>
      <c r="I2873" s="10" t="s">
        <v>358</v>
      </c>
    </row>
    <row r="2874" spans="1:9" x14ac:dyDescent="0.15">
      <c r="A2874" s="9">
        <v>2873</v>
      </c>
      <c r="B2874" s="10" t="s">
        <v>9</v>
      </c>
      <c r="C2874" s="10" t="s">
        <v>363</v>
      </c>
      <c r="D2874" s="10" t="s">
        <v>364</v>
      </c>
      <c r="E2874" s="11" t="str">
        <f>+HYPERLINK("http://trademark.i-assist.jp/data/china/image_1902th/79297401.pdf", "79297401")</f>
        <v>79297401</v>
      </c>
      <c r="F2874" s="10" t="s">
        <v>8050</v>
      </c>
      <c r="G2874" s="10" t="s">
        <v>362</v>
      </c>
      <c r="H2874" s="10" t="s">
        <v>8051</v>
      </c>
      <c r="I2874" s="10" t="s">
        <v>358</v>
      </c>
    </row>
    <row r="2875" spans="1:9" x14ac:dyDescent="0.15">
      <c r="A2875" s="9">
        <v>2874</v>
      </c>
      <c r="B2875" s="10" t="s">
        <v>9</v>
      </c>
      <c r="C2875" s="10" t="s">
        <v>363</v>
      </c>
      <c r="D2875" s="10" t="s">
        <v>364</v>
      </c>
      <c r="E2875" s="11" t="str">
        <f>+HYPERLINK("http://trademark.i-assist.jp/data/china/image_1902th/79297408.pdf", "79297408")</f>
        <v>79297408</v>
      </c>
      <c r="F2875" s="10" t="s">
        <v>8052</v>
      </c>
      <c r="G2875" s="10" t="s">
        <v>8053</v>
      </c>
      <c r="H2875" s="10" t="s">
        <v>8054</v>
      </c>
      <c r="I2875" s="10" t="s">
        <v>360</v>
      </c>
    </row>
    <row r="2876" spans="1:9" x14ac:dyDescent="0.15">
      <c r="A2876" s="9">
        <v>2875</v>
      </c>
      <c r="B2876" s="10" t="s">
        <v>9</v>
      </c>
      <c r="C2876" s="10" t="s">
        <v>363</v>
      </c>
      <c r="D2876" s="10" t="s">
        <v>364</v>
      </c>
      <c r="E2876" s="11" t="str">
        <f>+HYPERLINK("http://trademark.i-assist.jp/data/china/image_1902th/79297428.pdf", "79297428")</f>
        <v>79297428</v>
      </c>
      <c r="F2876" s="10" t="s">
        <v>8055</v>
      </c>
      <c r="G2876" s="10" t="s">
        <v>8056</v>
      </c>
      <c r="H2876" s="10" t="s">
        <v>8057</v>
      </c>
      <c r="I2876" s="10" t="s">
        <v>360</v>
      </c>
    </row>
    <row r="2877" spans="1:9" x14ac:dyDescent="0.15">
      <c r="A2877" s="9">
        <v>2876</v>
      </c>
      <c r="B2877" s="10" t="s">
        <v>9</v>
      </c>
      <c r="C2877" s="10" t="s">
        <v>363</v>
      </c>
      <c r="D2877" s="10" t="s">
        <v>364</v>
      </c>
      <c r="E2877" s="11" t="str">
        <f>+HYPERLINK("http://trademark.i-assist.jp/data/china/image_1902th/79297521.pdf", "79297521")</f>
        <v>79297521</v>
      </c>
      <c r="F2877" s="10" t="s">
        <v>8058</v>
      </c>
      <c r="G2877" s="10" t="s">
        <v>8059</v>
      </c>
      <c r="H2877" s="10" t="s">
        <v>8060</v>
      </c>
      <c r="I2877" s="10" t="s">
        <v>360</v>
      </c>
    </row>
    <row r="2878" spans="1:9" x14ac:dyDescent="0.15">
      <c r="A2878" s="9">
        <v>2877</v>
      </c>
      <c r="B2878" s="10" t="s">
        <v>9</v>
      </c>
      <c r="C2878" s="10" t="s">
        <v>363</v>
      </c>
      <c r="D2878" s="10" t="s">
        <v>364</v>
      </c>
      <c r="E2878" s="11" t="str">
        <f>+HYPERLINK("http://trademark.i-assist.jp/data/china/image_1902th/79297593.pdf", "79297593")</f>
        <v>79297593</v>
      </c>
      <c r="F2878" s="10" t="s">
        <v>8061</v>
      </c>
      <c r="G2878" s="10" t="s">
        <v>50</v>
      </c>
      <c r="H2878" s="10" t="s">
        <v>8062</v>
      </c>
      <c r="I2878" s="10" t="s">
        <v>360</v>
      </c>
    </row>
    <row r="2879" spans="1:9" x14ac:dyDescent="0.15">
      <c r="A2879" s="9">
        <v>2878</v>
      </c>
      <c r="B2879" s="10" t="s">
        <v>9</v>
      </c>
      <c r="C2879" s="10" t="s">
        <v>363</v>
      </c>
      <c r="D2879" s="10" t="s">
        <v>364</v>
      </c>
      <c r="E2879" s="11" t="str">
        <f>+HYPERLINK("http://trademark.i-assist.jp/data/china/image_1902th/79297675.pdf", "79297675")</f>
        <v>79297675</v>
      </c>
      <c r="F2879" s="10" t="s">
        <v>8063</v>
      </c>
      <c r="G2879" s="10" t="s">
        <v>8064</v>
      </c>
      <c r="H2879" s="10" t="s">
        <v>8065</v>
      </c>
      <c r="I2879" s="10" t="s">
        <v>360</v>
      </c>
    </row>
    <row r="2880" spans="1:9" x14ac:dyDescent="0.15">
      <c r="A2880" s="9">
        <v>2879</v>
      </c>
      <c r="B2880" s="10" t="s">
        <v>9</v>
      </c>
      <c r="C2880" s="10" t="s">
        <v>363</v>
      </c>
      <c r="D2880" s="10" t="s">
        <v>364</v>
      </c>
      <c r="E2880" s="11" t="str">
        <f>+HYPERLINK("http://trademark.i-assist.jp/data/china/image_1902th/79297771.pdf", "79297771")</f>
        <v>79297771</v>
      </c>
      <c r="F2880" s="10" t="s">
        <v>8066</v>
      </c>
      <c r="G2880" s="10" t="s">
        <v>8067</v>
      </c>
      <c r="H2880" s="10" t="s">
        <v>8068</v>
      </c>
      <c r="I2880" s="10" t="s">
        <v>360</v>
      </c>
    </row>
    <row r="2881" spans="1:9" x14ac:dyDescent="0.15">
      <c r="A2881" s="9">
        <v>2880</v>
      </c>
      <c r="B2881" s="10" t="s">
        <v>9</v>
      </c>
      <c r="C2881" s="10" t="s">
        <v>363</v>
      </c>
      <c r="D2881" s="10" t="s">
        <v>364</v>
      </c>
      <c r="E2881" s="11" t="str">
        <f>+HYPERLINK("http://trademark.i-assist.jp/data/china/image_1902th/79297778.pdf", "79297778")</f>
        <v>79297778</v>
      </c>
      <c r="F2881" s="10" t="s">
        <v>8069</v>
      </c>
      <c r="G2881" s="10" t="s">
        <v>8070</v>
      </c>
      <c r="H2881" s="10" t="s">
        <v>8071</v>
      </c>
      <c r="I2881" s="10" t="s">
        <v>360</v>
      </c>
    </row>
    <row r="2882" spans="1:9" x14ac:dyDescent="0.15">
      <c r="A2882" s="9">
        <v>2881</v>
      </c>
      <c r="B2882" s="10" t="s">
        <v>9</v>
      </c>
      <c r="C2882" s="10" t="s">
        <v>363</v>
      </c>
      <c r="D2882" s="10" t="s">
        <v>364</v>
      </c>
      <c r="E2882" s="11" t="str">
        <f>+HYPERLINK("http://trademark.i-assist.jp/data/china/image_1902th/79297797.pdf", "79297797")</f>
        <v>79297797</v>
      </c>
      <c r="F2882" s="10" t="s">
        <v>8072</v>
      </c>
      <c r="G2882" s="10" t="s">
        <v>8073</v>
      </c>
      <c r="H2882" s="10" t="s">
        <v>8074</v>
      </c>
      <c r="I2882" s="10" t="s">
        <v>360</v>
      </c>
    </row>
    <row r="2883" spans="1:9" x14ac:dyDescent="0.15">
      <c r="A2883" s="9">
        <v>2882</v>
      </c>
      <c r="B2883" s="10" t="s">
        <v>9</v>
      </c>
      <c r="C2883" s="10" t="s">
        <v>363</v>
      </c>
      <c r="D2883" s="10" t="s">
        <v>364</v>
      </c>
      <c r="E2883" s="11" t="str">
        <f>+HYPERLINK("http://trademark.i-assist.jp/data/china/image_1902th/79297817.pdf", "79297817")</f>
        <v>79297817</v>
      </c>
      <c r="F2883" s="10" t="s">
        <v>8075</v>
      </c>
      <c r="G2883" s="10" t="s">
        <v>8076</v>
      </c>
      <c r="H2883" s="10" t="s">
        <v>8077</v>
      </c>
      <c r="I2883" s="10" t="s">
        <v>360</v>
      </c>
    </row>
    <row r="2884" spans="1:9" x14ac:dyDescent="0.15">
      <c r="A2884" s="9">
        <v>2883</v>
      </c>
      <c r="B2884" s="10" t="s">
        <v>9</v>
      </c>
      <c r="C2884" s="10" t="s">
        <v>363</v>
      </c>
      <c r="D2884" s="10" t="s">
        <v>364</v>
      </c>
      <c r="E2884" s="11" t="str">
        <f>+HYPERLINK("http://trademark.i-assist.jp/data/china/image_1902th/79297862.pdf", "79297862")</f>
        <v>79297862</v>
      </c>
      <c r="F2884" s="10" t="s">
        <v>8078</v>
      </c>
      <c r="G2884" s="10" t="s">
        <v>8079</v>
      </c>
      <c r="H2884" s="10" t="s">
        <v>8080</v>
      </c>
      <c r="I2884" s="10" t="s">
        <v>360</v>
      </c>
    </row>
    <row r="2885" spans="1:9" x14ac:dyDescent="0.15">
      <c r="A2885" s="9">
        <v>2884</v>
      </c>
      <c r="B2885" s="10" t="s">
        <v>9</v>
      </c>
      <c r="C2885" s="10" t="s">
        <v>363</v>
      </c>
      <c r="D2885" s="10" t="s">
        <v>364</v>
      </c>
      <c r="E2885" s="11" t="str">
        <f>+HYPERLINK("http://trademark.i-assist.jp/data/china/image_1902th/79297889.pdf", "79297889")</f>
        <v>79297889</v>
      </c>
      <c r="F2885" s="10" t="s">
        <v>8081</v>
      </c>
      <c r="G2885" s="10" t="s">
        <v>8082</v>
      </c>
      <c r="H2885" s="10" t="s">
        <v>8083</v>
      </c>
      <c r="I2885" s="10" t="s">
        <v>360</v>
      </c>
    </row>
    <row r="2886" spans="1:9" x14ac:dyDescent="0.15">
      <c r="A2886" s="9">
        <v>2885</v>
      </c>
      <c r="B2886" s="10" t="s">
        <v>9</v>
      </c>
      <c r="C2886" s="10" t="s">
        <v>363</v>
      </c>
      <c r="D2886" s="10" t="s">
        <v>364</v>
      </c>
      <c r="E2886" s="11" t="str">
        <f>+HYPERLINK("http://trademark.i-assist.jp/data/china/image_1902th/79297966.pdf", "79297966")</f>
        <v>79297966</v>
      </c>
      <c r="F2886" s="10" t="s">
        <v>8084</v>
      </c>
      <c r="G2886" s="10" t="s">
        <v>8085</v>
      </c>
      <c r="H2886" s="10" t="s">
        <v>8086</v>
      </c>
      <c r="I2886" s="10" t="s">
        <v>360</v>
      </c>
    </row>
    <row r="2887" spans="1:9" x14ac:dyDescent="0.15">
      <c r="A2887" s="9">
        <v>2886</v>
      </c>
      <c r="B2887" s="10" t="s">
        <v>9</v>
      </c>
      <c r="C2887" s="10" t="s">
        <v>363</v>
      </c>
      <c r="D2887" s="10" t="s">
        <v>364</v>
      </c>
      <c r="E2887" s="11" t="str">
        <f>+HYPERLINK("http://trademark.i-assist.jp/data/china/image_1902th/79298071.pdf", "79298071")</f>
        <v>79298071</v>
      </c>
      <c r="F2887" s="10" t="s">
        <v>8087</v>
      </c>
      <c r="G2887" s="10" t="s">
        <v>8088</v>
      </c>
      <c r="H2887" s="10" t="s">
        <v>8089</v>
      </c>
      <c r="I2887" s="10" t="s">
        <v>360</v>
      </c>
    </row>
    <row r="2888" spans="1:9" x14ac:dyDescent="0.15">
      <c r="A2888" s="9">
        <v>2887</v>
      </c>
      <c r="B2888" s="10" t="s">
        <v>9</v>
      </c>
      <c r="C2888" s="10" t="s">
        <v>363</v>
      </c>
      <c r="D2888" s="10" t="s">
        <v>364</v>
      </c>
      <c r="E2888" s="11" t="str">
        <f>+HYPERLINK("http://trademark.i-assist.jp/data/china/image_1902th/79298159.pdf", "79298159")</f>
        <v>79298159</v>
      </c>
      <c r="F2888" s="10" t="s">
        <v>8090</v>
      </c>
      <c r="G2888" s="10" t="s">
        <v>8091</v>
      </c>
      <c r="H2888" s="10" t="s">
        <v>8092</v>
      </c>
      <c r="I2888" s="10" t="s">
        <v>360</v>
      </c>
    </row>
    <row r="2889" spans="1:9" x14ac:dyDescent="0.15">
      <c r="A2889" s="9">
        <v>2888</v>
      </c>
      <c r="B2889" s="10" t="s">
        <v>9</v>
      </c>
      <c r="C2889" s="10" t="s">
        <v>363</v>
      </c>
      <c r="D2889" s="10" t="s">
        <v>364</v>
      </c>
      <c r="E2889" s="11" t="str">
        <f>+HYPERLINK("http://trademark.i-assist.jp/data/china/image_1902th/79298349.pdf", "79298349")</f>
        <v>79298349</v>
      </c>
      <c r="F2889" s="10" t="s">
        <v>8093</v>
      </c>
      <c r="G2889" s="10" t="s">
        <v>8094</v>
      </c>
      <c r="H2889" s="10" t="s">
        <v>8095</v>
      </c>
      <c r="I2889" s="10" t="s">
        <v>360</v>
      </c>
    </row>
    <row r="2890" spans="1:9" x14ac:dyDescent="0.15">
      <c r="A2890" s="9">
        <v>2889</v>
      </c>
      <c r="B2890" s="10" t="s">
        <v>9</v>
      </c>
      <c r="C2890" s="10" t="s">
        <v>363</v>
      </c>
      <c r="D2890" s="10" t="s">
        <v>364</v>
      </c>
      <c r="E2890" s="11" t="str">
        <f>+HYPERLINK("http://trademark.i-assist.jp/data/china/image_1902th/79298417.pdf", "79298417")</f>
        <v>79298417</v>
      </c>
      <c r="F2890" s="10" t="s">
        <v>8096</v>
      </c>
      <c r="G2890" s="10" t="s">
        <v>8097</v>
      </c>
      <c r="H2890" s="10" t="s">
        <v>8098</v>
      </c>
      <c r="I2890" s="10" t="s">
        <v>360</v>
      </c>
    </row>
    <row r="2891" spans="1:9" x14ac:dyDescent="0.15">
      <c r="A2891" s="9">
        <v>2890</v>
      </c>
      <c r="B2891" s="10" t="s">
        <v>9</v>
      </c>
      <c r="C2891" s="10" t="s">
        <v>363</v>
      </c>
      <c r="D2891" s="10" t="s">
        <v>364</v>
      </c>
      <c r="E2891" s="11" t="str">
        <f>+HYPERLINK("http://trademark.i-assist.jp/data/china/image_1902th/79298495.pdf", "79298495")</f>
        <v>79298495</v>
      </c>
      <c r="F2891" s="10" t="s">
        <v>8099</v>
      </c>
      <c r="G2891" s="10" t="s">
        <v>8100</v>
      </c>
      <c r="H2891" s="10" t="s">
        <v>8101</v>
      </c>
      <c r="I2891" s="10" t="s">
        <v>360</v>
      </c>
    </row>
    <row r="2892" spans="1:9" x14ac:dyDescent="0.15">
      <c r="A2892" s="9">
        <v>2891</v>
      </c>
      <c r="B2892" s="10" t="s">
        <v>9</v>
      </c>
      <c r="C2892" s="10" t="s">
        <v>363</v>
      </c>
      <c r="D2892" s="10" t="s">
        <v>364</v>
      </c>
      <c r="E2892" s="11" t="str">
        <f>+HYPERLINK("http://trademark.i-assist.jp/data/china/image_1902th/79298726.pdf", "79298726")</f>
        <v>79298726</v>
      </c>
      <c r="F2892" s="10" t="s">
        <v>8102</v>
      </c>
      <c r="G2892" s="10" t="s">
        <v>8103</v>
      </c>
      <c r="H2892" s="10" t="s">
        <v>8104</v>
      </c>
      <c r="I2892" s="10" t="s">
        <v>360</v>
      </c>
    </row>
    <row r="2893" spans="1:9" x14ac:dyDescent="0.15">
      <c r="A2893" s="9">
        <v>2892</v>
      </c>
      <c r="B2893" s="10" t="s">
        <v>9</v>
      </c>
      <c r="C2893" s="10" t="s">
        <v>363</v>
      </c>
      <c r="D2893" s="10" t="s">
        <v>364</v>
      </c>
      <c r="E2893" s="11" t="str">
        <f>+HYPERLINK("http://trademark.i-assist.jp/data/china/image_1902th/79298876.pdf", "79298876")</f>
        <v>79298876</v>
      </c>
      <c r="F2893" s="10" t="s">
        <v>8105</v>
      </c>
      <c r="G2893" s="10" t="s">
        <v>8106</v>
      </c>
      <c r="H2893" s="10" t="s">
        <v>8107</v>
      </c>
      <c r="I2893" s="10" t="s">
        <v>360</v>
      </c>
    </row>
    <row r="2894" spans="1:9" x14ac:dyDescent="0.15">
      <c r="A2894" s="9">
        <v>2893</v>
      </c>
      <c r="B2894" s="10" t="s">
        <v>9</v>
      </c>
      <c r="C2894" s="10" t="s">
        <v>363</v>
      </c>
      <c r="D2894" s="10" t="s">
        <v>364</v>
      </c>
      <c r="E2894" s="11" t="str">
        <f>+HYPERLINK("http://trademark.i-assist.jp/data/china/image_1902th/79299146.pdf", "79299146")</f>
        <v>79299146</v>
      </c>
      <c r="F2894" s="10" t="s">
        <v>8108</v>
      </c>
      <c r="G2894" s="10" t="s">
        <v>8109</v>
      </c>
      <c r="H2894" s="10" t="s">
        <v>8110</v>
      </c>
      <c r="I2894" s="10" t="s">
        <v>360</v>
      </c>
    </row>
    <row r="2895" spans="1:9" x14ac:dyDescent="0.15">
      <c r="A2895" s="9">
        <v>2894</v>
      </c>
      <c r="B2895" s="10" t="s">
        <v>9</v>
      </c>
      <c r="C2895" s="10" t="s">
        <v>363</v>
      </c>
      <c r="D2895" s="10" t="s">
        <v>364</v>
      </c>
      <c r="E2895" s="11" t="str">
        <f>+HYPERLINK("http://trademark.i-assist.jp/data/china/image_1902th/79299154.pdf", "79299154")</f>
        <v>79299154</v>
      </c>
      <c r="F2895" s="10" t="s">
        <v>8111</v>
      </c>
      <c r="G2895" s="10" t="s">
        <v>8112</v>
      </c>
      <c r="H2895" s="10" t="s">
        <v>8113</v>
      </c>
      <c r="I2895" s="10" t="s">
        <v>360</v>
      </c>
    </row>
    <row r="2896" spans="1:9" x14ac:dyDescent="0.15">
      <c r="A2896" s="9">
        <v>2895</v>
      </c>
      <c r="B2896" s="10" t="s">
        <v>9</v>
      </c>
      <c r="C2896" s="10" t="s">
        <v>363</v>
      </c>
      <c r="D2896" s="10" t="s">
        <v>364</v>
      </c>
      <c r="E2896" s="11" t="str">
        <f>+HYPERLINK("http://trademark.i-assist.jp/data/china/image_1902th/79299218.pdf", "79299218")</f>
        <v>79299218</v>
      </c>
      <c r="F2896" s="10" t="s">
        <v>8114</v>
      </c>
      <c r="G2896" s="10" t="s">
        <v>8115</v>
      </c>
      <c r="H2896" s="10" t="s">
        <v>8116</v>
      </c>
      <c r="I2896" s="10" t="s">
        <v>360</v>
      </c>
    </row>
    <row r="2897" spans="1:9" x14ac:dyDescent="0.15">
      <c r="A2897" s="9">
        <v>2896</v>
      </c>
      <c r="B2897" s="10" t="s">
        <v>9</v>
      </c>
      <c r="C2897" s="10" t="s">
        <v>363</v>
      </c>
      <c r="D2897" s="10" t="s">
        <v>364</v>
      </c>
      <c r="E2897" s="11" t="str">
        <f>+HYPERLINK("http://trademark.i-assist.jp/data/china/image_1902th/79299245.pdf", "79299245")</f>
        <v>79299245</v>
      </c>
      <c r="F2897" s="10" t="s">
        <v>8117</v>
      </c>
      <c r="G2897" s="10" t="s">
        <v>8118</v>
      </c>
      <c r="H2897" s="10" t="s">
        <v>8119</v>
      </c>
      <c r="I2897" s="10" t="s">
        <v>360</v>
      </c>
    </row>
    <row r="2898" spans="1:9" x14ac:dyDescent="0.15">
      <c r="A2898" s="9">
        <v>2897</v>
      </c>
      <c r="B2898" s="10" t="s">
        <v>9</v>
      </c>
      <c r="C2898" s="10" t="s">
        <v>363</v>
      </c>
      <c r="D2898" s="10" t="s">
        <v>364</v>
      </c>
      <c r="E2898" s="11" t="str">
        <f>+HYPERLINK("http://trademark.i-assist.jp/data/china/image_1902th/79299825.pdf", "79299825")</f>
        <v>79299825</v>
      </c>
      <c r="F2898" s="10" t="s">
        <v>8120</v>
      </c>
      <c r="G2898" s="10" t="s">
        <v>8121</v>
      </c>
      <c r="H2898" s="10" t="s">
        <v>8122</v>
      </c>
      <c r="I2898" s="10" t="s">
        <v>360</v>
      </c>
    </row>
    <row r="2899" spans="1:9" x14ac:dyDescent="0.15">
      <c r="A2899" s="9">
        <v>2898</v>
      </c>
      <c r="B2899" s="10" t="s">
        <v>9</v>
      </c>
      <c r="C2899" s="10" t="s">
        <v>363</v>
      </c>
      <c r="D2899" s="10" t="s">
        <v>364</v>
      </c>
      <c r="E2899" s="11" t="str">
        <f>+HYPERLINK("http://trademark.i-assist.jp/data/china/image_1902th/79299835.pdf", "79299835")</f>
        <v>79299835</v>
      </c>
      <c r="F2899" s="10" t="s">
        <v>8123</v>
      </c>
      <c r="G2899" s="10" t="s">
        <v>8124</v>
      </c>
      <c r="H2899" s="10" t="s">
        <v>8125</v>
      </c>
      <c r="I2899" s="10" t="s">
        <v>360</v>
      </c>
    </row>
    <row r="2900" spans="1:9" x14ac:dyDescent="0.15">
      <c r="A2900" s="9">
        <v>2899</v>
      </c>
      <c r="B2900" s="10" t="s">
        <v>9</v>
      </c>
      <c r="C2900" s="10" t="s">
        <v>363</v>
      </c>
      <c r="D2900" s="10" t="s">
        <v>364</v>
      </c>
      <c r="E2900" s="11" t="str">
        <f>+HYPERLINK("http://trademark.i-assist.jp/data/china/image_1902th/79299888.pdf", "79299888")</f>
        <v>79299888</v>
      </c>
      <c r="F2900" s="10" t="s">
        <v>8126</v>
      </c>
      <c r="G2900" s="10" t="s">
        <v>8127</v>
      </c>
      <c r="H2900" s="10" t="s">
        <v>8128</v>
      </c>
      <c r="I2900" s="10" t="s">
        <v>360</v>
      </c>
    </row>
    <row r="2901" spans="1:9" x14ac:dyDescent="0.15">
      <c r="A2901" s="9">
        <v>2900</v>
      </c>
      <c r="B2901" s="10" t="s">
        <v>9</v>
      </c>
      <c r="C2901" s="10" t="s">
        <v>363</v>
      </c>
      <c r="D2901" s="10" t="s">
        <v>364</v>
      </c>
      <c r="E2901" s="11" t="str">
        <f>+HYPERLINK("http://trademark.i-assist.jp/data/china/image_1902th/79299947.pdf", "79299947")</f>
        <v>79299947</v>
      </c>
      <c r="F2901" s="10" t="s">
        <v>8129</v>
      </c>
      <c r="G2901" s="10" t="s">
        <v>8127</v>
      </c>
      <c r="H2901" s="10" t="s">
        <v>8130</v>
      </c>
      <c r="I2901" s="10" t="s">
        <v>360</v>
      </c>
    </row>
    <row r="2902" spans="1:9" x14ac:dyDescent="0.15">
      <c r="A2902" s="9">
        <v>2901</v>
      </c>
      <c r="B2902" s="10" t="s">
        <v>9</v>
      </c>
      <c r="C2902" s="10" t="s">
        <v>363</v>
      </c>
      <c r="D2902" s="10" t="s">
        <v>364</v>
      </c>
      <c r="E2902" s="11" t="str">
        <f>+HYPERLINK("http://trademark.i-assist.jp/data/china/image_1902th/79300000.pdf", "79300000")</f>
        <v>79300000</v>
      </c>
      <c r="F2902" s="10" t="s">
        <v>8131</v>
      </c>
      <c r="G2902" s="10" t="s">
        <v>8132</v>
      </c>
      <c r="H2902" s="10" t="s">
        <v>8133</v>
      </c>
      <c r="I2902" s="10" t="s">
        <v>360</v>
      </c>
    </row>
    <row r="2903" spans="1:9" x14ac:dyDescent="0.15">
      <c r="A2903" s="9">
        <v>2902</v>
      </c>
      <c r="B2903" s="10" t="s">
        <v>9</v>
      </c>
      <c r="C2903" s="10" t="s">
        <v>363</v>
      </c>
      <c r="D2903" s="10" t="s">
        <v>364</v>
      </c>
      <c r="E2903" s="11" t="str">
        <f>+HYPERLINK("http://trademark.i-assist.jp/data/china/image_1902th/79300071.pdf", "79300071")</f>
        <v>79300071</v>
      </c>
      <c r="F2903" s="10" t="s">
        <v>12</v>
      </c>
      <c r="G2903" s="10" t="s">
        <v>8134</v>
      </c>
      <c r="H2903" s="10" t="s">
        <v>8135</v>
      </c>
      <c r="I2903" s="10" t="s">
        <v>360</v>
      </c>
    </row>
    <row r="2904" spans="1:9" x14ac:dyDescent="0.15">
      <c r="A2904" s="9">
        <v>2903</v>
      </c>
      <c r="B2904" s="10" t="s">
        <v>9</v>
      </c>
      <c r="C2904" s="10" t="s">
        <v>363</v>
      </c>
      <c r="D2904" s="10" t="s">
        <v>364</v>
      </c>
      <c r="E2904" s="11" t="str">
        <f>+HYPERLINK("http://trademark.i-assist.jp/data/china/image_1902th/79300085.pdf", "79300085")</f>
        <v>79300085</v>
      </c>
      <c r="F2904" s="10" t="s">
        <v>8136</v>
      </c>
      <c r="G2904" s="10" t="s">
        <v>8079</v>
      </c>
      <c r="H2904" s="10" t="s">
        <v>8137</v>
      </c>
      <c r="I2904" s="10" t="s">
        <v>360</v>
      </c>
    </row>
    <row r="2905" spans="1:9" x14ac:dyDescent="0.15">
      <c r="A2905" s="9">
        <v>2904</v>
      </c>
      <c r="B2905" s="10" t="s">
        <v>9</v>
      </c>
      <c r="C2905" s="10" t="s">
        <v>363</v>
      </c>
      <c r="D2905" s="10" t="s">
        <v>364</v>
      </c>
      <c r="E2905" s="11" t="str">
        <f>+HYPERLINK("http://trademark.i-assist.jp/data/china/image_1902th/79300106.pdf", "79300106")</f>
        <v>79300106</v>
      </c>
      <c r="F2905" s="10" t="s">
        <v>12</v>
      </c>
      <c r="G2905" s="10" t="s">
        <v>8138</v>
      </c>
      <c r="H2905" s="10" t="s">
        <v>8139</v>
      </c>
      <c r="I2905" s="10" t="s">
        <v>360</v>
      </c>
    </row>
    <row r="2906" spans="1:9" x14ac:dyDescent="0.15">
      <c r="A2906" s="9">
        <v>2905</v>
      </c>
      <c r="B2906" s="10" t="s">
        <v>9</v>
      </c>
      <c r="C2906" s="10" t="s">
        <v>363</v>
      </c>
      <c r="D2906" s="10" t="s">
        <v>364</v>
      </c>
      <c r="E2906" s="11" t="str">
        <f>+HYPERLINK("http://trademark.i-assist.jp/data/china/image_1902th/79300275.pdf", "79300275")</f>
        <v>79300275</v>
      </c>
      <c r="F2906" s="10" t="s">
        <v>8140</v>
      </c>
      <c r="G2906" s="10" t="s">
        <v>8141</v>
      </c>
      <c r="H2906" s="10" t="s">
        <v>8142</v>
      </c>
      <c r="I2906" s="10" t="s">
        <v>360</v>
      </c>
    </row>
    <row r="2907" spans="1:9" x14ac:dyDescent="0.15">
      <c r="A2907" s="9">
        <v>2906</v>
      </c>
      <c r="B2907" s="10" t="s">
        <v>9</v>
      </c>
      <c r="C2907" s="10" t="s">
        <v>363</v>
      </c>
      <c r="D2907" s="10" t="s">
        <v>364</v>
      </c>
      <c r="E2907" s="11" t="str">
        <f>+HYPERLINK("http://trademark.i-assist.jp/data/china/image_1902th/79300462.pdf", "79300462")</f>
        <v>79300462</v>
      </c>
      <c r="F2907" s="10" t="s">
        <v>8143</v>
      </c>
      <c r="G2907" s="10" t="s">
        <v>8144</v>
      </c>
      <c r="H2907" s="10" t="s">
        <v>8145</v>
      </c>
      <c r="I2907" s="10" t="s">
        <v>360</v>
      </c>
    </row>
    <row r="2908" spans="1:9" x14ac:dyDescent="0.15">
      <c r="A2908" s="9">
        <v>2907</v>
      </c>
      <c r="B2908" s="10" t="s">
        <v>9</v>
      </c>
      <c r="C2908" s="10" t="s">
        <v>363</v>
      </c>
      <c r="D2908" s="10" t="s">
        <v>364</v>
      </c>
      <c r="E2908" s="11" t="str">
        <f>+HYPERLINK("http://trademark.i-assist.jp/data/china/image_1902th/79300487.pdf", "79300487")</f>
        <v>79300487</v>
      </c>
      <c r="F2908" s="10" t="s">
        <v>8146</v>
      </c>
      <c r="G2908" s="10" t="s">
        <v>8127</v>
      </c>
      <c r="H2908" s="10" t="s">
        <v>8147</v>
      </c>
      <c r="I2908" s="10" t="s">
        <v>360</v>
      </c>
    </row>
    <row r="2909" spans="1:9" x14ac:dyDescent="0.15">
      <c r="A2909" s="9">
        <v>2908</v>
      </c>
      <c r="B2909" s="10" t="s">
        <v>9</v>
      </c>
      <c r="C2909" s="10" t="s">
        <v>363</v>
      </c>
      <c r="D2909" s="10" t="s">
        <v>364</v>
      </c>
      <c r="E2909" s="11" t="str">
        <f>+HYPERLINK("http://trademark.i-assist.jp/data/china/image_1902th/79300497.pdf", "79300497")</f>
        <v>79300497</v>
      </c>
      <c r="F2909" s="10" t="s">
        <v>8148</v>
      </c>
      <c r="G2909" s="10" t="s">
        <v>8149</v>
      </c>
      <c r="H2909" s="10" t="s">
        <v>8150</v>
      </c>
      <c r="I2909" s="10" t="s">
        <v>360</v>
      </c>
    </row>
    <row r="2910" spans="1:9" x14ac:dyDescent="0.15">
      <c r="A2910" s="9">
        <v>2909</v>
      </c>
      <c r="B2910" s="10" t="s">
        <v>9</v>
      </c>
      <c r="C2910" s="10" t="s">
        <v>363</v>
      </c>
      <c r="D2910" s="10" t="s">
        <v>364</v>
      </c>
      <c r="E2910" s="11" t="str">
        <f>+HYPERLINK("http://trademark.i-assist.jp/data/china/image_1902th/79300607.pdf", "79300607")</f>
        <v>79300607</v>
      </c>
      <c r="F2910" s="10" t="s">
        <v>8151</v>
      </c>
      <c r="G2910" s="10" t="s">
        <v>8152</v>
      </c>
      <c r="H2910" s="10" t="s">
        <v>8153</v>
      </c>
      <c r="I2910" s="10" t="s">
        <v>360</v>
      </c>
    </row>
    <row r="2911" spans="1:9" x14ac:dyDescent="0.15">
      <c r="A2911" s="9">
        <v>2910</v>
      </c>
      <c r="B2911" s="10" t="s">
        <v>9</v>
      </c>
      <c r="C2911" s="10" t="s">
        <v>363</v>
      </c>
      <c r="D2911" s="10" t="s">
        <v>364</v>
      </c>
      <c r="E2911" s="11" t="str">
        <f>+HYPERLINK("http://trademark.i-assist.jp/data/china/image_1902th/79300696.pdf", "79300696")</f>
        <v>79300696</v>
      </c>
      <c r="F2911" s="10" t="s">
        <v>8154</v>
      </c>
      <c r="G2911" s="10" t="s">
        <v>8155</v>
      </c>
      <c r="H2911" s="10" t="s">
        <v>8156</v>
      </c>
      <c r="I2911" s="10" t="s">
        <v>360</v>
      </c>
    </row>
    <row r="2912" spans="1:9" x14ac:dyDescent="0.15">
      <c r="A2912" s="9">
        <v>2911</v>
      </c>
      <c r="B2912" s="10" t="s">
        <v>9</v>
      </c>
      <c r="C2912" s="10" t="s">
        <v>363</v>
      </c>
      <c r="D2912" s="10" t="s">
        <v>364</v>
      </c>
      <c r="E2912" s="11" t="str">
        <f>+HYPERLINK("http://trademark.i-assist.jp/data/china/image_1902th/79300805.pdf", "79300805")</f>
        <v>79300805</v>
      </c>
      <c r="F2912" s="10" t="s">
        <v>8157</v>
      </c>
      <c r="G2912" s="10" t="s">
        <v>8158</v>
      </c>
      <c r="H2912" s="10" t="s">
        <v>8159</v>
      </c>
      <c r="I2912" s="10" t="s">
        <v>360</v>
      </c>
    </row>
    <row r="2913" spans="1:9" x14ac:dyDescent="0.15">
      <c r="A2913" s="9">
        <v>2912</v>
      </c>
      <c r="B2913" s="10" t="s">
        <v>9</v>
      </c>
      <c r="C2913" s="10" t="s">
        <v>363</v>
      </c>
      <c r="D2913" s="10" t="s">
        <v>364</v>
      </c>
      <c r="E2913" s="11" t="str">
        <f>+HYPERLINK("http://trademark.i-assist.jp/data/china/image_1902th/79300879.pdf", "79300879")</f>
        <v>79300879</v>
      </c>
      <c r="F2913" s="10" t="s">
        <v>8160</v>
      </c>
      <c r="G2913" s="10" t="s">
        <v>8161</v>
      </c>
      <c r="H2913" s="10" t="s">
        <v>8162</v>
      </c>
      <c r="I2913" s="10" t="s">
        <v>360</v>
      </c>
    </row>
    <row r="2914" spans="1:9" x14ac:dyDescent="0.15">
      <c r="A2914" s="9">
        <v>2913</v>
      </c>
      <c r="B2914" s="10" t="s">
        <v>9</v>
      </c>
      <c r="C2914" s="10" t="s">
        <v>363</v>
      </c>
      <c r="D2914" s="10" t="s">
        <v>364</v>
      </c>
      <c r="E2914" s="11" t="str">
        <f>+HYPERLINK("http://trademark.i-assist.jp/data/china/image_1902th/79301000.pdf", "79301000")</f>
        <v>79301000</v>
      </c>
      <c r="F2914" s="10" t="s">
        <v>8163</v>
      </c>
      <c r="G2914" s="10" t="s">
        <v>8164</v>
      </c>
      <c r="H2914" s="10" t="s">
        <v>8165</v>
      </c>
      <c r="I2914" s="10" t="s">
        <v>360</v>
      </c>
    </row>
    <row r="2915" spans="1:9" x14ac:dyDescent="0.15">
      <c r="A2915" s="9">
        <v>2914</v>
      </c>
      <c r="B2915" s="10" t="s">
        <v>9</v>
      </c>
      <c r="C2915" s="10" t="s">
        <v>363</v>
      </c>
      <c r="D2915" s="10" t="s">
        <v>364</v>
      </c>
      <c r="E2915" s="11" t="str">
        <f>+HYPERLINK("http://trademark.i-assist.jp/data/china/image_1902th/79301043.pdf", "79301043")</f>
        <v>79301043</v>
      </c>
      <c r="F2915" s="10" t="s">
        <v>8166</v>
      </c>
      <c r="G2915" s="10" t="s">
        <v>8167</v>
      </c>
      <c r="H2915" s="10" t="s">
        <v>8168</v>
      </c>
      <c r="I2915" s="10" t="s">
        <v>360</v>
      </c>
    </row>
    <row r="2916" spans="1:9" x14ac:dyDescent="0.15">
      <c r="A2916" s="9">
        <v>2915</v>
      </c>
      <c r="B2916" s="10" t="s">
        <v>9</v>
      </c>
      <c r="C2916" s="10" t="s">
        <v>363</v>
      </c>
      <c r="D2916" s="10" t="s">
        <v>364</v>
      </c>
      <c r="E2916" s="11" t="str">
        <f>+HYPERLINK("http://trademark.i-assist.jp/data/china/image_1902th/79301186.pdf", "79301186")</f>
        <v>79301186</v>
      </c>
      <c r="F2916" s="10" t="s">
        <v>8169</v>
      </c>
      <c r="G2916" s="10" t="s">
        <v>8170</v>
      </c>
      <c r="H2916" s="10" t="s">
        <v>8171</v>
      </c>
      <c r="I2916" s="10" t="s">
        <v>360</v>
      </c>
    </row>
    <row r="2917" spans="1:9" x14ac:dyDescent="0.15">
      <c r="A2917" s="9">
        <v>2916</v>
      </c>
      <c r="B2917" s="10" t="s">
        <v>9</v>
      </c>
      <c r="C2917" s="10" t="s">
        <v>363</v>
      </c>
      <c r="D2917" s="10" t="s">
        <v>364</v>
      </c>
      <c r="E2917" s="11" t="str">
        <f>+HYPERLINK("http://trademark.i-assist.jp/data/china/image_1902th/79301263.pdf", "79301263")</f>
        <v>79301263</v>
      </c>
      <c r="F2917" s="10" t="s">
        <v>8172</v>
      </c>
      <c r="G2917" s="10" t="s">
        <v>8173</v>
      </c>
      <c r="H2917" s="10" t="s">
        <v>8174</v>
      </c>
      <c r="I2917" s="10" t="s">
        <v>360</v>
      </c>
    </row>
    <row r="2918" spans="1:9" x14ac:dyDescent="0.15">
      <c r="A2918" s="9">
        <v>2917</v>
      </c>
      <c r="B2918" s="10" t="s">
        <v>9</v>
      </c>
      <c r="C2918" s="10" t="s">
        <v>363</v>
      </c>
      <c r="D2918" s="10" t="s">
        <v>364</v>
      </c>
      <c r="E2918" s="11" t="str">
        <f>+HYPERLINK("http://trademark.i-assist.jp/data/china/image_1902th/79301734.pdf", "79301734")</f>
        <v>79301734</v>
      </c>
      <c r="F2918" s="10" t="s">
        <v>12</v>
      </c>
      <c r="G2918" s="10" t="s">
        <v>8175</v>
      </c>
      <c r="H2918" s="10" t="s">
        <v>8176</v>
      </c>
      <c r="I2918" s="10" t="s">
        <v>360</v>
      </c>
    </row>
    <row r="2919" spans="1:9" x14ac:dyDescent="0.15">
      <c r="A2919" s="9">
        <v>2918</v>
      </c>
      <c r="B2919" s="10" t="s">
        <v>9</v>
      </c>
      <c r="C2919" s="10" t="s">
        <v>363</v>
      </c>
      <c r="D2919" s="10" t="s">
        <v>364</v>
      </c>
      <c r="E2919" s="11" t="str">
        <f>+HYPERLINK("http://trademark.i-assist.jp/data/china/image_1902th/79301756.pdf", "79301756")</f>
        <v>79301756</v>
      </c>
      <c r="F2919" s="10" t="s">
        <v>8177</v>
      </c>
      <c r="G2919" s="10" t="s">
        <v>118</v>
      </c>
      <c r="H2919" s="10" t="s">
        <v>8178</v>
      </c>
      <c r="I2919" s="10" t="s">
        <v>360</v>
      </c>
    </row>
    <row r="2920" spans="1:9" x14ac:dyDescent="0.15">
      <c r="A2920" s="9">
        <v>2919</v>
      </c>
      <c r="B2920" s="10" t="s">
        <v>9</v>
      </c>
      <c r="C2920" s="10" t="s">
        <v>363</v>
      </c>
      <c r="D2920" s="10" t="s">
        <v>364</v>
      </c>
      <c r="E2920" s="11" t="str">
        <f>+HYPERLINK("http://trademark.i-assist.jp/data/china/image_1902th/79301840.pdf", "79301840")</f>
        <v>79301840</v>
      </c>
      <c r="F2920" s="10" t="s">
        <v>8179</v>
      </c>
      <c r="G2920" s="10" t="s">
        <v>8180</v>
      </c>
      <c r="H2920" s="10" t="s">
        <v>8181</v>
      </c>
      <c r="I2920" s="10" t="s">
        <v>360</v>
      </c>
    </row>
    <row r="2921" spans="1:9" x14ac:dyDescent="0.15">
      <c r="A2921" s="9">
        <v>2920</v>
      </c>
      <c r="B2921" s="10" t="s">
        <v>9</v>
      </c>
      <c r="C2921" s="10" t="s">
        <v>363</v>
      </c>
      <c r="D2921" s="10" t="s">
        <v>364</v>
      </c>
      <c r="E2921" s="11" t="str">
        <f>+HYPERLINK("http://trademark.i-assist.jp/data/china/image_1902th/79302051.pdf", "79302051")</f>
        <v>79302051</v>
      </c>
      <c r="F2921" s="10" t="s">
        <v>12</v>
      </c>
      <c r="G2921" s="10" t="s">
        <v>160</v>
      </c>
      <c r="H2921" s="10" t="s">
        <v>8182</v>
      </c>
      <c r="I2921" s="10" t="s">
        <v>360</v>
      </c>
    </row>
    <row r="2922" spans="1:9" x14ac:dyDescent="0.15">
      <c r="A2922" s="9">
        <v>2921</v>
      </c>
      <c r="B2922" s="10" t="s">
        <v>9</v>
      </c>
      <c r="C2922" s="10" t="s">
        <v>363</v>
      </c>
      <c r="D2922" s="10" t="s">
        <v>364</v>
      </c>
      <c r="E2922" s="11" t="str">
        <f>+HYPERLINK("http://trademark.i-assist.jp/data/china/image_1902th/79302073.pdf", "79302073")</f>
        <v>79302073</v>
      </c>
      <c r="F2922" s="10" t="s">
        <v>8183</v>
      </c>
      <c r="G2922" s="10" t="s">
        <v>8184</v>
      </c>
      <c r="H2922" s="10" t="s">
        <v>8185</v>
      </c>
      <c r="I2922" s="10" t="s">
        <v>360</v>
      </c>
    </row>
    <row r="2923" spans="1:9" x14ac:dyDescent="0.15">
      <c r="A2923" s="9">
        <v>2922</v>
      </c>
      <c r="B2923" s="10" t="s">
        <v>9</v>
      </c>
      <c r="C2923" s="10" t="s">
        <v>363</v>
      </c>
      <c r="D2923" s="10" t="s">
        <v>364</v>
      </c>
      <c r="E2923" s="11" t="str">
        <f>+HYPERLINK("http://trademark.i-assist.jp/data/china/image_1902th/79302173.pdf", "79302173")</f>
        <v>79302173</v>
      </c>
      <c r="F2923" s="10" t="s">
        <v>8186</v>
      </c>
      <c r="G2923" s="10" t="s">
        <v>8187</v>
      </c>
      <c r="H2923" s="10" t="s">
        <v>8188</v>
      </c>
      <c r="I2923" s="10" t="s">
        <v>360</v>
      </c>
    </row>
    <row r="2924" spans="1:9" x14ac:dyDescent="0.15">
      <c r="A2924" s="9">
        <v>2923</v>
      </c>
      <c r="B2924" s="10" t="s">
        <v>9</v>
      </c>
      <c r="C2924" s="10" t="s">
        <v>363</v>
      </c>
      <c r="D2924" s="10" t="s">
        <v>364</v>
      </c>
      <c r="E2924" s="11" t="str">
        <f>+HYPERLINK("http://trademark.i-assist.jp/data/china/image_1902th/79302335.pdf", "79302335")</f>
        <v>79302335</v>
      </c>
      <c r="F2924" s="10" t="s">
        <v>8189</v>
      </c>
      <c r="G2924" s="10" t="s">
        <v>8190</v>
      </c>
      <c r="H2924" s="10" t="s">
        <v>8191</v>
      </c>
      <c r="I2924" s="10" t="s">
        <v>360</v>
      </c>
    </row>
    <row r="2925" spans="1:9" x14ac:dyDescent="0.15">
      <c r="A2925" s="9">
        <v>2924</v>
      </c>
      <c r="B2925" s="10" t="s">
        <v>9</v>
      </c>
      <c r="C2925" s="10" t="s">
        <v>363</v>
      </c>
      <c r="D2925" s="10" t="s">
        <v>364</v>
      </c>
      <c r="E2925" s="11" t="str">
        <f>+HYPERLINK("http://trademark.i-assist.jp/data/china/image_1902th/79302366.pdf", "79302366")</f>
        <v>79302366</v>
      </c>
      <c r="F2925" s="10" t="s">
        <v>8192</v>
      </c>
      <c r="G2925" s="10" t="s">
        <v>8193</v>
      </c>
      <c r="H2925" s="10" t="s">
        <v>8194</v>
      </c>
      <c r="I2925" s="10" t="s">
        <v>360</v>
      </c>
    </row>
    <row r="2926" spans="1:9" x14ac:dyDescent="0.15">
      <c r="A2926" s="9">
        <v>2925</v>
      </c>
      <c r="B2926" s="10" t="s">
        <v>9</v>
      </c>
      <c r="C2926" s="10" t="s">
        <v>363</v>
      </c>
      <c r="D2926" s="10" t="s">
        <v>364</v>
      </c>
      <c r="E2926" s="11" t="str">
        <f>+HYPERLINK("http://trademark.i-assist.jp/data/china/image_1902th/79302483.pdf", "79302483")</f>
        <v>79302483</v>
      </c>
      <c r="F2926" s="10" t="s">
        <v>8195</v>
      </c>
      <c r="G2926" s="10" t="s">
        <v>107</v>
      </c>
      <c r="H2926" s="10" t="s">
        <v>8196</v>
      </c>
      <c r="I2926" s="10" t="s">
        <v>360</v>
      </c>
    </row>
    <row r="2927" spans="1:9" x14ac:dyDescent="0.15">
      <c r="A2927" s="9">
        <v>2926</v>
      </c>
      <c r="B2927" s="10" t="s">
        <v>9</v>
      </c>
      <c r="C2927" s="10" t="s">
        <v>363</v>
      </c>
      <c r="D2927" s="10" t="s">
        <v>364</v>
      </c>
      <c r="E2927" s="11" t="str">
        <f>+HYPERLINK("http://trademark.i-assist.jp/data/china/image_1902th/79302552.pdf", "79302552")</f>
        <v>79302552</v>
      </c>
      <c r="F2927" s="10" t="s">
        <v>8197</v>
      </c>
      <c r="G2927" s="10" t="s">
        <v>8198</v>
      </c>
      <c r="H2927" s="10" t="s">
        <v>8199</v>
      </c>
      <c r="I2927" s="10" t="s">
        <v>360</v>
      </c>
    </row>
    <row r="2928" spans="1:9" x14ac:dyDescent="0.15">
      <c r="A2928" s="9">
        <v>2927</v>
      </c>
      <c r="B2928" s="10" t="s">
        <v>9</v>
      </c>
      <c r="C2928" s="10" t="s">
        <v>363</v>
      </c>
      <c r="D2928" s="10" t="s">
        <v>364</v>
      </c>
      <c r="E2928" s="11" t="str">
        <f>+HYPERLINK("http://trademark.i-assist.jp/data/china/image_1902th/79302997.pdf", "79302997")</f>
        <v>79302997</v>
      </c>
      <c r="F2928" s="10" t="s">
        <v>8200</v>
      </c>
      <c r="G2928" s="10" t="s">
        <v>8201</v>
      </c>
      <c r="H2928" s="10" t="s">
        <v>8202</v>
      </c>
      <c r="I2928" s="10" t="s">
        <v>360</v>
      </c>
    </row>
    <row r="2929" spans="1:9" x14ac:dyDescent="0.15">
      <c r="A2929" s="9">
        <v>2928</v>
      </c>
      <c r="B2929" s="10" t="s">
        <v>9</v>
      </c>
      <c r="C2929" s="10" t="s">
        <v>363</v>
      </c>
      <c r="D2929" s="10" t="s">
        <v>364</v>
      </c>
      <c r="E2929" s="11" t="str">
        <f>+HYPERLINK("http://trademark.i-assist.jp/data/china/image_1902th/79303519.pdf", "79303519")</f>
        <v>79303519</v>
      </c>
      <c r="F2929" s="10" t="s">
        <v>8203</v>
      </c>
      <c r="G2929" s="10" t="s">
        <v>221</v>
      </c>
      <c r="H2929" s="10" t="s">
        <v>8204</v>
      </c>
      <c r="I2929" s="10" t="s">
        <v>360</v>
      </c>
    </row>
    <row r="2930" spans="1:9" x14ac:dyDescent="0.15">
      <c r="A2930" s="9">
        <v>2929</v>
      </c>
      <c r="B2930" s="10" t="s">
        <v>9</v>
      </c>
      <c r="C2930" s="10" t="s">
        <v>363</v>
      </c>
      <c r="D2930" s="10" t="s">
        <v>364</v>
      </c>
      <c r="E2930" s="11" t="str">
        <f>+HYPERLINK("http://trademark.i-assist.jp/data/china/image_1902th/79303569.pdf", "79303569")</f>
        <v>79303569</v>
      </c>
      <c r="F2930" s="10" t="s">
        <v>8205</v>
      </c>
      <c r="G2930" s="10" t="s">
        <v>8206</v>
      </c>
      <c r="H2930" s="10" t="s">
        <v>8207</v>
      </c>
      <c r="I2930" s="10" t="s">
        <v>360</v>
      </c>
    </row>
    <row r="2931" spans="1:9" x14ac:dyDescent="0.15">
      <c r="A2931" s="9">
        <v>2930</v>
      </c>
      <c r="B2931" s="10" t="s">
        <v>9</v>
      </c>
      <c r="C2931" s="10" t="s">
        <v>363</v>
      </c>
      <c r="D2931" s="10" t="s">
        <v>364</v>
      </c>
      <c r="E2931" s="11" t="str">
        <f>+HYPERLINK("http://trademark.i-assist.jp/data/china/image_1902th/79303810.pdf", "79303810")</f>
        <v>79303810</v>
      </c>
      <c r="F2931" s="10" t="s">
        <v>8208</v>
      </c>
      <c r="G2931" s="10" t="s">
        <v>8209</v>
      </c>
      <c r="H2931" s="10" t="s">
        <v>8210</v>
      </c>
      <c r="I2931" s="10" t="s">
        <v>360</v>
      </c>
    </row>
    <row r="2932" spans="1:9" x14ac:dyDescent="0.15">
      <c r="A2932" s="9">
        <v>2931</v>
      </c>
      <c r="B2932" s="10" t="s">
        <v>9</v>
      </c>
      <c r="C2932" s="10" t="s">
        <v>363</v>
      </c>
      <c r="D2932" s="10" t="s">
        <v>364</v>
      </c>
      <c r="E2932" s="11" t="str">
        <f>+HYPERLINK("http://trademark.i-assist.jp/data/china/image_1902th/79304747.pdf", "79304747")</f>
        <v>79304747</v>
      </c>
      <c r="F2932" s="10" t="s">
        <v>8211</v>
      </c>
      <c r="G2932" s="10" t="s">
        <v>8212</v>
      </c>
      <c r="H2932" s="10" t="s">
        <v>8213</v>
      </c>
      <c r="I2932" s="10" t="s">
        <v>360</v>
      </c>
    </row>
    <row r="2933" spans="1:9" x14ac:dyDescent="0.15">
      <c r="A2933" s="9">
        <v>2932</v>
      </c>
      <c r="B2933" s="10" t="s">
        <v>9</v>
      </c>
      <c r="C2933" s="10" t="s">
        <v>363</v>
      </c>
      <c r="D2933" s="10" t="s">
        <v>364</v>
      </c>
      <c r="E2933" s="11" t="str">
        <f>+HYPERLINK("http://trademark.i-assist.jp/data/china/image_1902th/79304841.pdf", "79304841")</f>
        <v>79304841</v>
      </c>
      <c r="F2933" s="10" t="s">
        <v>8214</v>
      </c>
      <c r="G2933" s="10" t="s">
        <v>8215</v>
      </c>
      <c r="H2933" s="10" t="s">
        <v>8216</v>
      </c>
      <c r="I2933" s="10" t="s">
        <v>360</v>
      </c>
    </row>
    <row r="2934" spans="1:9" x14ac:dyDescent="0.15">
      <c r="A2934" s="9">
        <v>2933</v>
      </c>
      <c r="B2934" s="10" t="s">
        <v>9</v>
      </c>
      <c r="C2934" s="10" t="s">
        <v>363</v>
      </c>
      <c r="D2934" s="10" t="s">
        <v>364</v>
      </c>
      <c r="E2934" s="11" t="str">
        <f>+HYPERLINK("http://trademark.i-assist.jp/data/china/image_1902th/79305290.pdf", "79305290")</f>
        <v>79305290</v>
      </c>
      <c r="F2934" s="10" t="s">
        <v>8217</v>
      </c>
      <c r="G2934" s="10" t="s">
        <v>322</v>
      </c>
      <c r="H2934" s="10" t="s">
        <v>8218</v>
      </c>
      <c r="I2934" s="10" t="s">
        <v>360</v>
      </c>
    </row>
    <row r="2935" spans="1:9" x14ac:dyDescent="0.15">
      <c r="A2935" s="9">
        <v>2934</v>
      </c>
      <c r="B2935" s="10" t="s">
        <v>9</v>
      </c>
      <c r="C2935" s="10" t="s">
        <v>363</v>
      </c>
      <c r="D2935" s="10" t="s">
        <v>364</v>
      </c>
      <c r="E2935" s="11" t="str">
        <f>+HYPERLINK("http://trademark.i-assist.jp/data/china/image_1902th/79305527.pdf", "79305527")</f>
        <v>79305527</v>
      </c>
      <c r="F2935" s="10" t="s">
        <v>8219</v>
      </c>
      <c r="G2935" s="10" t="s">
        <v>8220</v>
      </c>
      <c r="H2935" s="10" t="s">
        <v>8221</v>
      </c>
      <c r="I2935" s="10" t="s">
        <v>360</v>
      </c>
    </row>
    <row r="2936" spans="1:9" x14ac:dyDescent="0.15">
      <c r="A2936" s="9">
        <v>2935</v>
      </c>
      <c r="B2936" s="10" t="s">
        <v>9</v>
      </c>
      <c r="C2936" s="10" t="s">
        <v>363</v>
      </c>
      <c r="D2936" s="10" t="s">
        <v>364</v>
      </c>
      <c r="E2936" s="11" t="str">
        <f>+HYPERLINK("http://trademark.i-assist.jp/data/china/image_1902th/79305553.pdf", "79305553")</f>
        <v>79305553</v>
      </c>
      <c r="F2936" s="10" t="s">
        <v>8222</v>
      </c>
      <c r="G2936" s="10" t="s">
        <v>107</v>
      </c>
      <c r="H2936" s="10" t="s">
        <v>8223</v>
      </c>
      <c r="I2936" s="10" t="s">
        <v>360</v>
      </c>
    </row>
    <row r="2937" spans="1:9" x14ac:dyDescent="0.15">
      <c r="A2937" s="9">
        <v>2936</v>
      </c>
      <c r="B2937" s="10" t="s">
        <v>9</v>
      </c>
      <c r="C2937" s="10" t="s">
        <v>363</v>
      </c>
      <c r="D2937" s="10" t="s">
        <v>364</v>
      </c>
      <c r="E2937" s="11" t="str">
        <f>+HYPERLINK("http://trademark.i-assist.jp/data/china/image_1902th/79305678.pdf", "79305678")</f>
        <v>79305678</v>
      </c>
      <c r="F2937" s="10" t="s">
        <v>8224</v>
      </c>
      <c r="G2937" s="10" t="s">
        <v>8127</v>
      </c>
      <c r="H2937" s="10" t="s">
        <v>8225</v>
      </c>
      <c r="I2937" s="10" t="s">
        <v>360</v>
      </c>
    </row>
    <row r="2938" spans="1:9" x14ac:dyDescent="0.15">
      <c r="A2938" s="9">
        <v>2937</v>
      </c>
      <c r="B2938" s="10" t="s">
        <v>9</v>
      </c>
      <c r="C2938" s="10" t="s">
        <v>363</v>
      </c>
      <c r="D2938" s="10" t="s">
        <v>364</v>
      </c>
      <c r="E2938" s="11" t="str">
        <f>+HYPERLINK("http://trademark.i-assist.jp/data/china/image_1902th/79305708.pdf", "79305708")</f>
        <v>79305708</v>
      </c>
      <c r="F2938" s="10" t="s">
        <v>8226</v>
      </c>
      <c r="G2938" s="10" t="s">
        <v>8149</v>
      </c>
      <c r="H2938" s="10" t="s">
        <v>8227</v>
      </c>
      <c r="I2938" s="10" t="s">
        <v>360</v>
      </c>
    </row>
    <row r="2939" spans="1:9" x14ac:dyDescent="0.15">
      <c r="A2939" s="9">
        <v>2938</v>
      </c>
      <c r="B2939" s="10" t="s">
        <v>9</v>
      </c>
      <c r="C2939" s="10" t="s">
        <v>363</v>
      </c>
      <c r="D2939" s="10" t="s">
        <v>364</v>
      </c>
      <c r="E2939" s="11" t="str">
        <f>+HYPERLINK("http://trademark.i-assist.jp/data/china/image_1902th/79306011.pdf", "79306011")</f>
        <v>79306011</v>
      </c>
      <c r="F2939" s="10" t="s">
        <v>8228</v>
      </c>
      <c r="G2939" s="10" t="s">
        <v>8106</v>
      </c>
      <c r="H2939" s="10" t="s">
        <v>8229</v>
      </c>
      <c r="I2939" s="10" t="s">
        <v>360</v>
      </c>
    </row>
    <row r="2940" spans="1:9" x14ac:dyDescent="0.15">
      <c r="A2940" s="9">
        <v>2939</v>
      </c>
      <c r="B2940" s="10" t="s">
        <v>9</v>
      </c>
      <c r="C2940" s="10" t="s">
        <v>363</v>
      </c>
      <c r="D2940" s="10" t="s">
        <v>364</v>
      </c>
      <c r="E2940" s="11" t="str">
        <f>+HYPERLINK("http://trademark.i-assist.jp/data/china/image_1902th/79306137.pdf", "79306137")</f>
        <v>79306137</v>
      </c>
      <c r="F2940" s="10" t="s">
        <v>8230</v>
      </c>
      <c r="G2940" s="10" t="s">
        <v>8231</v>
      </c>
      <c r="H2940" s="10" t="s">
        <v>8232</v>
      </c>
      <c r="I2940" s="10" t="s">
        <v>360</v>
      </c>
    </row>
    <row r="2941" spans="1:9" x14ac:dyDescent="0.15">
      <c r="A2941" s="9">
        <v>2940</v>
      </c>
      <c r="B2941" s="10" t="s">
        <v>9</v>
      </c>
      <c r="C2941" s="10" t="s">
        <v>363</v>
      </c>
      <c r="D2941" s="10" t="s">
        <v>364</v>
      </c>
      <c r="E2941" s="11" t="str">
        <f>+HYPERLINK("http://trademark.i-assist.jp/data/china/image_1902th/79306205.pdf", "79306205")</f>
        <v>79306205</v>
      </c>
      <c r="F2941" s="10" t="s">
        <v>8233</v>
      </c>
      <c r="G2941" s="10" t="s">
        <v>8234</v>
      </c>
      <c r="H2941" s="10" t="s">
        <v>8235</v>
      </c>
      <c r="I2941" s="10" t="s">
        <v>360</v>
      </c>
    </row>
    <row r="2942" spans="1:9" x14ac:dyDescent="0.15">
      <c r="A2942" s="9">
        <v>2941</v>
      </c>
      <c r="B2942" s="10" t="s">
        <v>9</v>
      </c>
      <c r="C2942" s="10" t="s">
        <v>363</v>
      </c>
      <c r="D2942" s="10" t="s">
        <v>364</v>
      </c>
      <c r="E2942" s="11" t="str">
        <f>+HYPERLINK("http://trademark.i-assist.jp/data/china/image_1902th/79306402.pdf", "79306402")</f>
        <v>79306402</v>
      </c>
      <c r="F2942" s="10" t="s">
        <v>8236</v>
      </c>
      <c r="G2942" s="10" t="s">
        <v>8237</v>
      </c>
      <c r="H2942" s="10" t="s">
        <v>8238</v>
      </c>
      <c r="I2942" s="10" t="s">
        <v>360</v>
      </c>
    </row>
    <row r="2943" spans="1:9" x14ac:dyDescent="0.15">
      <c r="A2943" s="9">
        <v>2942</v>
      </c>
      <c r="B2943" s="10" t="s">
        <v>9</v>
      </c>
      <c r="C2943" s="10" t="s">
        <v>363</v>
      </c>
      <c r="D2943" s="10" t="s">
        <v>364</v>
      </c>
      <c r="E2943" s="11" t="str">
        <f>+HYPERLINK("http://trademark.i-assist.jp/data/china/image_1902th/79307149.pdf", "79307149")</f>
        <v>79307149</v>
      </c>
      <c r="F2943" s="10" t="s">
        <v>8239</v>
      </c>
      <c r="G2943" s="10" t="s">
        <v>8240</v>
      </c>
      <c r="H2943" s="10" t="s">
        <v>8241</v>
      </c>
      <c r="I2943" s="10" t="s">
        <v>360</v>
      </c>
    </row>
    <row r="2944" spans="1:9" x14ac:dyDescent="0.15">
      <c r="A2944" s="9">
        <v>2943</v>
      </c>
      <c r="B2944" s="10" t="s">
        <v>9</v>
      </c>
      <c r="C2944" s="10" t="s">
        <v>363</v>
      </c>
      <c r="D2944" s="10" t="s">
        <v>364</v>
      </c>
      <c r="E2944" s="11" t="str">
        <f>+HYPERLINK("http://trademark.i-assist.jp/data/china/image_1902th/79307267.pdf", "79307267")</f>
        <v>79307267</v>
      </c>
      <c r="F2944" s="10" t="s">
        <v>12</v>
      </c>
      <c r="G2944" s="10" t="s">
        <v>8242</v>
      </c>
      <c r="H2944" s="10" t="s">
        <v>8243</v>
      </c>
      <c r="I2944" s="10" t="s">
        <v>360</v>
      </c>
    </row>
    <row r="2945" spans="1:9" x14ac:dyDescent="0.15">
      <c r="A2945" s="9">
        <v>2944</v>
      </c>
      <c r="B2945" s="10" t="s">
        <v>9</v>
      </c>
      <c r="C2945" s="10" t="s">
        <v>363</v>
      </c>
      <c r="D2945" s="10" t="s">
        <v>364</v>
      </c>
      <c r="E2945" s="11" t="str">
        <f>+HYPERLINK("http://trademark.i-assist.jp/data/china/image_1902th/79307351.pdf", "79307351")</f>
        <v>79307351</v>
      </c>
      <c r="F2945" s="10" t="s">
        <v>8244</v>
      </c>
      <c r="G2945" s="10" t="s">
        <v>8245</v>
      </c>
      <c r="H2945" s="10" t="s">
        <v>8246</v>
      </c>
      <c r="I2945" s="10" t="s">
        <v>360</v>
      </c>
    </row>
    <row r="2946" spans="1:9" x14ac:dyDescent="0.15">
      <c r="A2946" s="9">
        <v>2945</v>
      </c>
      <c r="B2946" s="10" t="s">
        <v>9</v>
      </c>
      <c r="C2946" s="10" t="s">
        <v>363</v>
      </c>
      <c r="D2946" s="10" t="s">
        <v>364</v>
      </c>
      <c r="E2946" s="11" t="str">
        <f>+HYPERLINK("http://trademark.i-assist.jp/data/china/image_1902th/79307393.pdf", "79307393")</f>
        <v>79307393</v>
      </c>
      <c r="F2946" s="10" t="s">
        <v>8247</v>
      </c>
      <c r="G2946" s="10" t="s">
        <v>8155</v>
      </c>
      <c r="H2946" s="10" t="s">
        <v>8248</v>
      </c>
      <c r="I2946" s="10" t="s">
        <v>360</v>
      </c>
    </row>
    <row r="2947" spans="1:9" x14ac:dyDescent="0.15">
      <c r="A2947" s="9">
        <v>2946</v>
      </c>
      <c r="B2947" s="10" t="s">
        <v>9</v>
      </c>
      <c r="C2947" s="10" t="s">
        <v>363</v>
      </c>
      <c r="D2947" s="10" t="s">
        <v>364</v>
      </c>
      <c r="E2947" s="11" t="str">
        <f>+HYPERLINK("http://trademark.i-assist.jp/data/china/image_1902th/79307596.pdf", "79307596")</f>
        <v>79307596</v>
      </c>
      <c r="F2947" s="10" t="s">
        <v>8249</v>
      </c>
      <c r="G2947" s="10" t="s">
        <v>8250</v>
      </c>
      <c r="H2947" s="10" t="s">
        <v>8251</v>
      </c>
      <c r="I2947" s="10" t="s">
        <v>360</v>
      </c>
    </row>
    <row r="2948" spans="1:9" x14ac:dyDescent="0.15">
      <c r="A2948" s="9">
        <v>2947</v>
      </c>
      <c r="B2948" s="10" t="s">
        <v>9</v>
      </c>
      <c r="C2948" s="10" t="s">
        <v>363</v>
      </c>
      <c r="D2948" s="10" t="s">
        <v>364</v>
      </c>
      <c r="E2948" s="11" t="str">
        <f>+HYPERLINK("http://trademark.i-assist.jp/data/china/image_1902th/79307646.pdf", "79307646")</f>
        <v>79307646</v>
      </c>
      <c r="F2948" s="10" t="s">
        <v>8252</v>
      </c>
      <c r="G2948" s="10" t="s">
        <v>8253</v>
      </c>
      <c r="H2948" s="10" t="s">
        <v>15</v>
      </c>
      <c r="I2948" s="10" t="s">
        <v>360</v>
      </c>
    </row>
    <row r="2949" spans="1:9" x14ac:dyDescent="0.15">
      <c r="A2949" s="9">
        <v>2948</v>
      </c>
      <c r="B2949" s="10" t="s">
        <v>9</v>
      </c>
      <c r="C2949" s="10" t="s">
        <v>363</v>
      </c>
      <c r="D2949" s="10" t="s">
        <v>364</v>
      </c>
      <c r="E2949" s="11" t="str">
        <f>+HYPERLINK("http://trademark.i-assist.jp/data/china/image_1902th/79307930.pdf", "79307930")</f>
        <v>79307930</v>
      </c>
      <c r="F2949" s="10" t="s">
        <v>8254</v>
      </c>
      <c r="G2949" s="10" t="s">
        <v>8255</v>
      </c>
      <c r="H2949" s="10" t="s">
        <v>8256</v>
      </c>
      <c r="I2949" s="10" t="s">
        <v>360</v>
      </c>
    </row>
    <row r="2950" spans="1:9" x14ac:dyDescent="0.15">
      <c r="A2950" s="9">
        <v>2949</v>
      </c>
      <c r="B2950" s="10" t="s">
        <v>9</v>
      </c>
      <c r="C2950" s="10" t="s">
        <v>363</v>
      </c>
      <c r="D2950" s="10" t="s">
        <v>364</v>
      </c>
      <c r="E2950" s="11" t="str">
        <f>+HYPERLINK("http://trademark.i-assist.jp/data/china/image_1902th/79308097.pdf", "79308097")</f>
        <v>79308097</v>
      </c>
      <c r="F2950" s="10" t="s">
        <v>8257</v>
      </c>
      <c r="G2950" s="10" t="s">
        <v>8258</v>
      </c>
      <c r="H2950" s="10" t="s">
        <v>8259</v>
      </c>
      <c r="I2950" s="10" t="s">
        <v>360</v>
      </c>
    </row>
    <row r="2951" spans="1:9" x14ac:dyDescent="0.15">
      <c r="A2951" s="9">
        <v>2950</v>
      </c>
      <c r="B2951" s="10" t="s">
        <v>9</v>
      </c>
      <c r="C2951" s="10" t="s">
        <v>363</v>
      </c>
      <c r="D2951" s="10" t="s">
        <v>364</v>
      </c>
      <c r="E2951" s="11" t="str">
        <f>+HYPERLINK("http://trademark.i-assist.jp/data/china/image_1902th/79308284.pdf", "79308284")</f>
        <v>79308284</v>
      </c>
      <c r="F2951" s="10" t="s">
        <v>12</v>
      </c>
      <c r="G2951" s="10" t="s">
        <v>160</v>
      </c>
      <c r="H2951" s="10" t="s">
        <v>8260</v>
      </c>
      <c r="I2951" s="10" t="s">
        <v>360</v>
      </c>
    </row>
    <row r="2952" spans="1:9" x14ac:dyDescent="0.15">
      <c r="A2952" s="9">
        <v>2951</v>
      </c>
      <c r="B2952" s="10" t="s">
        <v>9</v>
      </c>
      <c r="C2952" s="10" t="s">
        <v>363</v>
      </c>
      <c r="D2952" s="10" t="s">
        <v>364</v>
      </c>
      <c r="E2952" s="11" t="str">
        <f>+HYPERLINK("http://trademark.i-assist.jp/data/china/image_1902th/79308321.pdf", "79308321")</f>
        <v>79308321</v>
      </c>
      <c r="F2952" s="10" t="s">
        <v>8261</v>
      </c>
      <c r="G2952" s="10" t="s">
        <v>8262</v>
      </c>
      <c r="H2952" s="10" t="s">
        <v>8263</v>
      </c>
      <c r="I2952" s="10" t="s">
        <v>360</v>
      </c>
    </row>
    <row r="2953" spans="1:9" x14ac:dyDescent="0.15">
      <c r="A2953" s="9">
        <v>2952</v>
      </c>
      <c r="B2953" s="10" t="s">
        <v>9</v>
      </c>
      <c r="C2953" s="10" t="s">
        <v>363</v>
      </c>
      <c r="D2953" s="10" t="s">
        <v>364</v>
      </c>
      <c r="E2953" s="11" t="str">
        <f>+HYPERLINK("http://trademark.i-assist.jp/data/china/image_1902th/79308437.pdf", "79308437")</f>
        <v>79308437</v>
      </c>
      <c r="F2953" s="10" t="s">
        <v>8264</v>
      </c>
      <c r="G2953" s="10" t="s">
        <v>8265</v>
      </c>
      <c r="H2953" s="10" t="s">
        <v>8266</v>
      </c>
      <c r="I2953" s="10" t="s">
        <v>360</v>
      </c>
    </row>
    <row r="2954" spans="1:9" x14ac:dyDescent="0.15">
      <c r="A2954" s="9">
        <v>2953</v>
      </c>
      <c r="B2954" s="10" t="s">
        <v>9</v>
      </c>
      <c r="C2954" s="10" t="s">
        <v>363</v>
      </c>
      <c r="D2954" s="10" t="s">
        <v>364</v>
      </c>
      <c r="E2954" s="11" t="str">
        <f>+HYPERLINK("http://trademark.i-assist.jp/data/china/image_1902th/79308447.pdf", "79308447")</f>
        <v>79308447</v>
      </c>
      <c r="F2954" s="10" t="s">
        <v>8267</v>
      </c>
      <c r="G2954" s="10" t="s">
        <v>8268</v>
      </c>
      <c r="H2954" s="10" t="s">
        <v>8269</v>
      </c>
      <c r="I2954" s="10" t="s">
        <v>360</v>
      </c>
    </row>
    <row r="2955" spans="1:9" x14ac:dyDescent="0.15">
      <c r="A2955" s="9">
        <v>2954</v>
      </c>
      <c r="B2955" s="10" t="s">
        <v>9</v>
      </c>
      <c r="C2955" s="10" t="s">
        <v>363</v>
      </c>
      <c r="D2955" s="10" t="s">
        <v>364</v>
      </c>
      <c r="E2955" s="11" t="str">
        <f>+HYPERLINK("http://trademark.i-assist.jp/data/china/image_1902th/79308456.pdf", "79308456")</f>
        <v>79308456</v>
      </c>
      <c r="F2955" s="10" t="s">
        <v>8270</v>
      </c>
      <c r="G2955" s="10" t="s">
        <v>8079</v>
      </c>
      <c r="H2955" s="10" t="s">
        <v>8271</v>
      </c>
      <c r="I2955" s="10" t="s">
        <v>360</v>
      </c>
    </row>
    <row r="2956" spans="1:9" x14ac:dyDescent="0.15">
      <c r="A2956" s="9">
        <v>2955</v>
      </c>
      <c r="B2956" s="10" t="s">
        <v>9</v>
      </c>
      <c r="C2956" s="10" t="s">
        <v>363</v>
      </c>
      <c r="D2956" s="10" t="s">
        <v>364</v>
      </c>
      <c r="E2956" s="11" t="str">
        <f>+HYPERLINK("http://trademark.i-assist.jp/data/china/image_1902th/79308497.pdf", "79308497")</f>
        <v>79308497</v>
      </c>
      <c r="F2956" s="10" t="s">
        <v>8272</v>
      </c>
      <c r="G2956" s="10" t="s">
        <v>8273</v>
      </c>
      <c r="H2956" s="10" t="s">
        <v>8274</v>
      </c>
      <c r="I2956" s="10" t="s">
        <v>360</v>
      </c>
    </row>
    <row r="2957" spans="1:9" x14ac:dyDescent="0.15">
      <c r="A2957" s="9">
        <v>2956</v>
      </c>
      <c r="B2957" s="10" t="s">
        <v>9</v>
      </c>
      <c r="C2957" s="10" t="s">
        <v>363</v>
      </c>
      <c r="D2957" s="10" t="s">
        <v>364</v>
      </c>
      <c r="E2957" s="11" t="str">
        <f>+HYPERLINK("http://trademark.i-assist.jp/data/china/image_1902th/79308598.pdf", "79308598")</f>
        <v>79308598</v>
      </c>
      <c r="F2957" s="10" t="s">
        <v>8275</v>
      </c>
      <c r="G2957" s="10" t="s">
        <v>8276</v>
      </c>
      <c r="H2957" s="10" t="s">
        <v>8277</v>
      </c>
      <c r="I2957" s="10" t="s">
        <v>360</v>
      </c>
    </row>
    <row r="2958" spans="1:9" x14ac:dyDescent="0.15">
      <c r="A2958" s="9">
        <v>2957</v>
      </c>
      <c r="B2958" s="10" t="s">
        <v>9</v>
      </c>
      <c r="C2958" s="10" t="s">
        <v>363</v>
      </c>
      <c r="D2958" s="10" t="s">
        <v>364</v>
      </c>
      <c r="E2958" s="11" t="str">
        <f>+HYPERLINK("http://trademark.i-assist.jp/data/china/image_1902th/79308777.pdf", "79308777")</f>
        <v>79308777</v>
      </c>
      <c r="F2958" s="10" t="s">
        <v>8278</v>
      </c>
      <c r="G2958" s="10" t="s">
        <v>8106</v>
      </c>
      <c r="H2958" s="10" t="s">
        <v>8279</v>
      </c>
      <c r="I2958" s="10" t="s">
        <v>360</v>
      </c>
    </row>
    <row r="2959" spans="1:9" x14ac:dyDescent="0.15">
      <c r="A2959" s="9">
        <v>2958</v>
      </c>
      <c r="B2959" s="10" t="s">
        <v>9</v>
      </c>
      <c r="C2959" s="10" t="s">
        <v>363</v>
      </c>
      <c r="D2959" s="10" t="s">
        <v>364</v>
      </c>
      <c r="E2959" s="11" t="str">
        <f>+HYPERLINK("http://trademark.i-assist.jp/data/china/image_1902th/79309089.pdf", "79309089")</f>
        <v>79309089</v>
      </c>
      <c r="F2959" s="10" t="s">
        <v>8280</v>
      </c>
      <c r="G2959" s="10" t="s">
        <v>8280</v>
      </c>
      <c r="H2959" s="10" t="s">
        <v>8281</v>
      </c>
      <c r="I2959" s="10" t="s">
        <v>360</v>
      </c>
    </row>
    <row r="2960" spans="1:9" x14ac:dyDescent="0.15">
      <c r="A2960" s="9">
        <v>2959</v>
      </c>
      <c r="B2960" s="10" t="s">
        <v>9</v>
      </c>
      <c r="C2960" s="10" t="s">
        <v>363</v>
      </c>
      <c r="D2960" s="10" t="s">
        <v>364</v>
      </c>
      <c r="E2960" s="11" t="str">
        <f>+HYPERLINK("http://trademark.i-assist.jp/data/china/image_1902th/79309093.pdf", "79309093")</f>
        <v>79309093</v>
      </c>
      <c r="F2960" s="10" t="s">
        <v>8282</v>
      </c>
      <c r="G2960" s="10" t="s">
        <v>8209</v>
      </c>
      <c r="H2960" s="10" t="s">
        <v>8283</v>
      </c>
      <c r="I2960" s="10" t="s">
        <v>360</v>
      </c>
    </row>
    <row r="2961" spans="1:9" x14ac:dyDescent="0.15">
      <c r="A2961" s="9">
        <v>2960</v>
      </c>
      <c r="B2961" s="10" t="s">
        <v>9</v>
      </c>
      <c r="C2961" s="10" t="s">
        <v>363</v>
      </c>
      <c r="D2961" s="10" t="s">
        <v>364</v>
      </c>
      <c r="E2961" s="11" t="str">
        <f>+HYPERLINK("http://trademark.i-assist.jp/data/china/image_1902th/79309417.pdf", "79309417")</f>
        <v>79309417</v>
      </c>
      <c r="F2961" s="10" t="s">
        <v>8284</v>
      </c>
      <c r="G2961" s="10" t="s">
        <v>8285</v>
      </c>
      <c r="H2961" s="10" t="s">
        <v>8286</v>
      </c>
      <c r="I2961" s="10" t="s">
        <v>360</v>
      </c>
    </row>
    <row r="2962" spans="1:9" x14ac:dyDescent="0.15">
      <c r="A2962" s="9">
        <v>2961</v>
      </c>
      <c r="B2962" s="10" t="s">
        <v>9</v>
      </c>
      <c r="C2962" s="10" t="s">
        <v>363</v>
      </c>
      <c r="D2962" s="10" t="s">
        <v>364</v>
      </c>
      <c r="E2962" s="11" t="str">
        <f>+HYPERLINK("http://trademark.i-assist.jp/data/china/image_1902th/79309798.pdf", "79309798")</f>
        <v>79309798</v>
      </c>
      <c r="F2962" s="10" t="s">
        <v>8287</v>
      </c>
      <c r="G2962" s="10" t="s">
        <v>3711</v>
      </c>
      <c r="H2962" s="10" t="s">
        <v>8288</v>
      </c>
      <c r="I2962" s="10" t="s">
        <v>360</v>
      </c>
    </row>
    <row r="2963" spans="1:9" x14ac:dyDescent="0.15">
      <c r="A2963" s="9">
        <v>2962</v>
      </c>
      <c r="B2963" s="10" t="s">
        <v>9</v>
      </c>
      <c r="C2963" s="10" t="s">
        <v>363</v>
      </c>
      <c r="D2963" s="10" t="s">
        <v>364</v>
      </c>
      <c r="E2963" s="11" t="str">
        <f>+HYPERLINK("http://trademark.i-assist.jp/data/china/image_1902th/79309829.pdf", "79309829")</f>
        <v>79309829</v>
      </c>
      <c r="F2963" s="10" t="s">
        <v>8289</v>
      </c>
      <c r="G2963" s="10" t="s">
        <v>8290</v>
      </c>
      <c r="H2963" s="10" t="s">
        <v>8291</v>
      </c>
      <c r="I2963" s="10" t="s">
        <v>360</v>
      </c>
    </row>
    <row r="2964" spans="1:9" x14ac:dyDescent="0.15">
      <c r="A2964" s="9">
        <v>2963</v>
      </c>
      <c r="B2964" s="10" t="s">
        <v>9</v>
      </c>
      <c r="C2964" s="10" t="s">
        <v>363</v>
      </c>
      <c r="D2964" s="10" t="s">
        <v>364</v>
      </c>
      <c r="E2964" s="11" t="str">
        <f>+HYPERLINK("http://trademark.i-assist.jp/data/china/image_1902th/79310122.pdf", "79310122")</f>
        <v>79310122</v>
      </c>
      <c r="F2964" s="10" t="s">
        <v>8292</v>
      </c>
      <c r="G2964" s="10" t="s">
        <v>8293</v>
      </c>
      <c r="H2964" s="10" t="s">
        <v>8294</v>
      </c>
      <c r="I2964" s="10" t="s">
        <v>360</v>
      </c>
    </row>
    <row r="2965" spans="1:9" x14ac:dyDescent="0.15">
      <c r="A2965" s="9">
        <v>2964</v>
      </c>
      <c r="B2965" s="10" t="s">
        <v>9</v>
      </c>
      <c r="C2965" s="10" t="s">
        <v>363</v>
      </c>
      <c r="D2965" s="10" t="s">
        <v>364</v>
      </c>
      <c r="E2965" s="11" t="str">
        <f>+HYPERLINK("http://trademark.i-assist.jp/data/china/image_1902th/79310142.pdf", "79310142")</f>
        <v>79310142</v>
      </c>
      <c r="F2965" s="10" t="s">
        <v>8295</v>
      </c>
      <c r="G2965" s="10" t="s">
        <v>8296</v>
      </c>
      <c r="H2965" s="10" t="s">
        <v>8297</v>
      </c>
      <c r="I2965" s="10" t="s">
        <v>360</v>
      </c>
    </row>
    <row r="2966" spans="1:9" x14ac:dyDescent="0.15">
      <c r="A2966" s="9">
        <v>2965</v>
      </c>
      <c r="B2966" s="10" t="s">
        <v>9</v>
      </c>
      <c r="C2966" s="10" t="s">
        <v>363</v>
      </c>
      <c r="D2966" s="10" t="s">
        <v>364</v>
      </c>
      <c r="E2966" s="11" t="str">
        <f>+HYPERLINK("http://trademark.i-assist.jp/data/china/image_1902th/79310192.pdf", "79310192")</f>
        <v>79310192</v>
      </c>
      <c r="F2966" s="10" t="s">
        <v>8298</v>
      </c>
      <c r="G2966" s="10" t="s">
        <v>8299</v>
      </c>
      <c r="H2966" s="10" t="s">
        <v>8300</v>
      </c>
      <c r="I2966" s="10" t="s">
        <v>360</v>
      </c>
    </row>
    <row r="2967" spans="1:9" x14ac:dyDescent="0.15">
      <c r="A2967" s="9">
        <v>2966</v>
      </c>
      <c r="B2967" s="10" t="s">
        <v>9</v>
      </c>
      <c r="C2967" s="10" t="s">
        <v>363</v>
      </c>
      <c r="D2967" s="10" t="s">
        <v>364</v>
      </c>
      <c r="E2967" s="11" t="str">
        <f>+HYPERLINK("http://trademark.i-assist.jp/data/china/image_1902th/79310569.pdf", "79310569")</f>
        <v>79310569</v>
      </c>
      <c r="F2967" s="10" t="s">
        <v>8301</v>
      </c>
      <c r="G2967" s="10" t="s">
        <v>8302</v>
      </c>
      <c r="H2967" s="10" t="s">
        <v>8303</v>
      </c>
      <c r="I2967" s="10" t="s">
        <v>360</v>
      </c>
    </row>
    <row r="2968" spans="1:9" x14ac:dyDescent="0.15">
      <c r="A2968" s="9">
        <v>2967</v>
      </c>
      <c r="B2968" s="10" t="s">
        <v>9</v>
      </c>
      <c r="C2968" s="10" t="s">
        <v>363</v>
      </c>
      <c r="D2968" s="10" t="s">
        <v>364</v>
      </c>
      <c r="E2968" s="11" t="str">
        <f>+HYPERLINK("http://trademark.i-assist.jp/data/china/image_1902th/79310644.pdf", "79310644")</f>
        <v>79310644</v>
      </c>
      <c r="F2968" s="10" t="s">
        <v>8304</v>
      </c>
      <c r="G2968" s="10" t="s">
        <v>359</v>
      </c>
      <c r="H2968" s="10" t="s">
        <v>8305</v>
      </c>
      <c r="I2968" s="10" t="s">
        <v>360</v>
      </c>
    </row>
    <row r="2969" spans="1:9" x14ac:dyDescent="0.15">
      <c r="A2969" s="9">
        <v>2968</v>
      </c>
      <c r="B2969" s="10" t="s">
        <v>9</v>
      </c>
      <c r="C2969" s="10" t="s">
        <v>363</v>
      </c>
      <c r="D2969" s="10" t="s">
        <v>364</v>
      </c>
      <c r="E2969" s="11" t="str">
        <f>+HYPERLINK("http://trademark.i-assist.jp/data/china/image_1902th/79310713.pdf", "79310713")</f>
        <v>79310713</v>
      </c>
      <c r="F2969" s="10" t="s">
        <v>8306</v>
      </c>
      <c r="G2969" s="10" t="s">
        <v>7235</v>
      </c>
      <c r="H2969" s="10" t="s">
        <v>8307</v>
      </c>
      <c r="I2969" s="10" t="s">
        <v>360</v>
      </c>
    </row>
    <row r="2970" spans="1:9" x14ac:dyDescent="0.15">
      <c r="A2970" s="9">
        <v>2969</v>
      </c>
      <c r="B2970" s="10" t="s">
        <v>9</v>
      </c>
      <c r="C2970" s="10" t="s">
        <v>363</v>
      </c>
      <c r="D2970" s="10" t="s">
        <v>364</v>
      </c>
      <c r="E2970" s="11" t="str">
        <f>+HYPERLINK("http://trademark.i-assist.jp/data/china/image_1902th/79310828.pdf", "79310828")</f>
        <v>79310828</v>
      </c>
      <c r="F2970" s="10" t="s">
        <v>8308</v>
      </c>
      <c r="G2970" s="10" t="s">
        <v>223</v>
      </c>
      <c r="H2970" s="10" t="s">
        <v>8309</v>
      </c>
      <c r="I2970" s="10" t="s">
        <v>360</v>
      </c>
    </row>
    <row r="2971" spans="1:9" x14ac:dyDescent="0.15">
      <c r="A2971" s="9">
        <v>2970</v>
      </c>
      <c r="B2971" s="10" t="s">
        <v>9</v>
      </c>
      <c r="C2971" s="10" t="s">
        <v>363</v>
      </c>
      <c r="D2971" s="10" t="s">
        <v>364</v>
      </c>
      <c r="E2971" s="11" t="str">
        <f>+HYPERLINK("http://trademark.i-assist.jp/data/china/image_1902th/79311008.pdf", "79311008")</f>
        <v>79311008</v>
      </c>
      <c r="F2971" s="10" t="s">
        <v>8310</v>
      </c>
      <c r="G2971" s="10" t="s">
        <v>8209</v>
      </c>
      <c r="H2971" s="10" t="s">
        <v>8311</v>
      </c>
      <c r="I2971" s="10" t="s">
        <v>360</v>
      </c>
    </row>
    <row r="2972" spans="1:9" x14ac:dyDescent="0.15">
      <c r="A2972" s="9">
        <v>2971</v>
      </c>
      <c r="B2972" s="10" t="s">
        <v>9</v>
      </c>
      <c r="C2972" s="10" t="s">
        <v>363</v>
      </c>
      <c r="D2972" s="10" t="s">
        <v>364</v>
      </c>
      <c r="E2972" s="11" t="str">
        <f>+HYPERLINK("http://trademark.i-assist.jp/data/china/image_1902th/79311062.pdf", "79311062")</f>
        <v>79311062</v>
      </c>
      <c r="F2972" s="10" t="s">
        <v>8312</v>
      </c>
      <c r="G2972" s="10" t="s">
        <v>8313</v>
      </c>
      <c r="H2972" s="10" t="s">
        <v>8314</v>
      </c>
      <c r="I2972" s="10" t="s">
        <v>360</v>
      </c>
    </row>
    <row r="2973" spans="1:9" x14ac:dyDescent="0.15">
      <c r="A2973" s="9">
        <v>2972</v>
      </c>
      <c r="B2973" s="10" t="s">
        <v>9</v>
      </c>
      <c r="C2973" s="10" t="s">
        <v>363</v>
      </c>
      <c r="D2973" s="10" t="s">
        <v>364</v>
      </c>
      <c r="E2973" s="11" t="str">
        <f>+HYPERLINK("http://trademark.i-assist.jp/data/china/image_1902th/79311102.pdf", "79311102")</f>
        <v>79311102</v>
      </c>
      <c r="F2973" s="10" t="s">
        <v>8315</v>
      </c>
      <c r="G2973" s="10" t="s">
        <v>8316</v>
      </c>
      <c r="H2973" s="10" t="s">
        <v>8317</v>
      </c>
      <c r="I2973" s="10" t="s">
        <v>360</v>
      </c>
    </row>
    <row r="2974" spans="1:9" x14ac:dyDescent="0.15">
      <c r="A2974" s="9">
        <v>2973</v>
      </c>
      <c r="B2974" s="10" t="s">
        <v>9</v>
      </c>
      <c r="C2974" s="10" t="s">
        <v>363</v>
      </c>
      <c r="D2974" s="10" t="s">
        <v>364</v>
      </c>
      <c r="E2974" s="11" t="str">
        <f>+HYPERLINK("http://trademark.i-assist.jp/data/china/image_1902th/79311123.pdf", "79311123")</f>
        <v>79311123</v>
      </c>
      <c r="F2974" s="10" t="s">
        <v>8318</v>
      </c>
      <c r="G2974" s="10" t="s">
        <v>8319</v>
      </c>
      <c r="H2974" s="10" t="s">
        <v>8320</v>
      </c>
      <c r="I2974" s="10" t="s">
        <v>360</v>
      </c>
    </row>
    <row r="2975" spans="1:9" x14ac:dyDescent="0.15">
      <c r="A2975" s="9">
        <v>2974</v>
      </c>
      <c r="B2975" s="10" t="s">
        <v>9</v>
      </c>
      <c r="C2975" s="10" t="s">
        <v>363</v>
      </c>
      <c r="D2975" s="10" t="s">
        <v>364</v>
      </c>
      <c r="E2975" s="11" t="str">
        <f>+HYPERLINK("http://trademark.i-assist.jp/data/china/image_1902th/79311237.pdf", "79311237")</f>
        <v>79311237</v>
      </c>
      <c r="F2975" s="10" t="s">
        <v>8321</v>
      </c>
      <c r="G2975" s="10" t="s">
        <v>343</v>
      </c>
      <c r="H2975" s="10" t="s">
        <v>8322</v>
      </c>
      <c r="I2975" s="10" t="s">
        <v>360</v>
      </c>
    </row>
    <row r="2976" spans="1:9" x14ac:dyDescent="0.15">
      <c r="A2976" s="9">
        <v>2975</v>
      </c>
      <c r="B2976" s="10" t="s">
        <v>9</v>
      </c>
      <c r="C2976" s="10" t="s">
        <v>363</v>
      </c>
      <c r="D2976" s="10" t="s">
        <v>364</v>
      </c>
      <c r="E2976" s="11" t="str">
        <f>+HYPERLINK("http://trademark.i-assist.jp/data/china/image_1902th/79311577.pdf", "79311577")</f>
        <v>79311577</v>
      </c>
      <c r="F2976" s="10" t="s">
        <v>8323</v>
      </c>
      <c r="G2976" s="10" t="s">
        <v>8109</v>
      </c>
      <c r="H2976" s="10" t="s">
        <v>8324</v>
      </c>
      <c r="I2976" s="10" t="s">
        <v>360</v>
      </c>
    </row>
    <row r="2977" spans="1:9" x14ac:dyDescent="0.15">
      <c r="A2977" s="9">
        <v>2976</v>
      </c>
      <c r="B2977" s="10" t="s">
        <v>9</v>
      </c>
      <c r="C2977" s="10" t="s">
        <v>363</v>
      </c>
      <c r="D2977" s="10" t="s">
        <v>364</v>
      </c>
      <c r="E2977" s="11" t="str">
        <f>+HYPERLINK("http://trademark.i-assist.jp/data/china/image_1902th/79311659.pdf", "79311659")</f>
        <v>79311659</v>
      </c>
      <c r="F2977" s="10" t="s">
        <v>8325</v>
      </c>
      <c r="G2977" s="10" t="s">
        <v>8326</v>
      </c>
      <c r="H2977" s="10" t="s">
        <v>8327</v>
      </c>
      <c r="I2977" s="10" t="s">
        <v>360</v>
      </c>
    </row>
    <row r="2978" spans="1:9" x14ac:dyDescent="0.15">
      <c r="A2978" s="9">
        <v>2977</v>
      </c>
      <c r="B2978" s="10" t="s">
        <v>9</v>
      </c>
      <c r="C2978" s="10" t="s">
        <v>363</v>
      </c>
      <c r="D2978" s="10" t="s">
        <v>364</v>
      </c>
      <c r="E2978" s="11" t="str">
        <f>+HYPERLINK("http://trademark.i-assist.jp/data/china/image_1902th/79311698.pdf", "79311698")</f>
        <v>79311698</v>
      </c>
      <c r="F2978" s="10" t="s">
        <v>8328</v>
      </c>
      <c r="G2978" s="10" t="s">
        <v>8329</v>
      </c>
      <c r="H2978" s="10" t="s">
        <v>8330</v>
      </c>
      <c r="I2978" s="10" t="s">
        <v>360</v>
      </c>
    </row>
    <row r="2979" spans="1:9" x14ac:dyDescent="0.15">
      <c r="A2979" s="9">
        <v>2978</v>
      </c>
      <c r="B2979" s="10" t="s">
        <v>9</v>
      </c>
      <c r="C2979" s="10" t="s">
        <v>363</v>
      </c>
      <c r="D2979" s="10" t="s">
        <v>364</v>
      </c>
      <c r="E2979" s="11" t="str">
        <f>+HYPERLINK("http://trademark.i-assist.jp/data/china/image_1902th/79311710.pdf", "79311710")</f>
        <v>79311710</v>
      </c>
      <c r="F2979" s="10" t="s">
        <v>8331</v>
      </c>
      <c r="G2979" s="10" t="s">
        <v>8329</v>
      </c>
      <c r="H2979" s="10" t="s">
        <v>8332</v>
      </c>
      <c r="I2979" s="10" t="s">
        <v>360</v>
      </c>
    </row>
    <row r="2980" spans="1:9" x14ac:dyDescent="0.15">
      <c r="A2980" s="9">
        <v>2979</v>
      </c>
      <c r="B2980" s="10" t="s">
        <v>9</v>
      </c>
      <c r="C2980" s="10" t="s">
        <v>363</v>
      </c>
      <c r="D2980" s="10" t="s">
        <v>364</v>
      </c>
      <c r="E2980" s="11" t="str">
        <f>+HYPERLINK("http://trademark.i-assist.jp/data/china/image_1902th/79311796.pdf", "79311796")</f>
        <v>79311796</v>
      </c>
      <c r="F2980" s="10" t="s">
        <v>8333</v>
      </c>
      <c r="G2980" s="10" t="s">
        <v>8334</v>
      </c>
      <c r="H2980" s="10" t="s">
        <v>15</v>
      </c>
      <c r="I2980" s="10" t="s">
        <v>360</v>
      </c>
    </row>
    <row r="2981" spans="1:9" x14ac:dyDescent="0.15">
      <c r="A2981" s="9">
        <v>2980</v>
      </c>
      <c r="B2981" s="10" t="s">
        <v>9</v>
      </c>
      <c r="C2981" s="10" t="s">
        <v>363</v>
      </c>
      <c r="D2981" s="10" t="s">
        <v>364</v>
      </c>
      <c r="E2981" s="11" t="str">
        <f>+HYPERLINK("http://trademark.i-assist.jp/data/china/image_1902th/79311858.pdf", "79311858")</f>
        <v>79311858</v>
      </c>
      <c r="F2981" s="10" t="s">
        <v>8335</v>
      </c>
      <c r="G2981" s="10" t="s">
        <v>8336</v>
      </c>
      <c r="H2981" s="10" t="s">
        <v>8337</v>
      </c>
      <c r="I2981" s="10" t="s">
        <v>360</v>
      </c>
    </row>
    <row r="2982" spans="1:9" x14ac:dyDescent="0.15">
      <c r="A2982" s="9">
        <v>2981</v>
      </c>
      <c r="B2982" s="10" t="s">
        <v>9</v>
      </c>
      <c r="C2982" s="10" t="s">
        <v>363</v>
      </c>
      <c r="D2982" s="10" t="s">
        <v>364</v>
      </c>
      <c r="E2982" s="11" t="str">
        <f>+HYPERLINK("http://trademark.i-assist.jp/data/china/image_1902th/79311876.pdf", "79311876")</f>
        <v>79311876</v>
      </c>
      <c r="F2982" s="10" t="s">
        <v>8338</v>
      </c>
      <c r="G2982" s="10" t="s">
        <v>8339</v>
      </c>
      <c r="H2982" s="10" t="s">
        <v>8340</v>
      </c>
      <c r="I2982" s="10" t="s">
        <v>360</v>
      </c>
    </row>
    <row r="2983" spans="1:9" x14ac:dyDescent="0.15">
      <c r="A2983" s="9">
        <v>2982</v>
      </c>
      <c r="B2983" s="10" t="s">
        <v>9</v>
      </c>
      <c r="C2983" s="10" t="s">
        <v>363</v>
      </c>
      <c r="D2983" s="10" t="s">
        <v>364</v>
      </c>
      <c r="E2983" s="11" t="str">
        <f>+HYPERLINK("http://trademark.i-assist.jp/data/china/image_1902th/79312275.pdf", "79312275")</f>
        <v>79312275</v>
      </c>
      <c r="F2983" s="10" t="s">
        <v>8341</v>
      </c>
      <c r="G2983" s="10" t="s">
        <v>8342</v>
      </c>
      <c r="H2983" s="10" t="s">
        <v>8343</v>
      </c>
      <c r="I2983" s="10" t="s">
        <v>360</v>
      </c>
    </row>
    <row r="2984" spans="1:9" x14ac:dyDescent="0.15">
      <c r="A2984" s="9">
        <v>2983</v>
      </c>
      <c r="B2984" s="10" t="s">
        <v>9</v>
      </c>
      <c r="C2984" s="10" t="s">
        <v>363</v>
      </c>
      <c r="D2984" s="10" t="s">
        <v>364</v>
      </c>
      <c r="E2984" s="11" t="str">
        <f>+HYPERLINK("http://trademark.i-assist.jp/data/china/image_1902th/79312332.pdf", "79312332")</f>
        <v>79312332</v>
      </c>
      <c r="F2984" s="10" t="s">
        <v>8344</v>
      </c>
      <c r="G2984" s="10" t="s">
        <v>8345</v>
      </c>
      <c r="H2984" s="10" t="s">
        <v>8346</v>
      </c>
      <c r="I2984" s="10" t="s">
        <v>360</v>
      </c>
    </row>
    <row r="2985" spans="1:9" x14ac:dyDescent="0.15">
      <c r="A2985" s="9">
        <v>2984</v>
      </c>
      <c r="B2985" s="10" t="s">
        <v>9</v>
      </c>
      <c r="C2985" s="10" t="s">
        <v>363</v>
      </c>
      <c r="D2985" s="10" t="s">
        <v>364</v>
      </c>
      <c r="E2985" s="11" t="str">
        <f>+HYPERLINK("http://trademark.i-assist.jp/data/china/image_1902th/79312410.pdf", "79312410")</f>
        <v>79312410</v>
      </c>
      <c r="F2985" s="10" t="s">
        <v>8347</v>
      </c>
      <c r="G2985" s="10" t="s">
        <v>8141</v>
      </c>
      <c r="H2985" s="10" t="s">
        <v>8348</v>
      </c>
      <c r="I2985" s="10" t="s">
        <v>360</v>
      </c>
    </row>
    <row r="2986" spans="1:9" x14ac:dyDescent="0.15">
      <c r="A2986" s="9">
        <v>2985</v>
      </c>
      <c r="B2986" s="10" t="s">
        <v>9</v>
      </c>
      <c r="C2986" s="10" t="s">
        <v>363</v>
      </c>
      <c r="D2986" s="10" t="s">
        <v>364</v>
      </c>
      <c r="E2986" s="11" t="str">
        <f>+HYPERLINK("http://trademark.i-assist.jp/data/china/image_1902th/79312801.pdf", "79312801")</f>
        <v>79312801</v>
      </c>
      <c r="F2986" s="10" t="s">
        <v>8349</v>
      </c>
      <c r="G2986" s="10" t="s">
        <v>8350</v>
      </c>
      <c r="H2986" s="10" t="s">
        <v>19</v>
      </c>
      <c r="I2986" s="10" t="s">
        <v>360</v>
      </c>
    </row>
    <row r="2987" spans="1:9" x14ac:dyDescent="0.15">
      <c r="A2987" s="9">
        <v>2986</v>
      </c>
      <c r="B2987" s="10" t="s">
        <v>9</v>
      </c>
      <c r="C2987" s="10" t="s">
        <v>363</v>
      </c>
      <c r="D2987" s="10" t="s">
        <v>364</v>
      </c>
      <c r="E2987" s="11" t="str">
        <f>+HYPERLINK("http://trademark.i-assist.jp/data/china/image_1902th/79312858.pdf", "79312858")</f>
        <v>79312858</v>
      </c>
      <c r="F2987" s="10" t="s">
        <v>8351</v>
      </c>
      <c r="G2987" s="10" t="s">
        <v>8127</v>
      </c>
      <c r="H2987" s="10" t="s">
        <v>8352</v>
      </c>
      <c r="I2987" s="10" t="s">
        <v>360</v>
      </c>
    </row>
    <row r="2988" spans="1:9" x14ac:dyDescent="0.15">
      <c r="A2988" s="9">
        <v>2987</v>
      </c>
      <c r="B2988" s="10" t="s">
        <v>9</v>
      </c>
      <c r="C2988" s="10" t="s">
        <v>363</v>
      </c>
      <c r="D2988" s="10" t="s">
        <v>364</v>
      </c>
      <c r="E2988" s="11" t="str">
        <f>+HYPERLINK("http://trademark.i-assist.jp/data/china/image_1902th/79312921.pdf", "79312921")</f>
        <v>79312921</v>
      </c>
      <c r="F2988" s="10" t="s">
        <v>8353</v>
      </c>
      <c r="G2988" s="10" t="s">
        <v>8354</v>
      </c>
      <c r="H2988" s="10" t="s">
        <v>8355</v>
      </c>
      <c r="I2988" s="10" t="s">
        <v>360</v>
      </c>
    </row>
    <row r="2989" spans="1:9" x14ac:dyDescent="0.15">
      <c r="A2989" s="9">
        <v>2988</v>
      </c>
      <c r="B2989" s="10" t="s">
        <v>9</v>
      </c>
      <c r="C2989" s="10" t="s">
        <v>363</v>
      </c>
      <c r="D2989" s="10" t="s">
        <v>364</v>
      </c>
      <c r="E2989" s="11" t="str">
        <f>+HYPERLINK("http://trademark.i-assist.jp/data/china/image_1902th/79312927.pdf", "79312927")</f>
        <v>79312927</v>
      </c>
      <c r="F2989" s="10" t="s">
        <v>8356</v>
      </c>
      <c r="G2989" s="10" t="s">
        <v>8357</v>
      </c>
      <c r="H2989" s="10" t="s">
        <v>8358</v>
      </c>
      <c r="I2989" s="10" t="s">
        <v>360</v>
      </c>
    </row>
    <row r="2990" spans="1:9" x14ac:dyDescent="0.15">
      <c r="A2990" s="9">
        <v>2989</v>
      </c>
      <c r="B2990" s="10" t="s">
        <v>9</v>
      </c>
      <c r="C2990" s="10" t="s">
        <v>363</v>
      </c>
      <c r="D2990" s="10" t="s">
        <v>364</v>
      </c>
      <c r="E2990" s="11" t="str">
        <f>+HYPERLINK("http://trademark.i-assist.jp/data/china/image_1902th/79312935.pdf", "79312935")</f>
        <v>79312935</v>
      </c>
      <c r="F2990" s="10" t="s">
        <v>8359</v>
      </c>
      <c r="G2990" s="10" t="s">
        <v>8359</v>
      </c>
      <c r="H2990" s="10" t="s">
        <v>8360</v>
      </c>
      <c r="I2990" s="10" t="s">
        <v>360</v>
      </c>
    </row>
    <row r="2991" spans="1:9" x14ac:dyDescent="0.15">
      <c r="A2991" s="9">
        <v>2990</v>
      </c>
      <c r="B2991" s="10" t="s">
        <v>9</v>
      </c>
      <c r="C2991" s="10" t="s">
        <v>363</v>
      </c>
      <c r="D2991" s="10" t="s">
        <v>364</v>
      </c>
      <c r="E2991" s="11" t="str">
        <f>+HYPERLINK("http://trademark.i-assist.jp/data/china/image_1902th/79313079.pdf", "79313079")</f>
        <v>79313079</v>
      </c>
      <c r="F2991" s="10" t="s">
        <v>8361</v>
      </c>
      <c r="G2991" s="10" t="s">
        <v>223</v>
      </c>
      <c r="H2991" s="10" t="s">
        <v>8362</v>
      </c>
      <c r="I2991" s="10" t="s">
        <v>360</v>
      </c>
    </row>
    <row r="2992" spans="1:9" x14ac:dyDescent="0.15">
      <c r="A2992" s="9">
        <v>2991</v>
      </c>
      <c r="B2992" s="10" t="s">
        <v>9</v>
      </c>
      <c r="C2992" s="10" t="s">
        <v>363</v>
      </c>
      <c r="D2992" s="10" t="s">
        <v>364</v>
      </c>
      <c r="E2992" s="11" t="str">
        <f>+HYPERLINK("http://trademark.i-assist.jp/data/china/image_1902th/79313098.pdf", "79313098")</f>
        <v>79313098</v>
      </c>
      <c r="F2992" s="10" t="s">
        <v>8363</v>
      </c>
      <c r="G2992" s="10" t="s">
        <v>8364</v>
      </c>
      <c r="H2992" s="10" t="s">
        <v>8365</v>
      </c>
      <c r="I2992" s="10" t="s">
        <v>360</v>
      </c>
    </row>
    <row r="2993" spans="1:9" x14ac:dyDescent="0.15">
      <c r="A2993" s="9">
        <v>2992</v>
      </c>
      <c r="B2993" s="10" t="s">
        <v>9</v>
      </c>
      <c r="C2993" s="10" t="s">
        <v>363</v>
      </c>
      <c r="D2993" s="10" t="s">
        <v>364</v>
      </c>
      <c r="E2993" s="11" t="str">
        <f>+HYPERLINK("http://trademark.i-assist.jp/data/china/image_1902th/79313334.pdf", "79313334")</f>
        <v>79313334</v>
      </c>
      <c r="F2993" s="10" t="s">
        <v>8366</v>
      </c>
      <c r="G2993" s="10" t="s">
        <v>8367</v>
      </c>
      <c r="H2993" s="10" t="s">
        <v>8368</v>
      </c>
      <c r="I2993" s="10" t="s">
        <v>360</v>
      </c>
    </row>
    <row r="2994" spans="1:9" x14ac:dyDescent="0.15">
      <c r="A2994" s="9">
        <v>2993</v>
      </c>
      <c r="B2994" s="10" t="s">
        <v>9</v>
      </c>
      <c r="C2994" s="10" t="s">
        <v>363</v>
      </c>
      <c r="D2994" s="10" t="s">
        <v>364</v>
      </c>
      <c r="E2994" s="11" t="str">
        <f>+HYPERLINK("http://trademark.i-assist.jp/data/china/image_1902th/79313416.pdf", "79313416")</f>
        <v>79313416</v>
      </c>
      <c r="F2994" s="10" t="s">
        <v>8369</v>
      </c>
      <c r="G2994" s="10" t="s">
        <v>8370</v>
      </c>
      <c r="H2994" s="10" t="s">
        <v>8371</v>
      </c>
      <c r="I2994" s="10" t="s">
        <v>360</v>
      </c>
    </row>
    <row r="2995" spans="1:9" x14ac:dyDescent="0.15">
      <c r="A2995" s="9">
        <v>2994</v>
      </c>
      <c r="B2995" s="10" t="s">
        <v>9</v>
      </c>
      <c r="C2995" s="10" t="s">
        <v>363</v>
      </c>
      <c r="D2995" s="10" t="s">
        <v>364</v>
      </c>
      <c r="E2995" s="11" t="str">
        <f>+HYPERLINK("http://trademark.i-assist.jp/data/china/image_1902th/79313429.pdf", "79313429")</f>
        <v>79313429</v>
      </c>
      <c r="F2995" s="10" t="s">
        <v>12</v>
      </c>
      <c r="G2995" s="10" t="s">
        <v>8372</v>
      </c>
      <c r="H2995" s="10" t="s">
        <v>8373</v>
      </c>
      <c r="I2995" s="10" t="s">
        <v>360</v>
      </c>
    </row>
    <row r="2996" spans="1:9" x14ac:dyDescent="0.15">
      <c r="A2996" s="9">
        <v>2995</v>
      </c>
      <c r="B2996" s="10" t="s">
        <v>9</v>
      </c>
      <c r="C2996" s="10" t="s">
        <v>363</v>
      </c>
      <c r="D2996" s="10" t="s">
        <v>364</v>
      </c>
      <c r="E2996" s="11" t="str">
        <f>+HYPERLINK("http://trademark.i-assist.jp/data/china/image_1902th/79313545.pdf", "79313545")</f>
        <v>79313545</v>
      </c>
      <c r="F2996" s="10" t="s">
        <v>8374</v>
      </c>
      <c r="G2996" s="10" t="s">
        <v>8375</v>
      </c>
      <c r="H2996" s="10" t="s">
        <v>8376</v>
      </c>
      <c r="I2996" s="10" t="s">
        <v>360</v>
      </c>
    </row>
    <row r="2997" spans="1:9" x14ac:dyDescent="0.15">
      <c r="A2997" s="9">
        <v>2996</v>
      </c>
      <c r="B2997" s="10" t="s">
        <v>9</v>
      </c>
      <c r="C2997" s="10" t="s">
        <v>363</v>
      </c>
      <c r="D2997" s="10" t="s">
        <v>364</v>
      </c>
      <c r="E2997" s="11" t="str">
        <f>+HYPERLINK("http://trademark.i-assist.jp/data/china/image_1902th/79313651.pdf", "79313651")</f>
        <v>79313651</v>
      </c>
      <c r="F2997" s="10" t="s">
        <v>8377</v>
      </c>
      <c r="G2997" s="10" t="s">
        <v>8378</v>
      </c>
      <c r="H2997" s="10" t="s">
        <v>8379</v>
      </c>
      <c r="I2997" s="10" t="s">
        <v>360</v>
      </c>
    </row>
    <row r="2998" spans="1:9" x14ac:dyDescent="0.15">
      <c r="A2998" s="9">
        <v>2997</v>
      </c>
      <c r="B2998" s="10" t="s">
        <v>9</v>
      </c>
      <c r="C2998" s="10" t="s">
        <v>363</v>
      </c>
      <c r="D2998" s="10" t="s">
        <v>364</v>
      </c>
      <c r="E2998" s="11" t="str">
        <f>+HYPERLINK("http://trademark.i-assist.jp/data/china/image_1902th/79313766.pdf", "79313766")</f>
        <v>79313766</v>
      </c>
      <c r="F2998" s="10" t="s">
        <v>8380</v>
      </c>
      <c r="G2998" s="10" t="s">
        <v>8381</v>
      </c>
      <c r="H2998" s="10" t="s">
        <v>8382</v>
      </c>
      <c r="I2998" s="10" t="s">
        <v>360</v>
      </c>
    </row>
    <row r="2999" spans="1:9" x14ac:dyDescent="0.15">
      <c r="A2999" s="9">
        <v>2998</v>
      </c>
      <c r="B2999" s="10" t="s">
        <v>9</v>
      </c>
      <c r="C2999" s="10" t="s">
        <v>363</v>
      </c>
      <c r="D2999" s="10" t="s">
        <v>364</v>
      </c>
      <c r="E2999" s="11" t="str">
        <f>+HYPERLINK("http://trademark.i-assist.jp/data/china/image_1902th/79313840.pdf", "79313840")</f>
        <v>79313840</v>
      </c>
      <c r="F2999" s="10" t="s">
        <v>8383</v>
      </c>
      <c r="G2999" s="10" t="s">
        <v>8342</v>
      </c>
      <c r="H2999" s="10" t="s">
        <v>8384</v>
      </c>
      <c r="I2999" s="10" t="s">
        <v>360</v>
      </c>
    </row>
    <row r="3000" spans="1:9" x14ac:dyDescent="0.15">
      <c r="A3000" s="9">
        <v>2999</v>
      </c>
      <c r="B3000" s="10" t="s">
        <v>9</v>
      </c>
      <c r="C3000" s="10" t="s">
        <v>363</v>
      </c>
      <c r="D3000" s="10" t="s">
        <v>364</v>
      </c>
      <c r="E3000" s="11" t="str">
        <f>+HYPERLINK("http://trademark.i-assist.jp/data/china/image_1902th/79314150.pdf", "79314150")</f>
        <v>79314150</v>
      </c>
      <c r="F3000" s="10" t="s">
        <v>8385</v>
      </c>
      <c r="G3000" s="10" t="s">
        <v>8386</v>
      </c>
      <c r="H3000" s="10" t="s">
        <v>8387</v>
      </c>
      <c r="I3000" s="10" t="s">
        <v>360</v>
      </c>
    </row>
    <row r="3001" spans="1:9" x14ac:dyDescent="0.15">
      <c r="A3001" s="9">
        <v>3000</v>
      </c>
      <c r="B3001" s="10" t="s">
        <v>9</v>
      </c>
      <c r="C3001" s="10" t="s">
        <v>363</v>
      </c>
      <c r="D3001" s="10" t="s">
        <v>364</v>
      </c>
      <c r="E3001" s="11" t="str">
        <f>+HYPERLINK("http://trademark.i-assist.jp/data/china/image_1902th/79314230.pdf", "79314230")</f>
        <v>79314230</v>
      </c>
      <c r="F3001" s="10" t="s">
        <v>8388</v>
      </c>
      <c r="G3001" s="10" t="s">
        <v>8389</v>
      </c>
      <c r="H3001" s="10" t="s">
        <v>8390</v>
      </c>
      <c r="I3001" s="10" t="s">
        <v>360</v>
      </c>
    </row>
    <row r="3002" spans="1:9" x14ac:dyDescent="0.15">
      <c r="A3002" s="9">
        <v>3001</v>
      </c>
      <c r="B3002" s="10" t="s">
        <v>9</v>
      </c>
      <c r="C3002" s="10" t="s">
        <v>363</v>
      </c>
      <c r="D3002" s="10" t="s">
        <v>364</v>
      </c>
      <c r="E3002" s="11" t="str">
        <f>+HYPERLINK("http://trademark.i-assist.jp/data/china/image_1902th/79314274.pdf", "79314274")</f>
        <v>79314274</v>
      </c>
      <c r="F3002" s="10" t="s">
        <v>12</v>
      </c>
      <c r="G3002" s="10" t="s">
        <v>8391</v>
      </c>
      <c r="H3002" s="10" t="s">
        <v>8392</v>
      </c>
      <c r="I3002" s="10" t="s">
        <v>360</v>
      </c>
    </row>
    <row r="3003" spans="1:9" x14ac:dyDescent="0.15">
      <c r="A3003" s="9">
        <v>3002</v>
      </c>
      <c r="B3003" s="10" t="s">
        <v>9</v>
      </c>
      <c r="C3003" s="10" t="s">
        <v>363</v>
      </c>
      <c r="D3003" s="10" t="s">
        <v>364</v>
      </c>
      <c r="E3003" s="11" t="str">
        <f>+HYPERLINK("http://trademark.i-assist.jp/data/china/image_1902th/79314610.pdf", "79314610")</f>
        <v>79314610</v>
      </c>
      <c r="F3003" s="10" t="s">
        <v>8393</v>
      </c>
      <c r="G3003" s="10" t="s">
        <v>8394</v>
      </c>
      <c r="H3003" s="10" t="s">
        <v>8395</v>
      </c>
      <c r="I3003" s="10" t="s">
        <v>360</v>
      </c>
    </row>
    <row r="3004" spans="1:9" x14ac:dyDescent="0.15">
      <c r="A3004" s="9">
        <v>3003</v>
      </c>
      <c r="B3004" s="10" t="s">
        <v>9</v>
      </c>
      <c r="C3004" s="10" t="s">
        <v>363</v>
      </c>
      <c r="D3004" s="10" t="s">
        <v>364</v>
      </c>
      <c r="E3004" s="11" t="str">
        <f>+HYPERLINK("http://trademark.i-assist.jp/data/china/image_1902th/79314892.pdf", "79314892")</f>
        <v>79314892</v>
      </c>
      <c r="F3004" s="10" t="s">
        <v>8396</v>
      </c>
      <c r="G3004" s="10" t="s">
        <v>5444</v>
      </c>
      <c r="H3004" s="10" t="s">
        <v>8397</v>
      </c>
      <c r="I3004" s="10" t="s">
        <v>360</v>
      </c>
    </row>
    <row r="3005" spans="1:9" x14ac:dyDescent="0.15">
      <c r="A3005" s="9">
        <v>3004</v>
      </c>
      <c r="B3005" s="10" t="s">
        <v>9</v>
      </c>
      <c r="C3005" s="10" t="s">
        <v>363</v>
      </c>
      <c r="D3005" s="10" t="s">
        <v>364</v>
      </c>
      <c r="E3005" s="11" t="str">
        <f>+HYPERLINK("http://trademark.i-assist.jp/data/china/image_1902th/79315107.pdf", "79315107")</f>
        <v>79315107</v>
      </c>
      <c r="F3005" s="10" t="s">
        <v>8398</v>
      </c>
      <c r="G3005" s="10" t="s">
        <v>8399</v>
      </c>
      <c r="H3005" s="10" t="s">
        <v>8400</v>
      </c>
      <c r="I3005" s="10" t="s">
        <v>360</v>
      </c>
    </row>
    <row r="3006" spans="1:9" x14ac:dyDescent="0.15">
      <c r="A3006" s="9">
        <v>3005</v>
      </c>
      <c r="B3006" s="10" t="s">
        <v>9</v>
      </c>
      <c r="C3006" s="10" t="s">
        <v>363</v>
      </c>
      <c r="D3006" s="10" t="s">
        <v>364</v>
      </c>
      <c r="E3006" s="11" t="str">
        <f>+HYPERLINK("http://trademark.i-assist.jp/data/china/image_1902th/79315513.pdf", "79315513")</f>
        <v>79315513</v>
      </c>
      <c r="F3006" s="10" t="s">
        <v>8401</v>
      </c>
      <c r="G3006" s="10" t="s">
        <v>8402</v>
      </c>
      <c r="H3006" s="10" t="s">
        <v>8403</v>
      </c>
      <c r="I3006" s="10" t="s">
        <v>360</v>
      </c>
    </row>
    <row r="3007" spans="1:9" x14ac:dyDescent="0.15">
      <c r="A3007" s="9">
        <v>3006</v>
      </c>
      <c r="B3007" s="10" t="s">
        <v>9</v>
      </c>
      <c r="C3007" s="10" t="s">
        <v>363</v>
      </c>
      <c r="D3007" s="10" t="s">
        <v>364</v>
      </c>
      <c r="E3007" s="11" t="str">
        <f>+HYPERLINK("http://trademark.i-assist.jp/data/china/image_1902th/79315623.pdf", "79315623")</f>
        <v>79315623</v>
      </c>
      <c r="F3007" s="10" t="s">
        <v>8404</v>
      </c>
      <c r="G3007" s="10" t="s">
        <v>8405</v>
      </c>
      <c r="H3007" s="10" t="s">
        <v>8406</v>
      </c>
      <c r="I3007" s="10" t="s">
        <v>360</v>
      </c>
    </row>
    <row r="3008" spans="1:9" x14ac:dyDescent="0.15">
      <c r="A3008" s="9">
        <v>3007</v>
      </c>
      <c r="B3008" s="10" t="s">
        <v>9</v>
      </c>
      <c r="C3008" s="10" t="s">
        <v>363</v>
      </c>
      <c r="D3008" s="10" t="s">
        <v>364</v>
      </c>
      <c r="E3008" s="11" t="str">
        <f>+HYPERLINK("http://trademark.i-assist.jp/data/china/image_1902th/79315804.pdf", "79315804")</f>
        <v>79315804</v>
      </c>
      <c r="F3008" s="10" t="s">
        <v>8407</v>
      </c>
      <c r="G3008" s="10" t="s">
        <v>8253</v>
      </c>
      <c r="H3008" s="10" t="s">
        <v>8408</v>
      </c>
      <c r="I3008" s="10" t="s">
        <v>360</v>
      </c>
    </row>
    <row r="3009" spans="1:9" x14ac:dyDescent="0.15">
      <c r="A3009" s="9">
        <v>3008</v>
      </c>
      <c r="B3009" s="10" t="s">
        <v>9</v>
      </c>
      <c r="C3009" s="10" t="s">
        <v>363</v>
      </c>
      <c r="D3009" s="10" t="s">
        <v>364</v>
      </c>
      <c r="E3009" s="11" t="str">
        <f>+HYPERLINK("http://trademark.i-assist.jp/data/china/image_1902th/79315975.pdf", "79315975")</f>
        <v>79315975</v>
      </c>
      <c r="F3009" s="10" t="s">
        <v>8409</v>
      </c>
      <c r="G3009" s="10" t="s">
        <v>8410</v>
      </c>
      <c r="H3009" s="10" t="s">
        <v>8411</v>
      </c>
      <c r="I3009" s="10" t="s">
        <v>360</v>
      </c>
    </row>
    <row r="3010" spans="1:9" x14ac:dyDescent="0.15">
      <c r="A3010" s="9">
        <v>3009</v>
      </c>
      <c r="B3010" s="10" t="s">
        <v>9</v>
      </c>
      <c r="C3010" s="10" t="s">
        <v>363</v>
      </c>
      <c r="D3010" s="10" t="s">
        <v>364</v>
      </c>
      <c r="E3010" s="11" t="str">
        <f>+HYPERLINK("http://trademark.i-assist.jp/data/china/image_1902th/79316317.pdf", "79316317")</f>
        <v>79316317</v>
      </c>
      <c r="F3010" s="10" t="s">
        <v>8412</v>
      </c>
      <c r="G3010" s="10" t="s">
        <v>8413</v>
      </c>
      <c r="H3010" s="10" t="s">
        <v>8414</v>
      </c>
      <c r="I3010" s="10" t="s">
        <v>360</v>
      </c>
    </row>
    <row r="3011" spans="1:9" x14ac:dyDescent="0.15">
      <c r="A3011" s="9">
        <v>3010</v>
      </c>
      <c r="B3011" s="10" t="s">
        <v>9</v>
      </c>
      <c r="C3011" s="10" t="s">
        <v>363</v>
      </c>
      <c r="D3011" s="10" t="s">
        <v>364</v>
      </c>
      <c r="E3011" s="11" t="str">
        <f>+HYPERLINK("http://trademark.i-assist.jp/data/china/image_1902th/79316338.pdf", "79316338")</f>
        <v>79316338</v>
      </c>
      <c r="F3011" s="10" t="s">
        <v>8415</v>
      </c>
      <c r="G3011" s="10" t="s">
        <v>8273</v>
      </c>
      <c r="H3011" s="10" t="s">
        <v>8416</v>
      </c>
      <c r="I3011" s="10" t="s">
        <v>360</v>
      </c>
    </row>
    <row r="3012" spans="1:9" x14ac:dyDescent="0.15">
      <c r="A3012" s="9">
        <v>3011</v>
      </c>
      <c r="B3012" s="10" t="s">
        <v>9</v>
      </c>
      <c r="C3012" s="10" t="s">
        <v>363</v>
      </c>
      <c r="D3012" s="10" t="s">
        <v>364</v>
      </c>
      <c r="E3012" s="11" t="str">
        <f>+HYPERLINK("http://trademark.i-assist.jp/data/china/image_1902th/79316471.pdf", "79316471")</f>
        <v>79316471</v>
      </c>
      <c r="F3012" s="10" t="s">
        <v>8417</v>
      </c>
      <c r="G3012" s="10" t="s">
        <v>8418</v>
      </c>
      <c r="H3012" s="10" t="s">
        <v>8419</v>
      </c>
      <c r="I3012" s="10" t="s">
        <v>360</v>
      </c>
    </row>
    <row r="3013" spans="1:9" x14ac:dyDescent="0.15">
      <c r="A3013" s="9">
        <v>3012</v>
      </c>
      <c r="B3013" s="10" t="s">
        <v>9</v>
      </c>
      <c r="C3013" s="10" t="s">
        <v>363</v>
      </c>
      <c r="D3013" s="10" t="s">
        <v>364</v>
      </c>
      <c r="E3013" s="11" t="str">
        <f>+HYPERLINK("http://trademark.i-assist.jp/data/china/image_1902th/79316517.pdf", "79316517")</f>
        <v>79316517</v>
      </c>
      <c r="F3013" s="10" t="s">
        <v>8420</v>
      </c>
      <c r="G3013" s="10" t="s">
        <v>8421</v>
      </c>
      <c r="H3013" s="10" t="s">
        <v>8422</v>
      </c>
      <c r="I3013" s="10" t="s">
        <v>360</v>
      </c>
    </row>
    <row r="3014" spans="1:9" x14ac:dyDescent="0.15">
      <c r="A3014" s="9">
        <v>3013</v>
      </c>
      <c r="B3014" s="10" t="s">
        <v>9</v>
      </c>
      <c r="C3014" s="10" t="s">
        <v>363</v>
      </c>
      <c r="D3014" s="10" t="s">
        <v>364</v>
      </c>
      <c r="E3014" s="11" t="str">
        <f>+HYPERLINK("http://trademark.i-assist.jp/data/china/image_1902th/79316526.pdf", "79316526")</f>
        <v>79316526</v>
      </c>
      <c r="F3014" s="10" t="s">
        <v>8423</v>
      </c>
      <c r="G3014" s="10" t="s">
        <v>8424</v>
      </c>
      <c r="H3014" s="10" t="s">
        <v>8425</v>
      </c>
      <c r="I3014" s="10" t="s">
        <v>360</v>
      </c>
    </row>
    <row r="3015" spans="1:9" x14ac:dyDescent="0.15">
      <c r="A3015" s="9">
        <v>3014</v>
      </c>
      <c r="B3015" s="10" t="s">
        <v>9</v>
      </c>
      <c r="C3015" s="10" t="s">
        <v>363</v>
      </c>
      <c r="D3015" s="10" t="s">
        <v>364</v>
      </c>
      <c r="E3015" s="11" t="str">
        <f>+HYPERLINK("http://trademark.i-assist.jp/data/china/image_1902th/79316569.pdf", "79316569")</f>
        <v>79316569</v>
      </c>
      <c r="F3015" s="10" t="s">
        <v>8426</v>
      </c>
      <c r="G3015" s="10" t="s">
        <v>8427</v>
      </c>
      <c r="H3015" s="10" t="s">
        <v>8428</v>
      </c>
      <c r="I3015" s="10" t="s">
        <v>360</v>
      </c>
    </row>
    <row r="3016" spans="1:9" x14ac:dyDescent="0.15">
      <c r="A3016" s="9">
        <v>3015</v>
      </c>
      <c r="B3016" s="10" t="s">
        <v>9</v>
      </c>
      <c r="C3016" s="10" t="s">
        <v>363</v>
      </c>
      <c r="D3016" s="10" t="s">
        <v>364</v>
      </c>
      <c r="E3016" s="11" t="str">
        <f>+HYPERLINK("http://trademark.i-assist.jp/data/china/image_1902th/79316990.pdf", "79316990")</f>
        <v>79316990</v>
      </c>
      <c r="F3016" s="10" t="s">
        <v>8429</v>
      </c>
      <c r="G3016" s="10" t="s">
        <v>8430</v>
      </c>
      <c r="H3016" s="10" t="s">
        <v>8431</v>
      </c>
      <c r="I3016" s="10" t="s">
        <v>360</v>
      </c>
    </row>
    <row r="3017" spans="1:9" x14ac:dyDescent="0.15">
      <c r="A3017" s="9">
        <v>3016</v>
      </c>
      <c r="B3017" s="10" t="s">
        <v>9</v>
      </c>
      <c r="C3017" s="10" t="s">
        <v>363</v>
      </c>
      <c r="D3017" s="10" t="s">
        <v>364</v>
      </c>
      <c r="E3017" s="11" t="str">
        <f>+HYPERLINK("http://trademark.i-assist.jp/data/china/image_1902th/79316992.pdf", "79316992")</f>
        <v>79316992</v>
      </c>
      <c r="F3017" s="10" t="s">
        <v>8432</v>
      </c>
      <c r="G3017" s="10" t="s">
        <v>258</v>
      </c>
      <c r="H3017" s="10" t="s">
        <v>8433</v>
      </c>
      <c r="I3017" s="10" t="s">
        <v>360</v>
      </c>
    </row>
    <row r="3018" spans="1:9" x14ac:dyDescent="0.15">
      <c r="A3018" s="9">
        <v>3017</v>
      </c>
      <c r="B3018" s="10" t="s">
        <v>9</v>
      </c>
      <c r="C3018" s="10" t="s">
        <v>363</v>
      </c>
      <c r="D3018" s="10" t="s">
        <v>364</v>
      </c>
      <c r="E3018" s="11" t="str">
        <f>+HYPERLINK("http://trademark.i-assist.jp/data/china/image_1902th/79317095.pdf", "79317095")</f>
        <v>79317095</v>
      </c>
      <c r="F3018" s="10" t="s">
        <v>8434</v>
      </c>
      <c r="G3018" s="10" t="s">
        <v>8435</v>
      </c>
      <c r="H3018" s="10" t="s">
        <v>8436</v>
      </c>
      <c r="I3018" s="10" t="s">
        <v>360</v>
      </c>
    </row>
    <row r="3019" spans="1:9" x14ac:dyDescent="0.15">
      <c r="A3019" s="9">
        <v>3018</v>
      </c>
      <c r="B3019" s="10" t="s">
        <v>9</v>
      </c>
      <c r="C3019" s="10" t="s">
        <v>363</v>
      </c>
      <c r="D3019" s="10" t="s">
        <v>364</v>
      </c>
      <c r="E3019" s="11" t="str">
        <f>+HYPERLINK("http://trademark.i-assist.jp/data/china/image_1902th/79317293.pdf", "79317293")</f>
        <v>79317293</v>
      </c>
      <c r="F3019" s="10" t="s">
        <v>8437</v>
      </c>
      <c r="G3019" s="10" t="s">
        <v>8438</v>
      </c>
      <c r="H3019" s="10" t="s">
        <v>8439</v>
      </c>
      <c r="I3019" s="10" t="s">
        <v>360</v>
      </c>
    </row>
    <row r="3020" spans="1:9" x14ac:dyDescent="0.15">
      <c r="A3020" s="9">
        <v>3019</v>
      </c>
      <c r="B3020" s="10" t="s">
        <v>9</v>
      </c>
      <c r="C3020" s="10" t="s">
        <v>363</v>
      </c>
      <c r="D3020" s="10" t="s">
        <v>364</v>
      </c>
      <c r="E3020" s="11" t="str">
        <f>+HYPERLINK("http://trademark.i-assist.jp/data/china/image_1902th/79317361.pdf", "79317361")</f>
        <v>79317361</v>
      </c>
      <c r="F3020" s="10" t="s">
        <v>8440</v>
      </c>
      <c r="G3020" s="10" t="s">
        <v>60</v>
      </c>
      <c r="H3020" s="10" t="s">
        <v>8441</v>
      </c>
      <c r="I3020" s="10" t="s">
        <v>360</v>
      </c>
    </row>
    <row r="3021" spans="1:9" x14ac:dyDescent="0.15">
      <c r="A3021" s="9">
        <v>3020</v>
      </c>
      <c r="B3021" s="10" t="s">
        <v>9</v>
      </c>
      <c r="C3021" s="10" t="s">
        <v>363</v>
      </c>
      <c r="D3021" s="10" t="s">
        <v>364</v>
      </c>
      <c r="E3021" s="11" t="str">
        <f>+HYPERLINK("http://trademark.i-assist.jp/data/china/image_1902th/79317374.pdf", "79317374")</f>
        <v>79317374</v>
      </c>
      <c r="F3021" s="10" t="s">
        <v>8442</v>
      </c>
      <c r="G3021" s="10" t="s">
        <v>8443</v>
      </c>
      <c r="H3021" s="10" t="s">
        <v>8444</v>
      </c>
      <c r="I3021" s="10" t="s">
        <v>360</v>
      </c>
    </row>
    <row r="3022" spans="1:9" x14ac:dyDescent="0.15">
      <c r="A3022" s="9">
        <v>3021</v>
      </c>
      <c r="B3022" s="10" t="s">
        <v>9</v>
      </c>
      <c r="C3022" s="10" t="s">
        <v>363</v>
      </c>
      <c r="D3022" s="10" t="s">
        <v>364</v>
      </c>
      <c r="E3022" s="11" t="str">
        <f>+HYPERLINK("http://trademark.i-assist.jp/data/china/image_1902th/79317504.pdf", "79317504")</f>
        <v>79317504</v>
      </c>
      <c r="F3022" s="10" t="s">
        <v>8445</v>
      </c>
      <c r="G3022" s="10" t="s">
        <v>8446</v>
      </c>
      <c r="H3022" s="10" t="s">
        <v>8447</v>
      </c>
      <c r="I3022" s="10" t="s">
        <v>360</v>
      </c>
    </row>
    <row r="3023" spans="1:9" x14ac:dyDescent="0.15">
      <c r="A3023" s="9">
        <v>3022</v>
      </c>
      <c r="B3023" s="10" t="s">
        <v>9</v>
      </c>
      <c r="C3023" s="10" t="s">
        <v>363</v>
      </c>
      <c r="D3023" s="10" t="s">
        <v>364</v>
      </c>
      <c r="E3023" s="11" t="str">
        <f>+HYPERLINK("http://trademark.i-assist.jp/data/china/image_1902th/79317717.pdf", "79317717")</f>
        <v>79317717</v>
      </c>
      <c r="F3023" s="10" t="s">
        <v>8448</v>
      </c>
      <c r="G3023" s="10" t="s">
        <v>8449</v>
      </c>
      <c r="H3023" s="10" t="s">
        <v>8450</v>
      </c>
      <c r="I3023" s="10" t="s">
        <v>360</v>
      </c>
    </row>
    <row r="3024" spans="1:9" x14ac:dyDescent="0.15">
      <c r="A3024" s="9">
        <v>3023</v>
      </c>
      <c r="B3024" s="10" t="s">
        <v>9</v>
      </c>
      <c r="C3024" s="10" t="s">
        <v>363</v>
      </c>
      <c r="D3024" s="10" t="s">
        <v>364</v>
      </c>
      <c r="E3024" s="11" t="str">
        <f>+HYPERLINK("http://trademark.i-assist.jp/data/china/image_1902th/79317878.pdf", "79317878")</f>
        <v>79317878</v>
      </c>
      <c r="F3024" s="10" t="s">
        <v>12</v>
      </c>
      <c r="G3024" s="10" t="s">
        <v>8451</v>
      </c>
      <c r="H3024" s="10" t="s">
        <v>8452</v>
      </c>
      <c r="I3024" s="10" t="s">
        <v>360</v>
      </c>
    </row>
    <row r="3025" spans="1:9" x14ac:dyDescent="0.15">
      <c r="A3025" s="9">
        <v>3024</v>
      </c>
      <c r="B3025" s="10" t="s">
        <v>9</v>
      </c>
      <c r="C3025" s="10" t="s">
        <v>363</v>
      </c>
      <c r="D3025" s="10" t="s">
        <v>364</v>
      </c>
      <c r="E3025" s="11" t="str">
        <f>+HYPERLINK("http://trademark.i-assist.jp/data/china/image_1902th/79318467.pdf", "79318467")</f>
        <v>79318467</v>
      </c>
      <c r="F3025" s="10" t="s">
        <v>8453</v>
      </c>
      <c r="G3025" s="10" t="s">
        <v>8245</v>
      </c>
      <c r="H3025" s="10" t="s">
        <v>8454</v>
      </c>
      <c r="I3025" s="10" t="s">
        <v>360</v>
      </c>
    </row>
    <row r="3026" spans="1:9" x14ac:dyDescent="0.15">
      <c r="A3026" s="9">
        <v>3025</v>
      </c>
      <c r="B3026" s="10" t="s">
        <v>9</v>
      </c>
      <c r="C3026" s="10" t="s">
        <v>363</v>
      </c>
      <c r="D3026" s="10" t="s">
        <v>364</v>
      </c>
      <c r="E3026" s="11" t="str">
        <f>+HYPERLINK("http://trademark.i-assist.jp/data/china/image_1902th/79318529.pdf", "79318529")</f>
        <v>79318529</v>
      </c>
      <c r="F3026" s="10" t="s">
        <v>8455</v>
      </c>
      <c r="G3026" s="10" t="s">
        <v>8456</v>
      </c>
      <c r="H3026" s="10" t="s">
        <v>15</v>
      </c>
      <c r="I3026" s="10" t="s">
        <v>360</v>
      </c>
    </row>
    <row r="3027" spans="1:9" x14ac:dyDescent="0.15">
      <c r="A3027" s="9">
        <v>3026</v>
      </c>
      <c r="B3027" s="10" t="s">
        <v>9</v>
      </c>
      <c r="C3027" s="10" t="s">
        <v>363</v>
      </c>
      <c r="D3027" s="10" t="s">
        <v>364</v>
      </c>
      <c r="E3027" s="11" t="str">
        <f>+HYPERLINK("http://trademark.i-assist.jp/data/china/image_1902th/79318620.pdf", "79318620")</f>
        <v>79318620</v>
      </c>
      <c r="F3027" s="10" t="s">
        <v>8457</v>
      </c>
      <c r="G3027" s="10" t="s">
        <v>8336</v>
      </c>
      <c r="H3027" s="10" t="s">
        <v>8458</v>
      </c>
      <c r="I3027" s="10" t="s">
        <v>360</v>
      </c>
    </row>
    <row r="3028" spans="1:9" x14ac:dyDescent="0.15">
      <c r="A3028" s="9">
        <v>3027</v>
      </c>
      <c r="B3028" s="10" t="s">
        <v>9</v>
      </c>
      <c r="C3028" s="10" t="s">
        <v>363</v>
      </c>
      <c r="D3028" s="10" t="s">
        <v>364</v>
      </c>
      <c r="E3028" s="11" t="str">
        <f>+HYPERLINK("http://trademark.i-assist.jp/data/china/image_1902th/79318749.pdf", "79318749")</f>
        <v>79318749</v>
      </c>
      <c r="F3028" s="10" t="s">
        <v>8459</v>
      </c>
      <c r="G3028" s="10" t="s">
        <v>8460</v>
      </c>
      <c r="H3028" s="10" t="s">
        <v>8461</v>
      </c>
      <c r="I3028" s="10" t="s">
        <v>360</v>
      </c>
    </row>
    <row r="3029" spans="1:9" x14ac:dyDescent="0.15">
      <c r="A3029" s="9">
        <v>3028</v>
      </c>
      <c r="B3029" s="10" t="s">
        <v>9</v>
      </c>
      <c r="C3029" s="10" t="s">
        <v>363</v>
      </c>
      <c r="D3029" s="10" t="s">
        <v>364</v>
      </c>
      <c r="E3029" s="11" t="str">
        <f>+HYPERLINK("http://trademark.i-assist.jp/data/china/image_1902th/79318982.pdf", "79318982")</f>
        <v>79318982</v>
      </c>
      <c r="F3029" s="10" t="s">
        <v>8462</v>
      </c>
      <c r="G3029" s="10" t="s">
        <v>8127</v>
      </c>
      <c r="H3029" s="10" t="s">
        <v>8463</v>
      </c>
      <c r="I3029" s="10" t="s">
        <v>360</v>
      </c>
    </row>
    <row r="3030" spans="1:9" x14ac:dyDescent="0.15">
      <c r="A3030" s="9">
        <v>3029</v>
      </c>
      <c r="B3030" s="10" t="s">
        <v>9</v>
      </c>
      <c r="C3030" s="10" t="s">
        <v>363</v>
      </c>
      <c r="D3030" s="10" t="s">
        <v>364</v>
      </c>
      <c r="E3030" s="11" t="str">
        <f>+HYPERLINK("http://trademark.i-assist.jp/data/china/image_1902th/79319008.pdf", "79319008")</f>
        <v>79319008</v>
      </c>
      <c r="F3030" s="10" t="s">
        <v>8464</v>
      </c>
      <c r="G3030" s="10" t="s">
        <v>8413</v>
      </c>
      <c r="H3030" s="10" t="s">
        <v>8465</v>
      </c>
      <c r="I3030" s="10" t="s">
        <v>360</v>
      </c>
    </row>
    <row r="3031" spans="1:9" x14ac:dyDescent="0.15">
      <c r="A3031" s="9">
        <v>3030</v>
      </c>
      <c r="B3031" s="10" t="s">
        <v>9</v>
      </c>
      <c r="C3031" s="10" t="s">
        <v>363</v>
      </c>
      <c r="D3031" s="10" t="s">
        <v>364</v>
      </c>
      <c r="E3031" s="11" t="str">
        <f>+HYPERLINK("http://trademark.i-assist.jp/data/china/image_1902th/79319441.pdf", "79319441")</f>
        <v>79319441</v>
      </c>
      <c r="F3031" s="10" t="s">
        <v>8466</v>
      </c>
      <c r="G3031" s="10" t="s">
        <v>8467</v>
      </c>
      <c r="H3031" s="10" t="s">
        <v>8468</v>
      </c>
      <c r="I3031" s="10" t="s">
        <v>360</v>
      </c>
    </row>
    <row r="3032" spans="1:9" x14ac:dyDescent="0.15">
      <c r="A3032" s="9">
        <v>3031</v>
      </c>
      <c r="B3032" s="10" t="s">
        <v>9</v>
      </c>
      <c r="C3032" s="10" t="s">
        <v>363</v>
      </c>
      <c r="D3032" s="10" t="s">
        <v>364</v>
      </c>
      <c r="E3032" s="11" t="str">
        <f>+HYPERLINK("http://trademark.i-assist.jp/data/china/image_1902th/79319453.pdf", "79319453")</f>
        <v>79319453</v>
      </c>
      <c r="F3032" s="10" t="s">
        <v>8469</v>
      </c>
      <c r="G3032" s="10" t="s">
        <v>8470</v>
      </c>
      <c r="H3032" s="10" t="s">
        <v>8471</v>
      </c>
      <c r="I3032" s="10" t="s">
        <v>360</v>
      </c>
    </row>
    <row r="3033" spans="1:9" x14ac:dyDescent="0.15">
      <c r="A3033" s="9">
        <v>3032</v>
      </c>
      <c r="B3033" s="10" t="s">
        <v>9</v>
      </c>
      <c r="C3033" s="10" t="s">
        <v>363</v>
      </c>
      <c r="D3033" s="10" t="s">
        <v>364</v>
      </c>
      <c r="E3033" s="11" t="str">
        <f>+HYPERLINK("http://trademark.i-assist.jp/data/china/image_1902th/79319473.pdf", "79319473")</f>
        <v>79319473</v>
      </c>
      <c r="F3033" s="10" t="s">
        <v>8472</v>
      </c>
      <c r="G3033" s="10" t="s">
        <v>132</v>
      </c>
      <c r="H3033" s="10" t="s">
        <v>8473</v>
      </c>
      <c r="I3033" s="10" t="s">
        <v>360</v>
      </c>
    </row>
    <row r="3034" spans="1:9" x14ac:dyDescent="0.15">
      <c r="A3034" s="9">
        <v>3033</v>
      </c>
      <c r="B3034" s="10" t="s">
        <v>9</v>
      </c>
      <c r="C3034" s="10" t="s">
        <v>363</v>
      </c>
      <c r="D3034" s="10" t="s">
        <v>364</v>
      </c>
      <c r="E3034" s="11" t="str">
        <f>+HYPERLINK("http://trademark.i-assist.jp/data/china/image_1902th/79320359.pdf", "79320359")</f>
        <v>79320359</v>
      </c>
      <c r="F3034" s="10" t="s">
        <v>8474</v>
      </c>
      <c r="G3034" s="10" t="s">
        <v>223</v>
      </c>
      <c r="H3034" s="10" t="s">
        <v>8475</v>
      </c>
      <c r="I3034" s="10" t="s">
        <v>360</v>
      </c>
    </row>
    <row r="3035" spans="1:9" x14ac:dyDescent="0.15">
      <c r="A3035" s="9">
        <v>3034</v>
      </c>
      <c r="B3035" s="10" t="s">
        <v>9</v>
      </c>
      <c r="C3035" s="10" t="s">
        <v>363</v>
      </c>
      <c r="D3035" s="10" t="s">
        <v>364</v>
      </c>
      <c r="E3035" s="11" t="str">
        <f>+HYPERLINK("http://trademark.i-assist.jp/data/china/image_1902th/79320572.pdf", "79320572")</f>
        <v>79320572</v>
      </c>
      <c r="F3035" s="10" t="s">
        <v>8476</v>
      </c>
      <c r="G3035" s="10" t="s">
        <v>8329</v>
      </c>
      <c r="H3035" s="10" t="s">
        <v>8477</v>
      </c>
      <c r="I3035" s="10" t="s">
        <v>360</v>
      </c>
    </row>
    <row r="3036" spans="1:9" x14ac:dyDescent="0.15">
      <c r="A3036" s="9">
        <v>3035</v>
      </c>
      <c r="B3036" s="10" t="s">
        <v>9</v>
      </c>
      <c r="C3036" s="10" t="s">
        <v>363</v>
      </c>
      <c r="D3036" s="10" t="s">
        <v>364</v>
      </c>
      <c r="E3036" s="11" t="str">
        <f>+HYPERLINK("http://trademark.i-assist.jp/data/china/image_1902th/79320820.pdf", "79320820")</f>
        <v>79320820</v>
      </c>
      <c r="F3036" s="10" t="s">
        <v>8478</v>
      </c>
      <c r="G3036" s="10" t="s">
        <v>8479</v>
      </c>
      <c r="H3036" s="10" t="s">
        <v>8480</v>
      </c>
      <c r="I3036" s="10" t="s">
        <v>360</v>
      </c>
    </row>
    <row r="3037" spans="1:9" x14ac:dyDescent="0.15">
      <c r="A3037" s="9">
        <v>3036</v>
      </c>
      <c r="B3037" s="10" t="s">
        <v>9</v>
      </c>
      <c r="C3037" s="10" t="s">
        <v>363</v>
      </c>
      <c r="D3037" s="10" t="s">
        <v>364</v>
      </c>
      <c r="E3037" s="11" t="str">
        <f>+HYPERLINK("http://trademark.i-assist.jp/data/china/image_1902th/79320905.pdf", "79320905")</f>
        <v>79320905</v>
      </c>
      <c r="F3037" s="10" t="s">
        <v>8481</v>
      </c>
      <c r="G3037" s="10" t="s">
        <v>8482</v>
      </c>
      <c r="H3037" s="10" t="s">
        <v>8483</v>
      </c>
      <c r="I3037" s="10" t="s">
        <v>360</v>
      </c>
    </row>
    <row r="3038" spans="1:9" x14ac:dyDescent="0.15">
      <c r="A3038" s="9">
        <v>3037</v>
      </c>
      <c r="B3038" s="10" t="s">
        <v>9</v>
      </c>
      <c r="C3038" s="10" t="s">
        <v>363</v>
      </c>
      <c r="D3038" s="10" t="s">
        <v>364</v>
      </c>
      <c r="E3038" s="11" t="str">
        <f>+HYPERLINK("http://trademark.i-assist.jp/data/china/image_1902th/79321005.pdf", "79321005")</f>
        <v>79321005</v>
      </c>
      <c r="F3038" s="10" t="s">
        <v>8484</v>
      </c>
      <c r="G3038" s="10" t="s">
        <v>8485</v>
      </c>
      <c r="H3038" s="10" t="s">
        <v>8486</v>
      </c>
      <c r="I3038" s="10" t="s">
        <v>360</v>
      </c>
    </row>
    <row r="3039" spans="1:9" x14ac:dyDescent="0.15">
      <c r="A3039" s="9">
        <v>3038</v>
      </c>
      <c r="B3039" s="10" t="s">
        <v>9</v>
      </c>
      <c r="C3039" s="10" t="s">
        <v>363</v>
      </c>
      <c r="D3039" s="10" t="s">
        <v>364</v>
      </c>
      <c r="E3039" s="11" t="str">
        <f>+HYPERLINK("http://trademark.i-assist.jp/data/china/image_1902th/79321221.pdf", "79321221")</f>
        <v>79321221</v>
      </c>
      <c r="F3039" s="10" t="s">
        <v>8487</v>
      </c>
      <c r="G3039" s="10" t="s">
        <v>8488</v>
      </c>
      <c r="H3039" s="10" t="s">
        <v>8489</v>
      </c>
      <c r="I3039" s="10" t="s">
        <v>360</v>
      </c>
    </row>
    <row r="3040" spans="1:9" x14ac:dyDescent="0.15">
      <c r="A3040" s="9">
        <v>3039</v>
      </c>
      <c r="B3040" s="10" t="s">
        <v>9</v>
      </c>
      <c r="C3040" s="10" t="s">
        <v>363</v>
      </c>
      <c r="D3040" s="10" t="s">
        <v>364</v>
      </c>
      <c r="E3040" s="11" t="str">
        <f>+HYPERLINK("http://trademark.i-assist.jp/data/china/image_1902th/79321360.pdf", "79321360")</f>
        <v>79321360</v>
      </c>
      <c r="F3040" s="10" t="s">
        <v>8490</v>
      </c>
      <c r="G3040" s="10" t="s">
        <v>8491</v>
      </c>
      <c r="H3040" s="10" t="s">
        <v>8492</v>
      </c>
      <c r="I3040" s="10" t="s">
        <v>360</v>
      </c>
    </row>
    <row r="3041" spans="1:9" x14ac:dyDescent="0.15">
      <c r="A3041" s="9">
        <v>3040</v>
      </c>
      <c r="B3041" s="10" t="s">
        <v>9</v>
      </c>
      <c r="C3041" s="10" t="s">
        <v>363</v>
      </c>
      <c r="D3041" s="10" t="s">
        <v>364</v>
      </c>
      <c r="E3041" s="11" t="str">
        <f>+HYPERLINK("http://trademark.i-assist.jp/data/china/image_1902th/79321454.pdf", "79321454")</f>
        <v>79321454</v>
      </c>
      <c r="F3041" s="10" t="s">
        <v>8493</v>
      </c>
      <c r="G3041" s="10" t="s">
        <v>8402</v>
      </c>
      <c r="H3041" s="10" t="s">
        <v>8494</v>
      </c>
      <c r="I3041" s="10" t="s">
        <v>360</v>
      </c>
    </row>
    <row r="3042" spans="1:9" x14ac:dyDescent="0.15">
      <c r="A3042" s="9">
        <v>3041</v>
      </c>
      <c r="B3042" s="10" t="s">
        <v>9</v>
      </c>
      <c r="C3042" s="10" t="s">
        <v>363</v>
      </c>
      <c r="D3042" s="10" t="s">
        <v>364</v>
      </c>
      <c r="E3042" s="11" t="str">
        <f>+HYPERLINK("http://trademark.i-assist.jp/data/china/image_1902th/79321546.pdf", "79321546")</f>
        <v>79321546</v>
      </c>
      <c r="F3042" s="10" t="s">
        <v>8495</v>
      </c>
      <c r="G3042" s="10" t="s">
        <v>8364</v>
      </c>
      <c r="H3042" s="10" t="s">
        <v>8496</v>
      </c>
      <c r="I3042" s="10" t="s">
        <v>360</v>
      </c>
    </row>
    <row r="3043" spans="1:9" x14ac:dyDescent="0.15">
      <c r="A3043" s="9">
        <v>3042</v>
      </c>
      <c r="B3043" s="10" t="s">
        <v>9</v>
      </c>
      <c r="C3043" s="10" t="s">
        <v>363</v>
      </c>
      <c r="D3043" s="10" t="s">
        <v>364</v>
      </c>
      <c r="E3043" s="11" t="str">
        <f>+HYPERLINK("http://trademark.i-assist.jp/data/china/image_1902th/79321698.pdf", "79321698")</f>
        <v>79321698</v>
      </c>
      <c r="F3043" s="10" t="s">
        <v>8497</v>
      </c>
      <c r="G3043" s="10" t="s">
        <v>8498</v>
      </c>
      <c r="H3043" s="10" t="s">
        <v>8499</v>
      </c>
      <c r="I3043" s="10" t="s">
        <v>360</v>
      </c>
    </row>
    <row r="3044" spans="1:9" x14ac:dyDescent="0.15">
      <c r="A3044" s="9">
        <v>3043</v>
      </c>
      <c r="B3044" s="10" t="s">
        <v>9</v>
      </c>
      <c r="C3044" s="10" t="s">
        <v>363</v>
      </c>
      <c r="D3044" s="10" t="s">
        <v>364</v>
      </c>
      <c r="E3044" s="11" t="str">
        <f>+HYPERLINK("http://trademark.i-assist.jp/data/china/image_1902th/79321789.pdf", "79321789")</f>
        <v>79321789</v>
      </c>
      <c r="F3044" s="10" t="s">
        <v>8500</v>
      </c>
      <c r="G3044" s="10" t="s">
        <v>8367</v>
      </c>
      <c r="H3044" s="10" t="s">
        <v>8501</v>
      </c>
      <c r="I3044" s="10" t="s">
        <v>360</v>
      </c>
    </row>
    <row r="3045" spans="1:9" x14ac:dyDescent="0.15">
      <c r="A3045" s="9">
        <v>3044</v>
      </c>
      <c r="B3045" s="10" t="s">
        <v>9</v>
      </c>
      <c r="C3045" s="10" t="s">
        <v>363</v>
      </c>
      <c r="D3045" s="10" t="s">
        <v>364</v>
      </c>
      <c r="E3045" s="11" t="str">
        <f>+HYPERLINK("http://trademark.i-assist.jp/data/china/image_1902th/79321886.pdf", "79321886")</f>
        <v>79321886</v>
      </c>
      <c r="F3045" s="10" t="s">
        <v>8502</v>
      </c>
      <c r="G3045" s="10" t="s">
        <v>8503</v>
      </c>
      <c r="H3045" s="10" t="s">
        <v>8504</v>
      </c>
      <c r="I3045" s="10" t="s">
        <v>360</v>
      </c>
    </row>
    <row r="3046" spans="1:9" x14ac:dyDescent="0.15">
      <c r="A3046" s="9">
        <v>3045</v>
      </c>
      <c r="B3046" s="10" t="s">
        <v>9</v>
      </c>
      <c r="C3046" s="10" t="s">
        <v>363</v>
      </c>
      <c r="D3046" s="10" t="s">
        <v>364</v>
      </c>
      <c r="E3046" s="11" t="str">
        <f>+HYPERLINK("http://trademark.i-assist.jp/data/china/image_1902th/79321890.pdf", "79321890")</f>
        <v>79321890</v>
      </c>
      <c r="F3046" s="10" t="s">
        <v>8505</v>
      </c>
      <c r="G3046" s="10" t="s">
        <v>8506</v>
      </c>
      <c r="H3046" s="10" t="s">
        <v>8507</v>
      </c>
      <c r="I3046" s="10" t="s">
        <v>360</v>
      </c>
    </row>
    <row r="3047" spans="1:9" x14ac:dyDescent="0.15">
      <c r="A3047" s="9">
        <v>3046</v>
      </c>
      <c r="B3047" s="10" t="s">
        <v>9</v>
      </c>
      <c r="C3047" s="10" t="s">
        <v>363</v>
      </c>
      <c r="D3047" s="10" t="s">
        <v>364</v>
      </c>
      <c r="E3047" s="11" t="str">
        <f>+HYPERLINK("http://trademark.i-assist.jp/data/china/image_1902th/79322004.pdf", "79322004")</f>
        <v>79322004</v>
      </c>
      <c r="F3047" s="10" t="s">
        <v>8508</v>
      </c>
      <c r="G3047" s="10" t="s">
        <v>8413</v>
      </c>
      <c r="H3047" s="10" t="s">
        <v>8509</v>
      </c>
      <c r="I3047" s="10" t="s">
        <v>360</v>
      </c>
    </row>
    <row r="3048" spans="1:9" x14ac:dyDescent="0.15">
      <c r="A3048" s="9">
        <v>3047</v>
      </c>
      <c r="B3048" s="10" t="s">
        <v>9</v>
      </c>
      <c r="C3048" s="10" t="s">
        <v>363</v>
      </c>
      <c r="D3048" s="10" t="s">
        <v>364</v>
      </c>
      <c r="E3048" s="11" t="str">
        <f>+HYPERLINK("http://trademark.i-assist.jp/data/china/image_1902th/79322068.pdf", "79322068")</f>
        <v>79322068</v>
      </c>
      <c r="F3048" s="10" t="s">
        <v>8510</v>
      </c>
      <c r="G3048" s="10" t="s">
        <v>8511</v>
      </c>
      <c r="H3048" s="10" t="s">
        <v>8512</v>
      </c>
      <c r="I3048" s="10" t="s">
        <v>360</v>
      </c>
    </row>
    <row r="3049" spans="1:9" x14ac:dyDescent="0.15">
      <c r="A3049" s="9">
        <v>3048</v>
      </c>
      <c r="B3049" s="10" t="s">
        <v>9</v>
      </c>
      <c r="C3049" s="10" t="s">
        <v>363</v>
      </c>
      <c r="D3049" s="10" t="s">
        <v>364</v>
      </c>
      <c r="E3049" s="11" t="str">
        <f>+HYPERLINK("http://trademark.i-assist.jp/data/china/image_1902th/79322294.pdf", "79322294")</f>
        <v>79322294</v>
      </c>
      <c r="F3049" s="10" t="s">
        <v>8513</v>
      </c>
      <c r="G3049" s="10" t="s">
        <v>8389</v>
      </c>
      <c r="H3049" s="10" t="s">
        <v>8514</v>
      </c>
      <c r="I3049" s="10" t="s">
        <v>360</v>
      </c>
    </row>
    <row r="3050" spans="1:9" x14ac:dyDescent="0.15">
      <c r="A3050" s="9">
        <v>3049</v>
      </c>
      <c r="B3050" s="10" t="s">
        <v>9</v>
      </c>
      <c r="C3050" s="10" t="s">
        <v>363</v>
      </c>
      <c r="D3050" s="10" t="s">
        <v>364</v>
      </c>
      <c r="E3050" s="11" t="str">
        <f>+HYPERLINK("http://trademark.i-assist.jp/data/china/image_1902th/79322417.pdf", "79322417")</f>
        <v>79322417</v>
      </c>
      <c r="F3050" s="10" t="s">
        <v>8515</v>
      </c>
      <c r="G3050" s="10" t="s">
        <v>8516</v>
      </c>
      <c r="H3050" s="10" t="s">
        <v>8517</v>
      </c>
      <c r="I3050" s="10" t="s">
        <v>360</v>
      </c>
    </row>
    <row r="3051" spans="1:9" x14ac:dyDescent="0.15">
      <c r="A3051" s="9">
        <v>3050</v>
      </c>
      <c r="B3051" s="10" t="s">
        <v>9</v>
      </c>
      <c r="C3051" s="10" t="s">
        <v>363</v>
      </c>
      <c r="D3051" s="10" t="s">
        <v>364</v>
      </c>
      <c r="E3051" s="11" t="str">
        <f>+HYPERLINK("http://trademark.i-assist.jp/data/china/image_1902th/79322708.pdf", "79322708")</f>
        <v>79322708</v>
      </c>
      <c r="F3051" s="10" t="s">
        <v>8518</v>
      </c>
      <c r="G3051" s="10" t="s">
        <v>322</v>
      </c>
      <c r="H3051" s="10" t="s">
        <v>8519</v>
      </c>
      <c r="I3051" s="10" t="s">
        <v>360</v>
      </c>
    </row>
    <row r="3052" spans="1:9" x14ac:dyDescent="0.15">
      <c r="A3052" s="9">
        <v>3051</v>
      </c>
      <c r="B3052" s="10" t="s">
        <v>9</v>
      </c>
      <c r="C3052" s="10" t="s">
        <v>363</v>
      </c>
      <c r="D3052" s="10" t="s">
        <v>364</v>
      </c>
      <c r="E3052" s="11" t="str">
        <f>+HYPERLINK("http://trademark.i-assist.jp/data/china/image_1902th/79323103.pdf", "79323103")</f>
        <v>79323103</v>
      </c>
      <c r="F3052" s="10" t="s">
        <v>8520</v>
      </c>
      <c r="G3052" s="10" t="s">
        <v>8521</v>
      </c>
      <c r="H3052" s="10" t="s">
        <v>8522</v>
      </c>
      <c r="I3052" s="10" t="s">
        <v>360</v>
      </c>
    </row>
    <row r="3053" spans="1:9" x14ac:dyDescent="0.15">
      <c r="A3053" s="9">
        <v>3052</v>
      </c>
      <c r="B3053" s="10" t="s">
        <v>9</v>
      </c>
      <c r="C3053" s="10" t="s">
        <v>363</v>
      </c>
      <c r="D3053" s="10" t="s">
        <v>364</v>
      </c>
      <c r="E3053" s="11" t="str">
        <f>+HYPERLINK("http://trademark.i-assist.jp/data/china/image_1902th/79323380.pdf", "79323380")</f>
        <v>79323380</v>
      </c>
      <c r="F3053" s="10" t="s">
        <v>8523</v>
      </c>
      <c r="G3053" s="10" t="s">
        <v>7235</v>
      </c>
      <c r="H3053" s="10" t="s">
        <v>8524</v>
      </c>
      <c r="I3053" s="10" t="s">
        <v>360</v>
      </c>
    </row>
    <row r="3054" spans="1:9" x14ac:dyDescent="0.15">
      <c r="A3054" s="9">
        <v>3053</v>
      </c>
      <c r="B3054" s="10" t="s">
        <v>9</v>
      </c>
      <c r="C3054" s="10" t="s">
        <v>363</v>
      </c>
      <c r="D3054" s="10" t="s">
        <v>364</v>
      </c>
      <c r="E3054" s="11" t="str">
        <f>+HYPERLINK("http://trademark.i-assist.jp/data/china/image_1902th/79323779.pdf", "79323779")</f>
        <v>79323779</v>
      </c>
      <c r="F3054" s="10" t="s">
        <v>8525</v>
      </c>
      <c r="G3054" s="10" t="s">
        <v>8526</v>
      </c>
      <c r="H3054" s="10" t="s">
        <v>8527</v>
      </c>
      <c r="I3054" s="10" t="s">
        <v>360</v>
      </c>
    </row>
    <row r="3055" spans="1:9" x14ac:dyDescent="0.15">
      <c r="A3055" s="9">
        <v>3054</v>
      </c>
      <c r="B3055" s="10" t="s">
        <v>9</v>
      </c>
      <c r="C3055" s="10" t="s">
        <v>363</v>
      </c>
      <c r="D3055" s="10" t="s">
        <v>364</v>
      </c>
      <c r="E3055" s="11" t="str">
        <f>+HYPERLINK("http://trademark.i-assist.jp/data/china/image_1902th/79323805.pdf", "79323805")</f>
        <v>79323805</v>
      </c>
      <c r="F3055" s="10" t="s">
        <v>8528</v>
      </c>
      <c r="G3055" s="10" t="s">
        <v>107</v>
      </c>
      <c r="H3055" s="10" t="s">
        <v>8529</v>
      </c>
      <c r="I3055" s="10" t="s">
        <v>360</v>
      </c>
    </row>
    <row r="3056" spans="1:9" x14ac:dyDescent="0.15">
      <c r="A3056" s="9">
        <v>3055</v>
      </c>
      <c r="B3056" s="10" t="s">
        <v>9</v>
      </c>
      <c r="C3056" s="10" t="s">
        <v>363</v>
      </c>
      <c r="D3056" s="10" t="s">
        <v>364</v>
      </c>
      <c r="E3056" s="11" t="str">
        <f>+HYPERLINK("http://trademark.i-assist.jp/data/china/image_1902th/79324030.pdf", "79324030")</f>
        <v>79324030</v>
      </c>
      <c r="F3056" s="10" t="s">
        <v>12</v>
      </c>
      <c r="G3056" s="10" t="s">
        <v>8530</v>
      </c>
      <c r="H3056" s="10" t="s">
        <v>8531</v>
      </c>
      <c r="I3056" s="10" t="s">
        <v>361</v>
      </c>
    </row>
    <row r="3057" spans="1:9" x14ac:dyDescent="0.15">
      <c r="A3057" s="9">
        <v>3056</v>
      </c>
      <c r="B3057" s="10" t="s">
        <v>9</v>
      </c>
      <c r="C3057" s="10" t="s">
        <v>363</v>
      </c>
      <c r="D3057" s="10" t="s">
        <v>364</v>
      </c>
      <c r="E3057" s="11" t="str">
        <f>+HYPERLINK("http://trademark.i-assist.jp/data/china/image_1902th/79324045.pdf", "79324045")</f>
        <v>79324045</v>
      </c>
      <c r="F3057" s="10" t="s">
        <v>8532</v>
      </c>
      <c r="G3057" s="10" t="s">
        <v>8533</v>
      </c>
      <c r="H3057" s="10" t="s">
        <v>8534</v>
      </c>
      <c r="I3057" s="10" t="s">
        <v>361</v>
      </c>
    </row>
    <row r="3058" spans="1:9" x14ac:dyDescent="0.15">
      <c r="A3058" s="9">
        <v>3057</v>
      </c>
      <c r="B3058" s="10" t="s">
        <v>9</v>
      </c>
      <c r="C3058" s="10" t="s">
        <v>363</v>
      </c>
      <c r="D3058" s="10" t="s">
        <v>364</v>
      </c>
      <c r="E3058" s="11" t="str">
        <f>+HYPERLINK("http://trademark.i-assist.jp/data/china/image_1902th/79324186.pdf", "79324186")</f>
        <v>79324186</v>
      </c>
      <c r="F3058" s="10" t="s">
        <v>8535</v>
      </c>
      <c r="G3058" s="10" t="s">
        <v>8536</v>
      </c>
      <c r="H3058" s="10" t="s">
        <v>8537</v>
      </c>
      <c r="I3058" s="10" t="s">
        <v>361</v>
      </c>
    </row>
    <row r="3059" spans="1:9" x14ac:dyDescent="0.15">
      <c r="A3059" s="9">
        <v>3058</v>
      </c>
      <c r="B3059" s="10" t="s">
        <v>9</v>
      </c>
      <c r="C3059" s="10" t="s">
        <v>363</v>
      </c>
      <c r="D3059" s="10" t="s">
        <v>364</v>
      </c>
      <c r="E3059" s="11" t="str">
        <f>+HYPERLINK("http://trademark.i-assist.jp/data/china/image_1902th/79324449.pdf", "79324449")</f>
        <v>79324449</v>
      </c>
      <c r="F3059" s="10" t="s">
        <v>8538</v>
      </c>
      <c r="G3059" s="10" t="s">
        <v>242</v>
      </c>
      <c r="H3059" s="10" t="s">
        <v>8539</v>
      </c>
      <c r="I3059" s="10" t="s">
        <v>361</v>
      </c>
    </row>
    <row r="3060" spans="1:9" x14ac:dyDescent="0.15">
      <c r="A3060" s="9">
        <v>3059</v>
      </c>
      <c r="B3060" s="10" t="s">
        <v>9</v>
      </c>
      <c r="C3060" s="10" t="s">
        <v>363</v>
      </c>
      <c r="D3060" s="10" t="s">
        <v>364</v>
      </c>
      <c r="E3060" s="11" t="str">
        <f>+HYPERLINK("http://trademark.i-assist.jp/data/china/image_1902th/79324550.pdf", "79324550")</f>
        <v>79324550</v>
      </c>
      <c r="F3060" s="10" t="s">
        <v>8540</v>
      </c>
      <c r="G3060" s="10" t="s">
        <v>8541</v>
      </c>
      <c r="H3060" s="10" t="s">
        <v>8542</v>
      </c>
      <c r="I3060" s="10" t="s">
        <v>361</v>
      </c>
    </row>
    <row r="3061" spans="1:9" x14ac:dyDescent="0.15">
      <c r="A3061" s="9">
        <v>3060</v>
      </c>
      <c r="B3061" s="10" t="s">
        <v>9</v>
      </c>
      <c r="C3061" s="10" t="s">
        <v>363</v>
      </c>
      <c r="D3061" s="10" t="s">
        <v>364</v>
      </c>
      <c r="E3061" s="11" t="str">
        <f>+HYPERLINK("http://trademark.i-assist.jp/data/china/image_1902th/79324658.pdf", "79324658")</f>
        <v>79324658</v>
      </c>
      <c r="F3061" s="10" t="s">
        <v>8543</v>
      </c>
      <c r="G3061" s="10" t="s">
        <v>8544</v>
      </c>
      <c r="H3061" s="10" t="s">
        <v>8545</v>
      </c>
      <c r="I3061" s="10" t="s">
        <v>361</v>
      </c>
    </row>
    <row r="3062" spans="1:9" x14ac:dyDescent="0.15">
      <c r="A3062" s="9">
        <v>3061</v>
      </c>
      <c r="B3062" s="10" t="s">
        <v>9</v>
      </c>
      <c r="C3062" s="10" t="s">
        <v>363</v>
      </c>
      <c r="D3062" s="10" t="s">
        <v>364</v>
      </c>
      <c r="E3062" s="11" t="str">
        <f>+HYPERLINK("http://trademark.i-assist.jp/data/china/image_1902th/79325065.pdf", "79325065")</f>
        <v>79325065</v>
      </c>
      <c r="F3062" s="10" t="s">
        <v>8546</v>
      </c>
      <c r="G3062" s="10" t="s">
        <v>214</v>
      </c>
      <c r="H3062" s="10" t="s">
        <v>8547</v>
      </c>
      <c r="I3062" s="10" t="s">
        <v>361</v>
      </c>
    </row>
    <row r="3063" spans="1:9" x14ac:dyDescent="0.15">
      <c r="A3063" s="9">
        <v>3062</v>
      </c>
      <c r="B3063" s="10" t="s">
        <v>9</v>
      </c>
      <c r="C3063" s="10" t="s">
        <v>363</v>
      </c>
      <c r="D3063" s="10" t="s">
        <v>364</v>
      </c>
      <c r="E3063" s="11" t="str">
        <f>+HYPERLINK("http://trademark.i-assist.jp/data/china/image_1902th/79325099.pdf", "79325099")</f>
        <v>79325099</v>
      </c>
      <c r="F3063" s="10" t="s">
        <v>8548</v>
      </c>
      <c r="G3063" s="10" t="s">
        <v>8549</v>
      </c>
      <c r="H3063" s="10" t="s">
        <v>8550</v>
      </c>
      <c r="I3063" s="10" t="s">
        <v>361</v>
      </c>
    </row>
    <row r="3064" spans="1:9" x14ac:dyDescent="0.15">
      <c r="A3064" s="9">
        <v>3063</v>
      </c>
      <c r="B3064" s="10" t="s">
        <v>9</v>
      </c>
      <c r="C3064" s="10" t="s">
        <v>363</v>
      </c>
      <c r="D3064" s="10" t="s">
        <v>364</v>
      </c>
      <c r="E3064" s="11" t="str">
        <f>+HYPERLINK("http://trademark.i-assist.jp/data/china/image_1902th/79325197.pdf", "79325197")</f>
        <v>79325197</v>
      </c>
      <c r="F3064" s="10" t="s">
        <v>8551</v>
      </c>
      <c r="G3064" s="10" t="s">
        <v>8552</v>
      </c>
      <c r="H3064" s="10" t="s">
        <v>8553</v>
      </c>
      <c r="I3064" s="10" t="s">
        <v>361</v>
      </c>
    </row>
    <row r="3065" spans="1:9" x14ac:dyDescent="0.15">
      <c r="A3065" s="9">
        <v>3064</v>
      </c>
      <c r="B3065" s="10" t="s">
        <v>9</v>
      </c>
      <c r="C3065" s="10" t="s">
        <v>363</v>
      </c>
      <c r="D3065" s="10" t="s">
        <v>364</v>
      </c>
      <c r="E3065" s="11" t="str">
        <f>+HYPERLINK("http://trademark.i-assist.jp/data/china/image_1902th/79325369.pdf", "79325369")</f>
        <v>79325369</v>
      </c>
      <c r="F3065" s="10" t="s">
        <v>8554</v>
      </c>
      <c r="G3065" s="10" t="s">
        <v>2636</v>
      </c>
      <c r="H3065" s="10" t="s">
        <v>8555</v>
      </c>
      <c r="I3065" s="10" t="s">
        <v>361</v>
      </c>
    </row>
    <row r="3066" spans="1:9" x14ac:dyDescent="0.15">
      <c r="A3066" s="9">
        <v>3065</v>
      </c>
      <c r="B3066" s="10" t="s">
        <v>9</v>
      </c>
      <c r="C3066" s="10" t="s">
        <v>363</v>
      </c>
      <c r="D3066" s="10" t="s">
        <v>364</v>
      </c>
      <c r="E3066" s="11" t="str">
        <f>+HYPERLINK("http://trademark.i-assist.jp/data/china/image_1902th/79325451.pdf", "79325451")</f>
        <v>79325451</v>
      </c>
      <c r="F3066" s="10" t="s">
        <v>8556</v>
      </c>
      <c r="G3066" s="10" t="s">
        <v>218</v>
      </c>
      <c r="H3066" s="10" t="s">
        <v>8557</v>
      </c>
      <c r="I3066" s="10" t="s">
        <v>361</v>
      </c>
    </row>
    <row r="3067" spans="1:9" x14ac:dyDescent="0.15">
      <c r="A3067" s="9">
        <v>3066</v>
      </c>
      <c r="B3067" s="10" t="s">
        <v>9</v>
      </c>
      <c r="C3067" s="10" t="s">
        <v>363</v>
      </c>
      <c r="D3067" s="10" t="s">
        <v>364</v>
      </c>
      <c r="E3067" s="11" t="str">
        <f>+HYPERLINK("http://trademark.i-assist.jp/data/china/image_1902th/79325476.pdf", "79325476")</f>
        <v>79325476</v>
      </c>
      <c r="F3067" s="10" t="s">
        <v>8558</v>
      </c>
      <c r="G3067" s="10" t="s">
        <v>8559</v>
      </c>
      <c r="H3067" s="10" t="s">
        <v>8560</v>
      </c>
      <c r="I3067" s="10" t="s">
        <v>361</v>
      </c>
    </row>
    <row r="3068" spans="1:9" x14ac:dyDescent="0.15">
      <c r="A3068" s="9">
        <v>3067</v>
      </c>
      <c r="B3068" s="10" t="s">
        <v>9</v>
      </c>
      <c r="C3068" s="10" t="s">
        <v>363</v>
      </c>
      <c r="D3068" s="10" t="s">
        <v>364</v>
      </c>
      <c r="E3068" s="11" t="str">
        <f>+HYPERLINK("http://trademark.i-assist.jp/data/china/image_1902th/79325544.pdf", "79325544")</f>
        <v>79325544</v>
      </c>
      <c r="F3068" s="10" t="s">
        <v>8561</v>
      </c>
      <c r="G3068" s="10" t="s">
        <v>8562</v>
      </c>
      <c r="H3068" s="10" t="s">
        <v>19</v>
      </c>
      <c r="I3068" s="10" t="s">
        <v>361</v>
      </c>
    </row>
    <row r="3069" spans="1:9" x14ac:dyDescent="0.15">
      <c r="A3069" s="9">
        <v>3068</v>
      </c>
      <c r="B3069" s="10" t="s">
        <v>9</v>
      </c>
      <c r="C3069" s="10" t="s">
        <v>363</v>
      </c>
      <c r="D3069" s="10" t="s">
        <v>364</v>
      </c>
      <c r="E3069" s="11" t="str">
        <f>+HYPERLINK("http://trademark.i-assist.jp/data/china/image_1902th/79325684.pdf", "79325684")</f>
        <v>79325684</v>
      </c>
      <c r="F3069" s="10" t="s">
        <v>8563</v>
      </c>
      <c r="G3069" s="10" t="s">
        <v>8564</v>
      </c>
      <c r="H3069" s="10" t="s">
        <v>8565</v>
      </c>
      <c r="I3069" s="10" t="s">
        <v>361</v>
      </c>
    </row>
    <row r="3070" spans="1:9" x14ac:dyDescent="0.15">
      <c r="A3070" s="9">
        <v>3069</v>
      </c>
      <c r="B3070" s="10" t="s">
        <v>9</v>
      </c>
      <c r="C3070" s="10" t="s">
        <v>363</v>
      </c>
      <c r="D3070" s="10" t="s">
        <v>364</v>
      </c>
      <c r="E3070" s="11" t="str">
        <f>+HYPERLINK("http://trademark.i-assist.jp/data/china/image_1902th/79325778.pdf", "79325778")</f>
        <v>79325778</v>
      </c>
      <c r="F3070" s="10" t="s">
        <v>8566</v>
      </c>
      <c r="G3070" s="10" t="s">
        <v>8567</v>
      </c>
      <c r="H3070" s="10" t="s">
        <v>8568</v>
      </c>
      <c r="I3070" s="10" t="s">
        <v>361</v>
      </c>
    </row>
    <row r="3071" spans="1:9" x14ac:dyDescent="0.15">
      <c r="A3071" s="9">
        <v>3070</v>
      </c>
      <c r="B3071" s="10" t="s">
        <v>9</v>
      </c>
      <c r="C3071" s="10" t="s">
        <v>363</v>
      </c>
      <c r="D3071" s="10" t="s">
        <v>364</v>
      </c>
      <c r="E3071" s="11" t="str">
        <f>+HYPERLINK("http://trademark.i-assist.jp/data/china/image_1902th/79325819.pdf", "79325819")</f>
        <v>79325819</v>
      </c>
      <c r="F3071" s="10" t="s">
        <v>8569</v>
      </c>
      <c r="G3071" s="10" t="s">
        <v>8570</v>
      </c>
      <c r="H3071" s="10" t="s">
        <v>8571</v>
      </c>
      <c r="I3071" s="10" t="s">
        <v>361</v>
      </c>
    </row>
    <row r="3072" spans="1:9" x14ac:dyDescent="0.15">
      <c r="A3072" s="9">
        <v>3071</v>
      </c>
      <c r="B3072" s="10" t="s">
        <v>9</v>
      </c>
      <c r="C3072" s="10" t="s">
        <v>363</v>
      </c>
      <c r="D3072" s="10" t="s">
        <v>364</v>
      </c>
      <c r="E3072" s="11" t="str">
        <f>+HYPERLINK("http://trademark.i-assist.jp/data/china/image_1902th/79326008.pdf", "79326008")</f>
        <v>79326008</v>
      </c>
      <c r="F3072" s="10" t="s">
        <v>8572</v>
      </c>
      <c r="G3072" s="10" t="s">
        <v>8573</v>
      </c>
      <c r="H3072" s="10" t="s">
        <v>8574</v>
      </c>
      <c r="I3072" s="10" t="s">
        <v>361</v>
      </c>
    </row>
    <row r="3073" spans="1:9" x14ac:dyDescent="0.15">
      <c r="A3073" s="9">
        <v>3072</v>
      </c>
      <c r="B3073" s="10" t="s">
        <v>9</v>
      </c>
      <c r="C3073" s="10" t="s">
        <v>363</v>
      </c>
      <c r="D3073" s="10" t="s">
        <v>364</v>
      </c>
      <c r="E3073" s="11" t="str">
        <f>+HYPERLINK("http://trademark.i-assist.jp/data/china/image_1902th/79326143.pdf", "79326143")</f>
        <v>79326143</v>
      </c>
      <c r="F3073" s="10" t="s">
        <v>8575</v>
      </c>
      <c r="G3073" s="10" t="s">
        <v>8576</v>
      </c>
      <c r="H3073" s="10" t="s">
        <v>8577</v>
      </c>
      <c r="I3073" s="10" t="s">
        <v>361</v>
      </c>
    </row>
    <row r="3074" spans="1:9" x14ac:dyDescent="0.15">
      <c r="A3074" s="9">
        <v>3073</v>
      </c>
      <c r="B3074" s="10" t="s">
        <v>9</v>
      </c>
      <c r="C3074" s="10" t="s">
        <v>363</v>
      </c>
      <c r="D3074" s="10" t="s">
        <v>364</v>
      </c>
      <c r="E3074" s="11" t="str">
        <f>+HYPERLINK("http://trademark.i-assist.jp/data/china/image_1902th/79326642.pdf", "79326642")</f>
        <v>79326642</v>
      </c>
      <c r="F3074" s="10" t="s">
        <v>8578</v>
      </c>
      <c r="G3074" s="10" t="s">
        <v>8579</v>
      </c>
      <c r="H3074" s="10" t="s">
        <v>8580</v>
      </c>
      <c r="I3074" s="10" t="s">
        <v>361</v>
      </c>
    </row>
    <row r="3075" spans="1:9" x14ac:dyDescent="0.15">
      <c r="A3075" s="9">
        <v>3074</v>
      </c>
      <c r="B3075" s="10" t="s">
        <v>9</v>
      </c>
      <c r="C3075" s="10" t="s">
        <v>363</v>
      </c>
      <c r="D3075" s="10" t="s">
        <v>364</v>
      </c>
      <c r="E3075" s="11" t="str">
        <f>+HYPERLINK("http://trademark.i-assist.jp/data/china/image_1902th/79327060.pdf", "79327060")</f>
        <v>79327060</v>
      </c>
      <c r="F3075" s="10" t="s">
        <v>8581</v>
      </c>
      <c r="G3075" s="10" t="s">
        <v>8582</v>
      </c>
      <c r="H3075" s="10" t="s">
        <v>8583</v>
      </c>
      <c r="I3075" s="10" t="s">
        <v>361</v>
      </c>
    </row>
    <row r="3076" spans="1:9" x14ac:dyDescent="0.15">
      <c r="A3076" s="9">
        <v>3075</v>
      </c>
      <c r="B3076" s="10" t="s">
        <v>9</v>
      </c>
      <c r="C3076" s="10" t="s">
        <v>363</v>
      </c>
      <c r="D3076" s="10" t="s">
        <v>364</v>
      </c>
      <c r="E3076" s="11" t="str">
        <f>+HYPERLINK("http://trademark.i-assist.jp/data/china/image_1902th/79327217.pdf", "79327217")</f>
        <v>79327217</v>
      </c>
      <c r="F3076" s="10" t="s">
        <v>8584</v>
      </c>
      <c r="G3076" s="10" t="s">
        <v>8585</v>
      </c>
      <c r="H3076" s="10" t="s">
        <v>8586</v>
      </c>
      <c r="I3076" s="10" t="s">
        <v>361</v>
      </c>
    </row>
    <row r="3077" spans="1:9" x14ac:dyDescent="0.15">
      <c r="A3077" s="9">
        <v>3076</v>
      </c>
      <c r="B3077" s="10" t="s">
        <v>9</v>
      </c>
      <c r="C3077" s="10" t="s">
        <v>363</v>
      </c>
      <c r="D3077" s="10" t="s">
        <v>364</v>
      </c>
      <c r="E3077" s="11" t="str">
        <f>+HYPERLINK("http://trademark.i-assist.jp/data/china/image_1902th/79327302.pdf", "79327302")</f>
        <v>79327302</v>
      </c>
      <c r="F3077" s="10" t="s">
        <v>8587</v>
      </c>
      <c r="G3077" s="10" t="s">
        <v>8588</v>
      </c>
      <c r="H3077" s="10" t="s">
        <v>8589</v>
      </c>
      <c r="I3077" s="10" t="s">
        <v>361</v>
      </c>
    </row>
    <row r="3078" spans="1:9" x14ac:dyDescent="0.15">
      <c r="A3078" s="9">
        <v>3077</v>
      </c>
      <c r="B3078" s="10" t="s">
        <v>9</v>
      </c>
      <c r="C3078" s="10" t="s">
        <v>363</v>
      </c>
      <c r="D3078" s="10" t="s">
        <v>364</v>
      </c>
      <c r="E3078" s="11" t="str">
        <f>+HYPERLINK("http://trademark.i-assist.jp/data/china/image_1902th/79327314.pdf", "79327314")</f>
        <v>79327314</v>
      </c>
      <c r="F3078" s="10" t="s">
        <v>8590</v>
      </c>
      <c r="G3078" s="10" t="s">
        <v>7814</v>
      </c>
      <c r="H3078" s="10" t="s">
        <v>8591</v>
      </c>
      <c r="I3078" s="10" t="s">
        <v>361</v>
      </c>
    </row>
    <row r="3079" spans="1:9" x14ac:dyDescent="0.15">
      <c r="A3079" s="9">
        <v>3078</v>
      </c>
      <c r="B3079" s="10" t="s">
        <v>9</v>
      </c>
      <c r="C3079" s="10" t="s">
        <v>363</v>
      </c>
      <c r="D3079" s="10" t="s">
        <v>364</v>
      </c>
      <c r="E3079" s="11" t="str">
        <f>+HYPERLINK("http://trademark.i-assist.jp/data/china/image_1902th/79327325.pdf", "79327325")</f>
        <v>79327325</v>
      </c>
      <c r="F3079" s="10" t="s">
        <v>8592</v>
      </c>
      <c r="G3079" s="10" t="s">
        <v>8593</v>
      </c>
      <c r="H3079" s="10" t="s">
        <v>8594</v>
      </c>
      <c r="I3079" s="10" t="s">
        <v>361</v>
      </c>
    </row>
    <row r="3080" spans="1:9" x14ac:dyDescent="0.15">
      <c r="A3080" s="9">
        <v>3079</v>
      </c>
      <c r="B3080" s="10" t="s">
        <v>9</v>
      </c>
      <c r="C3080" s="10" t="s">
        <v>363</v>
      </c>
      <c r="D3080" s="10" t="s">
        <v>364</v>
      </c>
      <c r="E3080" s="11" t="str">
        <f>+HYPERLINK("http://trademark.i-assist.jp/data/china/image_1902th/79327747.pdf", "79327747")</f>
        <v>79327747</v>
      </c>
      <c r="F3080" s="10" t="s">
        <v>8595</v>
      </c>
      <c r="G3080" s="10" t="s">
        <v>8596</v>
      </c>
      <c r="H3080" s="10" t="s">
        <v>8597</v>
      </c>
      <c r="I3080" s="10" t="s">
        <v>361</v>
      </c>
    </row>
    <row r="3081" spans="1:9" x14ac:dyDescent="0.15">
      <c r="A3081" s="9">
        <v>3080</v>
      </c>
      <c r="B3081" s="10" t="s">
        <v>9</v>
      </c>
      <c r="C3081" s="10" t="s">
        <v>363</v>
      </c>
      <c r="D3081" s="10" t="s">
        <v>364</v>
      </c>
      <c r="E3081" s="11" t="str">
        <f>+HYPERLINK("http://trademark.i-assist.jp/data/china/image_1902th/79327841.pdf", "79327841")</f>
        <v>79327841</v>
      </c>
      <c r="F3081" s="10" t="s">
        <v>8598</v>
      </c>
      <c r="G3081" s="10" t="s">
        <v>8599</v>
      </c>
      <c r="H3081" s="10" t="s">
        <v>8600</v>
      </c>
      <c r="I3081" s="10" t="s">
        <v>361</v>
      </c>
    </row>
    <row r="3082" spans="1:9" x14ac:dyDescent="0.15">
      <c r="A3082" s="9">
        <v>3081</v>
      </c>
      <c r="B3082" s="10" t="s">
        <v>9</v>
      </c>
      <c r="C3082" s="10" t="s">
        <v>363</v>
      </c>
      <c r="D3082" s="10" t="s">
        <v>364</v>
      </c>
      <c r="E3082" s="11" t="str">
        <f>+HYPERLINK("http://trademark.i-assist.jp/data/china/image_1902th/79327864.pdf", "79327864")</f>
        <v>79327864</v>
      </c>
      <c r="F3082" s="10" t="s">
        <v>8601</v>
      </c>
      <c r="G3082" s="10" t="s">
        <v>8530</v>
      </c>
      <c r="H3082" s="10" t="s">
        <v>8602</v>
      </c>
      <c r="I3082" s="10" t="s">
        <v>361</v>
      </c>
    </row>
    <row r="3083" spans="1:9" x14ac:dyDescent="0.15">
      <c r="A3083" s="9">
        <v>3082</v>
      </c>
      <c r="B3083" s="10" t="s">
        <v>9</v>
      </c>
      <c r="C3083" s="10" t="s">
        <v>363</v>
      </c>
      <c r="D3083" s="10" t="s">
        <v>364</v>
      </c>
      <c r="E3083" s="11" t="str">
        <f>+HYPERLINK("http://trademark.i-assist.jp/data/china/image_1902th/79328056.pdf", "79328056")</f>
        <v>79328056</v>
      </c>
      <c r="F3083" s="10" t="s">
        <v>8603</v>
      </c>
      <c r="G3083" s="10" t="s">
        <v>8604</v>
      </c>
      <c r="H3083" s="10" t="s">
        <v>8605</v>
      </c>
      <c r="I3083" s="10" t="s">
        <v>361</v>
      </c>
    </row>
    <row r="3084" spans="1:9" x14ac:dyDescent="0.15">
      <c r="A3084" s="9">
        <v>3083</v>
      </c>
      <c r="B3084" s="10" t="s">
        <v>9</v>
      </c>
      <c r="C3084" s="10" t="s">
        <v>363</v>
      </c>
      <c r="D3084" s="10" t="s">
        <v>364</v>
      </c>
      <c r="E3084" s="11" t="str">
        <f>+HYPERLINK("http://trademark.i-assist.jp/data/china/image_1902th/79328523.pdf", "79328523")</f>
        <v>79328523</v>
      </c>
      <c r="F3084" s="10" t="s">
        <v>8606</v>
      </c>
      <c r="G3084" s="10" t="s">
        <v>8607</v>
      </c>
      <c r="H3084" s="10" t="s">
        <v>8608</v>
      </c>
      <c r="I3084" s="10" t="s">
        <v>361</v>
      </c>
    </row>
    <row r="3085" spans="1:9" x14ac:dyDescent="0.15">
      <c r="A3085" s="9">
        <v>3084</v>
      </c>
      <c r="B3085" s="10" t="s">
        <v>9</v>
      </c>
      <c r="C3085" s="10" t="s">
        <v>363</v>
      </c>
      <c r="D3085" s="10" t="s">
        <v>364</v>
      </c>
      <c r="E3085" s="11" t="str">
        <f>+HYPERLINK("http://trademark.i-assist.jp/data/china/image_1902th/79328582.pdf", "79328582")</f>
        <v>79328582</v>
      </c>
      <c r="F3085" s="10" t="s">
        <v>8609</v>
      </c>
      <c r="G3085" s="10" t="s">
        <v>8610</v>
      </c>
      <c r="H3085" s="10" t="s">
        <v>8611</v>
      </c>
      <c r="I3085" s="10" t="s">
        <v>361</v>
      </c>
    </row>
    <row r="3086" spans="1:9" x14ac:dyDescent="0.15">
      <c r="A3086" s="9">
        <v>3085</v>
      </c>
      <c r="B3086" s="10" t="s">
        <v>9</v>
      </c>
      <c r="C3086" s="10" t="s">
        <v>363</v>
      </c>
      <c r="D3086" s="10" t="s">
        <v>364</v>
      </c>
      <c r="E3086" s="11" t="str">
        <f>+HYPERLINK("http://trademark.i-assist.jp/data/china/image_1902th/79328627.pdf", "79328627")</f>
        <v>79328627</v>
      </c>
      <c r="F3086" s="10" t="s">
        <v>8612</v>
      </c>
      <c r="G3086" s="10" t="s">
        <v>8613</v>
      </c>
      <c r="H3086" s="10" t="s">
        <v>8614</v>
      </c>
      <c r="I3086" s="10" t="s">
        <v>361</v>
      </c>
    </row>
    <row r="3087" spans="1:9" x14ac:dyDescent="0.15">
      <c r="A3087" s="9">
        <v>3086</v>
      </c>
      <c r="B3087" s="10" t="s">
        <v>9</v>
      </c>
      <c r="C3087" s="10" t="s">
        <v>363</v>
      </c>
      <c r="D3087" s="10" t="s">
        <v>364</v>
      </c>
      <c r="E3087" s="11" t="str">
        <f>+HYPERLINK("http://trademark.i-assist.jp/data/china/image_1902th/79328673.pdf", "79328673")</f>
        <v>79328673</v>
      </c>
      <c r="F3087" s="10" t="s">
        <v>8615</v>
      </c>
      <c r="G3087" s="10" t="s">
        <v>8616</v>
      </c>
      <c r="H3087" s="10" t="s">
        <v>8617</v>
      </c>
      <c r="I3087" s="10" t="s">
        <v>361</v>
      </c>
    </row>
    <row r="3088" spans="1:9" x14ac:dyDescent="0.15">
      <c r="A3088" s="9">
        <v>3087</v>
      </c>
      <c r="B3088" s="10" t="s">
        <v>9</v>
      </c>
      <c r="C3088" s="10" t="s">
        <v>363</v>
      </c>
      <c r="D3088" s="10" t="s">
        <v>364</v>
      </c>
      <c r="E3088" s="11" t="str">
        <f>+HYPERLINK("http://trademark.i-assist.jp/data/china/image_1902th/79328682.pdf", "79328682")</f>
        <v>79328682</v>
      </c>
      <c r="F3088" s="10" t="s">
        <v>8618</v>
      </c>
      <c r="G3088" s="10" t="s">
        <v>8530</v>
      </c>
      <c r="H3088" s="10" t="s">
        <v>8619</v>
      </c>
      <c r="I3088" s="10" t="s">
        <v>361</v>
      </c>
    </row>
    <row r="3089" spans="1:9" x14ac:dyDescent="0.15">
      <c r="A3089" s="9">
        <v>3088</v>
      </c>
      <c r="B3089" s="10" t="s">
        <v>9</v>
      </c>
      <c r="C3089" s="10" t="s">
        <v>363</v>
      </c>
      <c r="D3089" s="10" t="s">
        <v>364</v>
      </c>
      <c r="E3089" s="11" t="str">
        <f>+HYPERLINK("http://trademark.i-assist.jp/data/china/image_1902th/79328709.pdf", "79328709")</f>
        <v>79328709</v>
      </c>
      <c r="F3089" s="10" t="s">
        <v>8620</v>
      </c>
      <c r="G3089" s="10" t="s">
        <v>8533</v>
      </c>
      <c r="H3089" s="10" t="s">
        <v>8621</v>
      </c>
      <c r="I3089" s="10" t="s">
        <v>361</v>
      </c>
    </row>
    <row r="3090" spans="1:9" x14ac:dyDescent="0.15">
      <c r="A3090" s="9">
        <v>3089</v>
      </c>
      <c r="B3090" s="10" t="s">
        <v>9</v>
      </c>
      <c r="C3090" s="10" t="s">
        <v>363</v>
      </c>
      <c r="D3090" s="10" t="s">
        <v>364</v>
      </c>
      <c r="E3090" s="11" t="str">
        <f>+HYPERLINK("http://trademark.i-assist.jp/data/china/image_1902th/79328864.pdf", "79328864")</f>
        <v>79328864</v>
      </c>
      <c r="F3090" s="10" t="s">
        <v>8622</v>
      </c>
      <c r="G3090" s="10" t="s">
        <v>247</v>
      </c>
      <c r="H3090" s="10" t="s">
        <v>8623</v>
      </c>
      <c r="I3090" s="10" t="s">
        <v>361</v>
      </c>
    </row>
    <row r="3091" spans="1:9" x14ac:dyDescent="0.15">
      <c r="A3091" s="9">
        <v>3090</v>
      </c>
      <c r="B3091" s="10" t="s">
        <v>9</v>
      </c>
      <c r="C3091" s="10" t="s">
        <v>363</v>
      </c>
      <c r="D3091" s="10" t="s">
        <v>364</v>
      </c>
      <c r="E3091" s="11" t="str">
        <f>+HYPERLINK("http://trademark.i-assist.jp/data/china/image_1902th/79329034.pdf", "79329034")</f>
        <v>79329034</v>
      </c>
      <c r="F3091" s="10" t="s">
        <v>8624</v>
      </c>
      <c r="G3091" s="10" t="s">
        <v>181</v>
      </c>
      <c r="H3091" s="10" t="s">
        <v>8625</v>
      </c>
      <c r="I3091" s="10" t="s">
        <v>361</v>
      </c>
    </row>
    <row r="3092" spans="1:9" x14ac:dyDescent="0.15">
      <c r="A3092" s="9">
        <v>3091</v>
      </c>
      <c r="B3092" s="10" t="s">
        <v>9</v>
      </c>
      <c r="C3092" s="10" t="s">
        <v>363</v>
      </c>
      <c r="D3092" s="10" t="s">
        <v>364</v>
      </c>
      <c r="E3092" s="11" t="str">
        <f>+HYPERLINK("http://trademark.i-assist.jp/data/china/image_1902th/79329470.pdf", "79329470")</f>
        <v>79329470</v>
      </c>
      <c r="F3092" s="10" t="s">
        <v>8626</v>
      </c>
      <c r="G3092" s="10" t="s">
        <v>8127</v>
      </c>
      <c r="H3092" s="10" t="s">
        <v>8627</v>
      </c>
      <c r="I3092" s="10" t="s">
        <v>361</v>
      </c>
    </row>
    <row r="3093" spans="1:9" x14ac:dyDescent="0.15">
      <c r="A3093" s="9">
        <v>3092</v>
      </c>
      <c r="B3093" s="10" t="s">
        <v>9</v>
      </c>
      <c r="C3093" s="10" t="s">
        <v>363</v>
      </c>
      <c r="D3093" s="10" t="s">
        <v>364</v>
      </c>
      <c r="E3093" s="11" t="str">
        <f>+HYPERLINK("http://trademark.i-assist.jp/data/china/image_1902th/79329488.pdf", "79329488")</f>
        <v>79329488</v>
      </c>
      <c r="F3093" s="10" t="s">
        <v>8628</v>
      </c>
      <c r="G3093" s="10" t="s">
        <v>8629</v>
      </c>
      <c r="H3093" s="10" t="s">
        <v>8630</v>
      </c>
      <c r="I3093" s="10" t="s">
        <v>361</v>
      </c>
    </row>
    <row r="3094" spans="1:9" x14ac:dyDescent="0.15">
      <c r="A3094" s="9">
        <v>3093</v>
      </c>
      <c r="B3094" s="10" t="s">
        <v>9</v>
      </c>
      <c r="C3094" s="10" t="s">
        <v>363</v>
      </c>
      <c r="D3094" s="10" t="s">
        <v>364</v>
      </c>
      <c r="E3094" s="11" t="str">
        <f>+HYPERLINK("http://trademark.i-assist.jp/data/china/image_1902th/79329709.pdf", "79329709")</f>
        <v>79329709</v>
      </c>
      <c r="F3094" s="10" t="s">
        <v>8631</v>
      </c>
      <c r="G3094" s="10" t="s">
        <v>8632</v>
      </c>
      <c r="H3094" s="10" t="s">
        <v>8633</v>
      </c>
      <c r="I3094" s="10" t="s">
        <v>361</v>
      </c>
    </row>
    <row r="3095" spans="1:9" x14ac:dyDescent="0.15">
      <c r="A3095" s="9">
        <v>3094</v>
      </c>
      <c r="B3095" s="10" t="s">
        <v>9</v>
      </c>
      <c r="C3095" s="10" t="s">
        <v>363</v>
      </c>
      <c r="D3095" s="10" t="s">
        <v>364</v>
      </c>
      <c r="E3095" s="11" t="str">
        <f>+HYPERLINK("http://trademark.i-assist.jp/data/china/image_1902th/79329724.pdf", "79329724")</f>
        <v>79329724</v>
      </c>
      <c r="F3095" s="10" t="s">
        <v>12</v>
      </c>
      <c r="G3095" s="10" t="s">
        <v>8634</v>
      </c>
      <c r="H3095" s="10" t="s">
        <v>13</v>
      </c>
      <c r="I3095" s="10" t="s">
        <v>361</v>
      </c>
    </row>
    <row r="3096" spans="1:9" x14ac:dyDescent="0.15">
      <c r="A3096" s="9">
        <v>3095</v>
      </c>
      <c r="B3096" s="10" t="s">
        <v>9</v>
      </c>
      <c r="C3096" s="10" t="s">
        <v>363</v>
      </c>
      <c r="D3096" s="10" t="s">
        <v>364</v>
      </c>
      <c r="E3096" s="11" t="str">
        <f>+HYPERLINK("http://trademark.i-assist.jp/data/china/image_1902th/79329848.pdf", "79329848")</f>
        <v>79329848</v>
      </c>
      <c r="F3096" s="10" t="s">
        <v>8635</v>
      </c>
      <c r="G3096" s="10" t="s">
        <v>8613</v>
      </c>
      <c r="H3096" s="10" t="s">
        <v>8636</v>
      </c>
      <c r="I3096" s="10" t="s">
        <v>361</v>
      </c>
    </row>
    <row r="3097" spans="1:9" x14ac:dyDescent="0.15">
      <c r="A3097" s="9">
        <v>3096</v>
      </c>
      <c r="B3097" s="10" t="s">
        <v>9</v>
      </c>
      <c r="C3097" s="10" t="s">
        <v>363</v>
      </c>
      <c r="D3097" s="10" t="s">
        <v>364</v>
      </c>
      <c r="E3097" s="11" t="str">
        <f>+HYPERLINK("http://trademark.i-assist.jp/data/china/image_1902th/79329911.pdf", "79329911")</f>
        <v>79329911</v>
      </c>
      <c r="F3097" s="10" t="s">
        <v>8637</v>
      </c>
      <c r="G3097" s="10" t="s">
        <v>8638</v>
      </c>
      <c r="H3097" s="10" t="s">
        <v>8639</v>
      </c>
      <c r="I3097" s="10" t="s">
        <v>361</v>
      </c>
    </row>
    <row r="3098" spans="1:9" x14ac:dyDescent="0.15">
      <c r="A3098" s="9">
        <v>3097</v>
      </c>
      <c r="B3098" s="10" t="s">
        <v>9</v>
      </c>
      <c r="C3098" s="10" t="s">
        <v>363</v>
      </c>
      <c r="D3098" s="10" t="s">
        <v>364</v>
      </c>
      <c r="E3098" s="11" t="str">
        <f>+HYPERLINK("http://trademark.i-assist.jp/data/china/image_1902th/79330252.pdf", "79330252")</f>
        <v>79330252</v>
      </c>
      <c r="F3098" s="10" t="s">
        <v>8640</v>
      </c>
      <c r="G3098" s="10" t="s">
        <v>8641</v>
      </c>
      <c r="H3098" s="10" t="s">
        <v>8642</v>
      </c>
      <c r="I3098" s="10" t="s">
        <v>361</v>
      </c>
    </row>
    <row r="3099" spans="1:9" x14ac:dyDescent="0.15">
      <c r="A3099" s="9">
        <v>3098</v>
      </c>
      <c r="B3099" s="10" t="s">
        <v>9</v>
      </c>
      <c r="C3099" s="10" t="s">
        <v>363</v>
      </c>
      <c r="D3099" s="10" t="s">
        <v>364</v>
      </c>
      <c r="E3099" s="11" t="str">
        <f>+HYPERLINK("http://trademark.i-assist.jp/data/china/image_1902th/79330728.pdf", "79330728")</f>
        <v>79330728</v>
      </c>
      <c r="F3099" s="10" t="s">
        <v>8643</v>
      </c>
      <c r="G3099" s="10" t="s">
        <v>8644</v>
      </c>
      <c r="H3099" s="10" t="s">
        <v>8645</v>
      </c>
      <c r="I3099" s="10" t="s">
        <v>361</v>
      </c>
    </row>
    <row r="3100" spans="1:9" x14ac:dyDescent="0.15">
      <c r="A3100" s="9">
        <v>3099</v>
      </c>
      <c r="B3100" s="10" t="s">
        <v>9</v>
      </c>
      <c r="C3100" s="10" t="s">
        <v>363</v>
      </c>
      <c r="D3100" s="10" t="s">
        <v>364</v>
      </c>
      <c r="E3100" s="11" t="str">
        <f>+HYPERLINK("http://trademark.i-assist.jp/data/china/image_1902th/79330957.pdf", "79330957")</f>
        <v>79330957</v>
      </c>
      <c r="F3100" s="10" t="s">
        <v>8646</v>
      </c>
      <c r="G3100" s="10" t="s">
        <v>8647</v>
      </c>
      <c r="H3100" s="10" t="s">
        <v>8648</v>
      </c>
      <c r="I3100" s="10" t="s">
        <v>361</v>
      </c>
    </row>
    <row r="3101" spans="1:9" x14ac:dyDescent="0.15">
      <c r="A3101" s="9">
        <v>3100</v>
      </c>
      <c r="B3101" s="10" t="s">
        <v>9</v>
      </c>
      <c r="C3101" s="10" t="s">
        <v>363</v>
      </c>
      <c r="D3101" s="10" t="s">
        <v>364</v>
      </c>
      <c r="E3101" s="11" t="str">
        <f>+HYPERLINK("http://trademark.i-assist.jp/data/china/image_1902th/79331047.pdf", "79331047")</f>
        <v>79331047</v>
      </c>
      <c r="F3101" s="10" t="s">
        <v>8649</v>
      </c>
      <c r="G3101" s="10" t="s">
        <v>8650</v>
      </c>
      <c r="H3101" s="10" t="s">
        <v>8651</v>
      </c>
      <c r="I3101" s="10" t="s">
        <v>361</v>
      </c>
    </row>
    <row r="3102" spans="1:9" x14ac:dyDescent="0.15">
      <c r="A3102" s="9">
        <v>3101</v>
      </c>
      <c r="B3102" s="10" t="s">
        <v>9</v>
      </c>
      <c r="C3102" s="10" t="s">
        <v>363</v>
      </c>
      <c r="D3102" s="10" t="s">
        <v>364</v>
      </c>
      <c r="E3102" s="11" t="str">
        <f>+HYPERLINK("http://trademark.i-assist.jp/data/china/image_1902th/79331141.pdf", "79331141")</f>
        <v>79331141</v>
      </c>
      <c r="F3102" s="10" t="s">
        <v>8652</v>
      </c>
      <c r="G3102" s="10" t="s">
        <v>8653</v>
      </c>
      <c r="H3102" s="10" t="s">
        <v>8654</v>
      </c>
      <c r="I3102" s="10" t="s">
        <v>361</v>
      </c>
    </row>
    <row r="3103" spans="1:9" x14ac:dyDescent="0.15">
      <c r="A3103" s="9">
        <v>3102</v>
      </c>
      <c r="B3103" s="10" t="s">
        <v>9</v>
      </c>
      <c r="C3103" s="10" t="s">
        <v>363</v>
      </c>
      <c r="D3103" s="10" t="s">
        <v>364</v>
      </c>
      <c r="E3103" s="11" t="str">
        <f>+HYPERLINK("http://trademark.i-assist.jp/data/china/image_1902th/79331181.pdf", "79331181")</f>
        <v>79331181</v>
      </c>
      <c r="F3103" s="10" t="s">
        <v>8655</v>
      </c>
      <c r="G3103" s="10" t="s">
        <v>362</v>
      </c>
      <c r="H3103" s="10" t="s">
        <v>8656</v>
      </c>
      <c r="I3103" s="10" t="s">
        <v>361</v>
      </c>
    </row>
    <row r="3104" spans="1:9" x14ac:dyDescent="0.15">
      <c r="A3104" s="9">
        <v>3103</v>
      </c>
      <c r="B3104" s="10" t="s">
        <v>9</v>
      </c>
      <c r="C3104" s="10" t="s">
        <v>363</v>
      </c>
      <c r="D3104" s="10" t="s">
        <v>364</v>
      </c>
      <c r="E3104" s="11" t="str">
        <f>+HYPERLINK("http://trademark.i-assist.jp/data/china/image_1902th/79331324.pdf", "79331324")</f>
        <v>79331324</v>
      </c>
      <c r="F3104" s="10" t="s">
        <v>8657</v>
      </c>
      <c r="G3104" s="10" t="s">
        <v>8658</v>
      </c>
      <c r="H3104" s="10" t="s">
        <v>8659</v>
      </c>
      <c r="I3104" s="10" t="s">
        <v>361</v>
      </c>
    </row>
    <row r="3105" spans="1:9" x14ac:dyDescent="0.15">
      <c r="A3105" s="9">
        <v>3104</v>
      </c>
      <c r="B3105" s="10" t="s">
        <v>9</v>
      </c>
      <c r="C3105" s="10" t="s">
        <v>363</v>
      </c>
      <c r="D3105" s="10" t="s">
        <v>364</v>
      </c>
      <c r="E3105" s="11" t="str">
        <f>+HYPERLINK("http://trademark.i-assist.jp/data/china/image_1902th/79331342.pdf", "79331342")</f>
        <v>79331342</v>
      </c>
      <c r="F3105" s="10" t="s">
        <v>8660</v>
      </c>
      <c r="G3105" s="10" t="s">
        <v>8661</v>
      </c>
      <c r="H3105" s="10" t="s">
        <v>8662</v>
      </c>
      <c r="I3105" s="10" t="s">
        <v>361</v>
      </c>
    </row>
    <row r="3106" spans="1:9" x14ac:dyDescent="0.15">
      <c r="A3106" s="9">
        <v>3105</v>
      </c>
      <c r="B3106" s="10" t="s">
        <v>9</v>
      </c>
      <c r="C3106" s="10" t="s">
        <v>363</v>
      </c>
      <c r="D3106" s="10" t="s">
        <v>364</v>
      </c>
      <c r="E3106" s="11" t="str">
        <f>+HYPERLINK("http://trademark.i-assist.jp/data/china/image_1902th/79331439.pdf", "79331439")</f>
        <v>79331439</v>
      </c>
      <c r="F3106" s="10" t="s">
        <v>8663</v>
      </c>
      <c r="G3106" s="10" t="s">
        <v>218</v>
      </c>
      <c r="H3106" s="10" t="s">
        <v>8664</v>
      </c>
      <c r="I3106" s="10" t="s">
        <v>361</v>
      </c>
    </row>
    <row r="3107" spans="1:9" x14ac:dyDescent="0.15">
      <c r="A3107" s="9">
        <v>3106</v>
      </c>
      <c r="B3107" s="10" t="s">
        <v>9</v>
      </c>
      <c r="C3107" s="10" t="s">
        <v>363</v>
      </c>
      <c r="D3107" s="10" t="s">
        <v>364</v>
      </c>
      <c r="E3107" s="11" t="str">
        <f>+HYPERLINK("http://trademark.i-assist.jp/data/china/image_1902th/79331479.pdf", "79331479")</f>
        <v>79331479</v>
      </c>
      <c r="F3107" s="10" t="s">
        <v>8665</v>
      </c>
      <c r="G3107" s="10" t="s">
        <v>8666</v>
      </c>
      <c r="H3107" s="10" t="s">
        <v>8667</v>
      </c>
      <c r="I3107" s="10" t="s">
        <v>361</v>
      </c>
    </row>
    <row r="3108" spans="1:9" x14ac:dyDescent="0.15">
      <c r="A3108" s="9">
        <v>3107</v>
      </c>
      <c r="B3108" s="10" t="s">
        <v>9</v>
      </c>
      <c r="C3108" s="10" t="s">
        <v>363</v>
      </c>
      <c r="D3108" s="10" t="s">
        <v>364</v>
      </c>
      <c r="E3108" s="11" t="str">
        <f>+HYPERLINK("http://trademark.i-assist.jp/data/china/image_1902th/79331497.pdf", "79331497")</f>
        <v>79331497</v>
      </c>
      <c r="F3108" s="10" t="s">
        <v>8668</v>
      </c>
      <c r="G3108" s="10" t="s">
        <v>8573</v>
      </c>
      <c r="H3108" s="10" t="s">
        <v>8669</v>
      </c>
      <c r="I3108" s="10" t="s">
        <v>361</v>
      </c>
    </row>
    <row r="3109" spans="1:9" x14ac:dyDescent="0.15">
      <c r="A3109" s="9">
        <v>3108</v>
      </c>
      <c r="B3109" s="10" t="s">
        <v>9</v>
      </c>
      <c r="C3109" s="10" t="s">
        <v>363</v>
      </c>
      <c r="D3109" s="10" t="s">
        <v>364</v>
      </c>
      <c r="E3109" s="11" t="str">
        <f>+HYPERLINK("http://trademark.i-assist.jp/data/china/image_1902th/79331507.pdf", "79331507")</f>
        <v>79331507</v>
      </c>
      <c r="F3109" s="10" t="s">
        <v>8670</v>
      </c>
      <c r="G3109" s="10" t="s">
        <v>8573</v>
      </c>
      <c r="H3109" s="10" t="s">
        <v>8671</v>
      </c>
      <c r="I3109" s="10" t="s">
        <v>361</v>
      </c>
    </row>
    <row r="3110" spans="1:9" x14ac:dyDescent="0.15">
      <c r="A3110" s="9">
        <v>3109</v>
      </c>
      <c r="B3110" s="10" t="s">
        <v>9</v>
      </c>
      <c r="C3110" s="10" t="s">
        <v>363</v>
      </c>
      <c r="D3110" s="10" t="s">
        <v>364</v>
      </c>
      <c r="E3110" s="11" t="str">
        <f>+HYPERLINK("http://trademark.i-assist.jp/data/china/image_1902th/79331562.pdf", "79331562")</f>
        <v>79331562</v>
      </c>
      <c r="F3110" s="10" t="s">
        <v>8672</v>
      </c>
      <c r="G3110" s="10" t="s">
        <v>8673</v>
      </c>
      <c r="H3110" s="10" t="s">
        <v>8674</v>
      </c>
      <c r="I3110" s="10" t="s">
        <v>361</v>
      </c>
    </row>
    <row r="3111" spans="1:9" x14ac:dyDescent="0.15">
      <c r="A3111" s="9">
        <v>3110</v>
      </c>
      <c r="B3111" s="10" t="s">
        <v>9</v>
      </c>
      <c r="C3111" s="10" t="s">
        <v>363</v>
      </c>
      <c r="D3111" s="10" t="s">
        <v>364</v>
      </c>
      <c r="E3111" s="11" t="str">
        <f>+HYPERLINK("http://trademark.i-assist.jp/data/china/image_1902th/79331583.pdf", "79331583")</f>
        <v>79331583</v>
      </c>
      <c r="F3111" s="10" t="s">
        <v>8675</v>
      </c>
      <c r="G3111" s="10" t="s">
        <v>8673</v>
      </c>
      <c r="H3111" s="10" t="s">
        <v>8676</v>
      </c>
      <c r="I3111" s="10" t="s">
        <v>361</v>
      </c>
    </row>
    <row r="3112" spans="1:9" x14ac:dyDescent="0.15">
      <c r="A3112" s="9">
        <v>3111</v>
      </c>
      <c r="B3112" s="10" t="s">
        <v>9</v>
      </c>
      <c r="C3112" s="10" t="s">
        <v>363</v>
      </c>
      <c r="D3112" s="10" t="s">
        <v>364</v>
      </c>
      <c r="E3112" s="11" t="str">
        <f>+HYPERLINK("http://trademark.i-assist.jp/data/china/image_1902th/79331608.pdf", "79331608")</f>
        <v>79331608</v>
      </c>
      <c r="F3112" s="10" t="s">
        <v>12</v>
      </c>
      <c r="G3112" s="10" t="s">
        <v>8677</v>
      </c>
      <c r="H3112" s="10" t="s">
        <v>8678</v>
      </c>
      <c r="I3112" s="10" t="s">
        <v>361</v>
      </c>
    </row>
    <row r="3113" spans="1:9" x14ac:dyDescent="0.15">
      <c r="A3113" s="9">
        <v>3112</v>
      </c>
      <c r="B3113" s="10" t="s">
        <v>9</v>
      </c>
      <c r="C3113" s="10" t="s">
        <v>363</v>
      </c>
      <c r="D3113" s="10" t="s">
        <v>364</v>
      </c>
      <c r="E3113" s="11" t="str">
        <f>+HYPERLINK("http://trademark.i-assist.jp/data/china/image_1902th/79331616.pdf", "79331616")</f>
        <v>79331616</v>
      </c>
      <c r="F3113" s="10" t="s">
        <v>8679</v>
      </c>
      <c r="G3113" s="10" t="s">
        <v>8549</v>
      </c>
      <c r="H3113" s="10" t="s">
        <v>8680</v>
      </c>
      <c r="I3113" s="10" t="s">
        <v>361</v>
      </c>
    </row>
    <row r="3114" spans="1:9" x14ac:dyDescent="0.15">
      <c r="A3114" s="9">
        <v>3113</v>
      </c>
      <c r="B3114" s="10" t="s">
        <v>9</v>
      </c>
      <c r="C3114" s="10" t="s">
        <v>363</v>
      </c>
      <c r="D3114" s="10" t="s">
        <v>364</v>
      </c>
      <c r="E3114" s="11" t="str">
        <f>+HYPERLINK("http://trademark.i-assist.jp/data/china/image_1902th/79331889.pdf", "79331889")</f>
        <v>79331889</v>
      </c>
      <c r="F3114" s="10" t="s">
        <v>8681</v>
      </c>
      <c r="G3114" s="10" t="s">
        <v>8682</v>
      </c>
      <c r="H3114" s="10" t="s">
        <v>8683</v>
      </c>
      <c r="I3114" s="10" t="s">
        <v>361</v>
      </c>
    </row>
    <row r="3115" spans="1:9" x14ac:dyDescent="0.15">
      <c r="A3115" s="9">
        <v>3114</v>
      </c>
      <c r="B3115" s="10" t="s">
        <v>9</v>
      </c>
      <c r="C3115" s="10" t="s">
        <v>363</v>
      </c>
      <c r="D3115" s="10" t="s">
        <v>364</v>
      </c>
      <c r="E3115" s="11" t="str">
        <f>+HYPERLINK("http://trademark.i-assist.jp/data/china/image_1902th/79331895.pdf", "79331895")</f>
        <v>79331895</v>
      </c>
      <c r="F3115" s="10" t="s">
        <v>8684</v>
      </c>
      <c r="G3115" s="10" t="s">
        <v>8685</v>
      </c>
      <c r="H3115" s="10" t="s">
        <v>8686</v>
      </c>
      <c r="I3115" s="10" t="s">
        <v>361</v>
      </c>
    </row>
    <row r="3116" spans="1:9" x14ac:dyDescent="0.15">
      <c r="A3116" s="9">
        <v>3115</v>
      </c>
      <c r="B3116" s="10" t="s">
        <v>9</v>
      </c>
      <c r="C3116" s="10" t="s">
        <v>363</v>
      </c>
      <c r="D3116" s="10" t="s">
        <v>364</v>
      </c>
      <c r="E3116" s="11" t="str">
        <f>+HYPERLINK("http://trademark.i-assist.jp/data/china/image_1902th/79331900.pdf", "79331900")</f>
        <v>79331900</v>
      </c>
      <c r="F3116" s="10" t="s">
        <v>8687</v>
      </c>
      <c r="G3116" s="10" t="s">
        <v>8688</v>
      </c>
      <c r="H3116" s="10" t="s">
        <v>8689</v>
      </c>
      <c r="I3116" s="10" t="s">
        <v>361</v>
      </c>
    </row>
    <row r="3117" spans="1:9" x14ac:dyDescent="0.15">
      <c r="A3117" s="9">
        <v>3116</v>
      </c>
      <c r="B3117" s="10" t="s">
        <v>9</v>
      </c>
      <c r="C3117" s="10" t="s">
        <v>363</v>
      </c>
      <c r="D3117" s="10" t="s">
        <v>364</v>
      </c>
      <c r="E3117" s="11" t="str">
        <f>+HYPERLINK("http://trademark.i-assist.jp/data/china/image_1902th/79332147.pdf", "79332147")</f>
        <v>79332147</v>
      </c>
      <c r="F3117" s="10" t="s">
        <v>8690</v>
      </c>
      <c r="G3117" s="10" t="s">
        <v>245</v>
      </c>
      <c r="H3117" s="10" t="s">
        <v>8691</v>
      </c>
      <c r="I3117" s="10" t="s">
        <v>361</v>
      </c>
    </row>
    <row r="3118" spans="1:9" x14ac:dyDescent="0.15">
      <c r="A3118" s="9">
        <v>3117</v>
      </c>
      <c r="B3118" s="10" t="s">
        <v>9</v>
      </c>
      <c r="C3118" s="10" t="s">
        <v>363</v>
      </c>
      <c r="D3118" s="10" t="s">
        <v>364</v>
      </c>
      <c r="E3118" s="11" t="str">
        <f>+HYPERLINK("http://trademark.i-assist.jp/data/china/image_1902th/79332263.pdf", "79332263")</f>
        <v>79332263</v>
      </c>
      <c r="F3118" s="10" t="s">
        <v>8692</v>
      </c>
      <c r="G3118" s="10" t="s">
        <v>8693</v>
      </c>
      <c r="H3118" s="10" t="s">
        <v>8694</v>
      </c>
      <c r="I3118" s="10" t="s">
        <v>361</v>
      </c>
    </row>
    <row r="3119" spans="1:9" x14ac:dyDescent="0.15">
      <c r="A3119" s="9">
        <v>3118</v>
      </c>
      <c r="B3119" s="10" t="s">
        <v>9</v>
      </c>
      <c r="C3119" s="10" t="s">
        <v>363</v>
      </c>
      <c r="D3119" s="10" t="s">
        <v>364</v>
      </c>
      <c r="E3119" s="11" t="str">
        <f>+HYPERLINK("http://trademark.i-assist.jp/data/china/image_1902th/79332742.pdf", "79332742")</f>
        <v>79332742</v>
      </c>
      <c r="F3119" s="10" t="s">
        <v>8695</v>
      </c>
      <c r="G3119" s="10" t="s">
        <v>8696</v>
      </c>
      <c r="H3119" s="10" t="s">
        <v>8697</v>
      </c>
      <c r="I3119" s="10" t="s">
        <v>361</v>
      </c>
    </row>
    <row r="3120" spans="1:9" x14ac:dyDescent="0.15">
      <c r="A3120" s="9">
        <v>3119</v>
      </c>
      <c r="B3120" s="10" t="s">
        <v>9</v>
      </c>
      <c r="C3120" s="10" t="s">
        <v>363</v>
      </c>
      <c r="D3120" s="10" t="s">
        <v>364</v>
      </c>
      <c r="E3120" s="11" t="str">
        <f>+HYPERLINK("http://trademark.i-assist.jp/data/china/image_1902th/79333727.pdf", "79333727")</f>
        <v>79333727</v>
      </c>
      <c r="F3120" s="10" t="s">
        <v>8698</v>
      </c>
      <c r="G3120" s="10" t="s">
        <v>8699</v>
      </c>
      <c r="H3120" s="10" t="s">
        <v>8700</v>
      </c>
      <c r="I3120" s="10" t="s">
        <v>361</v>
      </c>
    </row>
    <row r="3121" spans="1:9" x14ac:dyDescent="0.15">
      <c r="A3121" s="9">
        <v>3120</v>
      </c>
      <c r="B3121" s="10" t="s">
        <v>9</v>
      </c>
      <c r="C3121" s="10" t="s">
        <v>363</v>
      </c>
      <c r="D3121" s="10" t="s">
        <v>364</v>
      </c>
      <c r="E3121" s="11" t="str">
        <f>+HYPERLINK("http://trademark.i-assist.jp/data/china/image_1902th/79333769.pdf", "79333769")</f>
        <v>79333769</v>
      </c>
      <c r="F3121" s="10" t="s">
        <v>8701</v>
      </c>
      <c r="G3121" s="10" t="s">
        <v>8702</v>
      </c>
      <c r="H3121" s="10" t="s">
        <v>8703</v>
      </c>
      <c r="I3121" s="10" t="s">
        <v>361</v>
      </c>
    </row>
    <row r="3122" spans="1:9" x14ac:dyDescent="0.15">
      <c r="A3122" s="9">
        <v>3121</v>
      </c>
      <c r="B3122" s="10" t="s">
        <v>9</v>
      </c>
      <c r="C3122" s="10" t="s">
        <v>363</v>
      </c>
      <c r="D3122" s="10" t="s">
        <v>364</v>
      </c>
      <c r="E3122" s="11" t="str">
        <f>+HYPERLINK("http://trademark.i-assist.jp/data/china/image_1902th/79333923.pdf", "79333923")</f>
        <v>79333923</v>
      </c>
      <c r="F3122" s="10" t="s">
        <v>8704</v>
      </c>
      <c r="G3122" s="10" t="s">
        <v>8596</v>
      </c>
      <c r="H3122" s="10" t="s">
        <v>8705</v>
      </c>
      <c r="I3122" s="10" t="s">
        <v>361</v>
      </c>
    </row>
    <row r="3123" spans="1:9" x14ac:dyDescent="0.15">
      <c r="A3123" s="9">
        <v>3122</v>
      </c>
      <c r="B3123" s="10" t="s">
        <v>9</v>
      </c>
      <c r="C3123" s="10" t="s">
        <v>363</v>
      </c>
      <c r="D3123" s="10" t="s">
        <v>364</v>
      </c>
      <c r="E3123" s="11" t="str">
        <f>+HYPERLINK("http://trademark.i-assist.jp/data/china/image_1902th/79334700.pdf", "79334700")</f>
        <v>79334700</v>
      </c>
      <c r="F3123" s="10" t="s">
        <v>8706</v>
      </c>
      <c r="G3123" s="10" t="s">
        <v>242</v>
      </c>
      <c r="H3123" s="10" t="s">
        <v>8707</v>
      </c>
      <c r="I3123" s="10" t="s">
        <v>361</v>
      </c>
    </row>
    <row r="3124" spans="1:9" x14ac:dyDescent="0.15">
      <c r="A3124" s="9">
        <v>3123</v>
      </c>
      <c r="B3124" s="10" t="s">
        <v>9</v>
      </c>
      <c r="C3124" s="10" t="s">
        <v>363</v>
      </c>
      <c r="D3124" s="10" t="s">
        <v>364</v>
      </c>
      <c r="E3124" s="11" t="str">
        <f>+HYPERLINK("http://trademark.i-assist.jp/data/china/image_1902th/79334796.pdf", "79334796")</f>
        <v>79334796</v>
      </c>
      <c r="F3124" s="10" t="s">
        <v>8708</v>
      </c>
      <c r="G3124" s="10" t="s">
        <v>8709</v>
      </c>
      <c r="H3124" s="10" t="s">
        <v>8710</v>
      </c>
      <c r="I3124" s="10" t="s">
        <v>361</v>
      </c>
    </row>
    <row r="3125" spans="1:9" x14ac:dyDescent="0.15">
      <c r="A3125" s="9">
        <v>3124</v>
      </c>
      <c r="B3125" s="10" t="s">
        <v>9</v>
      </c>
      <c r="C3125" s="10" t="s">
        <v>363</v>
      </c>
      <c r="D3125" s="10" t="s">
        <v>364</v>
      </c>
      <c r="E3125" s="11" t="str">
        <f>+HYPERLINK("http://trademark.i-assist.jp/data/china/image_1902th/79334815.pdf", "79334815")</f>
        <v>79334815</v>
      </c>
      <c r="F3125" s="10" t="s">
        <v>8711</v>
      </c>
      <c r="G3125" s="10" t="s">
        <v>8712</v>
      </c>
      <c r="H3125" s="10" t="s">
        <v>8713</v>
      </c>
      <c r="I3125" s="10" t="s">
        <v>361</v>
      </c>
    </row>
    <row r="3126" spans="1:9" x14ac:dyDescent="0.15">
      <c r="A3126" s="9">
        <v>3125</v>
      </c>
      <c r="B3126" s="10" t="s">
        <v>9</v>
      </c>
      <c r="C3126" s="10" t="s">
        <v>363</v>
      </c>
      <c r="D3126" s="10" t="s">
        <v>364</v>
      </c>
      <c r="E3126" s="11" t="str">
        <f>+HYPERLINK("http://trademark.i-assist.jp/data/china/image_1902th/79335128.pdf", "79335128")</f>
        <v>79335128</v>
      </c>
      <c r="F3126" s="10" t="s">
        <v>12</v>
      </c>
      <c r="G3126" s="10" t="s">
        <v>8714</v>
      </c>
      <c r="H3126" s="10" t="s">
        <v>8715</v>
      </c>
      <c r="I3126" s="10" t="s">
        <v>361</v>
      </c>
    </row>
    <row r="3127" spans="1:9" x14ac:dyDescent="0.15">
      <c r="A3127" s="9">
        <v>3126</v>
      </c>
      <c r="B3127" s="10" t="s">
        <v>9</v>
      </c>
      <c r="C3127" s="10" t="s">
        <v>363</v>
      </c>
      <c r="D3127" s="10" t="s">
        <v>364</v>
      </c>
      <c r="E3127" s="11" t="str">
        <f>+HYPERLINK("http://trademark.i-assist.jp/data/china/image_1902th/79335264.pdf", "79335264")</f>
        <v>79335264</v>
      </c>
      <c r="F3127" s="10" t="s">
        <v>8716</v>
      </c>
      <c r="G3127" s="10" t="s">
        <v>8717</v>
      </c>
      <c r="H3127" s="10" t="s">
        <v>8718</v>
      </c>
      <c r="I3127" s="10" t="s">
        <v>361</v>
      </c>
    </row>
    <row r="3128" spans="1:9" x14ac:dyDescent="0.15">
      <c r="A3128" s="9">
        <v>3127</v>
      </c>
      <c r="B3128" s="10" t="s">
        <v>9</v>
      </c>
      <c r="C3128" s="10" t="s">
        <v>363</v>
      </c>
      <c r="D3128" s="10" t="s">
        <v>364</v>
      </c>
      <c r="E3128" s="11" t="str">
        <f>+HYPERLINK("http://trademark.i-assist.jp/data/china/image_1902th/79335266.pdf", "79335266")</f>
        <v>79335266</v>
      </c>
      <c r="F3128" s="10" t="s">
        <v>8719</v>
      </c>
      <c r="G3128" s="10" t="s">
        <v>8720</v>
      </c>
      <c r="H3128" s="10" t="s">
        <v>8721</v>
      </c>
      <c r="I3128" s="10" t="s">
        <v>361</v>
      </c>
    </row>
    <row r="3129" spans="1:9" x14ac:dyDescent="0.15">
      <c r="A3129" s="9">
        <v>3128</v>
      </c>
      <c r="B3129" s="10" t="s">
        <v>9</v>
      </c>
      <c r="C3129" s="10" t="s">
        <v>363</v>
      </c>
      <c r="D3129" s="10" t="s">
        <v>364</v>
      </c>
      <c r="E3129" s="11" t="str">
        <f>+HYPERLINK("http://trademark.i-assist.jp/data/china/image_1902th/79335359.pdf", "79335359")</f>
        <v>79335359</v>
      </c>
      <c r="F3129" s="10" t="s">
        <v>8722</v>
      </c>
      <c r="G3129" s="10" t="s">
        <v>8723</v>
      </c>
      <c r="H3129" s="10" t="s">
        <v>8724</v>
      </c>
      <c r="I3129" s="10" t="s">
        <v>361</v>
      </c>
    </row>
    <row r="3130" spans="1:9" x14ac:dyDescent="0.15">
      <c r="A3130" s="9">
        <v>3129</v>
      </c>
      <c r="B3130" s="10" t="s">
        <v>9</v>
      </c>
      <c r="C3130" s="10" t="s">
        <v>363</v>
      </c>
      <c r="D3130" s="10" t="s">
        <v>364</v>
      </c>
      <c r="E3130" s="11" t="str">
        <f>+HYPERLINK("http://trademark.i-assist.jp/data/china/image_1902th/79335737.pdf", "79335737")</f>
        <v>79335737</v>
      </c>
      <c r="F3130" s="10" t="s">
        <v>12</v>
      </c>
      <c r="G3130" s="10" t="s">
        <v>8725</v>
      </c>
      <c r="H3130" s="10" t="s">
        <v>8726</v>
      </c>
      <c r="I3130" s="10" t="s">
        <v>361</v>
      </c>
    </row>
    <row r="3131" spans="1:9" x14ac:dyDescent="0.15">
      <c r="A3131" s="9">
        <v>3130</v>
      </c>
      <c r="B3131" s="10" t="s">
        <v>9</v>
      </c>
      <c r="C3131" s="10" t="s">
        <v>363</v>
      </c>
      <c r="D3131" s="10" t="s">
        <v>364</v>
      </c>
      <c r="E3131" s="11" t="str">
        <f>+HYPERLINK("http://trademark.i-assist.jp/data/china/image_1902th/79335834.pdf", "79335834")</f>
        <v>79335834</v>
      </c>
      <c r="F3131" s="10" t="s">
        <v>8727</v>
      </c>
      <c r="G3131" s="10" t="s">
        <v>8728</v>
      </c>
      <c r="H3131" s="10" t="s">
        <v>8729</v>
      </c>
      <c r="I3131" s="10" t="s">
        <v>361</v>
      </c>
    </row>
    <row r="3132" spans="1:9" x14ac:dyDescent="0.15">
      <c r="A3132" s="9">
        <v>3131</v>
      </c>
      <c r="B3132" s="10" t="s">
        <v>9</v>
      </c>
      <c r="C3132" s="10" t="s">
        <v>363</v>
      </c>
      <c r="D3132" s="10" t="s">
        <v>364</v>
      </c>
      <c r="E3132" s="11" t="str">
        <f>+HYPERLINK("http://trademark.i-assist.jp/data/china/image_1902th/79335955.pdf", "79335955")</f>
        <v>79335955</v>
      </c>
      <c r="F3132" s="10" t="s">
        <v>8730</v>
      </c>
      <c r="G3132" s="10" t="s">
        <v>8653</v>
      </c>
      <c r="H3132" s="10" t="s">
        <v>8731</v>
      </c>
      <c r="I3132" s="10" t="s">
        <v>361</v>
      </c>
    </row>
    <row r="3133" spans="1:9" x14ac:dyDescent="0.15">
      <c r="A3133" s="9">
        <v>3132</v>
      </c>
      <c r="B3133" s="10" t="s">
        <v>9</v>
      </c>
      <c r="C3133" s="10" t="s">
        <v>363</v>
      </c>
      <c r="D3133" s="10" t="s">
        <v>364</v>
      </c>
      <c r="E3133" s="11" t="str">
        <f>+HYPERLINK("http://trademark.i-assist.jp/data/china/image_1902th/79336061.pdf", "79336061")</f>
        <v>79336061</v>
      </c>
      <c r="F3133" s="10" t="s">
        <v>8732</v>
      </c>
      <c r="G3133" s="10" t="s">
        <v>8733</v>
      </c>
      <c r="H3133" s="10" t="s">
        <v>8734</v>
      </c>
      <c r="I3133" s="10" t="s">
        <v>361</v>
      </c>
    </row>
    <row r="3134" spans="1:9" x14ac:dyDescent="0.15">
      <c r="A3134" s="9">
        <v>3133</v>
      </c>
      <c r="B3134" s="10" t="s">
        <v>9</v>
      </c>
      <c r="C3134" s="10" t="s">
        <v>363</v>
      </c>
      <c r="D3134" s="10" t="s">
        <v>364</v>
      </c>
      <c r="E3134" s="11" t="str">
        <f>+HYPERLINK("http://trademark.i-assist.jp/data/china/image_1902th/79336353.pdf", "79336353")</f>
        <v>79336353</v>
      </c>
      <c r="F3134" s="10" t="s">
        <v>8735</v>
      </c>
      <c r="G3134" s="10" t="s">
        <v>2920</v>
      </c>
      <c r="H3134" s="10" t="s">
        <v>8736</v>
      </c>
      <c r="I3134" s="10" t="s">
        <v>361</v>
      </c>
    </row>
    <row r="3135" spans="1:9" x14ac:dyDescent="0.15">
      <c r="A3135" s="9">
        <v>3134</v>
      </c>
      <c r="B3135" s="10" t="s">
        <v>9</v>
      </c>
      <c r="C3135" s="10" t="s">
        <v>363</v>
      </c>
      <c r="D3135" s="10" t="s">
        <v>364</v>
      </c>
      <c r="E3135" s="11" t="str">
        <f>+HYPERLINK("http://trademark.i-assist.jp/data/china/image_1902th/79336407.pdf", "79336407")</f>
        <v>79336407</v>
      </c>
      <c r="F3135" s="10" t="s">
        <v>8737</v>
      </c>
      <c r="G3135" s="10" t="s">
        <v>8738</v>
      </c>
      <c r="H3135" s="10" t="s">
        <v>8739</v>
      </c>
      <c r="I3135" s="10" t="s">
        <v>361</v>
      </c>
    </row>
    <row r="3136" spans="1:9" x14ac:dyDescent="0.15">
      <c r="A3136" s="9">
        <v>3135</v>
      </c>
      <c r="B3136" s="10" t="s">
        <v>9</v>
      </c>
      <c r="C3136" s="10" t="s">
        <v>363</v>
      </c>
      <c r="D3136" s="10" t="s">
        <v>364</v>
      </c>
      <c r="E3136" s="11" t="str">
        <f>+HYPERLINK("http://trademark.i-assist.jp/data/china/image_1902th/79336443.pdf", "79336443")</f>
        <v>79336443</v>
      </c>
      <c r="F3136" s="10" t="s">
        <v>8740</v>
      </c>
      <c r="G3136" s="10" t="s">
        <v>8741</v>
      </c>
      <c r="H3136" s="10" t="s">
        <v>8742</v>
      </c>
      <c r="I3136" s="10" t="s">
        <v>361</v>
      </c>
    </row>
    <row r="3137" spans="1:9" x14ac:dyDescent="0.15">
      <c r="A3137" s="9">
        <v>3136</v>
      </c>
      <c r="B3137" s="10" t="s">
        <v>9</v>
      </c>
      <c r="C3137" s="10" t="s">
        <v>363</v>
      </c>
      <c r="D3137" s="10" t="s">
        <v>364</v>
      </c>
      <c r="E3137" s="11" t="str">
        <f>+HYPERLINK("http://trademark.i-assist.jp/data/china/image_1902th/79336843.pdf", "79336843")</f>
        <v>79336843</v>
      </c>
      <c r="F3137" s="10" t="s">
        <v>8743</v>
      </c>
      <c r="G3137" s="10" t="s">
        <v>8653</v>
      </c>
      <c r="H3137" s="10" t="s">
        <v>8744</v>
      </c>
      <c r="I3137" s="10" t="s">
        <v>361</v>
      </c>
    </row>
    <row r="3138" spans="1:9" x14ac:dyDescent="0.15">
      <c r="A3138" s="9">
        <v>3137</v>
      </c>
      <c r="B3138" s="10" t="s">
        <v>9</v>
      </c>
      <c r="C3138" s="10" t="s">
        <v>363</v>
      </c>
      <c r="D3138" s="10" t="s">
        <v>364</v>
      </c>
      <c r="E3138" s="11" t="str">
        <f>+HYPERLINK("http://trademark.i-assist.jp/data/china/image_1902th/79336931.pdf", "79336931")</f>
        <v>79336931</v>
      </c>
      <c r="F3138" s="10" t="s">
        <v>8745</v>
      </c>
      <c r="G3138" s="10" t="s">
        <v>8746</v>
      </c>
      <c r="H3138" s="10" t="s">
        <v>8747</v>
      </c>
      <c r="I3138" s="10" t="s">
        <v>361</v>
      </c>
    </row>
    <row r="3139" spans="1:9" x14ac:dyDescent="0.15">
      <c r="A3139" s="9">
        <v>3138</v>
      </c>
      <c r="B3139" s="10" t="s">
        <v>9</v>
      </c>
      <c r="C3139" s="10" t="s">
        <v>363</v>
      </c>
      <c r="D3139" s="10" t="s">
        <v>364</v>
      </c>
      <c r="E3139" s="11" t="str">
        <f>+HYPERLINK("http://trademark.i-assist.jp/data/china/image_1902th/79337087.pdf", "79337087")</f>
        <v>79337087</v>
      </c>
      <c r="F3139" s="10" t="s">
        <v>8748</v>
      </c>
      <c r="G3139" s="10" t="s">
        <v>5304</v>
      </c>
      <c r="H3139" s="10" t="s">
        <v>8749</v>
      </c>
      <c r="I3139" s="10" t="s">
        <v>361</v>
      </c>
    </row>
    <row r="3140" spans="1:9" x14ac:dyDescent="0.15">
      <c r="A3140" s="9">
        <v>3139</v>
      </c>
      <c r="B3140" s="10" t="s">
        <v>9</v>
      </c>
      <c r="C3140" s="10" t="s">
        <v>363</v>
      </c>
      <c r="D3140" s="10" t="s">
        <v>364</v>
      </c>
      <c r="E3140" s="11" t="str">
        <f>+HYPERLINK("http://trademark.i-assist.jp/data/china/image_1902th/79337409.pdf", "79337409")</f>
        <v>79337409</v>
      </c>
      <c r="F3140" s="10" t="s">
        <v>8750</v>
      </c>
      <c r="G3140" s="10" t="s">
        <v>962</v>
      </c>
      <c r="H3140" s="10" t="s">
        <v>8751</v>
      </c>
      <c r="I3140" s="10" t="s">
        <v>361</v>
      </c>
    </row>
    <row r="3141" spans="1:9" x14ac:dyDescent="0.15">
      <c r="A3141" s="9">
        <v>3140</v>
      </c>
      <c r="B3141" s="10" t="s">
        <v>9</v>
      </c>
      <c r="C3141" s="10" t="s">
        <v>363</v>
      </c>
      <c r="D3141" s="10" t="s">
        <v>364</v>
      </c>
      <c r="E3141" s="11" t="str">
        <f>+HYPERLINK("http://trademark.i-assist.jp/data/china/image_1902th/79337830.pdf", "79337830")</f>
        <v>79337830</v>
      </c>
      <c r="F3141" s="10" t="s">
        <v>8752</v>
      </c>
      <c r="G3141" s="10" t="s">
        <v>8613</v>
      </c>
      <c r="H3141" s="10" t="s">
        <v>8753</v>
      </c>
      <c r="I3141" s="10" t="s">
        <v>361</v>
      </c>
    </row>
    <row r="3142" spans="1:9" x14ac:dyDescent="0.15">
      <c r="A3142" s="9">
        <v>3141</v>
      </c>
      <c r="B3142" s="10" t="s">
        <v>9</v>
      </c>
      <c r="C3142" s="10" t="s">
        <v>363</v>
      </c>
      <c r="D3142" s="10" t="s">
        <v>364</v>
      </c>
      <c r="E3142" s="11" t="str">
        <f>+HYPERLINK("http://trademark.i-assist.jp/data/china/image_1902th/79338067.pdf", "79338067")</f>
        <v>79338067</v>
      </c>
      <c r="F3142" s="10" t="s">
        <v>8754</v>
      </c>
      <c r="G3142" s="10" t="s">
        <v>8755</v>
      </c>
      <c r="H3142" s="10" t="s">
        <v>8756</v>
      </c>
      <c r="I3142" s="10" t="s">
        <v>361</v>
      </c>
    </row>
    <row r="3143" spans="1:9" x14ac:dyDescent="0.15">
      <c r="A3143" s="9">
        <v>3142</v>
      </c>
      <c r="B3143" s="10" t="s">
        <v>9</v>
      </c>
      <c r="C3143" s="10" t="s">
        <v>363</v>
      </c>
      <c r="D3143" s="10" t="s">
        <v>364</v>
      </c>
      <c r="E3143" s="11" t="str">
        <f>+HYPERLINK("http://trademark.i-assist.jp/data/china/image_1902th/79338115.pdf", "79338115")</f>
        <v>79338115</v>
      </c>
      <c r="F3143" s="10" t="s">
        <v>8757</v>
      </c>
      <c r="G3143" s="10" t="s">
        <v>8758</v>
      </c>
      <c r="H3143" s="10" t="s">
        <v>8759</v>
      </c>
      <c r="I3143" s="10" t="s">
        <v>361</v>
      </c>
    </row>
    <row r="3144" spans="1:9" x14ac:dyDescent="0.15">
      <c r="A3144" s="9">
        <v>3143</v>
      </c>
      <c r="B3144" s="10" t="s">
        <v>9</v>
      </c>
      <c r="C3144" s="10" t="s">
        <v>363</v>
      </c>
      <c r="D3144" s="10" t="s">
        <v>364</v>
      </c>
      <c r="E3144" s="11" t="str">
        <f>+HYPERLINK("http://trademark.i-assist.jp/data/china/image_1902th/79338191.pdf", "79338191")</f>
        <v>79338191</v>
      </c>
      <c r="F3144" s="10" t="s">
        <v>8760</v>
      </c>
      <c r="G3144" s="10" t="s">
        <v>8761</v>
      </c>
      <c r="H3144" s="10" t="s">
        <v>8762</v>
      </c>
      <c r="I3144" s="10" t="s">
        <v>361</v>
      </c>
    </row>
    <row r="3145" spans="1:9" x14ac:dyDescent="0.15">
      <c r="A3145" s="9">
        <v>3144</v>
      </c>
      <c r="B3145" s="10" t="s">
        <v>9</v>
      </c>
      <c r="C3145" s="10" t="s">
        <v>363</v>
      </c>
      <c r="D3145" s="10" t="s">
        <v>364</v>
      </c>
      <c r="E3145" s="11" t="str">
        <f>+HYPERLINK("http://trademark.i-assist.jp/data/china/image_1902th/79338249.pdf", "79338249")</f>
        <v>79338249</v>
      </c>
      <c r="F3145" s="10" t="s">
        <v>8763</v>
      </c>
      <c r="G3145" s="10" t="s">
        <v>8764</v>
      </c>
      <c r="H3145" s="10" t="s">
        <v>8765</v>
      </c>
      <c r="I3145" s="10" t="s">
        <v>361</v>
      </c>
    </row>
    <row r="3146" spans="1:9" x14ac:dyDescent="0.15">
      <c r="A3146" s="9">
        <v>3145</v>
      </c>
      <c r="B3146" s="10" t="s">
        <v>9</v>
      </c>
      <c r="C3146" s="10" t="s">
        <v>363</v>
      </c>
      <c r="D3146" s="10" t="s">
        <v>364</v>
      </c>
      <c r="E3146" s="11" t="str">
        <f>+HYPERLINK("http://trademark.i-assist.jp/data/china/image_1902th/79338331.pdf", "79338331")</f>
        <v>79338331</v>
      </c>
      <c r="F3146" s="10" t="s">
        <v>8766</v>
      </c>
      <c r="G3146" s="10" t="s">
        <v>8767</v>
      </c>
      <c r="H3146" s="10" t="s">
        <v>15</v>
      </c>
      <c r="I3146" s="10" t="s">
        <v>361</v>
      </c>
    </row>
    <row r="3147" spans="1:9" x14ac:dyDescent="0.15">
      <c r="A3147" s="9">
        <v>3146</v>
      </c>
      <c r="B3147" s="10" t="s">
        <v>9</v>
      </c>
      <c r="C3147" s="10" t="s">
        <v>363</v>
      </c>
      <c r="D3147" s="10" t="s">
        <v>364</v>
      </c>
      <c r="E3147" s="11" t="str">
        <f>+HYPERLINK("http://trademark.i-assist.jp/data/china/image_1902th/79338523.pdf", "79338523")</f>
        <v>79338523</v>
      </c>
      <c r="F3147" s="10" t="s">
        <v>8768</v>
      </c>
      <c r="G3147" s="10" t="s">
        <v>8769</v>
      </c>
      <c r="H3147" s="10" t="s">
        <v>8770</v>
      </c>
      <c r="I3147" s="10" t="s">
        <v>361</v>
      </c>
    </row>
    <row r="3148" spans="1:9" x14ac:dyDescent="0.15">
      <c r="A3148" s="9">
        <v>3147</v>
      </c>
      <c r="B3148" s="10" t="s">
        <v>9</v>
      </c>
      <c r="C3148" s="10" t="s">
        <v>363</v>
      </c>
      <c r="D3148" s="10" t="s">
        <v>364</v>
      </c>
      <c r="E3148" s="11" t="str">
        <f>+HYPERLINK("http://trademark.i-assist.jp/data/china/image_1902th/79338641.pdf", "79338641")</f>
        <v>79338641</v>
      </c>
      <c r="F3148" s="10" t="s">
        <v>8771</v>
      </c>
      <c r="G3148" s="10" t="s">
        <v>8772</v>
      </c>
      <c r="H3148" s="10" t="s">
        <v>8773</v>
      </c>
      <c r="I3148" s="10" t="s">
        <v>361</v>
      </c>
    </row>
    <row r="3149" spans="1:9" x14ac:dyDescent="0.15">
      <c r="A3149" s="9">
        <v>3148</v>
      </c>
      <c r="B3149" s="10" t="s">
        <v>9</v>
      </c>
      <c r="C3149" s="10" t="s">
        <v>363</v>
      </c>
      <c r="D3149" s="10" t="s">
        <v>364</v>
      </c>
      <c r="E3149" s="11" t="str">
        <f>+HYPERLINK("http://trademark.i-assist.jp/data/china/image_1902th/79338719.pdf", "79338719")</f>
        <v>79338719</v>
      </c>
      <c r="F3149" s="10" t="s">
        <v>8774</v>
      </c>
      <c r="G3149" s="10" t="s">
        <v>8775</v>
      </c>
      <c r="H3149" s="10" t="s">
        <v>8776</v>
      </c>
      <c r="I3149" s="10" t="s">
        <v>361</v>
      </c>
    </row>
    <row r="3150" spans="1:9" x14ac:dyDescent="0.15">
      <c r="A3150" s="9">
        <v>3149</v>
      </c>
      <c r="B3150" s="10" t="s">
        <v>9</v>
      </c>
      <c r="C3150" s="10" t="s">
        <v>363</v>
      </c>
      <c r="D3150" s="10" t="s">
        <v>364</v>
      </c>
      <c r="E3150" s="11" t="str">
        <f>+HYPERLINK("http://trademark.i-assist.jp/data/china/image_1902th/79338877.pdf", "79338877")</f>
        <v>79338877</v>
      </c>
      <c r="F3150" s="10" t="s">
        <v>8777</v>
      </c>
      <c r="G3150" s="10" t="s">
        <v>8778</v>
      </c>
      <c r="H3150" s="10" t="s">
        <v>8779</v>
      </c>
      <c r="I3150" s="10" t="s">
        <v>361</v>
      </c>
    </row>
    <row r="3151" spans="1:9" x14ac:dyDescent="0.15">
      <c r="A3151" s="9">
        <v>3150</v>
      </c>
      <c r="B3151" s="10" t="s">
        <v>9</v>
      </c>
      <c r="C3151" s="10" t="s">
        <v>363</v>
      </c>
      <c r="D3151" s="10" t="s">
        <v>364</v>
      </c>
      <c r="E3151" s="11" t="str">
        <f>+HYPERLINK("http://trademark.i-assist.jp/data/china/image_1902th/79338884.pdf", "79338884")</f>
        <v>79338884</v>
      </c>
      <c r="F3151" s="10" t="s">
        <v>8780</v>
      </c>
      <c r="G3151" s="10" t="s">
        <v>8541</v>
      </c>
      <c r="H3151" s="10" t="s">
        <v>8781</v>
      </c>
      <c r="I3151" s="10" t="s">
        <v>361</v>
      </c>
    </row>
    <row r="3152" spans="1:9" x14ac:dyDescent="0.15">
      <c r="A3152" s="9">
        <v>3151</v>
      </c>
      <c r="B3152" s="10" t="s">
        <v>9</v>
      </c>
      <c r="C3152" s="10" t="s">
        <v>363</v>
      </c>
      <c r="D3152" s="10" t="s">
        <v>364</v>
      </c>
      <c r="E3152" s="11" t="str">
        <f>+HYPERLINK("http://trademark.i-assist.jp/data/china/image_1902th/79339368.pdf", "79339368")</f>
        <v>79339368</v>
      </c>
      <c r="F3152" s="10" t="s">
        <v>8782</v>
      </c>
      <c r="G3152" s="10" t="s">
        <v>8616</v>
      </c>
      <c r="H3152" s="10" t="s">
        <v>8783</v>
      </c>
      <c r="I3152" s="10" t="s">
        <v>361</v>
      </c>
    </row>
    <row r="3153" spans="1:9" x14ac:dyDescent="0.15">
      <c r="A3153" s="9">
        <v>3152</v>
      </c>
      <c r="B3153" s="10" t="s">
        <v>9</v>
      </c>
      <c r="C3153" s="10" t="s">
        <v>363</v>
      </c>
      <c r="D3153" s="10" t="s">
        <v>364</v>
      </c>
      <c r="E3153" s="11" t="str">
        <f>+HYPERLINK("http://trademark.i-assist.jp/data/china/image_1902th/79339587.pdf", "79339587")</f>
        <v>79339587</v>
      </c>
      <c r="F3153" s="10" t="s">
        <v>8784</v>
      </c>
      <c r="G3153" s="10" t="s">
        <v>8764</v>
      </c>
      <c r="H3153" s="10" t="s">
        <v>8785</v>
      </c>
      <c r="I3153" s="10" t="s">
        <v>361</v>
      </c>
    </row>
    <row r="3154" spans="1:9" x14ac:dyDescent="0.15">
      <c r="A3154" s="9">
        <v>3153</v>
      </c>
      <c r="B3154" s="10" t="s">
        <v>9</v>
      </c>
      <c r="C3154" s="10" t="s">
        <v>363</v>
      </c>
      <c r="D3154" s="10" t="s">
        <v>364</v>
      </c>
      <c r="E3154" s="11" t="str">
        <f>+HYPERLINK("http://trademark.i-assist.jp/data/china/image_1902th/79339653.pdf", "79339653")</f>
        <v>79339653</v>
      </c>
      <c r="F3154" s="10" t="s">
        <v>8786</v>
      </c>
      <c r="G3154" s="10" t="s">
        <v>2969</v>
      </c>
      <c r="H3154" s="10" t="s">
        <v>8787</v>
      </c>
      <c r="I3154" s="10" t="s">
        <v>361</v>
      </c>
    </row>
    <row r="3155" spans="1:9" x14ac:dyDescent="0.15">
      <c r="A3155" s="9">
        <v>3154</v>
      </c>
      <c r="B3155" s="10" t="s">
        <v>9</v>
      </c>
      <c r="C3155" s="10" t="s">
        <v>363</v>
      </c>
      <c r="D3155" s="10" t="s">
        <v>364</v>
      </c>
      <c r="E3155" s="11" t="str">
        <f>+HYPERLINK("http://trademark.i-assist.jp/data/china/image_1902th/79340000.pdf", "79340000")</f>
        <v>79340000</v>
      </c>
      <c r="F3155" s="10" t="s">
        <v>8788</v>
      </c>
      <c r="G3155" s="10" t="s">
        <v>8789</v>
      </c>
      <c r="H3155" s="10" t="s">
        <v>8790</v>
      </c>
      <c r="I3155" s="10" t="s">
        <v>361</v>
      </c>
    </row>
    <row r="3156" spans="1:9" x14ac:dyDescent="0.15">
      <c r="A3156" s="9">
        <v>3155</v>
      </c>
      <c r="B3156" s="10" t="s">
        <v>9</v>
      </c>
      <c r="C3156" s="10" t="s">
        <v>363</v>
      </c>
      <c r="D3156" s="10" t="s">
        <v>364</v>
      </c>
      <c r="E3156" s="11" t="str">
        <f>+HYPERLINK("http://trademark.i-assist.jp/data/china/image_1902th/79340266.pdf", "79340266")</f>
        <v>79340266</v>
      </c>
      <c r="F3156" s="10" t="s">
        <v>8791</v>
      </c>
      <c r="G3156" s="10" t="s">
        <v>8792</v>
      </c>
      <c r="H3156" s="10" t="s">
        <v>8793</v>
      </c>
      <c r="I3156" s="10" t="s">
        <v>361</v>
      </c>
    </row>
    <row r="3157" spans="1:9" x14ac:dyDescent="0.15">
      <c r="A3157" s="9">
        <v>3156</v>
      </c>
      <c r="B3157" s="10" t="s">
        <v>9</v>
      </c>
      <c r="C3157" s="10" t="s">
        <v>363</v>
      </c>
      <c r="D3157" s="10" t="s">
        <v>364</v>
      </c>
      <c r="E3157" s="11" t="str">
        <f>+HYPERLINK("http://trademark.i-assist.jp/data/china/image_1902th/79340301.pdf", "79340301")</f>
        <v>79340301</v>
      </c>
      <c r="F3157" s="10" t="s">
        <v>8794</v>
      </c>
      <c r="G3157" s="10" t="s">
        <v>8795</v>
      </c>
      <c r="H3157" s="10" t="s">
        <v>8796</v>
      </c>
      <c r="I3157" s="10" t="s">
        <v>361</v>
      </c>
    </row>
    <row r="3158" spans="1:9" x14ac:dyDescent="0.15">
      <c r="A3158" s="9">
        <v>3157</v>
      </c>
      <c r="B3158" s="10" t="s">
        <v>9</v>
      </c>
      <c r="C3158" s="10" t="s">
        <v>363</v>
      </c>
      <c r="D3158" s="10" t="s">
        <v>364</v>
      </c>
      <c r="E3158" s="11" t="str">
        <f>+HYPERLINK("http://trademark.i-assist.jp/data/china/image_1902th/79340570.pdf", "79340570")</f>
        <v>79340570</v>
      </c>
      <c r="F3158" s="10" t="s">
        <v>8797</v>
      </c>
      <c r="G3158" s="10" t="s">
        <v>8798</v>
      </c>
      <c r="H3158" s="10" t="s">
        <v>8799</v>
      </c>
      <c r="I3158" s="10" t="s">
        <v>361</v>
      </c>
    </row>
    <row r="3159" spans="1:9" x14ac:dyDescent="0.15">
      <c r="A3159" s="9">
        <v>3158</v>
      </c>
      <c r="B3159" s="10" t="s">
        <v>9</v>
      </c>
      <c r="C3159" s="10" t="s">
        <v>363</v>
      </c>
      <c r="D3159" s="10" t="s">
        <v>364</v>
      </c>
      <c r="E3159" s="11" t="str">
        <f>+HYPERLINK("http://trademark.i-assist.jp/data/china/image_1902th/79340627.pdf", "79340627")</f>
        <v>79340627</v>
      </c>
      <c r="F3159" s="10" t="s">
        <v>8800</v>
      </c>
      <c r="G3159" s="10" t="s">
        <v>8801</v>
      </c>
      <c r="H3159" s="10" t="s">
        <v>8802</v>
      </c>
      <c r="I3159" s="10" t="s">
        <v>361</v>
      </c>
    </row>
    <row r="3160" spans="1:9" x14ac:dyDescent="0.15">
      <c r="A3160" s="9">
        <v>3159</v>
      </c>
      <c r="B3160" s="10" t="s">
        <v>9</v>
      </c>
      <c r="C3160" s="10" t="s">
        <v>363</v>
      </c>
      <c r="D3160" s="10" t="s">
        <v>364</v>
      </c>
      <c r="E3160" s="11" t="str">
        <f>+HYPERLINK("http://trademark.i-assist.jp/data/china/image_1902th/79340654.pdf", "79340654")</f>
        <v>79340654</v>
      </c>
      <c r="F3160" s="10" t="s">
        <v>8803</v>
      </c>
      <c r="G3160" s="10" t="s">
        <v>8804</v>
      </c>
      <c r="H3160" s="10" t="s">
        <v>8805</v>
      </c>
      <c r="I3160" s="10" t="s">
        <v>361</v>
      </c>
    </row>
    <row r="3161" spans="1:9" x14ac:dyDescent="0.15">
      <c r="A3161" s="9">
        <v>3160</v>
      </c>
      <c r="B3161" s="10" t="s">
        <v>9</v>
      </c>
      <c r="C3161" s="10" t="s">
        <v>363</v>
      </c>
      <c r="D3161" s="10" t="s">
        <v>364</v>
      </c>
      <c r="E3161" s="11" t="str">
        <f>+HYPERLINK("http://trademark.i-assist.jp/data/china/image_1902th/79341479.pdf", "79341479")</f>
        <v>79341479</v>
      </c>
      <c r="F3161" s="10" t="s">
        <v>8806</v>
      </c>
      <c r="G3161" s="10" t="s">
        <v>8638</v>
      </c>
      <c r="H3161" s="10" t="s">
        <v>8807</v>
      </c>
      <c r="I3161" s="10" t="s">
        <v>361</v>
      </c>
    </row>
    <row r="3162" spans="1:9" x14ac:dyDescent="0.15">
      <c r="A3162" s="9">
        <v>3161</v>
      </c>
      <c r="B3162" s="10" t="s">
        <v>9</v>
      </c>
      <c r="C3162" s="10" t="s">
        <v>363</v>
      </c>
      <c r="D3162" s="10" t="s">
        <v>364</v>
      </c>
      <c r="E3162" s="11" t="str">
        <f>+HYPERLINK("http://trademark.i-assist.jp/data/china/image_1902th/79341500.pdf", "79341500")</f>
        <v>79341500</v>
      </c>
      <c r="F3162" s="10" t="s">
        <v>8808</v>
      </c>
      <c r="G3162" s="10" t="s">
        <v>8809</v>
      </c>
      <c r="H3162" s="10" t="s">
        <v>8810</v>
      </c>
      <c r="I3162" s="10" t="s">
        <v>361</v>
      </c>
    </row>
    <row r="3163" spans="1:9" x14ac:dyDescent="0.15">
      <c r="A3163" s="9">
        <v>3162</v>
      </c>
      <c r="B3163" s="10" t="s">
        <v>9</v>
      </c>
      <c r="C3163" s="10" t="s">
        <v>363</v>
      </c>
      <c r="D3163" s="10" t="s">
        <v>364</v>
      </c>
      <c r="E3163" s="11" t="str">
        <f>+HYPERLINK("http://trademark.i-assist.jp/data/china/image_1902th/79341749.pdf", "79341749")</f>
        <v>79341749</v>
      </c>
      <c r="F3163" s="10" t="s">
        <v>8811</v>
      </c>
      <c r="G3163" s="10" t="s">
        <v>8812</v>
      </c>
      <c r="H3163" s="10" t="s">
        <v>8813</v>
      </c>
      <c r="I3163" s="10" t="s">
        <v>361</v>
      </c>
    </row>
    <row r="3164" spans="1:9" x14ac:dyDescent="0.15">
      <c r="A3164" s="9">
        <v>3163</v>
      </c>
      <c r="B3164" s="10" t="s">
        <v>9</v>
      </c>
      <c r="C3164" s="10" t="s">
        <v>363</v>
      </c>
      <c r="D3164" s="10" t="s">
        <v>364</v>
      </c>
      <c r="E3164" s="11" t="str">
        <f>+HYPERLINK("http://trademark.i-assist.jp/data/china/image_1902th/79342339.pdf", "79342339")</f>
        <v>79342339</v>
      </c>
      <c r="F3164" s="10" t="s">
        <v>8814</v>
      </c>
      <c r="G3164" s="10" t="s">
        <v>5304</v>
      </c>
      <c r="H3164" s="10" t="s">
        <v>8815</v>
      </c>
      <c r="I3164" s="10" t="s">
        <v>361</v>
      </c>
    </row>
    <row r="3165" spans="1:9" x14ac:dyDescent="0.15">
      <c r="A3165" s="9">
        <v>3164</v>
      </c>
      <c r="B3165" s="10" t="s">
        <v>9</v>
      </c>
      <c r="C3165" s="10" t="s">
        <v>363</v>
      </c>
      <c r="D3165" s="10" t="s">
        <v>364</v>
      </c>
      <c r="E3165" s="11" t="str">
        <f>+HYPERLINK("http://trademark.i-assist.jp/data/china/image_1902th/79342569.pdf", "79342569")</f>
        <v>79342569</v>
      </c>
      <c r="F3165" s="10" t="s">
        <v>8816</v>
      </c>
      <c r="G3165" s="10" t="s">
        <v>247</v>
      </c>
      <c r="H3165" s="10" t="s">
        <v>8817</v>
      </c>
      <c r="I3165" s="10" t="s">
        <v>361</v>
      </c>
    </row>
    <row r="3166" spans="1:9" x14ac:dyDescent="0.15">
      <c r="A3166" s="9">
        <v>3165</v>
      </c>
      <c r="B3166" s="10" t="s">
        <v>9</v>
      </c>
      <c r="C3166" s="10" t="s">
        <v>363</v>
      </c>
      <c r="D3166" s="10" t="s">
        <v>364</v>
      </c>
      <c r="E3166" s="11" t="str">
        <f>+HYPERLINK("http://trademark.i-assist.jp/data/china/image_1902th/79342963.pdf", "79342963")</f>
        <v>79342963</v>
      </c>
      <c r="F3166" s="10" t="s">
        <v>8818</v>
      </c>
      <c r="G3166" s="10" t="s">
        <v>8819</v>
      </c>
      <c r="H3166" s="10" t="s">
        <v>8820</v>
      </c>
      <c r="I3166" s="10" t="s">
        <v>361</v>
      </c>
    </row>
    <row r="3167" spans="1:9" x14ac:dyDescent="0.15">
      <c r="A3167" s="9">
        <v>3166</v>
      </c>
      <c r="B3167" s="10" t="s">
        <v>9</v>
      </c>
      <c r="C3167" s="10" t="s">
        <v>363</v>
      </c>
      <c r="D3167" s="10" t="s">
        <v>364</v>
      </c>
      <c r="E3167" s="11" t="str">
        <f>+HYPERLINK("http://trademark.i-assist.jp/data/china/image_1902th/79343447.pdf", "79343447")</f>
        <v>79343447</v>
      </c>
      <c r="F3167" s="10" t="s">
        <v>8821</v>
      </c>
      <c r="G3167" s="10" t="s">
        <v>8822</v>
      </c>
      <c r="H3167" s="10" t="s">
        <v>8823</v>
      </c>
      <c r="I3167" s="10" t="s">
        <v>361</v>
      </c>
    </row>
    <row r="3168" spans="1:9" x14ac:dyDescent="0.15">
      <c r="A3168" s="9">
        <v>3167</v>
      </c>
      <c r="B3168" s="10" t="s">
        <v>9</v>
      </c>
      <c r="C3168" s="10" t="s">
        <v>363</v>
      </c>
      <c r="D3168" s="10" t="s">
        <v>364</v>
      </c>
      <c r="E3168" s="11" t="str">
        <f>+HYPERLINK("http://trademark.i-assist.jp/data/china/image_1902th/79343460.pdf", "79343460")</f>
        <v>79343460</v>
      </c>
      <c r="F3168" s="10" t="s">
        <v>8824</v>
      </c>
      <c r="G3168" s="10" t="s">
        <v>8825</v>
      </c>
      <c r="H3168" s="10" t="s">
        <v>8826</v>
      </c>
      <c r="I3168" s="10" t="s">
        <v>361</v>
      </c>
    </row>
    <row r="3169" spans="1:9" x14ac:dyDescent="0.15">
      <c r="A3169" s="9">
        <v>3168</v>
      </c>
      <c r="B3169" s="10" t="s">
        <v>9</v>
      </c>
      <c r="C3169" s="10" t="s">
        <v>363</v>
      </c>
      <c r="D3169" s="10" t="s">
        <v>364</v>
      </c>
      <c r="E3169" s="11" t="str">
        <f>+HYPERLINK("http://trademark.i-assist.jp/data/china/image_1902th/79343493.pdf", "79343493")</f>
        <v>79343493</v>
      </c>
      <c r="F3169" s="10" t="s">
        <v>8827</v>
      </c>
      <c r="G3169" s="10" t="s">
        <v>8828</v>
      </c>
      <c r="H3169" s="10" t="s">
        <v>8829</v>
      </c>
      <c r="I3169" s="10" t="s">
        <v>361</v>
      </c>
    </row>
    <row r="3170" spans="1:9" x14ac:dyDescent="0.15">
      <c r="A3170" s="9">
        <v>3169</v>
      </c>
      <c r="B3170" s="10" t="s">
        <v>9</v>
      </c>
      <c r="C3170" s="10" t="s">
        <v>363</v>
      </c>
      <c r="D3170" s="10" t="s">
        <v>364</v>
      </c>
      <c r="E3170" s="11" t="str">
        <f>+HYPERLINK("http://trademark.i-assist.jp/data/china/image_1902th/79343538.pdf", "79343538")</f>
        <v>79343538</v>
      </c>
      <c r="F3170" s="10" t="s">
        <v>12</v>
      </c>
      <c r="G3170" s="10" t="s">
        <v>8830</v>
      </c>
      <c r="H3170" s="10" t="s">
        <v>8831</v>
      </c>
      <c r="I3170" s="10" t="s">
        <v>361</v>
      </c>
    </row>
    <row r="3171" spans="1:9" x14ac:dyDescent="0.15">
      <c r="A3171" s="9">
        <v>3170</v>
      </c>
      <c r="B3171" s="10" t="s">
        <v>9</v>
      </c>
      <c r="C3171" s="10" t="s">
        <v>363</v>
      </c>
      <c r="D3171" s="10" t="s">
        <v>364</v>
      </c>
      <c r="E3171" s="11" t="str">
        <f>+HYPERLINK("http://trademark.i-assist.jp/data/china/image_1902th/79343591.pdf", "79343591")</f>
        <v>79343591</v>
      </c>
      <c r="F3171" s="10" t="s">
        <v>8832</v>
      </c>
      <c r="G3171" s="10" t="s">
        <v>8833</v>
      </c>
      <c r="H3171" s="10" t="s">
        <v>15</v>
      </c>
      <c r="I3171" s="10" t="s">
        <v>361</v>
      </c>
    </row>
    <row r="3172" spans="1:9" x14ac:dyDescent="0.15">
      <c r="A3172" s="9">
        <v>3171</v>
      </c>
      <c r="B3172" s="10" t="s">
        <v>9</v>
      </c>
      <c r="C3172" s="10" t="s">
        <v>363</v>
      </c>
      <c r="D3172" s="10" t="s">
        <v>364</v>
      </c>
      <c r="E3172" s="11" t="str">
        <f>+HYPERLINK("http://trademark.i-assist.jp/data/china/image_1902th/79343743.pdf", "79343743")</f>
        <v>79343743</v>
      </c>
      <c r="F3172" s="10" t="s">
        <v>8834</v>
      </c>
      <c r="G3172" s="10" t="s">
        <v>320</v>
      </c>
      <c r="H3172" s="10" t="s">
        <v>8835</v>
      </c>
      <c r="I3172" s="10" t="s">
        <v>361</v>
      </c>
    </row>
    <row r="3173" spans="1:9" x14ac:dyDescent="0.15">
      <c r="A3173" s="9">
        <v>3172</v>
      </c>
      <c r="B3173" s="10" t="s">
        <v>9</v>
      </c>
      <c r="C3173" s="10" t="s">
        <v>363</v>
      </c>
      <c r="D3173" s="10" t="s">
        <v>364</v>
      </c>
      <c r="E3173" s="11" t="str">
        <f>+HYPERLINK("http://trademark.i-assist.jp/data/china/image_1902th/79343780.pdf", "79343780")</f>
        <v>79343780</v>
      </c>
      <c r="F3173" s="10" t="s">
        <v>157</v>
      </c>
      <c r="G3173" s="10" t="s">
        <v>158</v>
      </c>
      <c r="H3173" s="10" t="s">
        <v>8836</v>
      </c>
      <c r="I3173" s="10" t="s">
        <v>361</v>
      </c>
    </row>
    <row r="3174" spans="1:9" x14ac:dyDescent="0.15">
      <c r="A3174" s="9">
        <v>3173</v>
      </c>
      <c r="B3174" s="10" t="s">
        <v>9</v>
      </c>
      <c r="C3174" s="10" t="s">
        <v>363</v>
      </c>
      <c r="D3174" s="10" t="s">
        <v>364</v>
      </c>
      <c r="E3174" s="11" t="str">
        <f>+HYPERLINK("http://trademark.i-assist.jp/data/china/image_1902th/79343801.pdf", "79343801")</f>
        <v>79343801</v>
      </c>
      <c r="F3174" s="10" t="s">
        <v>8837</v>
      </c>
      <c r="G3174" s="10" t="s">
        <v>8812</v>
      </c>
      <c r="H3174" s="10" t="s">
        <v>8838</v>
      </c>
      <c r="I3174" s="10" t="s">
        <v>361</v>
      </c>
    </row>
    <row r="3175" spans="1:9" x14ac:dyDescent="0.15">
      <c r="A3175" s="9">
        <v>3174</v>
      </c>
      <c r="B3175" s="10" t="s">
        <v>9</v>
      </c>
      <c r="C3175" s="10" t="s">
        <v>363</v>
      </c>
      <c r="D3175" s="10" t="s">
        <v>364</v>
      </c>
      <c r="E3175" s="11" t="str">
        <f>+HYPERLINK("http://trademark.i-assist.jp/data/china/image_1902th/79344078.pdf", "79344078")</f>
        <v>79344078</v>
      </c>
      <c r="F3175" s="10" t="s">
        <v>8839</v>
      </c>
      <c r="G3175" s="10" t="s">
        <v>8840</v>
      </c>
      <c r="H3175" s="10" t="s">
        <v>8841</v>
      </c>
      <c r="I3175" s="10" t="s">
        <v>361</v>
      </c>
    </row>
    <row r="3176" spans="1:9" x14ac:dyDescent="0.15">
      <c r="A3176" s="9">
        <v>3175</v>
      </c>
      <c r="B3176" s="10" t="s">
        <v>9</v>
      </c>
      <c r="C3176" s="10" t="s">
        <v>363</v>
      </c>
      <c r="D3176" s="10" t="s">
        <v>364</v>
      </c>
      <c r="E3176" s="11" t="str">
        <f>+HYPERLINK("http://trademark.i-assist.jp/data/china/image_1902th/79344113.pdf", "79344113")</f>
        <v>79344113</v>
      </c>
      <c r="F3176" s="10" t="s">
        <v>8842</v>
      </c>
      <c r="G3176" s="10" t="s">
        <v>8843</v>
      </c>
      <c r="H3176" s="10" t="s">
        <v>15</v>
      </c>
      <c r="I3176" s="10" t="s">
        <v>361</v>
      </c>
    </row>
    <row r="3177" spans="1:9" x14ac:dyDescent="0.15">
      <c r="A3177" s="9">
        <v>3176</v>
      </c>
      <c r="B3177" s="10" t="s">
        <v>9</v>
      </c>
      <c r="C3177" s="10" t="s">
        <v>363</v>
      </c>
      <c r="D3177" s="10" t="s">
        <v>364</v>
      </c>
      <c r="E3177" s="11" t="str">
        <f>+HYPERLINK("http://trademark.i-assist.jp/data/china/image_1902th/79344317.pdf", "79344317")</f>
        <v>79344317</v>
      </c>
      <c r="F3177" s="10" t="s">
        <v>8844</v>
      </c>
      <c r="G3177" s="10" t="s">
        <v>8845</v>
      </c>
      <c r="H3177" s="10" t="s">
        <v>8846</v>
      </c>
      <c r="I3177" s="10" t="s">
        <v>361</v>
      </c>
    </row>
    <row r="3178" spans="1:9" x14ac:dyDescent="0.15">
      <c r="A3178" s="9">
        <v>3177</v>
      </c>
      <c r="B3178" s="10" t="s">
        <v>9</v>
      </c>
      <c r="C3178" s="10" t="s">
        <v>363</v>
      </c>
      <c r="D3178" s="10" t="s">
        <v>364</v>
      </c>
      <c r="E3178" s="11" t="str">
        <f>+HYPERLINK("http://trademark.i-assist.jp/data/china/image_1902th/79344465.pdf", "79344465")</f>
        <v>79344465</v>
      </c>
      <c r="F3178" s="10" t="s">
        <v>8847</v>
      </c>
      <c r="G3178" s="10" t="s">
        <v>8848</v>
      </c>
      <c r="H3178" s="10" t="s">
        <v>8849</v>
      </c>
      <c r="I3178" s="10" t="s">
        <v>361</v>
      </c>
    </row>
    <row r="3179" spans="1:9" x14ac:dyDescent="0.15">
      <c r="A3179" s="9">
        <v>3178</v>
      </c>
      <c r="B3179" s="10" t="s">
        <v>9</v>
      </c>
      <c r="C3179" s="10" t="s">
        <v>363</v>
      </c>
      <c r="D3179" s="10" t="s">
        <v>364</v>
      </c>
      <c r="E3179" s="11" t="str">
        <f>+HYPERLINK("http://trademark.i-assist.jp/data/china/image_1902th/79344539.pdf", "79344539")</f>
        <v>79344539</v>
      </c>
      <c r="F3179" s="10" t="s">
        <v>8850</v>
      </c>
      <c r="G3179" s="10" t="s">
        <v>8851</v>
      </c>
      <c r="H3179" s="10" t="s">
        <v>8852</v>
      </c>
      <c r="I3179" s="10" t="s">
        <v>361</v>
      </c>
    </row>
    <row r="3180" spans="1:9" x14ac:dyDescent="0.15">
      <c r="A3180" s="9">
        <v>3179</v>
      </c>
      <c r="B3180" s="10" t="s">
        <v>9</v>
      </c>
      <c r="C3180" s="10" t="s">
        <v>363</v>
      </c>
      <c r="D3180" s="10" t="s">
        <v>364</v>
      </c>
      <c r="E3180" s="11" t="str">
        <f>+HYPERLINK("http://trademark.i-assist.jp/data/china/image_1902th/79344668.pdf", "79344668")</f>
        <v>79344668</v>
      </c>
      <c r="F3180" s="10" t="s">
        <v>8853</v>
      </c>
      <c r="G3180" s="10" t="s">
        <v>8854</v>
      </c>
      <c r="H3180" s="10" t="s">
        <v>8855</v>
      </c>
      <c r="I3180" s="10" t="s">
        <v>361</v>
      </c>
    </row>
    <row r="3181" spans="1:9" x14ac:dyDescent="0.15">
      <c r="A3181" s="9">
        <v>3180</v>
      </c>
      <c r="B3181" s="10" t="s">
        <v>9</v>
      </c>
      <c r="C3181" s="10" t="s">
        <v>363</v>
      </c>
      <c r="D3181" s="10" t="s">
        <v>364</v>
      </c>
      <c r="E3181" s="11" t="str">
        <f>+HYPERLINK("http://trademark.i-assist.jp/data/china/image_1902th/79344687.pdf", "79344687")</f>
        <v>79344687</v>
      </c>
      <c r="F3181" s="10" t="s">
        <v>8856</v>
      </c>
      <c r="G3181" s="10" t="s">
        <v>8857</v>
      </c>
      <c r="H3181" s="10" t="s">
        <v>8858</v>
      </c>
      <c r="I3181" s="10" t="s">
        <v>361</v>
      </c>
    </row>
    <row r="3182" spans="1:9" x14ac:dyDescent="0.15">
      <c r="A3182" s="9">
        <v>3181</v>
      </c>
      <c r="B3182" s="10" t="s">
        <v>9</v>
      </c>
      <c r="C3182" s="10" t="s">
        <v>363</v>
      </c>
      <c r="D3182" s="10" t="s">
        <v>364</v>
      </c>
      <c r="E3182" s="11" t="str">
        <f>+HYPERLINK("http://trademark.i-assist.jp/data/china/image_1902th/79344787.pdf", "79344787")</f>
        <v>79344787</v>
      </c>
      <c r="F3182" s="10" t="s">
        <v>8859</v>
      </c>
      <c r="G3182" s="10" t="s">
        <v>8860</v>
      </c>
      <c r="H3182" s="10" t="s">
        <v>8861</v>
      </c>
      <c r="I3182" s="10" t="s">
        <v>361</v>
      </c>
    </row>
    <row r="3183" spans="1:9" x14ac:dyDescent="0.15">
      <c r="A3183" s="9">
        <v>3182</v>
      </c>
      <c r="B3183" s="10" t="s">
        <v>9</v>
      </c>
      <c r="C3183" s="10" t="s">
        <v>363</v>
      </c>
      <c r="D3183" s="10" t="s">
        <v>364</v>
      </c>
      <c r="E3183" s="11" t="str">
        <f>+HYPERLINK("http://trademark.i-assist.jp/data/china/image_1902th/79344916.pdf", "79344916")</f>
        <v>79344916</v>
      </c>
      <c r="F3183" s="10" t="s">
        <v>12</v>
      </c>
      <c r="G3183" s="10" t="s">
        <v>8647</v>
      </c>
      <c r="H3183" s="10" t="s">
        <v>8862</v>
      </c>
      <c r="I3183" s="10" t="s">
        <v>361</v>
      </c>
    </row>
    <row r="3184" spans="1:9" x14ac:dyDescent="0.15">
      <c r="A3184" s="9">
        <v>3183</v>
      </c>
      <c r="B3184" s="10" t="s">
        <v>9</v>
      </c>
      <c r="C3184" s="10" t="s">
        <v>363</v>
      </c>
      <c r="D3184" s="10" t="s">
        <v>364</v>
      </c>
      <c r="E3184" s="11" t="str">
        <f>+HYPERLINK("http://trademark.i-assist.jp/data/china/image_1902th/79345060.pdf", "79345060")</f>
        <v>79345060</v>
      </c>
      <c r="F3184" s="10" t="s">
        <v>8863</v>
      </c>
      <c r="G3184" s="10" t="s">
        <v>8864</v>
      </c>
      <c r="H3184" s="10" t="s">
        <v>8865</v>
      </c>
      <c r="I3184" s="10" t="s">
        <v>361</v>
      </c>
    </row>
    <row r="3185" spans="1:9" x14ac:dyDescent="0.15">
      <c r="A3185" s="9">
        <v>3184</v>
      </c>
      <c r="B3185" s="10" t="s">
        <v>9</v>
      </c>
      <c r="C3185" s="10" t="s">
        <v>363</v>
      </c>
      <c r="D3185" s="10" t="s">
        <v>364</v>
      </c>
      <c r="E3185" s="11" t="str">
        <f>+HYPERLINK("http://trademark.i-assist.jp/data/china/image_1902th/79345625.pdf", "79345625")</f>
        <v>79345625</v>
      </c>
      <c r="F3185" s="10" t="s">
        <v>8866</v>
      </c>
      <c r="G3185" s="10" t="s">
        <v>8867</v>
      </c>
      <c r="H3185" s="10" t="s">
        <v>8868</v>
      </c>
      <c r="I3185" s="10" t="s">
        <v>361</v>
      </c>
    </row>
    <row r="3186" spans="1:9" x14ac:dyDescent="0.15">
      <c r="A3186" s="9">
        <v>3185</v>
      </c>
      <c r="B3186" s="10" t="s">
        <v>9</v>
      </c>
      <c r="C3186" s="10" t="s">
        <v>363</v>
      </c>
      <c r="D3186" s="10" t="s">
        <v>364</v>
      </c>
      <c r="E3186" s="11" t="str">
        <f>+HYPERLINK("http://trademark.i-assist.jp/data/china/image_1902th/79345961.pdf", "79345961")</f>
        <v>79345961</v>
      </c>
      <c r="F3186" s="10" t="s">
        <v>8869</v>
      </c>
      <c r="G3186" s="10" t="s">
        <v>242</v>
      </c>
      <c r="H3186" s="10" t="s">
        <v>8870</v>
      </c>
      <c r="I3186" s="10" t="s">
        <v>361</v>
      </c>
    </row>
    <row r="3187" spans="1:9" x14ac:dyDescent="0.15">
      <c r="A3187" s="9">
        <v>3186</v>
      </c>
      <c r="B3187" s="10" t="s">
        <v>9</v>
      </c>
      <c r="C3187" s="10" t="s">
        <v>363</v>
      </c>
      <c r="D3187" s="10" t="s">
        <v>364</v>
      </c>
      <c r="E3187" s="11" t="str">
        <f>+HYPERLINK("http://trademark.i-assist.jp/data/china/image_1902th/79346215.pdf", "79346215")</f>
        <v>79346215</v>
      </c>
      <c r="F3187" s="10" t="s">
        <v>8871</v>
      </c>
      <c r="G3187" s="10" t="s">
        <v>8872</v>
      </c>
      <c r="H3187" s="10" t="s">
        <v>8873</v>
      </c>
      <c r="I3187" s="10" t="s">
        <v>361</v>
      </c>
    </row>
    <row r="3188" spans="1:9" x14ac:dyDescent="0.15">
      <c r="A3188" s="9">
        <v>3187</v>
      </c>
      <c r="B3188" s="10" t="s">
        <v>9</v>
      </c>
      <c r="C3188" s="10" t="s">
        <v>363</v>
      </c>
      <c r="D3188" s="10" t="s">
        <v>364</v>
      </c>
      <c r="E3188" s="11" t="str">
        <f>+HYPERLINK("http://trademark.i-assist.jp/data/china/image_1902th/79346873.pdf", "79346873")</f>
        <v>79346873</v>
      </c>
      <c r="F3188" s="10" t="s">
        <v>8874</v>
      </c>
      <c r="G3188" s="10" t="s">
        <v>8875</v>
      </c>
      <c r="H3188" s="10" t="s">
        <v>8876</v>
      </c>
      <c r="I3188" s="10" t="s">
        <v>361</v>
      </c>
    </row>
    <row r="3189" spans="1:9" x14ac:dyDescent="0.15">
      <c r="A3189" s="9">
        <v>3188</v>
      </c>
      <c r="B3189" s="10" t="s">
        <v>9</v>
      </c>
      <c r="C3189" s="10" t="s">
        <v>363</v>
      </c>
      <c r="D3189" s="10" t="s">
        <v>364</v>
      </c>
      <c r="E3189" s="11" t="str">
        <f>+HYPERLINK("http://trademark.i-assist.jp/data/china/image_1902th/79347130.pdf", "79347130")</f>
        <v>79347130</v>
      </c>
      <c r="F3189" s="10" t="s">
        <v>8877</v>
      </c>
      <c r="G3189" s="10" t="s">
        <v>8878</v>
      </c>
      <c r="H3189" s="10" t="s">
        <v>8879</v>
      </c>
      <c r="I3189" s="10" t="s">
        <v>361</v>
      </c>
    </row>
    <row r="3190" spans="1:9" x14ac:dyDescent="0.15">
      <c r="A3190" s="9">
        <v>3189</v>
      </c>
      <c r="B3190" s="10" t="s">
        <v>9</v>
      </c>
      <c r="C3190" s="10" t="s">
        <v>363</v>
      </c>
      <c r="D3190" s="10" t="s">
        <v>364</v>
      </c>
      <c r="E3190" s="11" t="str">
        <f>+HYPERLINK("http://trademark.i-assist.jp/data/china/image_1902th/79347561.pdf", "79347561")</f>
        <v>79347561</v>
      </c>
      <c r="F3190" s="10" t="s">
        <v>8880</v>
      </c>
      <c r="G3190" s="10" t="s">
        <v>8881</v>
      </c>
      <c r="H3190" s="10" t="s">
        <v>8882</v>
      </c>
      <c r="I3190" s="10" t="s">
        <v>361</v>
      </c>
    </row>
    <row r="3191" spans="1:9" x14ac:dyDescent="0.15">
      <c r="A3191" s="9">
        <v>3190</v>
      </c>
      <c r="B3191" s="10" t="s">
        <v>9</v>
      </c>
      <c r="C3191" s="10" t="s">
        <v>363</v>
      </c>
      <c r="D3191" s="10" t="s">
        <v>364</v>
      </c>
      <c r="E3191" s="11" t="str">
        <f>+HYPERLINK("http://trademark.i-assist.jp/data/china/image_1902th/79347878.pdf", "79347878")</f>
        <v>79347878</v>
      </c>
      <c r="F3191" s="10" t="s">
        <v>8883</v>
      </c>
      <c r="G3191" s="10" t="s">
        <v>214</v>
      </c>
      <c r="H3191" s="10" t="s">
        <v>8884</v>
      </c>
      <c r="I3191" s="10" t="s">
        <v>361</v>
      </c>
    </row>
    <row r="3192" spans="1:9" x14ac:dyDescent="0.15">
      <c r="A3192" s="9">
        <v>3191</v>
      </c>
      <c r="B3192" s="10" t="s">
        <v>9</v>
      </c>
      <c r="C3192" s="10" t="s">
        <v>363</v>
      </c>
      <c r="D3192" s="10" t="s">
        <v>364</v>
      </c>
      <c r="E3192" s="11" t="str">
        <f>+HYPERLINK("http://trademark.i-assist.jp/data/china/image_1902th/79347952.pdf", "79347952")</f>
        <v>79347952</v>
      </c>
      <c r="F3192" s="10" t="s">
        <v>8885</v>
      </c>
      <c r="G3192" s="10" t="s">
        <v>8886</v>
      </c>
      <c r="H3192" s="10" t="s">
        <v>8887</v>
      </c>
      <c r="I3192" s="10" t="s">
        <v>361</v>
      </c>
    </row>
    <row r="3193" spans="1:9" x14ac:dyDescent="0.15">
      <c r="A3193" s="9">
        <v>3192</v>
      </c>
      <c r="B3193" s="10" t="s">
        <v>9</v>
      </c>
      <c r="C3193" s="10" t="s">
        <v>363</v>
      </c>
      <c r="D3193" s="10" t="s">
        <v>364</v>
      </c>
      <c r="E3193" s="11" t="str">
        <f>+HYPERLINK("http://trademark.i-assist.jp/data/china/image_1902th/79348092.pdf", "79348092")</f>
        <v>79348092</v>
      </c>
      <c r="F3193" s="10" t="s">
        <v>8888</v>
      </c>
      <c r="G3193" s="10" t="s">
        <v>8889</v>
      </c>
      <c r="H3193" s="10" t="s">
        <v>8890</v>
      </c>
      <c r="I3193" s="10" t="s">
        <v>361</v>
      </c>
    </row>
    <row r="3194" spans="1:9" x14ac:dyDescent="0.15">
      <c r="A3194" s="9">
        <v>3193</v>
      </c>
      <c r="B3194" s="10" t="s">
        <v>9</v>
      </c>
      <c r="C3194" s="10" t="s">
        <v>363</v>
      </c>
      <c r="D3194" s="10" t="s">
        <v>364</v>
      </c>
      <c r="E3194" s="11" t="str">
        <f>+HYPERLINK("http://trademark.i-assist.jp/data/china/image_1902th/79348148.pdf", "79348148")</f>
        <v>79348148</v>
      </c>
      <c r="F3194" s="10" t="s">
        <v>8891</v>
      </c>
      <c r="G3194" s="10" t="s">
        <v>8892</v>
      </c>
      <c r="H3194" s="10" t="s">
        <v>8893</v>
      </c>
      <c r="I3194" s="10" t="s">
        <v>361</v>
      </c>
    </row>
    <row r="3195" spans="1:9" x14ac:dyDescent="0.15">
      <c r="A3195" s="9">
        <v>3194</v>
      </c>
      <c r="B3195" s="10" t="s">
        <v>9</v>
      </c>
      <c r="C3195" s="10" t="s">
        <v>363</v>
      </c>
      <c r="D3195" s="10" t="s">
        <v>364</v>
      </c>
      <c r="E3195" s="11" t="str">
        <f>+HYPERLINK("http://trademark.i-assist.jp/data/china/image_1902th/79348220.pdf", "79348220")</f>
        <v>79348220</v>
      </c>
      <c r="F3195" s="10" t="s">
        <v>8894</v>
      </c>
      <c r="G3195" s="10" t="s">
        <v>8895</v>
      </c>
      <c r="H3195" s="10" t="s">
        <v>8896</v>
      </c>
      <c r="I3195" s="10" t="s">
        <v>361</v>
      </c>
    </row>
    <row r="3196" spans="1:9" x14ac:dyDescent="0.15">
      <c r="A3196" s="9">
        <v>3195</v>
      </c>
      <c r="B3196" s="10" t="s">
        <v>9</v>
      </c>
      <c r="C3196" s="10" t="s">
        <v>363</v>
      </c>
      <c r="D3196" s="10" t="s">
        <v>364</v>
      </c>
      <c r="E3196" s="11" t="str">
        <f>+HYPERLINK("http://trademark.i-assist.jp/data/china/image_1902th/79348285.pdf", "79348285")</f>
        <v>79348285</v>
      </c>
      <c r="F3196" s="10" t="s">
        <v>8897</v>
      </c>
      <c r="G3196" s="10" t="s">
        <v>8898</v>
      </c>
      <c r="H3196" s="10" t="s">
        <v>8899</v>
      </c>
      <c r="I3196" s="10" t="s">
        <v>361</v>
      </c>
    </row>
    <row r="3197" spans="1:9" x14ac:dyDescent="0.15">
      <c r="A3197" s="9">
        <v>3196</v>
      </c>
      <c r="B3197" s="10" t="s">
        <v>9</v>
      </c>
      <c r="C3197" s="10" t="s">
        <v>363</v>
      </c>
      <c r="D3197" s="10" t="s">
        <v>364</v>
      </c>
      <c r="E3197" s="11" t="str">
        <f>+HYPERLINK("http://trademark.i-assist.jp/data/china/image_1902th/79348478.pdf", "79348478")</f>
        <v>79348478</v>
      </c>
      <c r="F3197" s="10" t="s">
        <v>8900</v>
      </c>
      <c r="G3197" s="10" t="s">
        <v>8867</v>
      </c>
      <c r="H3197" s="10" t="s">
        <v>8901</v>
      </c>
      <c r="I3197" s="10" t="s">
        <v>361</v>
      </c>
    </row>
    <row r="3198" spans="1:9" x14ac:dyDescent="0.15">
      <c r="A3198" s="9">
        <v>3197</v>
      </c>
      <c r="B3198" s="10" t="s">
        <v>9</v>
      </c>
      <c r="C3198" s="10" t="s">
        <v>363</v>
      </c>
      <c r="D3198" s="10" t="s">
        <v>364</v>
      </c>
      <c r="E3198" s="11" t="str">
        <f>+HYPERLINK("http://trademark.i-assist.jp/data/china/image_1902th/79348786.pdf", "79348786")</f>
        <v>79348786</v>
      </c>
      <c r="F3198" s="10" t="s">
        <v>8902</v>
      </c>
      <c r="G3198" s="10" t="s">
        <v>8903</v>
      </c>
      <c r="H3198" s="10" t="s">
        <v>8904</v>
      </c>
      <c r="I3198" s="10" t="s">
        <v>361</v>
      </c>
    </row>
    <row r="3199" spans="1:9" x14ac:dyDescent="0.15">
      <c r="A3199" s="9">
        <v>3198</v>
      </c>
      <c r="B3199" s="10" t="s">
        <v>9</v>
      </c>
      <c r="C3199" s="10" t="s">
        <v>363</v>
      </c>
      <c r="D3199" s="10" t="s">
        <v>364</v>
      </c>
      <c r="E3199" s="11" t="str">
        <f>+HYPERLINK("http://trademark.i-assist.jp/data/china/image_1902th/79348940.pdf", "79348940")</f>
        <v>79348940</v>
      </c>
      <c r="F3199" s="10" t="s">
        <v>8905</v>
      </c>
      <c r="G3199" s="10" t="s">
        <v>8906</v>
      </c>
      <c r="H3199" s="10" t="s">
        <v>8907</v>
      </c>
      <c r="I3199" s="10" t="s">
        <v>361</v>
      </c>
    </row>
    <row r="3200" spans="1:9" x14ac:dyDescent="0.15">
      <c r="A3200" s="9">
        <v>3199</v>
      </c>
      <c r="B3200" s="10" t="s">
        <v>9</v>
      </c>
      <c r="C3200" s="10" t="s">
        <v>363</v>
      </c>
      <c r="D3200" s="10" t="s">
        <v>364</v>
      </c>
      <c r="E3200" s="11" t="str">
        <f>+HYPERLINK("http://trademark.i-assist.jp/data/china/image_1902th/79349106.pdf", "79349106")</f>
        <v>79349106</v>
      </c>
      <c r="F3200" s="10" t="s">
        <v>8908</v>
      </c>
      <c r="G3200" s="10" t="s">
        <v>8650</v>
      </c>
      <c r="H3200" s="10" t="s">
        <v>8909</v>
      </c>
      <c r="I3200" s="10" t="s">
        <v>361</v>
      </c>
    </row>
    <row r="3201" spans="1:9" x14ac:dyDescent="0.15">
      <c r="A3201" s="9">
        <v>3200</v>
      </c>
      <c r="B3201" s="10" t="s">
        <v>9</v>
      </c>
      <c r="C3201" s="10" t="s">
        <v>363</v>
      </c>
      <c r="D3201" s="10" t="s">
        <v>364</v>
      </c>
      <c r="E3201" s="11" t="str">
        <f>+HYPERLINK("http://trademark.i-assist.jp/data/china/image_1902th/79349115.pdf", "79349115")</f>
        <v>79349115</v>
      </c>
      <c r="F3201" s="10" t="s">
        <v>8910</v>
      </c>
      <c r="G3201" s="10" t="s">
        <v>8843</v>
      </c>
      <c r="H3201" s="10" t="s">
        <v>8911</v>
      </c>
      <c r="I3201" s="10" t="s">
        <v>361</v>
      </c>
    </row>
    <row r="3202" spans="1:9" x14ac:dyDescent="0.15">
      <c r="A3202" s="9">
        <v>3201</v>
      </c>
      <c r="B3202" s="10" t="s">
        <v>9</v>
      </c>
      <c r="C3202" s="10" t="s">
        <v>363</v>
      </c>
      <c r="D3202" s="10" t="s">
        <v>364</v>
      </c>
      <c r="E3202" s="11" t="str">
        <f>+HYPERLINK("http://trademark.i-assist.jp/data/china/image_1902th/79349338.pdf", "79349338")</f>
        <v>79349338</v>
      </c>
      <c r="F3202" s="10" t="s">
        <v>8912</v>
      </c>
      <c r="G3202" s="10" t="s">
        <v>8913</v>
      </c>
      <c r="H3202" s="10" t="s">
        <v>8914</v>
      </c>
      <c r="I3202" s="10" t="s">
        <v>8915</v>
      </c>
    </row>
    <row r="3203" spans="1:9" x14ac:dyDescent="0.15">
      <c r="A3203" s="9">
        <v>3202</v>
      </c>
      <c r="B3203" s="10" t="s">
        <v>9</v>
      </c>
      <c r="C3203" s="10" t="s">
        <v>363</v>
      </c>
      <c r="D3203" s="10" t="s">
        <v>364</v>
      </c>
      <c r="E3203" s="11" t="str">
        <f>+HYPERLINK("http://trademark.i-assist.jp/data/china/image_1902th/79349453.pdf", "79349453")</f>
        <v>79349453</v>
      </c>
      <c r="F3203" s="10" t="s">
        <v>8916</v>
      </c>
      <c r="G3203" s="10" t="s">
        <v>8917</v>
      </c>
      <c r="H3203" s="10" t="s">
        <v>8918</v>
      </c>
      <c r="I3203" s="10" t="s">
        <v>8915</v>
      </c>
    </row>
    <row r="3204" spans="1:9" x14ac:dyDescent="0.15">
      <c r="A3204" s="9">
        <v>3203</v>
      </c>
      <c r="B3204" s="10" t="s">
        <v>9</v>
      </c>
      <c r="C3204" s="10" t="s">
        <v>363</v>
      </c>
      <c r="D3204" s="10" t="s">
        <v>364</v>
      </c>
      <c r="E3204" s="11" t="str">
        <f>+HYPERLINK("http://trademark.i-assist.jp/data/china/image_1902th/79349745.pdf", "79349745")</f>
        <v>79349745</v>
      </c>
      <c r="F3204" s="10" t="s">
        <v>8919</v>
      </c>
      <c r="G3204" s="10" t="s">
        <v>8920</v>
      </c>
      <c r="H3204" s="10" t="s">
        <v>8921</v>
      </c>
      <c r="I3204" s="10" t="s">
        <v>8915</v>
      </c>
    </row>
    <row r="3205" spans="1:9" x14ac:dyDescent="0.15">
      <c r="A3205" s="9">
        <v>3204</v>
      </c>
      <c r="B3205" s="10" t="s">
        <v>9</v>
      </c>
      <c r="C3205" s="10" t="s">
        <v>363</v>
      </c>
      <c r="D3205" s="10" t="s">
        <v>364</v>
      </c>
      <c r="E3205" s="11" t="str">
        <f>+HYPERLINK("http://trademark.i-assist.jp/data/china/image_1902th/79349819.pdf", "79349819")</f>
        <v>79349819</v>
      </c>
      <c r="F3205" s="10" t="s">
        <v>8922</v>
      </c>
      <c r="G3205" s="10" t="s">
        <v>8923</v>
      </c>
      <c r="H3205" s="10" t="s">
        <v>8924</v>
      </c>
      <c r="I3205" s="10" t="s">
        <v>8915</v>
      </c>
    </row>
    <row r="3206" spans="1:9" x14ac:dyDescent="0.15">
      <c r="A3206" s="9">
        <v>3205</v>
      </c>
      <c r="B3206" s="10" t="s">
        <v>9</v>
      </c>
      <c r="C3206" s="10" t="s">
        <v>363</v>
      </c>
      <c r="D3206" s="10" t="s">
        <v>364</v>
      </c>
      <c r="E3206" s="11" t="str">
        <f>+HYPERLINK("http://trademark.i-assist.jp/data/china/image_1902th/79349988.pdf", "79349988")</f>
        <v>79349988</v>
      </c>
      <c r="F3206" s="10" t="s">
        <v>8925</v>
      </c>
      <c r="G3206" s="10" t="s">
        <v>8926</v>
      </c>
      <c r="H3206" s="10" t="s">
        <v>8927</v>
      </c>
      <c r="I3206" s="10" t="s">
        <v>8915</v>
      </c>
    </row>
    <row r="3207" spans="1:9" x14ac:dyDescent="0.15">
      <c r="A3207" s="9">
        <v>3206</v>
      </c>
      <c r="B3207" s="10" t="s">
        <v>9</v>
      </c>
      <c r="C3207" s="10" t="s">
        <v>363</v>
      </c>
      <c r="D3207" s="10" t="s">
        <v>364</v>
      </c>
      <c r="E3207" s="11" t="str">
        <f>+HYPERLINK("http://trademark.i-assist.jp/data/china/image_1902th/79350165.pdf", "79350165")</f>
        <v>79350165</v>
      </c>
      <c r="F3207" s="10" t="s">
        <v>8928</v>
      </c>
      <c r="G3207" s="10" t="s">
        <v>8929</v>
      </c>
      <c r="H3207" s="10" t="s">
        <v>8930</v>
      </c>
      <c r="I3207" s="10" t="s">
        <v>8915</v>
      </c>
    </row>
    <row r="3208" spans="1:9" x14ac:dyDescent="0.15">
      <c r="A3208" s="9">
        <v>3207</v>
      </c>
      <c r="B3208" s="10" t="s">
        <v>9</v>
      </c>
      <c r="C3208" s="10" t="s">
        <v>363</v>
      </c>
      <c r="D3208" s="10" t="s">
        <v>364</v>
      </c>
      <c r="E3208" s="11" t="str">
        <f>+HYPERLINK("http://trademark.i-assist.jp/data/china/image_1902th/79350536.pdf", "79350536")</f>
        <v>79350536</v>
      </c>
      <c r="F3208" s="10" t="s">
        <v>8931</v>
      </c>
      <c r="G3208" s="10" t="s">
        <v>8932</v>
      </c>
      <c r="H3208" s="10" t="s">
        <v>8933</v>
      </c>
      <c r="I3208" s="10" t="s">
        <v>8915</v>
      </c>
    </row>
    <row r="3209" spans="1:9" x14ac:dyDescent="0.15">
      <c r="A3209" s="9">
        <v>3208</v>
      </c>
      <c r="B3209" s="10" t="s">
        <v>9</v>
      </c>
      <c r="C3209" s="10" t="s">
        <v>363</v>
      </c>
      <c r="D3209" s="10" t="s">
        <v>364</v>
      </c>
      <c r="E3209" s="11" t="str">
        <f>+HYPERLINK("http://trademark.i-assist.jp/data/china/image_1902th/79350783.pdf", "79350783")</f>
        <v>79350783</v>
      </c>
      <c r="F3209" s="10" t="s">
        <v>8934</v>
      </c>
      <c r="G3209" s="10" t="s">
        <v>8935</v>
      </c>
      <c r="H3209" s="10" t="s">
        <v>8936</v>
      </c>
      <c r="I3209" s="10" t="s">
        <v>8915</v>
      </c>
    </row>
    <row r="3210" spans="1:9" x14ac:dyDescent="0.15">
      <c r="A3210" s="9">
        <v>3209</v>
      </c>
      <c r="B3210" s="10" t="s">
        <v>9</v>
      </c>
      <c r="C3210" s="10" t="s">
        <v>363</v>
      </c>
      <c r="D3210" s="10" t="s">
        <v>364</v>
      </c>
      <c r="E3210" s="11" t="str">
        <f>+HYPERLINK("http://trademark.i-assist.jp/data/china/image_1902th/79351139.pdf", "79351139")</f>
        <v>79351139</v>
      </c>
      <c r="F3210" s="10" t="s">
        <v>8937</v>
      </c>
      <c r="G3210" s="10" t="s">
        <v>8938</v>
      </c>
      <c r="H3210" s="10" t="s">
        <v>8939</v>
      </c>
      <c r="I3210" s="10" t="s">
        <v>8915</v>
      </c>
    </row>
    <row r="3211" spans="1:9" x14ac:dyDescent="0.15">
      <c r="A3211" s="9">
        <v>3210</v>
      </c>
      <c r="B3211" s="10" t="s">
        <v>9</v>
      </c>
      <c r="C3211" s="10" t="s">
        <v>363</v>
      </c>
      <c r="D3211" s="10" t="s">
        <v>364</v>
      </c>
      <c r="E3211" s="11" t="str">
        <f>+HYPERLINK("http://trademark.i-assist.jp/data/china/image_1902th/79352669.pdf", "79352669")</f>
        <v>79352669</v>
      </c>
      <c r="F3211" s="10" t="s">
        <v>8940</v>
      </c>
      <c r="G3211" s="10" t="s">
        <v>8941</v>
      </c>
      <c r="H3211" s="10" t="s">
        <v>8942</v>
      </c>
      <c r="I3211" s="10" t="s">
        <v>8915</v>
      </c>
    </row>
    <row r="3212" spans="1:9" x14ac:dyDescent="0.15">
      <c r="A3212" s="9">
        <v>3211</v>
      </c>
      <c r="B3212" s="10" t="s">
        <v>9</v>
      </c>
      <c r="C3212" s="10" t="s">
        <v>363</v>
      </c>
      <c r="D3212" s="10" t="s">
        <v>364</v>
      </c>
      <c r="E3212" s="11" t="str">
        <f>+HYPERLINK("http://trademark.i-assist.jp/data/china/image_1902th/79352710.pdf", "79352710")</f>
        <v>79352710</v>
      </c>
      <c r="F3212" s="10" t="s">
        <v>8943</v>
      </c>
      <c r="G3212" s="10" t="s">
        <v>8944</v>
      </c>
      <c r="H3212" s="10" t="s">
        <v>8945</v>
      </c>
      <c r="I3212" s="10" t="s">
        <v>8915</v>
      </c>
    </row>
    <row r="3213" spans="1:9" x14ac:dyDescent="0.15">
      <c r="A3213" s="9">
        <v>3212</v>
      </c>
      <c r="B3213" s="10" t="s">
        <v>9</v>
      </c>
      <c r="C3213" s="10" t="s">
        <v>363</v>
      </c>
      <c r="D3213" s="10" t="s">
        <v>364</v>
      </c>
      <c r="E3213" s="11" t="str">
        <f>+HYPERLINK("http://trademark.i-assist.jp/data/china/image_1902th/79353331.pdf", "79353331")</f>
        <v>79353331</v>
      </c>
      <c r="F3213" s="10" t="s">
        <v>8946</v>
      </c>
      <c r="G3213" s="10" t="s">
        <v>8947</v>
      </c>
      <c r="H3213" s="10" t="s">
        <v>8948</v>
      </c>
      <c r="I3213" s="10" t="s">
        <v>8915</v>
      </c>
    </row>
    <row r="3214" spans="1:9" x14ac:dyDescent="0.15">
      <c r="A3214" s="9">
        <v>3213</v>
      </c>
      <c r="B3214" s="10" t="s">
        <v>9</v>
      </c>
      <c r="C3214" s="10" t="s">
        <v>363</v>
      </c>
      <c r="D3214" s="10" t="s">
        <v>364</v>
      </c>
      <c r="E3214" s="11" t="str">
        <f>+HYPERLINK("http://trademark.i-assist.jp/data/china/image_1902th/79353777.pdf", "79353777")</f>
        <v>79353777</v>
      </c>
      <c r="F3214" s="10" t="s">
        <v>8949</v>
      </c>
      <c r="G3214" s="10" t="s">
        <v>8950</v>
      </c>
      <c r="H3214" s="10" t="s">
        <v>8951</v>
      </c>
      <c r="I3214" s="10" t="s">
        <v>8915</v>
      </c>
    </row>
    <row r="3215" spans="1:9" x14ac:dyDescent="0.15">
      <c r="A3215" s="9">
        <v>3214</v>
      </c>
      <c r="B3215" s="10" t="s">
        <v>9</v>
      </c>
      <c r="C3215" s="10" t="s">
        <v>363</v>
      </c>
      <c r="D3215" s="10" t="s">
        <v>364</v>
      </c>
      <c r="E3215" s="11" t="str">
        <f>+HYPERLINK("http://trademark.i-assist.jp/data/china/image_1902th/79353851.pdf", "79353851")</f>
        <v>79353851</v>
      </c>
      <c r="F3215" s="10" t="s">
        <v>8952</v>
      </c>
      <c r="G3215" s="10" t="s">
        <v>8953</v>
      </c>
      <c r="H3215" s="10" t="s">
        <v>8954</v>
      </c>
      <c r="I3215" s="10" t="s">
        <v>8915</v>
      </c>
    </row>
    <row r="3216" spans="1:9" x14ac:dyDescent="0.15">
      <c r="A3216" s="9">
        <v>3215</v>
      </c>
      <c r="B3216" s="10" t="s">
        <v>9</v>
      </c>
      <c r="C3216" s="10" t="s">
        <v>363</v>
      </c>
      <c r="D3216" s="10" t="s">
        <v>364</v>
      </c>
      <c r="E3216" s="11" t="str">
        <f>+HYPERLINK("http://trademark.i-assist.jp/data/china/image_1902th/79354302.pdf", "79354302")</f>
        <v>79354302</v>
      </c>
      <c r="F3216" s="10" t="s">
        <v>8955</v>
      </c>
      <c r="G3216" s="10" t="s">
        <v>8956</v>
      </c>
      <c r="H3216" s="10" t="s">
        <v>8957</v>
      </c>
      <c r="I3216" s="10" t="s">
        <v>8915</v>
      </c>
    </row>
    <row r="3217" spans="1:9" x14ac:dyDescent="0.15">
      <c r="A3217" s="9">
        <v>3216</v>
      </c>
      <c r="B3217" s="10" t="s">
        <v>9</v>
      </c>
      <c r="C3217" s="10" t="s">
        <v>363</v>
      </c>
      <c r="D3217" s="10" t="s">
        <v>364</v>
      </c>
      <c r="E3217" s="11" t="str">
        <f>+HYPERLINK("http://trademark.i-assist.jp/data/china/image_1902th/79354424.pdf", "79354424")</f>
        <v>79354424</v>
      </c>
      <c r="F3217" s="10" t="s">
        <v>8958</v>
      </c>
      <c r="G3217" s="10" t="s">
        <v>8959</v>
      </c>
      <c r="H3217" s="10" t="s">
        <v>8960</v>
      </c>
      <c r="I3217" s="10" t="s">
        <v>8915</v>
      </c>
    </row>
    <row r="3218" spans="1:9" x14ac:dyDescent="0.15">
      <c r="A3218" s="9">
        <v>3217</v>
      </c>
      <c r="B3218" s="10" t="s">
        <v>9</v>
      </c>
      <c r="C3218" s="10" t="s">
        <v>363</v>
      </c>
      <c r="D3218" s="10" t="s">
        <v>364</v>
      </c>
      <c r="E3218" s="11" t="str">
        <f>+HYPERLINK("http://trademark.i-assist.jp/data/china/image_1902th/79354451.pdf", "79354451")</f>
        <v>79354451</v>
      </c>
      <c r="F3218" s="10" t="s">
        <v>12</v>
      </c>
      <c r="G3218" s="10" t="s">
        <v>8961</v>
      </c>
      <c r="H3218" s="10" t="s">
        <v>8962</v>
      </c>
      <c r="I3218" s="10" t="s">
        <v>8915</v>
      </c>
    </row>
    <row r="3219" spans="1:9" x14ac:dyDescent="0.15">
      <c r="A3219" s="9">
        <v>3218</v>
      </c>
      <c r="B3219" s="10" t="s">
        <v>9</v>
      </c>
      <c r="C3219" s="10" t="s">
        <v>363</v>
      </c>
      <c r="D3219" s="10" t="s">
        <v>364</v>
      </c>
      <c r="E3219" s="11" t="str">
        <f>+HYPERLINK("http://trademark.i-assist.jp/data/china/image_1902th/79354825.pdf", "79354825")</f>
        <v>79354825</v>
      </c>
      <c r="F3219" s="10" t="s">
        <v>8963</v>
      </c>
      <c r="G3219" s="10" t="s">
        <v>8964</v>
      </c>
      <c r="H3219" s="10" t="s">
        <v>8965</v>
      </c>
      <c r="I3219" s="10" t="s">
        <v>8915</v>
      </c>
    </row>
    <row r="3220" spans="1:9" x14ac:dyDescent="0.15">
      <c r="A3220" s="9">
        <v>3219</v>
      </c>
      <c r="B3220" s="10" t="s">
        <v>9</v>
      </c>
      <c r="C3220" s="10" t="s">
        <v>363</v>
      </c>
      <c r="D3220" s="10" t="s">
        <v>364</v>
      </c>
      <c r="E3220" s="11" t="str">
        <f>+HYPERLINK("http://trademark.i-assist.jp/data/china/image_1902th/79354886.pdf", "79354886")</f>
        <v>79354886</v>
      </c>
      <c r="F3220" s="10" t="s">
        <v>8966</v>
      </c>
      <c r="G3220" s="10" t="s">
        <v>8967</v>
      </c>
      <c r="H3220" s="10" t="s">
        <v>8968</v>
      </c>
      <c r="I3220" s="10" t="s">
        <v>8915</v>
      </c>
    </row>
    <row r="3221" spans="1:9" x14ac:dyDescent="0.15">
      <c r="A3221" s="9">
        <v>3220</v>
      </c>
      <c r="B3221" s="10" t="s">
        <v>9</v>
      </c>
      <c r="C3221" s="10" t="s">
        <v>363</v>
      </c>
      <c r="D3221" s="10" t="s">
        <v>364</v>
      </c>
      <c r="E3221" s="11" t="str">
        <f>+HYPERLINK("http://trademark.i-assist.jp/data/china/image_1902th/79355026.pdf", "79355026")</f>
        <v>79355026</v>
      </c>
      <c r="F3221" s="10" t="s">
        <v>8969</v>
      </c>
      <c r="G3221" s="10" t="s">
        <v>8970</v>
      </c>
      <c r="H3221" s="10" t="s">
        <v>8971</v>
      </c>
      <c r="I3221" s="10" t="s">
        <v>8915</v>
      </c>
    </row>
    <row r="3222" spans="1:9" x14ac:dyDescent="0.15">
      <c r="A3222" s="9">
        <v>3221</v>
      </c>
      <c r="B3222" s="10" t="s">
        <v>9</v>
      </c>
      <c r="C3222" s="10" t="s">
        <v>363</v>
      </c>
      <c r="D3222" s="10" t="s">
        <v>364</v>
      </c>
      <c r="E3222" s="11" t="str">
        <f>+HYPERLINK("http://trademark.i-assist.jp/data/china/image_1902th/79355149.pdf", "79355149")</f>
        <v>79355149</v>
      </c>
      <c r="F3222" s="10" t="s">
        <v>8972</v>
      </c>
      <c r="G3222" s="10" t="s">
        <v>8973</v>
      </c>
      <c r="H3222" s="10" t="s">
        <v>8974</v>
      </c>
      <c r="I3222" s="10" t="s">
        <v>8915</v>
      </c>
    </row>
    <row r="3223" spans="1:9" x14ac:dyDescent="0.15">
      <c r="A3223" s="9">
        <v>3222</v>
      </c>
      <c r="B3223" s="10" t="s">
        <v>9</v>
      </c>
      <c r="C3223" s="10" t="s">
        <v>363</v>
      </c>
      <c r="D3223" s="10" t="s">
        <v>364</v>
      </c>
      <c r="E3223" s="11" t="str">
        <f>+HYPERLINK("http://trademark.i-assist.jp/data/china/image_1902th/79355262.pdf", "79355262")</f>
        <v>79355262</v>
      </c>
      <c r="F3223" s="10" t="s">
        <v>8975</v>
      </c>
      <c r="G3223" s="10" t="s">
        <v>8976</v>
      </c>
      <c r="H3223" s="10" t="s">
        <v>8977</v>
      </c>
      <c r="I3223" s="10" t="s">
        <v>8915</v>
      </c>
    </row>
    <row r="3224" spans="1:9" x14ac:dyDescent="0.15">
      <c r="A3224" s="9">
        <v>3223</v>
      </c>
      <c r="B3224" s="10" t="s">
        <v>9</v>
      </c>
      <c r="C3224" s="10" t="s">
        <v>363</v>
      </c>
      <c r="D3224" s="10" t="s">
        <v>364</v>
      </c>
      <c r="E3224" s="11" t="str">
        <f>+HYPERLINK("http://trademark.i-assist.jp/data/china/image_1902th/79355263.pdf", "79355263")</f>
        <v>79355263</v>
      </c>
      <c r="F3224" s="10" t="s">
        <v>8978</v>
      </c>
      <c r="G3224" s="10" t="s">
        <v>8979</v>
      </c>
      <c r="H3224" s="10" t="s">
        <v>8980</v>
      </c>
      <c r="I3224" s="10" t="s">
        <v>8915</v>
      </c>
    </row>
    <row r="3225" spans="1:9" x14ac:dyDescent="0.15">
      <c r="A3225" s="9">
        <v>3224</v>
      </c>
      <c r="B3225" s="10" t="s">
        <v>9</v>
      </c>
      <c r="C3225" s="10" t="s">
        <v>363</v>
      </c>
      <c r="D3225" s="10" t="s">
        <v>364</v>
      </c>
      <c r="E3225" s="11" t="str">
        <f>+HYPERLINK("http://trademark.i-assist.jp/data/china/image_1902th/79355784.pdf", "79355784")</f>
        <v>79355784</v>
      </c>
      <c r="F3225" s="10" t="s">
        <v>8981</v>
      </c>
      <c r="G3225" s="10" t="s">
        <v>8982</v>
      </c>
      <c r="H3225" s="10" t="s">
        <v>8983</v>
      </c>
      <c r="I3225" s="10" t="s">
        <v>8915</v>
      </c>
    </row>
    <row r="3226" spans="1:9" x14ac:dyDescent="0.15">
      <c r="A3226" s="9">
        <v>3225</v>
      </c>
      <c r="B3226" s="10" t="s">
        <v>9</v>
      </c>
      <c r="C3226" s="10" t="s">
        <v>363</v>
      </c>
      <c r="D3226" s="10" t="s">
        <v>364</v>
      </c>
      <c r="E3226" s="11" t="str">
        <f>+HYPERLINK("http://trademark.i-assist.jp/data/china/image_1902th/79356286.pdf", "79356286")</f>
        <v>79356286</v>
      </c>
      <c r="F3226" s="10" t="s">
        <v>8984</v>
      </c>
      <c r="G3226" s="10" t="s">
        <v>8985</v>
      </c>
      <c r="H3226" s="10" t="s">
        <v>8986</v>
      </c>
      <c r="I3226" s="10" t="s">
        <v>8915</v>
      </c>
    </row>
    <row r="3227" spans="1:9" x14ac:dyDescent="0.15">
      <c r="A3227" s="9">
        <v>3226</v>
      </c>
      <c r="B3227" s="10" t="s">
        <v>9</v>
      </c>
      <c r="C3227" s="10" t="s">
        <v>363</v>
      </c>
      <c r="D3227" s="10" t="s">
        <v>364</v>
      </c>
      <c r="E3227" s="11" t="str">
        <f>+HYPERLINK("http://trademark.i-assist.jp/data/china/image_1902th/79356499.pdf", "79356499")</f>
        <v>79356499</v>
      </c>
      <c r="F3227" s="10" t="s">
        <v>8987</v>
      </c>
      <c r="G3227" s="10" t="s">
        <v>8988</v>
      </c>
      <c r="H3227" s="10" t="s">
        <v>8989</v>
      </c>
      <c r="I3227" s="10" t="s">
        <v>8915</v>
      </c>
    </row>
    <row r="3228" spans="1:9" x14ac:dyDescent="0.15">
      <c r="A3228" s="9">
        <v>3227</v>
      </c>
      <c r="B3228" s="10" t="s">
        <v>9</v>
      </c>
      <c r="C3228" s="10" t="s">
        <v>363</v>
      </c>
      <c r="D3228" s="10" t="s">
        <v>364</v>
      </c>
      <c r="E3228" s="11" t="str">
        <f>+HYPERLINK("http://trademark.i-assist.jp/data/china/image_1902th/79357029.pdf", "79357029")</f>
        <v>79357029</v>
      </c>
      <c r="F3228" s="10" t="s">
        <v>8990</v>
      </c>
      <c r="G3228" s="10" t="s">
        <v>8961</v>
      </c>
      <c r="H3228" s="10" t="s">
        <v>8991</v>
      </c>
      <c r="I3228" s="10" t="s">
        <v>8915</v>
      </c>
    </row>
    <row r="3229" spans="1:9" x14ac:dyDescent="0.15">
      <c r="A3229" s="9">
        <v>3228</v>
      </c>
      <c r="B3229" s="10" t="s">
        <v>9</v>
      </c>
      <c r="C3229" s="10" t="s">
        <v>363</v>
      </c>
      <c r="D3229" s="10" t="s">
        <v>364</v>
      </c>
      <c r="E3229" s="11" t="str">
        <f>+HYPERLINK("http://trademark.i-assist.jp/data/china/image_1902th/79357090.pdf", "79357090")</f>
        <v>79357090</v>
      </c>
      <c r="F3229" s="10" t="s">
        <v>8992</v>
      </c>
      <c r="G3229" s="10" t="s">
        <v>8993</v>
      </c>
      <c r="H3229" s="10" t="s">
        <v>8994</v>
      </c>
      <c r="I3229" s="10" t="s">
        <v>8915</v>
      </c>
    </row>
    <row r="3230" spans="1:9" x14ac:dyDescent="0.15">
      <c r="A3230" s="9">
        <v>3229</v>
      </c>
      <c r="B3230" s="10" t="s">
        <v>9</v>
      </c>
      <c r="C3230" s="10" t="s">
        <v>363</v>
      </c>
      <c r="D3230" s="10" t="s">
        <v>364</v>
      </c>
      <c r="E3230" s="11" t="str">
        <f>+HYPERLINK("http://trademark.i-assist.jp/data/china/image_1902th/79357196.pdf", "79357196")</f>
        <v>79357196</v>
      </c>
      <c r="F3230" s="10" t="s">
        <v>8995</v>
      </c>
      <c r="G3230" s="10" t="s">
        <v>8996</v>
      </c>
      <c r="H3230" s="10" t="s">
        <v>8997</v>
      </c>
      <c r="I3230" s="10" t="s">
        <v>8915</v>
      </c>
    </row>
    <row r="3231" spans="1:9" x14ac:dyDescent="0.15">
      <c r="A3231" s="9">
        <v>3230</v>
      </c>
      <c r="B3231" s="10" t="s">
        <v>9</v>
      </c>
      <c r="C3231" s="10" t="s">
        <v>363</v>
      </c>
      <c r="D3231" s="10" t="s">
        <v>364</v>
      </c>
      <c r="E3231" s="11" t="str">
        <f>+HYPERLINK("http://trademark.i-assist.jp/data/china/image_1902th/79357837.pdf", "79357837")</f>
        <v>79357837</v>
      </c>
      <c r="F3231" s="10" t="s">
        <v>8998</v>
      </c>
      <c r="G3231" s="10" t="s">
        <v>8999</v>
      </c>
      <c r="H3231" s="10" t="s">
        <v>9000</v>
      </c>
      <c r="I3231" s="10" t="s">
        <v>8915</v>
      </c>
    </row>
    <row r="3232" spans="1:9" x14ac:dyDescent="0.15">
      <c r="A3232" s="9">
        <v>3231</v>
      </c>
      <c r="B3232" s="10" t="s">
        <v>9</v>
      </c>
      <c r="C3232" s="10" t="s">
        <v>363</v>
      </c>
      <c r="D3232" s="10" t="s">
        <v>364</v>
      </c>
      <c r="E3232" s="11" t="str">
        <f>+HYPERLINK("http://trademark.i-assist.jp/data/china/image_1902th/79357971.pdf", "79357971")</f>
        <v>79357971</v>
      </c>
      <c r="F3232" s="10" t="s">
        <v>9001</v>
      </c>
      <c r="G3232" s="10" t="s">
        <v>9002</v>
      </c>
      <c r="H3232" s="10" t="s">
        <v>9003</v>
      </c>
      <c r="I3232" s="10" t="s">
        <v>8915</v>
      </c>
    </row>
    <row r="3233" spans="1:9" x14ac:dyDescent="0.15">
      <c r="A3233" s="9">
        <v>3232</v>
      </c>
      <c r="B3233" s="10" t="s">
        <v>9</v>
      </c>
      <c r="C3233" s="10" t="s">
        <v>363</v>
      </c>
      <c r="D3233" s="10" t="s">
        <v>364</v>
      </c>
      <c r="E3233" s="11" t="str">
        <f>+HYPERLINK("http://trademark.i-assist.jp/data/china/image_1902th/79358341.pdf", "79358341")</f>
        <v>79358341</v>
      </c>
      <c r="F3233" s="10" t="s">
        <v>9004</v>
      </c>
      <c r="G3233" s="10" t="s">
        <v>9005</v>
      </c>
      <c r="H3233" s="10" t="s">
        <v>9006</v>
      </c>
      <c r="I3233" s="10" t="s">
        <v>8915</v>
      </c>
    </row>
    <row r="3234" spans="1:9" x14ac:dyDescent="0.15">
      <c r="A3234" s="9">
        <v>3233</v>
      </c>
      <c r="B3234" s="10" t="s">
        <v>9</v>
      </c>
      <c r="C3234" s="10" t="s">
        <v>363</v>
      </c>
      <c r="D3234" s="10" t="s">
        <v>364</v>
      </c>
      <c r="E3234" s="11" t="str">
        <f>+HYPERLINK("http://trademark.i-assist.jp/data/china/image_1902th/79358344.pdf", "79358344")</f>
        <v>79358344</v>
      </c>
      <c r="F3234" s="10" t="s">
        <v>9007</v>
      </c>
      <c r="G3234" s="10" t="s">
        <v>9008</v>
      </c>
      <c r="H3234" s="10" t="s">
        <v>9009</v>
      </c>
      <c r="I3234" s="10" t="s">
        <v>8915</v>
      </c>
    </row>
    <row r="3235" spans="1:9" x14ac:dyDescent="0.15">
      <c r="A3235" s="9">
        <v>3234</v>
      </c>
      <c r="B3235" s="10" t="s">
        <v>9</v>
      </c>
      <c r="C3235" s="10" t="s">
        <v>363</v>
      </c>
      <c r="D3235" s="10" t="s">
        <v>364</v>
      </c>
      <c r="E3235" s="11" t="str">
        <f>+HYPERLINK("http://trademark.i-assist.jp/data/china/image_1902th/79358353.pdf", "79358353")</f>
        <v>79358353</v>
      </c>
      <c r="F3235" s="10" t="s">
        <v>9010</v>
      </c>
      <c r="G3235" s="10" t="s">
        <v>9011</v>
      </c>
      <c r="H3235" s="10" t="s">
        <v>9012</v>
      </c>
      <c r="I3235" s="10" t="s">
        <v>8915</v>
      </c>
    </row>
    <row r="3236" spans="1:9" x14ac:dyDescent="0.15">
      <c r="A3236" s="9">
        <v>3235</v>
      </c>
      <c r="B3236" s="10" t="s">
        <v>9</v>
      </c>
      <c r="C3236" s="10" t="s">
        <v>363</v>
      </c>
      <c r="D3236" s="10" t="s">
        <v>364</v>
      </c>
      <c r="E3236" s="11" t="str">
        <f>+HYPERLINK("http://trademark.i-assist.jp/data/china/image_1902th/79359199.pdf", "79359199")</f>
        <v>79359199</v>
      </c>
      <c r="F3236" s="10" t="s">
        <v>9013</v>
      </c>
      <c r="G3236" s="10" t="s">
        <v>9014</v>
      </c>
      <c r="H3236" s="10" t="s">
        <v>9015</v>
      </c>
      <c r="I3236" s="10" t="s">
        <v>8915</v>
      </c>
    </row>
    <row r="3237" spans="1:9" x14ac:dyDescent="0.15">
      <c r="A3237" s="9">
        <v>3236</v>
      </c>
      <c r="B3237" s="10" t="s">
        <v>9</v>
      </c>
      <c r="C3237" s="10" t="s">
        <v>363</v>
      </c>
      <c r="D3237" s="10" t="s">
        <v>364</v>
      </c>
      <c r="E3237" s="11" t="str">
        <f>+HYPERLINK("http://trademark.i-assist.jp/data/china/image_1902th/79359209.pdf", "79359209")</f>
        <v>79359209</v>
      </c>
      <c r="F3237" s="10" t="s">
        <v>12</v>
      </c>
      <c r="G3237" s="10" t="s">
        <v>9016</v>
      </c>
      <c r="H3237" s="10" t="s">
        <v>9017</v>
      </c>
      <c r="I3237" s="10" t="s">
        <v>8915</v>
      </c>
    </row>
    <row r="3238" spans="1:9" x14ac:dyDescent="0.15">
      <c r="A3238" s="9">
        <v>3237</v>
      </c>
      <c r="B3238" s="10" t="s">
        <v>9</v>
      </c>
      <c r="C3238" s="10" t="s">
        <v>363</v>
      </c>
      <c r="D3238" s="10" t="s">
        <v>364</v>
      </c>
      <c r="E3238" s="11" t="str">
        <f>+HYPERLINK("http://trademark.i-assist.jp/data/china/image_1902th/79359253.pdf", "79359253")</f>
        <v>79359253</v>
      </c>
      <c r="F3238" s="10" t="s">
        <v>9018</v>
      </c>
      <c r="G3238" s="10" t="s">
        <v>2715</v>
      </c>
      <c r="H3238" s="10" t="s">
        <v>9019</v>
      </c>
      <c r="I3238" s="10" t="s">
        <v>8915</v>
      </c>
    </row>
    <row r="3239" spans="1:9" x14ac:dyDescent="0.15">
      <c r="A3239" s="9">
        <v>3238</v>
      </c>
      <c r="B3239" s="10" t="s">
        <v>9</v>
      </c>
      <c r="C3239" s="10" t="s">
        <v>363</v>
      </c>
      <c r="D3239" s="10" t="s">
        <v>364</v>
      </c>
      <c r="E3239" s="11" t="str">
        <f>+HYPERLINK("http://trademark.i-assist.jp/data/china/image_1902th/79359605.pdf", "79359605")</f>
        <v>79359605</v>
      </c>
      <c r="F3239" s="10" t="s">
        <v>9020</v>
      </c>
      <c r="G3239" s="10" t="s">
        <v>9021</v>
      </c>
      <c r="H3239" s="10" t="s">
        <v>9022</v>
      </c>
      <c r="I3239" s="10" t="s">
        <v>8915</v>
      </c>
    </row>
    <row r="3240" spans="1:9" x14ac:dyDescent="0.15">
      <c r="A3240" s="9">
        <v>3239</v>
      </c>
      <c r="B3240" s="10" t="s">
        <v>9</v>
      </c>
      <c r="C3240" s="10" t="s">
        <v>363</v>
      </c>
      <c r="D3240" s="10" t="s">
        <v>364</v>
      </c>
      <c r="E3240" s="11" t="str">
        <f>+HYPERLINK("http://trademark.i-assist.jp/data/china/image_1902th/79360185.pdf", "79360185")</f>
        <v>79360185</v>
      </c>
      <c r="F3240" s="10" t="s">
        <v>9023</v>
      </c>
      <c r="G3240" s="10" t="s">
        <v>8993</v>
      </c>
      <c r="H3240" s="10" t="s">
        <v>9024</v>
      </c>
      <c r="I3240" s="10" t="s">
        <v>8915</v>
      </c>
    </row>
    <row r="3241" spans="1:9" x14ac:dyDescent="0.15">
      <c r="A3241" s="9">
        <v>3240</v>
      </c>
      <c r="B3241" s="10" t="s">
        <v>9</v>
      </c>
      <c r="C3241" s="10" t="s">
        <v>363</v>
      </c>
      <c r="D3241" s="10" t="s">
        <v>364</v>
      </c>
      <c r="E3241" s="11" t="str">
        <f>+HYPERLINK("http://trademark.i-assist.jp/data/china/image_1902th/79360339.pdf", "79360339")</f>
        <v>79360339</v>
      </c>
      <c r="F3241" s="10" t="s">
        <v>9025</v>
      </c>
      <c r="G3241" s="10" t="s">
        <v>9026</v>
      </c>
      <c r="H3241" s="10" t="s">
        <v>9027</v>
      </c>
      <c r="I3241" s="10" t="s">
        <v>8915</v>
      </c>
    </row>
    <row r="3242" spans="1:9" x14ac:dyDescent="0.15">
      <c r="A3242" s="9">
        <v>3241</v>
      </c>
      <c r="B3242" s="10" t="s">
        <v>9</v>
      </c>
      <c r="C3242" s="10" t="s">
        <v>363</v>
      </c>
      <c r="D3242" s="10" t="s">
        <v>364</v>
      </c>
      <c r="E3242" s="11" t="str">
        <f>+HYPERLINK("http://trademark.i-assist.jp/data/china/image_1902th/79360640.pdf", "79360640")</f>
        <v>79360640</v>
      </c>
      <c r="F3242" s="10" t="s">
        <v>9028</v>
      </c>
      <c r="G3242" s="10" t="s">
        <v>9029</v>
      </c>
      <c r="H3242" s="10" t="s">
        <v>9030</v>
      </c>
      <c r="I3242" s="10" t="s">
        <v>8915</v>
      </c>
    </row>
    <row r="3243" spans="1:9" x14ac:dyDescent="0.15">
      <c r="A3243" s="9">
        <v>3242</v>
      </c>
      <c r="B3243" s="10" t="s">
        <v>9</v>
      </c>
      <c r="C3243" s="10" t="s">
        <v>363</v>
      </c>
      <c r="D3243" s="10" t="s">
        <v>364</v>
      </c>
      <c r="E3243" s="11" t="str">
        <f>+HYPERLINK("http://trademark.i-assist.jp/data/china/image_1902th/79361525.pdf", "79361525")</f>
        <v>79361525</v>
      </c>
      <c r="F3243" s="10" t="s">
        <v>9031</v>
      </c>
      <c r="G3243" s="10" t="s">
        <v>9032</v>
      </c>
      <c r="H3243" s="10" t="s">
        <v>9033</v>
      </c>
      <c r="I3243" s="10" t="s">
        <v>8915</v>
      </c>
    </row>
    <row r="3244" spans="1:9" x14ac:dyDescent="0.15">
      <c r="A3244" s="9">
        <v>3243</v>
      </c>
      <c r="B3244" s="10" t="s">
        <v>9</v>
      </c>
      <c r="C3244" s="10" t="s">
        <v>363</v>
      </c>
      <c r="D3244" s="10" t="s">
        <v>364</v>
      </c>
      <c r="E3244" s="11" t="str">
        <f>+HYPERLINK("http://trademark.i-assist.jp/data/china/image_1902th/79361618.pdf", "79361618")</f>
        <v>79361618</v>
      </c>
      <c r="F3244" s="10" t="s">
        <v>9034</v>
      </c>
      <c r="G3244" s="10" t="s">
        <v>2715</v>
      </c>
      <c r="H3244" s="10" t="s">
        <v>9035</v>
      </c>
      <c r="I3244" s="10" t="s">
        <v>8915</v>
      </c>
    </row>
    <row r="3245" spans="1:9" x14ac:dyDescent="0.15">
      <c r="A3245" s="9">
        <v>3244</v>
      </c>
      <c r="B3245" s="10" t="s">
        <v>9</v>
      </c>
      <c r="C3245" s="10" t="s">
        <v>363</v>
      </c>
      <c r="D3245" s="10" t="s">
        <v>364</v>
      </c>
      <c r="E3245" s="11" t="str">
        <f>+HYPERLINK("http://trademark.i-assist.jp/data/china/image_1902th/79362406.pdf", "79362406")</f>
        <v>79362406</v>
      </c>
      <c r="F3245" s="10" t="s">
        <v>9036</v>
      </c>
      <c r="G3245" s="10" t="s">
        <v>9037</v>
      </c>
      <c r="H3245" s="10" t="s">
        <v>9038</v>
      </c>
      <c r="I3245" s="10" t="s">
        <v>8915</v>
      </c>
    </row>
    <row r="3246" spans="1:9" x14ac:dyDescent="0.15">
      <c r="A3246" s="9">
        <v>3245</v>
      </c>
      <c r="B3246" s="10" t="s">
        <v>9</v>
      </c>
      <c r="C3246" s="10" t="s">
        <v>363</v>
      </c>
      <c r="D3246" s="10" t="s">
        <v>364</v>
      </c>
      <c r="E3246" s="11" t="str">
        <f>+HYPERLINK("http://trademark.i-assist.jp/data/china/image_1902th/79362690.pdf", "79362690")</f>
        <v>79362690</v>
      </c>
      <c r="F3246" s="10" t="s">
        <v>9039</v>
      </c>
      <c r="G3246" s="10" t="s">
        <v>9040</v>
      </c>
      <c r="H3246" s="10" t="s">
        <v>9041</v>
      </c>
      <c r="I3246" s="10" t="s">
        <v>8915</v>
      </c>
    </row>
    <row r="3247" spans="1:9" x14ac:dyDescent="0.15">
      <c r="A3247" s="9">
        <v>3246</v>
      </c>
      <c r="B3247" s="10" t="s">
        <v>9</v>
      </c>
      <c r="C3247" s="10" t="s">
        <v>363</v>
      </c>
      <c r="D3247" s="10" t="s">
        <v>364</v>
      </c>
      <c r="E3247" s="11" t="str">
        <f>+HYPERLINK("http://trademark.i-assist.jp/data/china/image_1902th/79362724.pdf", "79362724")</f>
        <v>79362724</v>
      </c>
      <c r="F3247" s="10" t="s">
        <v>9042</v>
      </c>
      <c r="G3247" s="10" t="s">
        <v>9043</v>
      </c>
      <c r="H3247" s="10" t="s">
        <v>9044</v>
      </c>
      <c r="I3247" s="10" t="s">
        <v>8915</v>
      </c>
    </row>
    <row r="3248" spans="1:9" x14ac:dyDescent="0.15">
      <c r="A3248" s="9">
        <v>3247</v>
      </c>
      <c r="B3248" s="10" t="s">
        <v>9</v>
      </c>
      <c r="C3248" s="10" t="s">
        <v>363</v>
      </c>
      <c r="D3248" s="10" t="s">
        <v>364</v>
      </c>
      <c r="E3248" s="11" t="str">
        <f>+HYPERLINK("http://trademark.i-assist.jp/data/china/image_1902th/79362726.pdf", "79362726")</f>
        <v>79362726</v>
      </c>
      <c r="F3248" s="10" t="s">
        <v>9045</v>
      </c>
      <c r="G3248" s="10" t="s">
        <v>9046</v>
      </c>
      <c r="H3248" s="10" t="s">
        <v>9047</v>
      </c>
      <c r="I3248" s="10" t="s">
        <v>8915</v>
      </c>
    </row>
    <row r="3249" spans="1:9" x14ac:dyDescent="0.15">
      <c r="A3249" s="9">
        <v>3248</v>
      </c>
      <c r="B3249" s="10" t="s">
        <v>9</v>
      </c>
      <c r="C3249" s="10" t="s">
        <v>363</v>
      </c>
      <c r="D3249" s="10" t="s">
        <v>364</v>
      </c>
      <c r="E3249" s="11" t="str">
        <f>+HYPERLINK("http://trademark.i-assist.jp/data/china/image_1902th/79363372.pdf", "79363372")</f>
        <v>79363372</v>
      </c>
      <c r="F3249" s="10" t="s">
        <v>9048</v>
      </c>
      <c r="G3249" s="10" t="s">
        <v>9049</v>
      </c>
      <c r="H3249" s="10" t="s">
        <v>9050</v>
      </c>
      <c r="I3249" s="10" t="s">
        <v>8915</v>
      </c>
    </row>
    <row r="3250" spans="1:9" x14ac:dyDescent="0.15">
      <c r="A3250" s="9">
        <v>3249</v>
      </c>
      <c r="B3250" s="10" t="s">
        <v>9</v>
      </c>
      <c r="C3250" s="10" t="s">
        <v>363</v>
      </c>
      <c r="D3250" s="10" t="s">
        <v>364</v>
      </c>
      <c r="E3250" s="11" t="str">
        <f>+HYPERLINK("http://trademark.i-assist.jp/data/china/image_1902th/79363651.pdf", "79363651")</f>
        <v>79363651</v>
      </c>
      <c r="F3250" s="10" t="s">
        <v>9051</v>
      </c>
      <c r="G3250" s="10" t="s">
        <v>9052</v>
      </c>
      <c r="H3250" s="10" t="s">
        <v>9053</v>
      </c>
      <c r="I3250" s="10" t="s">
        <v>8915</v>
      </c>
    </row>
    <row r="3251" spans="1:9" x14ac:dyDescent="0.15">
      <c r="A3251" s="9">
        <v>3250</v>
      </c>
      <c r="B3251" s="10" t="s">
        <v>9</v>
      </c>
      <c r="C3251" s="10" t="s">
        <v>363</v>
      </c>
      <c r="D3251" s="10" t="s">
        <v>364</v>
      </c>
      <c r="E3251" s="11" t="str">
        <f>+HYPERLINK("http://trademark.i-assist.jp/data/china/image_1902th/79363992.pdf", "79363992")</f>
        <v>79363992</v>
      </c>
      <c r="F3251" s="10" t="s">
        <v>9054</v>
      </c>
      <c r="G3251" s="10" t="s">
        <v>9055</v>
      </c>
      <c r="H3251" s="10" t="s">
        <v>9056</v>
      </c>
      <c r="I3251" s="10" t="s">
        <v>8915</v>
      </c>
    </row>
    <row r="3252" spans="1:9" x14ac:dyDescent="0.15">
      <c r="A3252" s="9">
        <v>3251</v>
      </c>
      <c r="B3252" s="10" t="s">
        <v>9</v>
      </c>
      <c r="C3252" s="10" t="s">
        <v>363</v>
      </c>
      <c r="D3252" s="10" t="s">
        <v>364</v>
      </c>
      <c r="E3252" s="11" t="str">
        <f>+HYPERLINK("http://trademark.i-assist.jp/data/china/image_1902th/79364436.pdf", "79364436")</f>
        <v>79364436</v>
      </c>
      <c r="F3252" s="10" t="s">
        <v>9057</v>
      </c>
      <c r="G3252" s="10" t="s">
        <v>9058</v>
      </c>
      <c r="H3252" s="10" t="s">
        <v>9059</v>
      </c>
      <c r="I3252" s="10" t="s">
        <v>8915</v>
      </c>
    </row>
    <row r="3253" spans="1:9" x14ac:dyDescent="0.15">
      <c r="A3253" s="9">
        <v>3252</v>
      </c>
      <c r="B3253" s="10" t="s">
        <v>9</v>
      </c>
      <c r="C3253" s="10" t="s">
        <v>363</v>
      </c>
      <c r="D3253" s="10" t="s">
        <v>364</v>
      </c>
      <c r="E3253" s="11" t="str">
        <f>+HYPERLINK("http://trademark.i-assist.jp/data/china/image_1902th/79364839.pdf", "79364839")</f>
        <v>79364839</v>
      </c>
      <c r="F3253" s="10" t="s">
        <v>9060</v>
      </c>
      <c r="G3253" s="10" t="s">
        <v>9061</v>
      </c>
      <c r="H3253" s="10" t="s">
        <v>9062</v>
      </c>
      <c r="I3253" s="10" t="s">
        <v>8915</v>
      </c>
    </row>
    <row r="3254" spans="1:9" x14ac:dyDescent="0.15">
      <c r="A3254" s="9">
        <v>3253</v>
      </c>
      <c r="B3254" s="10" t="s">
        <v>9</v>
      </c>
      <c r="C3254" s="10" t="s">
        <v>363</v>
      </c>
      <c r="D3254" s="10" t="s">
        <v>364</v>
      </c>
      <c r="E3254" s="11" t="str">
        <f>+HYPERLINK("http://trademark.i-assist.jp/data/china/image_1902th/79365265.pdf", "79365265")</f>
        <v>79365265</v>
      </c>
      <c r="F3254" s="10" t="s">
        <v>9063</v>
      </c>
      <c r="G3254" s="10" t="s">
        <v>8993</v>
      </c>
      <c r="H3254" s="10" t="s">
        <v>9064</v>
      </c>
      <c r="I3254" s="10" t="s">
        <v>8915</v>
      </c>
    </row>
    <row r="3255" spans="1:9" x14ac:dyDescent="0.15">
      <c r="A3255" s="9">
        <v>3254</v>
      </c>
      <c r="B3255" s="10" t="s">
        <v>9</v>
      </c>
      <c r="C3255" s="10" t="s">
        <v>363</v>
      </c>
      <c r="D3255" s="10" t="s">
        <v>364</v>
      </c>
      <c r="E3255" s="11" t="str">
        <f>+HYPERLINK("http://trademark.i-assist.jp/data/china/image_1902th/79365527.pdf", "79365527")</f>
        <v>79365527</v>
      </c>
      <c r="F3255" s="10" t="s">
        <v>9065</v>
      </c>
      <c r="G3255" s="10" t="s">
        <v>9066</v>
      </c>
      <c r="H3255" s="10" t="s">
        <v>9067</v>
      </c>
      <c r="I3255" s="10" t="s">
        <v>8915</v>
      </c>
    </row>
    <row r="3256" spans="1:9" x14ac:dyDescent="0.15">
      <c r="A3256" s="9">
        <v>3255</v>
      </c>
      <c r="B3256" s="10" t="s">
        <v>9</v>
      </c>
      <c r="C3256" s="10" t="s">
        <v>363</v>
      </c>
      <c r="D3256" s="10" t="s">
        <v>364</v>
      </c>
      <c r="E3256" s="11" t="str">
        <f>+HYPERLINK("http://trademark.i-assist.jp/data/china/image_1902th/79367770.pdf", "79367770")</f>
        <v>79367770</v>
      </c>
      <c r="F3256" s="10" t="s">
        <v>9068</v>
      </c>
      <c r="G3256" s="10" t="s">
        <v>9058</v>
      </c>
      <c r="H3256" s="10" t="s">
        <v>9069</v>
      </c>
      <c r="I3256" s="10" t="s">
        <v>8915</v>
      </c>
    </row>
    <row r="3257" spans="1:9" x14ac:dyDescent="0.15">
      <c r="A3257" s="9">
        <v>3256</v>
      </c>
      <c r="B3257" s="10" t="s">
        <v>9</v>
      </c>
      <c r="C3257" s="10" t="s">
        <v>363</v>
      </c>
      <c r="D3257" s="10" t="s">
        <v>364</v>
      </c>
      <c r="E3257" s="11" t="str">
        <f>+HYPERLINK("http://trademark.i-assist.jp/data/china/image_1902th/79367991.pdf", "79367991")</f>
        <v>79367991</v>
      </c>
      <c r="F3257" s="10" t="s">
        <v>9070</v>
      </c>
      <c r="G3257" s="10" t="s">
        <v>9071</v>
      </c>
      <c r="H3257" s="10" t="s">
        <v>9072</v>
      </c>
      <c r="I3257" s="10" t="s">
        <v>8915</v>
      </c>
    </row>
    <row r="3258" spans="1:9" x14ac:dyDescent="0.15">
      <c r="A3258" s="9">
        <v>3257</v>
      </c>
      <c r="B3258" s="10" t="s">
        <v>9</v>
      </c>
      <c r="C3258" s="10" t="s">
        <v>363</v>
      </c>
      <c r="D3258" s="10" t="s">
        <v>364</v>
      </c>
      <c r="E3258" s="11" t="str">
        <f>+HYPERLINK("http://trademark.i-assist.jp/data/china/image_1902th/79368038.pdf", "79368038")</f>
        <v>79368038</v>
      </c>
      <c r="F3258" s="10" t="s">
        <v>9073</v>
      </c>
      <c r="G3258" s="10" t="s">
        <v>72</v>
      </c>
      <c r="H3258" s="10" t="s">
        <v>9074</v>
      </c>
      <c r="I3258" s="10" t="s">
        <v>8915</v>
      </c>
    </row>
    <row r="3259" spans="1:9" x14ac:dyDescent="0.15">
      <c r="A3259" s="9">
        <v>3258</v>
      </c>
      <c r="B3259" s="10" t="s">
        <v>9</v>
      </c>
      <c r="C3259" s="10" t="s">
        <v>363</v>
      </c>
      <c r="D3259" s="10" t="s">
        <v>364</v>
      </c>
      <c r="E3259" s="11" t="str">
        <f>+HYPERLINK("http://trademark.i-assist.jp/data/china/image_1902th/79368353.pdf", "79368353")</f>
        <v>79368353</v>
      </c>
      <c r="F3259" s="10" t="s">
        <v>9075</v>
      </c>
      <c r="G3259" s="10" t="s">
        <v>9076</v>
      </c>
      <c r="H3259" s="10" t="s">
        <v>9077</v>
      </c>
      <c r="I3259" s="10" t="s">
        <v>8915</v>
      </c>
    </row>
    <row r="3260" spans="1:9" x14ac:dyDescent="0.15">
      <c r="A3260" s="9">
        <v>3259</v>
      </c>
      <c r="B3260" s="10" t="s">
        <v>9</v>
      </c>
      <c r="C3260" s="10" t="s">
        <v>363</v>
      </c>
      <c r="D3260" s="10" t="s">
        <v>364</v>
      </c>
      <c r="E3260" s="11" t="str">
        <f>+HYPERLINK("http://trademark.i-assist.jp/data/china/image_1902th/79368418.pdf", "79368418")</f>
        <v>79368418</v>
      </c>
      <c r="F3260" s="10" t="s">
        <v>9078</v>
      </c>
      <c r="G3260" s="10" t="s">
        <v>8913</v>
      </c>
      <c r="H3260" s="10" t="s">
        <v>9079</v>
      </c>
      <c r="I3260" s="10" t="s">
        <v>8915</v>
      </c>
    </row>
    <row r="3261" spans="1:9" x14ac:dyDescent="0.15">
      <c r="A3261" s="9">
        <v>3260</v>
      </c>
      <c r="B3261" s="10" t="s">
        <v>9</v>
      </c>
      <c r="C3261" s="10" t="s">
        <v>363</v>
      </c>
      <c r="D3261" s="10" t="s">
        <v>364</v>
      </c>
      <c r="E3261" s="11" t="str">
        <f>+HYPERLINK("http://trademark.i-assist.jp/data/china/image_1902th/79368432.pdf", "79368432")</f>
        <v>79368432</v>
      </c>
      <c r="F3261" s="10" t="s">
        <v>12</v>
      </c>
      <c r="G3261" s="10" t="s">
        <v>9080</v>
      </c>
      <c r="H3261" s="10" t="s">
        <v>9081</v>
      </c>
      <c r="I3261" s="10" t="s">
        <v>8915</v>
      </c>
    </row>
    <row r="3262" spans="1:9" x14ac:dyDescent="0.15">
      <c r="A3262" s="9">
        <v>3261</v>
      </c>
      <c r="B3262" s="10" t="s">
        <v>9</v>
      </c>
      <c r="C3262" s="10" t="s">
        <v>363</v>
      </c>
      <c r="D3262" s="10" t="s">
        <v>364</v>
      </c>
      <c r="E3262" s="11" t="str">
        <f>+HYPERLINK("http://trademark.i-assist.jp/data/china/image_1902th/79368572.pdf", "79368572")</f>
        <v>79368572</v>
      </c>
      <c r="F3262" s="10" t="s">
        <v>9082</v>
      </c>
      <c r="G3262" s="10" t="s">
        <v>2715</v>
      </c>
      <c r="H3262" s="10" t="s">
        <v>9083</v>
      </c>
      <c r="I3262" s="10" t="s">
        <v>8915</v>
      </c>
    </row>
    <row r="3263" spans="1:9" x14ac:dyDescent="0.15">
      <c r="A3263" s="9">
        <v>3262</v>
      </c>
      <c r="B3263" s="10" t="s">
        <v>9</v>
      </c>
      <c r="C3263" s="10" t="s">
        <v>363</v>
      </c>
      <c r="D3263" s="10" t="s">
        <v>364</v>
      </c>
      <c r="E3263" s="11" t="str">
        <f>+HYPERLINK("http://trademark.i-assist.jp/data/china/image_1902th/79368853.pdf", "79368853")</f>
        <v>79368853</v>
      </c>
      <c r="F3263" s="10" t="s">
        <v>9084</v>
      </c>
      <c r="G3263" s="10" t="s">
        <v>9085</v>
      </c>
      <c r="H3263" s="10" t="s">
        <v>9086</v>
      </c>
      <c r="I3263" s="10" t="s">
        <v>8915</v>
      </c>
    </row>
    <row r="3264" spans="1:9" x14ac:dyDescent="0.15">
      <c r="A3264" s="9">
        <v>3263</v>
      </c>
      <c r="B3264" s="10" t="s">
        <v>9</v>
      </c>
      <c r="C3264" s="10" t="s">
        <v>363</v>
      </c>
      <c r="D3264" s="10" t="s">
        <v>364</v>
      </c>
      <c r="E3264" s="11" t="str">
        <f>+HYPERLINK("http://trademark.i-assist.jp/data/china/image_1902th/79369487.pdf", "79369487")</f>
        <v>79369487</v>
      </c>
      <c r="F3264" s="10" t="s">
        <v>9087</v>
      </c>
      <c r="G3264" s="10" t="s">
        <v>9088</v>
      </c>
      <c r="H3264" s="10" t="s">
        <v>9089</v>
      </c>
      <c r="I3264" s="10" t="s">
        <v>8915</v>
      </c>
    </row>
    <row r="3265" spans="1:9" x14ac:dyDescent="0.15">
      <c r="A3265" s="9">
        <v>3264</v>
      </c>
      <c r="B3265" s="10" t="s">
        <v>9</v>
      </c>
      <c r="C3265" s="10" t="s">
        <v>363</v>
      </c>
      <c r="D3265" s="10" t="s">
        <v>364</v>
      </c>
      <c r="E3265" s="11" t="str">
        <f>+HYPERLINK("http://trademark.i-assist.jp/data/china/image_1902th/79370122.pdf", "79370122")</f>
        <v>79370122</v>
      </c>
      <c r="F3265" s="10" t="s">
        <v>9090</v>
      </c>
      <c r="G3265" s="10" t="s">
        <v>9091</v>
      </c>
      <c r="H3265" s="10" t="s">
        <v>9092</v>
      </c>
      <c r="I3265" s="10" t="s">
        <v>8915</v>
      </c>
    </row>
    <row r="3266" spans="1:9" x14ac:dyDescent="0.15">
      <c r="A3266" s="9">
        <v>3265</v>
      </c>
      <c r="B3266" s="10" t="s">
        <v>9</v>
      </c>
      <c r="C3266" s="10" t="s">
        <v>363</v>
      </c>
      <c r="D3266" s="10" t="s">
        <v>364</v>
      </c>
      <c r="E3266" s="11" t="str">
        <f>+HYPERLINK("http://trademark.i-assist.jp/data/china/image_1902th/79370467.pdf", "79370467")</f>
        <v>79370467</v>
      </c>
      <c r="F3266" s="10" t="s">
        <v>12</v>
      </c>
      <c r="G3266" s="10" t="s">
        <v>9093</v>
      </c>
      <c r="H3266" s="10" t="s">
        <v>9094</v>
      </c>
      <c r="I3266" s="10" t="s">
        <v>8915</v>
      </c>
    </row>
    <row r="3267" spans="1:9" x14ac:dyDescent="0.15">
      <c r="A3267" s="9">
        <v>3266</v>
      </c>
      <c r="B3267" s="10" t="s">
        <v>9</v>
      </c>
      <c r="C3267" s="10" t="s">
        <v>363</v>
      </c>
      <c r="D3267" s="10" t="s">
        <v>364</v>
      </c>
      <c r="E3267" s="11" t="str">
        <f>+HYPERLINK("http://trademark.i-assist.jp/data/china/image_1902th/79371237.pdf", "79371237")</f>
        <v>79371237</v>
      </c>
      <c r="F3267" s="10" t="s">
        <v>9095</v>
      </c>
      <c r="G3267" s="10" t="s">
        <v>78</v>
      </c>
      <c r="H3267" s="10" t="s">
        <v>9096</v>
      </c>
      <c r="I3267" s="10" t="s">
        <v>8915</v>
      </c>
    </row>
    <row r="3268" spans="1:9" x14ac:dyDescent="0.15">
      <c r="A3268" s="9">
        <v>3267</v>
      </c>
      <c r="B3268" s="10" t="s">
        <v>9</v>
      </c>
      <c r="C3268" s="10" t="s">
        <v>363</v>
      </c>
      <c r="D3268" s="10" t="s">
        <v>364</v>
      </c>
      <c r="E3268" s="11" t="str">
        <f>+HYPERLINK("http://trademark.i-assist.jp/data/china/image_1902th/79372056.pdf", "79372056")</f>
        <v>79372056</v>
      </c>
      <c r="F3268" s="10" t="s">
        <v>9097</v>
      </c>
      <c r="G3268" s="10" t="s">
        <v>9098</v>
      </c>
      <c r="H3268" s="10" t="s">
        <v>9099</v>
      </c>
      <c r="I3268" s="10" t="s">
        <v>8915</v>
      </c>
    </row>
    <row r="3269" spans="1:9" x14ac:dyDescent="0.15">
      <c r="A3269" s="9">
        <v>3268</v>
      </c>
      <c r="B3269" s="10" t="s">
        <v>9</v>
      </c>
      <c r="C3269" s="10" t="s">
        <v>363</v>
      </c>
      <c r="D3269" s="10" t="s">
        <v>364</v>
      </c>
      <c r="E3269" s="11" t="str">
        <f>+HYPERLINK("http://trademark.i-assist.jp/data/china/image_1902th/79372582.pdf", "79372582")</f>
        <v>79372582</v>
      </c>
      <c r="F3269" s="10" t="s">
        <v>9100</v>
      </c>
      <c r="G3269" s="10" t="s">
        <v>9101</v>
      </c>
      <c r="H3269" s="10" t="s">
        <v>9102</v>
      </c>
      <c r="I3269" s="10" t="s">
        <v>8915</v>
      </c>
    </row>
    <row r="3270" spans="1:9" x14ac:dyDescent="0.15">
      <c r="A3270" s="9">
        <v>3269</v>
      </c>
      <c r="B3270" s="10" t="s">
        <v>9</v>
      </c>
      <c r="C3270" s="10" t="s">
        <v>363</v>
      </c>
      <c r="D3270" s="10" t="s">
        <v>364</v>
      </c>
      <c r="E3270" s="11" t="str">
        <f>+HYPERLINK("http://trademark.i-assist.jp/data/china/image_1902th/79373002.pdf", "79373002")</f>
        <v>79373002</v>
      </c>
      <c r="F3270" s="10" t="s">
        <v>9103</v>
      </c>
      <c r="G3270" s="10" t="s">
        <v>9104</v>
      </c>
      <c r="H3270" s="10" t="s">
        <v>9105</v>
      </c>
      <c r="I3270" s="10" t="s">
        <v>8915</v>
      </c>
    </row>
    <row r="3271" spans="1:9" x14ac:dyDescent="0.15">
      <c r="A3271" s="9">
        <v>3270</v>
      </c>
      <c r="B3271" s="10" t="s">
        <v>9</v>
      </c>
      <c r="C3271" s="10" t="s">
        <v>363</v>
      </c>
      <c r="D3271" s="10" t="s">
        <v>364</v>
      </c>
      <c r="E3271" s="11" t="str">
        <f>+HYPERLINK("http://trademark.i-assist.jp/data/china/image_1902th/79373312.pdf", "79373312")</f>
        <v>79373312</v>
      </c>
      <c r="F3271" s="10" t="s">
        <v>9106</v>
      </c>
      <c r="G3271" s="10" t="s">
        <v>2715</v>
      </c>
      <c r="H3271" s="10" t="s">
        <v>9107</v>
      </c>
      <c r="I3271" s="10" t="s">
        <v>8915</v>
      </c>
    </row>
    <row r="3272" spans="1:9" x14ac:dyDescent="0.15">
      <c r="A3272" s="9">
        <v>3271</v>
      </c>
      <c r="B3272" s="10" t="s">
        <v>9</v>
      </c>
      <c r="C3272" s="10" t="s">
        <v>363</v>
      </c>
      <c r="D3272" s="10" t="s">
        <v>364</v>
      </c>
      <c r="E3272" s="11" t="str">
        <f>+HYPERLINK("http://trademark.i-assist.jp/data/china/image_1902th/79373405.pdf", "79373405")</f>
        <v>79373405</v>
      </c>
      <c r="F3272" s="10" t="s">
        <v>9108</v>
      </c>
      <c r="G3272" s="10" t="s">
        <v>9109</v>
      </c>
      <c r="H3272" s="10" t="s">
        <v>9110</v>
      </c>
      <c r="I3272" s="10" t="s">
        <v>8915</v>
      </c>
    </row>
    <row r="3273" spans="1:9" x14ac:dyDescent="0.15">
      <c r="A3273" s="9">
        <v>3272</v>
      </c>
      <c r="B3273" s="10" t="s">
        <v>9</v>
      </c>
      <c r="C3273" s="10" t="s">
        <v>363</v>
      </c>
      <c r="D3273" s="10" t="s">
        <v>364</v>
      </c>
      <c r="E3273" s="11" t="str">
        <f>+HYPERLINK("http://trademark.i-assist.jp/data/china/image_1902th/79373886.pdf", "79373886")</f>
        <v>79373886</v>
      </c>
      <c r="F3273" s="10" t="s">
        <v>9111</v>
      </c>
      <c r="G3273" s="10" t="s">
        <v>9112</v>
      </c>
      <c r="H3273" s="10" t="s">
        <v>9113</v>
      </c>
      <c r="I3273" s="10" t="s">
        <v>8915</v>
      </c>
    </row>
    <row r="3274" spans="1:9" x14ac:dyDescent="0.15">
      <c r="A3274" s="9">
        <v>3273</v>
      </c>
      <c r="B3274" s="10" t="s">
        <v>9</v>
      </c>
      <c r="C3274" s="10" t="s">
        <v>363</v>
      </c>
      <c r="D3274" s="10" t="s">
        <v>364</v>
      </c>
      <c r="E3274" s="11" t="str">
        <f>+HYPERLINK("http://trademark.i-assist.jp/data/china/image_1902th/79374146.pdf", "79374146")</f>
        <v>79374146</v>
      </c>
      <c r="F3274" s="10" t="s">
        <v>9114</v>
      </c>
      <c r="G3274" s="10" t="s">
        <v>9115</v>
      </c>
      <c r="H3274" s="10" t="s">
        <v>9116</v>
      </c>
      <c r="I3274" s="10" t="s">
        <v>8915</v>
      </c>
    </row>
    <row r="3275" spans="1:9" x14ac:dyDescent="0.15">
      <c r="A3275" s="9">
        <v>3274</v>
      </c>
      <c r="B3275" s="10" t="s">
        <v>9</v>
      </c>
      <c r="C3275" s="10" t="s">
        <v>363</v>
      </c>
      <c r="D3275" s="10" t="s">
        <v>364</v>
      </c>
      <c r="E3275" s="11" t="str">
        <f>+HYPERLINK("http://trademark.i-assist.jp/data/china/image_1902th/79374554.pdf", "79374554")</f>
        <v>79374554</v>
      </c>
      <c r="F3275" s="10" t="s">
        <v>12</v>
      </c>
      <c r="G3275" s="10" t="s">
        <v>8830</v>
      </c>
      <c r="H3275" s="10" t="s">
        <v>9117</v>
      </c>
      <c r="I3275" s="10" t="s">
        <v>8915</v>
      </c>
    </row>
    <row r="3276" spans="1:9" x14ac:dyDescent="0.15">
      <c r="A3276" s="9">
        <v>3275</v>
      </c>
      <c r="B3276" s="10" t="s">
        <v>9</v>
      </c>
      <c r="C3276" s="10" t="s">
        <v>363</v>
      </c>
      <c r="D3276" s="10" t="s">
        <v>364</v>
      </c>
      <c r="E3276" s="11" t="str">
        <f>+HYPERLINK("http://trademark.i-assist.jp/data/china/image_1902th/79374704.pdf", "79374704")</f>
        <v>79374704</v>
      </c>
      <c r="F3276" s="10" t="s">
        <v>9118</v>
      </c>
      <c r="G3276" s="10" t="s">
        <v>9119</v>
      </c>
      <c r="H3276" s="10" t="s">
        <v>9120</v>
      </c>
      <c r="I3276" s="10" t="s">
        <v>8915</v>
      </c>
    </row>
    <row r="3277" spans="1:9" x14ac:dyDescent="0.15">
      <c r="A3277" s="9">
        <v>3276</v>
      </c>
      <c r="B3277" s="10" t="s">
        <v>9</v>
      </c>
      <c r="C3277" s="10" t="s">
        <v>363</v>
      </c>
      <c r="D3277" s="10" t="s">
        <v>364</v>
      </c>
      <c r="E3277" s="11" t="str">
        <f>+HYPERLINK("http://trademark.i-assist.jp/data/china/image_1902th/79375085.pdf", "79375085")</f>
        <v>79375085</v>
      </c>
      <c r="F3277" s="10" t="s">
        <v>9121</v>
      </c>
      <c r="G3277" s="10" t="s">
        <v>9058</v>
      </c>
      <c r="H3277" s="10" t="s">
        <v>9122</v>
      </c>
      <c r="I3277" s="10" t="s">
        <v>8915</v>
      </c>
    </row>
    <row r="3278" spans="1:9" x14ac:dyDescent="0.15">
      <c r="A3278" s="9">
        <v>3277</v>
      </c>
      <c r="B3278" s="10" t="s">
        <v>9</v>
      </c>
      <c r="C3278" s="10" t="s">
        <v>363</v>
      </c>
      <c r="D3278" s="10" t="s">
        <v>364</v>
      </c>
      <c r="E3278" s="11" t="str">
        <f>+HYPERLINK("http://trademark.i-assist.jp/data/china/image_1902th/79375153.pdf", "79375153")</f>
        <v>79375153</v>
      </c>
      <c r="F3278" s="10" t="s">
        <v>9123</v>
      </c>
      <c r="G3278" s="10" t="s">
        <v>9124</v>
      </c>
      <c r="H3278" s="10" t="s">
        <v>9125</v>
      </c>
      <c r="I3278" s="10" t="s">
        <v>8915</v>
      </c>
    </row>
    <row r="3279" spans="1:9" x14ac:dyDescent="0.15">
      <c r="A3279" s="9">
        <v>3278</v>
      </c>
      <c r="B3279" s="10" t="s">
        <v>9</v>
      </c>
      <c r="C3279" s="10" t="s">
        <v>363</v>
      </c>
      <c r="D3279" s="10" t="s">
        <v>364</v>
      </c>
      <c r="E3279" s="11" t="str">
        <f>+HYPERLINK("http://trademark.i-assist.jp/data/china/image_1902th/79375679.pdf", "79375679")</f>
        <v>79375679</v>
      </c>
      <c r="F3279" s="10" t="s">
        <v>12</v>
      </c>
      <c r="G3279" s="10" t="s">
        <v>9126</v>
      </c>
      <c r="H3279" s="10" t="s">
        <v>9127</v>
      </c>
      <c r="I3279" s="10" t="s">
        <v>9128</v>
      </c>
    </row>
    <row r="3280" spans="1:9" x14ac:dyDescent="0.15">
      <c r="A3280" s="9">
        <v>3279</v>
      </c>
      <c r="B3280" s="10" t="s">
        <v>9</v>
      </c>
      <c r="C3280" s="10" t="s">
        <v>363</v>
      </c>
      <c r="D3280" s="10" t="s">
        <v>364</v>
      </c>
      <c r="E3280" s="11" t="str">
        <f>+HYPERLINK("http://trademark.i-assist.jp/data/china/image_1902th/79375991.pdf", "79375991")</f>
        <v>79375991</v>
      </c>
      <c r="F3280" s="10" t="s">
        <v>12</v>
      </c>
      <c r="G3280" s="10" t="s">
        <v>9126</v>
      </c>
      <c r="H3280" s="10" t="s">
        <v>9129</v>
      </c>
      <c r="I3280" s="10" t="s">
        <v>9128</v>
      </c>
    </row>
    <row r="3281" spans="1:9" x14ac:dyDescent="0.15">
      <c r="A3281" s="9">
        <v>3280</v>
      </c>
      <c r="B3281" s="10" t="s">
        <v>9</v>
      </c>
      <c r="C3281" s="10" t="s">
        <v>363</v>
      </c>
      <c r="D3281" s="10" t="s">
        <v>364</v>
      </c>
      <c r="E3281" s="11" t="str">
        <f>+HYPERLINK("http://trademark.i-assist.jp/data/china/image_1902th/79376496.pdf", "79376496")</f>
        <v>79376496</v>
      </c>
      <c r="F3281" s="10" t="s">
        <v>9130</v>
      </c>
      <c r="G3281" s="10" t="s">
        <v>9131</v>
      </c>
      <c r="H3281" s="10" t="s">
        <v>9132</v>
      </c>
      <c r="I3281" s="10" t="s">
        <v>9128</v>
      </c>
    </row>
    <row r="3282" spans="1:9" x14ac:dyDescent="0.15">
      <c r="A3282" s="9">
        <v>3281</v>
      </c>
      <c r="B3282" s="10" t="s">
        <v>9</v>
      </c>
      <c r="C3282" s="10" t="s">
        <v>363</v>
      </c>
      <c r="D3282" s="10" t="s">
        <v>364</v>
      </c>
      <c r="E3282" s="11" t="str">
        <f>+HYPERLINK("http://trademark.i-assist.jp/data/china/image_1902th/79376538.pdf", "79376538")</f>
        <v>79376538</v>
      </c>
      <c r="F3282" s="10" t="s">
        <v>9133</v>
      </c>
      <c r="G3282" s="10" t="s">
        <v>9134</v>
      </c>
      <c r="H3282" s="10" t="s">
        <v>9135</v>
      </c>
      <c r="I3282" s="10" t="s">
        <v>9128</v>
      </c>
    </row>
    <row r="3283" spans="1:9" x14ac:dyDescent="0.15">
      <c r="A3283" s="9">
        <v>3282</v>
      </c>
      <c r="B3283" s="10" t="s">
        <v>9</v>
      </c>
      <c r="C3283" s="10" t="s">
        <v>363</v>
      </c>
      <c r="D3283" s="10" t="s">
        <v>364</v>
      </c>
      <c r="E3283" s="11" t="str">
        <f>+HYPERLINK("http://trademark.i-assist.jp/data/china/image_1902th/79376774.pdf", "79376774")</f>
        <v>79376774</v>
      </c>
      <c r="F3283" s="10" t="s">
        <v>9136</v>
      </c>
      <c r="G3283" s="10" t="s">
        <v>9137</v>
      </c>
      <c r="H3283" s="10" t="s">
        <v>9138</v>
      </c>
      <c r="I3283" s="10" t="s">
        <v>9128</v>
      </c>
    </row>
    <row r="3284" spans="1:9" x14ac:dyDescent="0.15">
      <c r="A3284" s="9">
        <v>3283</v>
      </c>
      <c r="B3284" s="10" t="s">
        <v>9</v>
      </c>
      <c r="C3284" s="10" t="s">
        <v>363</v>
      </c>
      <c r="D3284" s="10" t="s">
        <v>364</v>
      </c>
      <c r="E3284" s="11" t="str">
        <f>+HYPERLINK("http://trademark.i-assist.jp/data/china/image_1902th/79376992.pdf", "79376992")</f>
        <v>79376992</v>
      </c>
      <c r="F3284" s="10" t="s">
        <v>9139</v>
      </c>
      <c r="G3284" s="10" t="s">
        <v>9140</v>
      </c>
      <c r="H3284" s="10" t="s">
        <v>9141</v>
      </c>
      <c r="I3284" s="10" t="s">
        <v>9128</v>
      </c>
    </row>
    <row r="3285" spans="1:9" x14ac:dyDescent="0.15">
      <c r="A3285" s="9">
        <v>3284</v>
      </c>
      <c r="B3285" s="10" t="s">
        <v>9</v>
      </c>
      <c r="C3285" s="10" t="s">
        <v>363</v>
      </c>
      <c r="D3285" s="10" t="s">
        <v>364</v>
      </c>
      <c r="E3285" s="11" t="str">
        <f>+HYPERLINK("http://trademark.i-assist.jp/data/china/image_1902th/79377076.pdf", "79377076")</f>
        <v>79377076</v>
      </c>
      <c r="F3285" s="10" t="s">
        <v>9142</v>
      </c>
      <c r="G3285" s="10" t="s">
        <v>9143</v>
      </c>
      <c r="H3285" s="10" t="s">
        <v>9144</v>
      </c>
      <c r="I3285" s="10" t="s">
        <v>9128</v>
      </c>
    </row>
    <row r="3286" spans="1:9" x14ac:dyDescent="0.15">
      <c r="A3286" s="9">
        <v>3285</v>
      </c>
      <c r="B3286" s="10" t="s">
        <v>9</v>
      </c>
      <c r="C3286" s="10" t="s">
        <v>363</v>
      </c>
      <c r="D3286" s="10" t="s">
        <v>364</v>
      </c>
      <c r="E3286" s="11" t="str">
        <f>+HYPERLINK("http://trademark.i-assist.jp/data/china/image_1902th/79377147.pdf", "79377147")</f>
        <v>79377147</v>
      </c>
      <c r="F3286" s="10" t="s">
        <v>9145</v>
      </c>
      <c r="G3286" s="10" t="s">
        <v>9146</v>
      </c>
      <c r="H3286" s="10" t="s">
        <v>9147</v>
      </c>
      <c r="I3286" s="10" t="s">
        <v>9128</v>
      </c>
    </row>
    <row r="3287" spans="1:9" x14ac:dyDescent="0.15">
      <c r="A3287" s="9">
        <v>3286</v>
      </c>
      <c r="B3287" s="10" t="s">
        <v>9</v>
      </c>
      <c r="C3287" s="10" t="s">
        <v>363</v>
      </c>
      <c r="D3287" s="10" t="s">
        <v>364</v>
      </c>
      <c r="E3287" s="11" t="str">
        <f>+HYPERLINK("http://trademark.i-assist.jp/data/china/image_1902th/79377157.pdf", "79377157")</f>
        <v>79377157</v>
      </c>
      <c r="F3287" s="10" t="s">
        <v>9148</v>
      </c>
      <c r="G3287" s="10" t="s">
        <v>9149</v>
      </c>
      <c r="H3287" s="10" t="s">
        <v>9150</v>
      </c>
      <c r="I3287" s="10" t="s">
        <v>9128</v>
      </c>
    </row>
    <row r="3288" spans="1:9" x14ac:dyDescent="0.15">
      <c r="A3288" s="9">
        <v>3287</v>
      </c>
      <c r="B3288" s="10" t="s">
        <v>9</v>
      </c>
      <c r="C3288" s="10" t="s">
        <v>363</v>
      </c>
      <c r="D3288" s="10" t="s">
        <v>364</v>
      </c>
      <c r="E3288" s="11" t="str">
        <f>+HYPERLINK("http://trademark.i-assist.jp/data/china/image_1902th/79377215.pdf", "79377215")</f>
        <v>79377215</v>
      </c>
      <c r="F3288" s="10" t="s">
        <v>12</v>
      </c>
      <c r="G3288" s="10" t="s">
        <v>8830</v>
      </c>
      <c r="H3288" s="10" t="s">
        <v>9151</v>
      </c>
      <c r="I3288" s="10" t="s">
        <v>9128</v>
      </c>
    </row>
    <row r="3289" spans="1:9" x14ac:dyDescent="0.15">
      <c r="A3289" s="9">
        <v>3288</v>
      </c>
      <c r="B3289" s="10" t="s">
        <v>9</v>
      </c>
      <c r="C3289" s="10" t="s">
        <v>363</v>
      </c>
      <c r="D3289" s="10" t="s">
        <v>364</v>
      </c>
      <c r="E3289" s="11" t="str">
        <f>+HYPERLINK("http://trademark.i-assist.jp/data/china/image_1902th/79377480.pdf", "79377480")</f>
        <v>79377480</v>
      </c>
      <c r="F3289" s="10" t="s">
        <v>9152</v>
      </c>
      <c r="G3289" s="10" t="s">
        <v>9140</v>
      </c>
      <c r="H3289" s="10" t="s">
        <v>9153</v>
      </c>
      <c r="I3289" s="10" t="s">
        <v>9128</v>
      </c>
    </row>
    <row r="3290" spans="1:9" x14ac:dyDescent="0.15">
      <c r="A3290" s="9">
        <v>3289</v>
      </c>
      <c r="B3290" s="10" t="s">
        <v>9</v>
      </c>
      <c r="C3290" s="10" t="s">
        <v>363</v>
      </c>
      <c r="D3290" s="10" t="s">
        <v>364</v>
      </c>
      <c r="E3290" s="11" t="str">
        <f>+HYPERLINK("http://trademark.i-assist.jp/data/china/image_1902th/79377965.pdf", "79377965")</f>
        <v>79377965</v>
      </c>
      <c r="F3290" s="10" t="s">
        <v>9154</v>
      </c>
      <c r="G3290" s="10" t="s">
        <v>9155</v>
      </c>
      <c r="H3290" s="10" t="s">
        <v>9156</v>
      </c>
      <c r="I3290" s="10" t="s">
        <v>9128</v>
      </c>
    </row>
    <row r="3291" spans="1:9" x14ac:dyDescent="0.15">
      <c r="A3291" s="9">
        <v>3290</v>
      </c>
      <c r="B3291" s="10" t="s">
        <v>9</v>
      </c>
      <c r="C3291" s="10" t="s">
        <v>363</v>
      </c>
      <c r="D3291" s="10" t="s">
        <v>364</v>
      </c>
      <c r="E3291" s="11" t="str">
        <f>+HYPERLINK("http://trademark.i-assist.jp/data/china/image_1902th/79378201.pdf", "79378201")</f>
        <v>79378201</v>
      </c>
      <c r="F3291" s="10" t="s">
        <v>12</v>
      </c>
      <c r="G3291" s="10" t="s">
        <v>9126</v>
      </c>
      <c r="H3291" s="10" t="s">
        <v>9157</v>
      </c>
      <c r="I3291" s="10" t="s">
        <v>9128</v>
      </c>
    </row>
    <row r="3292" spans="1:9" x14ac:dyDescent="0.15">
      <c r="A3292" s="9">
        <v>3291</v>
      </c>
      <c r="B3292" s="10" t="s">
        <v>9</v>
      </c>
      <c r="C3292" s="10" t="s">
        <v>363</v>
      </c>
      <c r="D3292" s="10" t="s">
        <v>364</v>
      </c>
      <c r="E3292" s="11" t="str">
        <f>+HYPERLINK("http://trademark.i-assist.jp/data/china/image_1902th/79378211.pdf", "79378211")</f>
        <v>79378211</v>
      </c>
      <c r="F3292" s="10" t="s">
        <v>12</v>
      </c>
      <c r="G3292" s="10" t="s">
        <v>9126</v>
      </c>
      <c r="H3292" s="10" t="s">
        <v>9158</v>
      </c>
      <c r="I3292" s="10" t="s">
        <v>9128</v>
      </c>
    </row>
    <row r="3293" spans="1:9" x14ac:dyDescent="0.15">
      <c r="A3293" s="9">
        <v>3292</v>
      </c>
      <c r="B3293" s="10" t="s">
        <v>9</v>
      </c>
      <c r="C3293" s="10" t="s">
        <v>363</v>
      </c>
      <c r="D3293" s="10" t="s">
        <v>364</v>
      </c>
      <c r="E3293" s="11" t="str">
        <f>+HYPERLINK("http://trademark.i-assist.jp/data/china/image_1902th/79378630.pdf", "79378630")</f>
        <v>79378630</v>
      </c>
      <c r="F3293" s="10" t="s">
        <v>9159</v>
      </c>
      <c r="G3293" s="10" t="s">
        <v>9160</v>
      </c>
      <c r="H3293" s="10" t="s">
        <v>9161</v>
      </c>
      <c r="I3293" s="10" t="s">
        <v>9128</v>
      </c>
    </row>
    <row r="3294" spans="1:9" x14ac:dyDescent="0.15">
      <c r="A3294" s="9">
        <v>3293</v>
      </c>
      <c r="B3294" s="10" t="s">
        <v>9</v>
      </c>
      <c r="C3294" s="10" t="s">
        <v>363</v>
      </c>
      <c r="D3294" s="10" t="s">
        <v>364</v>
      </c>
      <c r="E3294" s="11" t="str">
        <f>+HYPERLINK("http://trademark.i-assist.jp/data/china/image_1902th/79379256.pdf", "79379256")</f>
        <v>79379256</v>
      </c>
      <c r="F3294" s="10" t="s">
        <v>9162</v>
      </c>
      <c r="G3294" s="10" t="s">
        <v>9163</v>
      </c>
      <c r="H3294" s="10" t="s">
        <v>9164</v>
      </c>
      <c r="I3294" s="10" t="s">
        <v>9128</v>
      </c>
    </row>
    <row r="3295" spans="1:9" x14ac:dyDescent="0.15">
      <c r="A3295" s="9">
        <v>3294</v>
      </c>
      <c r="B3295" s="10" t="s">
        <v>9</v>
      </c>
      <c r="C3295" s="10" t="s">
        <v>363</v>
      </c>
      <c r="D3295" s="10" t="s">
        <v>364</v>
      </c>
      <c r="E3295" s="11" t="str">
        <f>+HYPERLINK("http://trademark.i-assist.jp/data/china/image_1902th/79379497.pdf", "79379497")</f>
        <v>79379497</v>
      </c>
      <c r="F3295" s="10" t="s">
        <v>9165</v>
      </c>
      <c r="G3295" s="10" t="s">
        <v>9140</v>
      </c>
      <c r="H3295" s="10" t="s">
        <v>9166</v>
      </c>
      <c r="I3295" s="10" t="s">
        <v>9128</v>
      </c>
    </row>
    <row r="3296" spans="1:9" x14ac:dyDescent="0.15">
      <c r="A3296" s="9">
        <v>3295</v>
      </c>
      <c r="B3296" s="10" t="s">
        <v>9</v>
      </c>
      <c r="C3296" s="10" t="s">
        <v>363</v>
      </c>
      <c r="D3296" s="10" t="s">
        <v>364</v>
      </c>
      <c r="E3296" s="11" t="str">
        <f>+HYPERLINK("http://trademark.i-assist.jp/data/china/image_1902th/79379554.pdf", "79379554")</f>
        <v>79379554</v>
      </c>
      <c r="F3296" s="10" t="s">
        <v>9167</v>
      </c>
      <c r="G3296" s="10" t="s">
        <v>9168</v>
      </c>
      <c r="H3296" s="10" t="s">
        <v>9169</v>
      </c>
      <c r="I3296" s="10" t="s">
        <v>9128</v>
      </c>
    </row>
    <row r="3297" spans="1:9" x14ac:dyDescent="0.15">
      <c r="A3297" s="9">
        <v>3296</v>
      </c>
      <c r="B3297" s="10" t="s">
        <v>9</v>
      </c>
      <c r="C3297" s="10" t="s">
        <v>363</v>
      </c>
      <c r="D3297" s="10" t="s">
        <v>364</v>
      </c>
      <c r="E3297" s="11" t="str">
        <f>+HYPERLINK("http://trademark.i-assist.jp/data/china/image_1902th/79379588.pdf", "79379588")</f>
        <v>79379588</v>
      </c>
      <c r="F3297" s="10" t="s">
        <v>9170</v>
      </c>
      <c r="G3297" s="10" t="s">
        <v>9171</v>
      </c>
      <c r="H3297" s="10" t="s">
        <v>9172</v>
      </c>
      <c r="I3297" s="10" t="s">
        <v>9128</v>
      </c>
    </row>
    <row r="3298" spans="1:9" x14ac:dyDescent="0.15">
      <c r="A3298" s="9">
        <v>3297</v>
      </c>
      <c r="B3298" s="10" t="s">
        <v>9</v>
      </c>
      <c r="C3298" s="10" t="s">
        <v>363</v>
      </c>
      <c r="D3298" s="10" t="s">
        <v>364</v>
      </c>
      <c r="E3298" s="11" t="str">
        <f>+HYPERLINK("http://trademark.i-assist.jp/data/china/image_1902th/79379991.pdf", "79379991")</f>
        <v>79379991</v>
      </c>
      <c r="F3298" s="10" t="s">
        <v>9173</v>
      </c>
      <c r="G3298" s="10" t="s">
        <v>9160</v>
      </c>
      <c r="H3298" s="10" t="s">
        <v>9174</v>
      </c>
      <c r="I3298" s="10" t="s">
        <v>9128</v>
      </c>
    </row>
    <row r="3299" spans="1:9" x14ac:dyDescent="0.15">
      <c r="A3299" s="9">
        <v>3298</v>
      </c>
      <c r="B3299" s="10" t="s">
        <v>9</v>
      </c>
      <c r="C3299" s="10" t="s">
        <v>363</v>
      </c>
      <c r="D3299" s="10" t="s">
        <v>364</v>
      </c>
      <c r="E3299" s="11" t="str">
        <f>+HYPERLINK("http://trademark.i-assist.jp/data/china/image_1902th/79380126.pdf", "79380126")</f>
        <v>79380126</v>
      </c>
      <c r="F3299" s="10" t="s">
        <v>9175</v>
      </c>
      <c r="G3299" s="10" t="s">
        <v>9176</v>
      </c>
      <c r="H3299" s="10" t="s">
        <v>9177</v>
      </c>
      <c r="I3299" s="10" t="s">
        <v>9128</v>
      </c>
    </row>
    <row r="3300" spans="1:9" x14ac:dyDescent="0.15">
      <c r="A3300" s="9">
        <v>3299</v>
      </c>
      <c r="B3300" s="10" t="s">
        <v>9</v>
      </c>
      <c r="C3300" s="10" t="s">
        <v>363</v>
      </c>
      <c r="D3300" s="10" t="s">
        <v>364</v>
      </c>
      <c r="E3300" s="11" t="str">
        <f>+HYPERLINK("http://trademark.i-assist.jp/data/china/image_1902th/79380426.pdf", "79380426")</f>
        <v>79380426</v>
      </c>
      <c r="F3300" s="10" t="s">
        <v>9178</v>
      </c>
      <c r="G3300" s="10" t="s">
        <v>9179</v>
      </c>
      <c r="H3300" s="10" t="s">
        <v>9180</v>
      </c>
      <c r="I3300" s="10" t="s">
        <v>9128</v>
      </c>
    </row>
    <row r="3301" spans="1:9" x14ac:dyDescent="0.15">
      <c r="A3301" s="9">
        <v>3300</v>
      </c>
      <c r="B3301" s="10" t="s">
        <v>9</v>
      </c>
      <c r="C3301" s="10" t="s">
        <v>363</v>
      </c>
      <c r="D3301" s="10" t="s">
        <v>364</v>
      </c>
      <c r="E3301" s="11" t="str">
        <f>+HYPERLINK("http://trademark.i-assist.jp/data/china/image_1902th/79381162.pdf", "79381162")</f>
        <v>79381162</v>
      </c>
      <c r="F3301" s="10" t="s">
        <v>9181</v>
      </c>
      <c r="G3301" s="10" t="s">
        <v>9140</v>
      </c>
      <c r="H3301" s="10" t="s">
        <v>9182</v>
      </c>
      <c r="I3301" s="10" t="s">
        <v>9128</v>
      </c>
    </row>
    <row r="3302" spans="1:9" x14ac:dyDescent="0.15">
      <c r="A3302" s="9">
        <v>3301</v>
      </c>
      <c r="B3302" s="10" t="s">
        <v>9</v>
      </c>
      <c r="C3302" s="10" t="s">
        <v>363</v>
      </c>
      <c r="D3302" s="10" t="s">
        <v>364</v>
      </c>
      <c r="E3302" s="11" t="str">
        <f>+HYPERLINK("http://trademark.i-assist.jp/data/china/image_1902th/79381352.pdf", "79381352")</f>
        <v>79381352</v>
      </c>
      <c r="F3302" s="10" t="s">
        <v>9183</v>
      </c>
      <c r="G3302" s="10" t="s">
        <v>9184</v>
      </c>
      <c r="H3302" s="10" t="s">
        <v>9185</v>
      </c>
      <c r="I3302" s="10" t="s">
        <v>9128</v>
      </c>
    </row>
    <row r="3303" spans="1:9" x14ac:dyDescent="0.15">
      <c r="A3303" s="9">
        <v>3302</v>
      </c>
      <c r="B3303" s="10" t="s">
        <v>9</v>
      </c>
      <c r="C3303" s="10" t="s">
        <v>363</v>
      </c>
      <c r="D3303" s="10" t="s">
        <v>364</v>
      </c>
      <c r="E3303" s="11" t="str">
        <f>+HYPERLINK("http://trademark.i-assist.jp/data/china/image_1902th/79381355.pdf", "79381355")</f>
        <v>79381355</v>
      </c>
      <c r="F3303" s="10" t="s">
        <v>9186</v>
      </c>
      <c r="G3303" s="10" t="s">
        <v>9184</v>
      </c>
      <c r="H3303" s="10" t="s">
        <v>15</v>
      </c>
      <c r="I3303" s="10" t="s">
        <v>9128</v>
      </c>
    </row>
    <row r="3304" spans="1:9" x14ac:dyDescent="0.15">
      <c r="A3304" s="9">
        <v>3303</v>
      </c>
      <c r="B3304" s="10" t="s">
        <v>9</v>
      </c>
      <c r="C3304" s="10" t="s">
        <v>363</v>
      </c>
      <c r="D3304" s="10" t="s">
        <v>364</v>
      </c>
      <c r="E3304" s="11" t="str">
        <f>+HYPERLINK("http://trademark.i-assist.jp/data/china/image_1902th/79381473.pdf", "79381473")</f>
        <v>79381473</v>
      </c>
      <c r="F3304" s="10" t="s">
        <v>9187</v>
      </c>
      <c r="G3304" s="10" t="s">
        <v>9160</v>
      </c>
      <c r="H3304" s="10" t="s">
        <v>9188</v>
      </c>
      <c r="I3304" s="10" t="s">
        <v>9128</v>
      </c>
    </row>
    <row r="3305" spans="1:9" x14ac:dyDescent="0.15">
      <c r="A3305" s="9">
        <v>3304</v>
      </c>
      <c r="B3305" s="10" t="s">
        <v>9</v>
      </c>
      <c r="C3305" s="10" t="s">
        <v>363</v>
      </c>
      <c r="D3305" s="10" t="s">
        <v>364</v>
      </c>
      <c r="E3305" s="11" t="str">
        <f>+HYPERLINK("http://trademark.i-assist.jp/data/china/image_1902th/79381502.pdf", "79381502")</f>
        <v>79381502</v>
      </c>
      <c r="F3305" s="10" t="s">
        <v>9189</v>
      </c>
      <c r="G3305" s="10" t="s">
        <v>9190</v>
      </c>
      <c r="H3305" s="10" t="s">
        <v>9191</v>
      </c>
      <c r="I3305" s="10" t="s">
        <v>9192</v>
      </c>
    </row>
    <row r="3306" spans="1:9" x14ac:dyDescent="0.15">
      <c r="A3306" s="9">
        <v>3305</v>
      </c>
      <c r="B3306" s="10" t="s">
        <v>9</v>
      </c>
      <c r="C3306" s="10" t="s">
        <v>363</v>
      </c>
      <c r="D3306" s="10" t="s">
        <v>364</v>
      </c>
      <c r="E3306" s="11" t="str">
        <f>+HYPERLINK("http://trademark.i-assist.jp/data/china/image_1902th/79381506.pdf", "79381506")</f>
        <v>79381506</v>
      </c>
      <c r="F3306" s="10" t="s">
        <v>9193</v>
      </c>
      <c r="G3306" s="10" t="s">
        <v>7814</v>
      </c>
      <c r="H3306" s="10" t="s">
        <v>9194</v>
      </c>
      <c r="I3306" s="10" t="s">
        <v>9192</v>
      </c>
    </row>
    <row r="3307" spans="1:9" x14ac:dyDescent="0.15">
      <c r="A3307" s="9">
        <v>3306</v>
      </c>
      <c r="B3307" s="10" t="s">
        <v>9</v>
      </c>
      <c r="C3307" s="10" t="s">
        <v>363</v>
      </c>
      <c r="D3307" s="10" t="s">
        <v>364</v>
      </c>
      <c r="E3307" s="11" t="str">
        <f>+HYPERLINK("http://trademark.i-assist.jp/data/china/image_1902th/79381588.pdf", "79381588")</f>
        <v>79381588</v>
      </c>
      <c r="F3307" s="10" t="s">
        <v>9195</v>
      </c>
      <c r="G3307" s="10" t="s">
        <v>9196</v>
      </c>
      <c r="H3307" s="10" t="s">
        <v>9197</v>
      </c>
      <c r="I3307" s="10" t="s">
        <v>9192</v>
      </c>
    </row>
    <row r="3308" spans="1:9" x14ac:dyDescent="0.15">
      <c r="A3308" s="9">
        <v>3307</v>
      </c>
      <c r="B3308" s="10" t="s">
        <v>9</v>
      </c>
      <c r="C3308" s="10" t="s">
        <v>363</v>
      </c>
      <c r="D3308" s="10" t="s">
        <v>364</v>
      </c>
      <c r="E3308" s="11" t="str">
        <f>+HYPERLINK("http://trademark.i-assist.jp/data/china/image_1902th/79381676.pdf", "79381676")</f>
        <v>79381676</v>
      </c>
      <c r="F3308" s="10" t="s">
        <v>9198</v>
      </c>
      <c r="G3308" s="10" t="s">
        <v>9199</v>
      </c>
      <c r="H3308" s="10" t="s">
        <v>15</v>
      </c>
      <c r="I3308" s="10" t="s">
        <v>9192</v>
      </c>
    </row>
    <row r="3309" spans="1:9" x14ac:dyDescent="0.15">
      <c r="A3309" s="9">
        <v>3308</v>
      </c>
      <c r="B3309" s="10" t="s">
        <v>9</v>
      </c>
      <c r="C3309" s="10" t="s">
        <v>363</v>
      </c>
      <c r="D3309" s="10" t="s">
        <v>364</v>
      </c>
      <c r="E3309" s="11" t="str">
        <f>+HYPERLINK("http://trademark.i-assist.jp/data/china/image_1902th/79382453.pdf", "79382453")</f>
        <v>79382453</v>
      </c>
      <c r="F3309" s="10" t="s">
        <v>9200</v>
      </c>
      <c r="G3309" s="10" t="s">
        <v>9201</v>
      </c>
      <c r="H3309" s="10" t="s">
        <v>15</v>
      </c>
      <c r="I3309" s="10" t="s">
        <v>9192</v>
      </c>
    </row>
    <row r="3310" spans="1:9" x14ac:dyDescent="0.15">
      <c r="A3310" s="9">
        <v>3309</v>
      </c>
      <c r="B3310" s="10" t="s">
        <v>9</v>
      </c>
      <c r="C3310" s="10" t="s">
        <v>363</v>
      </c>
      <c r="D3310" s="10" t="s">
        <v>364</v>
      </c>
      <c r="E3310" s="11" t="str">
        <f>+HYPERLINK("http://trademark.i-assist.jp/data/china/image_1902th/79382758.pdf", "79382758")</f>
        <v>79382758</v>
      </c>
      <c r="F3310" s="10" t="s">
        <v>9202</v>
      </c>
      <c r="G3310" s="10" t="s">
        <v>9203</v>
      </c>
      <c r="H3310" s="10" t="s">
        <v>9204</v>
      </c>
      <c r="I3310" s="10" t="s">
        <v>9192</v>
      </c>
    </row>
    <row r="3311" spans="1:9" x14ac:dyDescent="0.15">
      <c r="A3311" s="9">
        <v>3310</v>
      </c>
      <c r="B3311" s="10" t="s">
        <v>9</v>
      </c>
      <c r="C3311" s="10" t="s">
        <v>363</v>
      </c>
      <c r="D3311" s="10" t="s">
        <v>364</v>
      </c>
      <c r="E3311" s="11" t="str">
        <f>+HYPERLINK("http://trademark.i-assist.jp/data/china/image_1902th/79382866.pdf", "79382866")</f>
        <v>79382866</v>
      </c>
      <c r="F3311" s="10" t="s">
        <v>9205</v>
      </c>
      <c r="G3311" s="10" t="s">
        <v>9206</v>
      </c>
      <c r="H3311" s="10" t="s">
        <v>9207</v>
      </c>
      <c r="I3311" s="10" t="s">
        <v>9192</v>
      </c>
    </row>
    <row r="3312" spans="1:9" x14ac:dyDescent="0.15">
      <c r="A3312" s="9">
        <v>3311</v>
      </c>
      <c r="B3312" s="10" t="s">
        <v>9</v>
      </c>
      <c r="C3312" s="10" t="s">
        <v>363</v>
      </c>
      <c r="D3312" s="10" t="s">
        <v>364</v>
      </c>
      <c r="E3312" s="11" t="str">
        <f>+HYPERLINK("http://trademark.i-assist.jp/data/china/image_1902th/79383426.pdf", "79383426")</f>
        <v>79383426</v>
      </c>
      <c r="F3312" s="10" t="s">
        <v>9208</v>
      </c>
      <c r="G3312" s="10" t="s">
        <v>9199</v>
      </c>
      <c r="H3312" s="10" t="s">
        <v>9209</v>
      </c>
      <c r="I3312" s="10" t="s">
        <v>9192</v>
      </c>
    </row>
    <row r="3313" spans="1:9" x14ac:dyDescent="0.15">
      <c r="A3313" s="9">
        <v>3312</v>
      </c>
      <c r="B3313" s="10" t="s">
        <v>9</v>
      </c>
      <c r="C3313" s="10" t="s">
        <v>363</v>
      </c>
      <c r="D3313" s="10" t="s">
        <v>364</v>
      </c>
      <c r="E3313" s="11" t="str">
        <f>+HYPERLINK("http://trademark.i-assist.jp/data/china/image_1902th/79383562.pdf", "79383562")</f>
        <v>79383562</v>
      </c>
      <c r="F3313" s="10" t="s">
        <v>9210</v>
      </c>
      <c r="G3313" s="10" t="s">
        <v>9211</v>
      </c>
      <c r="H3313" s="10" t="s">
        <v>15</v>
      </c>
      <c r="I3313" s="10" t="s">
        <v>9192</v>
      </c>
    </row>
    <row r="3314" spans="1:9" x14ac:dyDescent="0.15">
      <c r="A3314" s="9">
        <v>3313</v>
      </c>
      <c r="B3314" s="10" t="s">
        <v>9</v>
      </c>
      <c r="C3314" s="10" t="s">
        <v>363</v>
      </c>
      <c r="D3314" s="10" t="s">
        <v>364</v>
      </c>
      <c r="E3314" s="11" t="str">
        <f>+HYPERLINK("http://trademark.i-assist.jp/data/china/image_1902th/79383730.pdf", "79383730")</f>
        <v>79383730</v>
      </c>
      <c r="F3314" s="10" t="s">
        <v>9212</v>
      </c>
      <c r="G3314" s="10" t="s">
        <v>9213</v>
      </c>
      <c r="H3314" s="10" t="s">
        <v>9214</v>
      </c>
      <c r="I3314" s="10" t="s">
        <v>9192</v>
      </c>
    </row>
    <row r="3315" spans="1:9" x14ac:dyDescent="0.15">
      <c r="A3315" s="9">
        <v>3314</v>
      </c>
      <c r="B3315" s="10" t="s">
        <v>9</v>
      </c>
      <c r="C3315" s="10" t="s">
        <v>363</v>
      </c>
      <c r="D3315" s="10" t="s">
        <v>364</v>
      </c>
      <c r="E3315" s="11" t="str">
        <f>+HYPERLINK("http://trademark.i-assist.jp/data/china/image_1902th/79383861.pdf", "79383861")</f>
        <v>79383861</v>
      </c>
      <c r="F3315" s="10" t="s">
        <v>9215</v>
      </c>
      <c r="G3315" s="10" t="s">
        <v>9216</v>
      </c>
      <c r="H3315" s="10" t="s">
        <v>9217</v>
      </c>
      <c r="I3315" s="10" t="s">
        <v>9192</v>
      </c>
    </row>
    <row r="3316" spans="1:9" x14ac:dyDescent="0.15">
      <c r="A3316" s="9">
        <v>3315</v>
      </c>
      <c r="B3316" s="10" t="s">
        <v>9</v>
      </c>
      <c r="C3316" s="10" t="s">
        <v>363</v>
      </c>
      <c r="D3316" s="10" t="s">
        <v>364</v>
      </c>
      <c r="E3316" s="11" t="str">
        <f>+HYPERLINK("http://trademark.i-assist.jp/data/china/image_1902th/79384005.pdf", "79384005")</f>
        <v>79384005</v>
      </c>
      <c r="F3316" s="10" t="s">
        <v>9218</v>
      </c>
      <c r="G3316" s="10" t="s">
        <v>9199</v>
      </c>
      <c r="H3316" s="10" t="s">
        <v>9219</v>
      </c>
      <c r="I3316" s="10" t="s">
        <v>9192</v>
      </c>
    </row>
    <row r="3317" spans="1:9" x14ac:dyDescent="0.15">
      <c r="A3317" s="9">
        <v>3316</v>
      </c>
      <c r="B3317" s="10" t="s">
        <v>9</v>
      </c>
      <c r="C3317" s="10" t="s">
        <v>363</v>
      </c>
      <c r="D3317" s="10" t="s">
        <v>364</v>
      </c>
      <c r="E3317" s="11" t="str">
        <f>+HYPERLINK("http://trademark.i-assist.jp/data/china/image_1902th/79384022.pdf", "79384022")</f>
        <v>79384022</v>
      </c>
      <c r="F3317" s="10" t="s">
        <v>9220</v>
      </c>
      <c r="G3317" s="10" t="s">
        <v>9221</v>
      </c>
      <c r="H3317" s="10" t="s">
        <v>9222</v>
      </c>
      <c r="I3317" s="10" t="s">
        <v>9192</v>
      </c>
    </row>
    <row r="3318" spans="1:9" x14ac:dyDescent="0.15">
      <c r="A3318" s="9">
        <v>3317</v>
      </c>
      <c r="B3318" s="10" t="s">
        <v>9</v>
      </c>
      <c r="C3318" s="10" t="s">
        <v>363</v>
      </c>
      <c r="D3318" s="10" t="s">
        <v>364</v>
      </c>
      <c r="E3318" s="11" t="str">
        <f>+HYPERLINK("http://trademark.i-assist.jp/data/china/image_1902th/79384034.pdf", "79384034")</f>
        <v>79384034</v>
      </c>
      <c r="F3318" s="10" t="s">
        <v>9223</v>
      </c>
      <c r="G3318" s="10" t="s">
        <v>9224</v>
      </c>
      <c r="H3318" s="10" t="s">
        <v>9225</v>
      </c>
      <c r="I3318" s="10" t="s">
        <v>9192</v>
      </c>
    </row>
    <row r="3319" spans="1:9" x14ac:dyDescent="0.15">
      <c r="A3319" s="9">
        <v>3318</v>
      </c>
      <c r="B3319" s="10" t="s">
        <v>9</v>
      </c>
      <c r="C3319" s="10" t="s">
        <v>363</v>
      </c>
      <c r="D3319" s="10" t="s">
        <v>364</v>
      </c>
      <c r="E3319" s="11" t="str">
        <f>+HYPERLINK("http://trademark.i-assist.jp/data/china/image_1902th/79384208.pdf", "79384208")</f>
        <v>79384208</v>
      </c>
      <c r="F3319" s="10" t="s">
        <v>9226</v>
      </c>
      <c r="G3319" s="10" t="s">
        <v>9203</v>
      </c>
      <c r="H3319" s="10" t="s">
        <v>9227</v>
      </c>
      <c r="I3319" s="10" t="s">
        <v>9192</v>
      </c>
    </row>
    <row r="3320" spans="1:9" x14ac:dyDescent="0.15">
      <c r="A3320" s="9">
        <v>3319</v>
      </c>
      <c r="B3320" s="10" t="s">
        <v>9</v>
      </c>
      <c r="C3320" s="10" t="s">
        <v>363</v>
      </c>
      <c r="D3320" s="10" t="s">
        <v>364</v>
      </c>
      <c r="E3320" s="11" t="str">
        <f>+HYPERLINK("http://trademark.i-assist.jp/data/china/image_1902th/79384781.pdf", "79384781")</f>
        <v>79384781</v>
      </c>
      <c r="F3320" s="10" t="s">
        <v>9228</v>
      </c>
      <c r="G3320" s="10" t="s">
        <v>9229</v>
      </c>
      <c r="H3320" s="10" t="s">
        <v>9230</v>
      </c>
      <c r="I3320" s="10" t="s">
        <v>9231</v>
      </c>
    </row>
    <row r="3321" spans="1:9" x14ac:dyDescent="0.15">
      <c r="A3321" s="9">
        <v>3320</v>
      </c>
      <c r="B3321" s="10" t="s">
        <v>9</v>
      </c>
      <c r="C3321" s="10" t="s">
        <v>363</v>
      </c>
      <c r="D3321" s="10" t="s">
        <v>364</v>
      </c>
      <c r="E3321" s="11" t="str">
        <f>+HYPERLINK("http://trademark.i-assist.jp/data/china/image_1902th/79384851.pdf", "79384851")</f>
        <v>79384851</v>
      </c>
      <c r="F3321" s="10" t="s">
        <v>9232</v>
      </c>
      <c r="G3321" s="10" t="s">
        <v>1120</v>
      </c>
      <c r="H3321" s="10" t="s">
        <v>9233</v>
      </c>
      <c r="I3321" s="10" t="s">
        <v>9231</v>
      </c>
    </row>
    <row r="3322" spans="1:9" x14ac:dyDescent="0.15">
      <c r="A3322" s="9">
        <v>3321</v>
      </c>
      <c r="B3322" s="10" t="s">
        <v>9</v>
      </c>
      <c r="C3322" s="10" t="s">
        <v>363</v>
      </c>
      <c r="D3322" s="10" t="s">
        <v>364</v>
      </c>
      <c r="E3322" s="11" t="str">
        <f>+HYPERLINK("http://trademark.i-assist.jp/data/china/image_1902th/79384930.pdf", "79384930")</f>
        <v>79384930</v>
      </c>
      <c r="F3322" s="10" t="s">
        <v>9234</v>
      </c>
      <c r="G3322" s="10" t="s">
        <v>9235</v>
      </c>
      <c r="H3322" s="10" t="s">
        <v>9236</v>
      </c>
      <c r="I3322" s="10" t="s">
        <v>9231</v>
      </c>
    </row>
    <row r="3323" spans="1:9" x14ac:dyDescent="0.15">
      <c r="A3323" s="9">
        <v>3322</v>
      </c>
      <c r="B3323" s="10" t="s">
        <v>9</v>
      </c>
      <c r="C3323" s="10" t="s">
        <v>363</v>
      </c>
      <c r="D3323" s="10" t="s">
        <v>364</v>
      </c>
      <c r="E3323" s="11" t="str">
        <f>+HYPERLINK("http://trademark.i-assist.jp/data/china/image_1902th/79385187.pdf", "79385187")</f>
        <v>79385187</v>
      </c>
      <c r="F3323" s="10" t="s">
        <v>9237</v>
      </c>
      <c r="G3323" s="10" t="s">
        <v>9238</v>
      </c>
      <c r="H3323" s="10" t="s">
        <v>9239</v>
      </c>
      <c r="I3323" s="10" t="s">
        <v>9231</v>
      </c>
    </row>
    <row r="3324" spans="1:9" x14ac:dyDescent="0.15">
      <c r="A3324" s="9">
        <v>3323</v>
      </c>
      <c r="B3324" s="10" t="s">
        <v>9</v>
      </c>
      <c r="C3324" s="10" t="s">
        <v>363</v>
      </c>
      <c r="D3324" s="10" t="s">
        <v>364</v>
      </c>
      <c r="E3324" s="11" t="str">
        <f>+HYPERLINK("http://trademark.i-assist.jp/data/china/image_1902th/79385335.pdf", "79385335")</f>
        <v>79385335</v>
      </c>
      <c r="F3324" s="10" t="s">
        <v>9240</v>
      </c>
      <c r="G3324" s="10" t="s">
        <v>9241</v>
      </c>
      <c r="H3324" s="10" t="s">
        <v>9242</v>
      </c>
      <c r="I3324" s="10" t="s">
        <v>9231</v>
      </c>
    </row>
    <row r="3325" spans="1:9" x14ac:dyDescent="0.15">
      <c r="A3325" s="9">
        <v>3324</v>
      </c>
      <c r="B3325" s="10" t="s">
        <v>9</v>
      </c>
      <c r="C3325" s="10" t="s">
        <v>363</v>
      </c>
      <c r="D3325" s="10" t="s">
        <v>364</v>
      </c>
      <c r="E3325" s="11" t="str">
        <f>+HYPERLINK("http://trademark.i-assist.jp/data/china/image_1902th/79385407.pdf", "79385407")</f>
        <v>79385407</v>
      </c>
      <c r="F3325" s="10" t="s">
        <v>9243</v>
      </c>
      <c r="G3325" s="10" t="s">
        <v>9244</v>
      </c>
      <c r="H3325" s="10" t="s">
        <v>9245</v>
      </c>
      <c r="I3325" s="10" t="s">
        <v>9231</v>
      </c>
    </row>
    <row r="3326" spans="1:9" x14ac:dyDescent="0.15">
      <c r="A3326" s="9">
        <v>3325</v>
      </c>
      <c r="B3326" s="10" t="s">
        <v>9</v>
      </c>
      <c r="C3326" s="10" t="s">
        <v>363</v>
      </c>
      <c r="D3326" s="10" t="s">
        <v>364</v>
      </c>
      <c r="E3326" s="11" t="str">
        <f>+HYPERLINK("http://trademark.i-assist.jp/data/china/image_1902th/79385758.pdf", "79385758")</f>
        <v>79385758</v>
      </c>
      <c r="F3326" s="10" t="s">
        <v>9246</v>
      </c>
      <c r="G3326" s="10" t="s">
        <v>9235</v>
      </c>
      <c r="H3326" s="10" t="s">
        <v>9247</v>
      </c>
      <c r="I3326" s="10" t="s">
        <v>9231</v>
      </c>
    </row>
    <row r="3327" spans="1:9" x14ac:dyDescent="0.15">
      <c r="A3327" s="9">
        <v>3326</v>
      </c>
      <c r="B3327" s="10" t="s">
        <v>9</v>
      </c>
      <c r="C3327" s="10" t="s">
        <v>363</v>
      </c>
      <c r="D3327" s="10" t="s">
        <v>364</v>
      </c>
      <c r="E3327" s="11" t="str">
        <f>+HYPERLINK("http://trademark.i-assist.jp/data/china/image_1902th/79385971.pdf", "79385971")</f>
        <v>79385971</v>
      </c>
      <c r="F3327" s="10" t="s">
        <v>9248</v>
      </c>
      <c r="G3327" s="10" t="s">
        <v>9249</v>
      </c>
      <c r="H3327" s="10" t="s">
        <v>9250</v>
      </c>
      <c r="I3327" s="10" t="s">
        <v>9231</v>
      </c>
    </row>
    <row r="3328" spans="1:9" x14ac:dyDescent="0.15">
      <c r="A3328" s="9">
        <v>3327</v>
      </c>
      <c r="B3328" s="10" t="s">
        <v>9</v>
      </c>
      <c r="C3328" s="10" t="s">
        <v>363</v>
      </c>
      <c r="D3328" s="10" t="s">
        <v>364</v>
      </c>
      <c r="E3328" s="11" t="str">
        <f>+HYPERLINK("http://trademark.i-assist.jp/data/china/image_1902th/79385988.pdf", "79385988")</f>
        <v>79385988</v>
      </c>
      <c r="F3328" s="10" t="s">
        <v>9251</v>
      </c>
      <c r="G3328" s="10" t="s">
        <v>9252</v>
      </c>
      <c r="H3328" s="10" t="s">
        <v>9253</v>
      </c>
      <c r="I3328" s="10" t="s">
        <v>9231</v>
      </c>
    </row>
    <row r="3329" spans="1:9" x14ac:dyDescent="0.15">
      <c r="A3329" s="9">
        <v>3328</v>
      </c>
      <c r="B3329" s="10" t="s">
        <v>9</v>
      </c>
      <c r="C3329" s="10" t="s">
        <v>363</v>
      </c>
      <c r="D3329" s="10" t="s">
        <v>364</v>
      </c>
      <c r="E3329" s="11" t="str">
        <f>+HYPERLINK("http://trademark.i-assist.jp/data/china/image_1902th/79386089.pdf", "79386089")</f>
        <v>79386089</v>
      </c>
      <c r="F3329" s="10" t="s">
        <v>9254</v>
      </c>
      <c r="G3329" s="10" t="s">
        <v>9255</v>
      </c>
      <c r="H3329" s="10" t="s">
        <v>9256</v>
      </c>
      <c r="I3329" s="10" t="s">
        <v>9231</v>
      </c>
    </row>
    <row r="3330" spans="1:9" x14ac:dyDescent="0.15">
      <c r="A3330" s="9">
        <v>3329</v>
      </c>
      <c r="B3330" s="10" t="s">
        <v>9</v>
      </c>
      <c r="C3330" s="10" t="s">
        <v>363</v>
      </c>
      <c r="D3330" s="10" t="s">
        <v>364</v>
      </c>
      <c r="E3330" s="11" t="str">
        <f>+HYPERLINK("http://trademark.i-assist.jp/data/china/image_1902th/79386158.pdf", "79386158")</f>
        <v>79386158</v>
      </c>
      <c r="F3330" s="10" t="s">
        <v>9257</v>
      </c>
      <c r="G3330" s="10" t="s">
        <v>9258</v>
      </c>
      <c r="H3330" s="10" t="s">
        <v>9259</v>
      </c>
      <c r="I3330" s="10" t="s">
        <v>9231</v>
      </c>
    </row>
    <row r="3331" spans="1:9" x14ac:dyDescent="0.15">
      <c r="A3331" s="9">
        <v>3330</v>
      </c>
      <c r="B3331" s="10" t="s">
        <v>9</v>
      </c>
      <c r="C3331" s="10" t="s">
        <v>363</v>
      </c>
      <c r="D3331" s="10" t="s">
        <v>364</v>
      </c>
      <c r="E3331" s="11" t="str">
        <f>+HYPERLINK("http://trademark.i-assist.jp/data/china/image_1902th/79386325.pdf", "79386325")</f>
        <v>79386325</v>
      </c>
      <c r="F3331" s="10" t="s">
        <v>9260</v>
      </c>
      <c r="G3331" s="10" t="s">
        <v>9261</v>
      </c>
      <c r="H3331" s="10" t="s">
        <v>9262</v>
      </c>
      <c r="I3331" s="10" t="s">
        <v>9231</v>
      </c>
    </row>
    <row r="3332" spans="1:9" x14ac:dyDescent="0.15">
      <c r="A3332" s="9">
        <v>3331</v>
      </c>
      <c r="B3332" s="10" t="s">
        <v>9</v>
      </c>
      <c r="C3332" s="10" t="s">
        <v>363</v>
      </c>
      <c r="D3332" s="10" t="s">
        <v>364</v>
      </c>
      <c r="E3332" s="11" t="str">
        <f>+HYPERLINK("http://trademark.i-assist.jp/data/china/image_1902th/79386399.pdf", "79386399")</f>
        <v>79386399</v>
      </c>
      <c r="F3332" s="10" t="s">
        <v>9263</v>
      </c>
      <c r="G3332" s="10" t="s">
        <v>1904</v>
      </c>
      <c r="H3332" s="10" t="s">
        <v>9264</v>
      </c>
      <c r="I3332" s="10" t="s">
        <v>9231</v>
      </c>
    </row>
    <row r="3333" spans="1:9" x14ac:dyDescent="0.15">
      <c r="A3333" s="9">
        <v>3332</v>
      </c>
      <c r="B3333" s="10" t="s">
        <v>9</v>
      </c>
      <c r="C3333" s="10" t="s">
        <v>363</v>
      </c>
      <c r="D3333" s="10" t="s">
        <v>364</v>
      </c>
      <c r="E3333" s="11" t="str">
        <f>+HYPERLINK("http://trademark.i-assist.jp/data/china/image_1902th/79386454.pdf", "79386454")</f>
        <v>79386454</v>
      </c>
      <c r="F3333" s="10" t="s">
        <v>9265</v>
      </c>
      <c r="G3333" s="10" t="s">
        <v>9266</v>
      </c>
      <c r="H3333" s="10" t="s">
        <v>9267</v>
      </c>
      <c r="I3333" s="10" t="s">
        <v>9231</v>
      </c>
    </row>
    <row r="3334" spans="1:9" x14ac:dyDescent="0.15">
      <c r="A3334" s="9">
        <v>3333</v>
      </c>
      <c r="B3334" s="10" t="s">
        <v>9</v>
      </c>
      <c r="C3334" s="10" t="s">
        <v>363</v>
      </c>
      <c r="D3334" s="10" t="s">
        <v>364</v>
      </c>
      <c r="E3334" s="11" t="str">
        <f>+HYPERLINK("http://trademark.i-assist.jp/data/china/image_1902th/79387063.pdf", "79387063")</f>
        <v>79387063</v>
      </c>
      <c r="F3334" s="10" t="s">
        <v>9268</v>
      </c>
      <c r="G3334" s="10" t="s">
        <v>9269</v>
      </c>
      <c r="H3334" s="10" t="s">
        <v>9270</v>
      </c>
      <c r="I3334" s="10" t="s">
        <v>9231</v>
      </c>
    </row>
    <row r="3335" spans="1:9" x14ac:dyDescent="0.15">
      <c r="A3335" s="9">
        <v>3334</v>
      </c>
      <c r="B3335" s="10" t="s">
        <v>9</v>
      </c>
      <c r="C3335" s="10" t="s">
        <v>363</v>
      </c>
      <c r="D3335" s="10" t="s">
        <v>364</v>
      </c>
      <c r="E3335" s="11" t="str">
        <f>+HYPERLINK("http://trademark.i-assist.jp/data/china/image_1902th/79387152.pdf", "79387152")</f>
        <v>79387152</v>
      </c>
      <c r="F3335" s="10" t="s">
        <v>9271</v>
      </c>
      <c r="G3335" s="10" t="s">
        <v>9272</v>
      </c>
      <c r="H3335" s="10" t="s">
        <v>9273</v>
      </c>
      <c r="I3335" s="10" t="s">
        <v>9231</v>
      </c>
    </row>
    <row r="3336" spans="1:9" x14ac:dyDescent="0.15">
      <c r="A3336" s="9">
        <v>3335</v>
      </c>
      <c r="B3336" s="10" t="s">
        <v>9</v>
      </c>
      <c r="C3336" s="10" t="s">
        <v>363</v>
      </c>
      <c r="D3336" s="10" t="s">
        <v>364</v>
      </c>
      <c r="E3336" s="11" t="str">
        <f>+HYPERLINK("http://trademark.i-assist.jp/data/china/image_1902th/79387496.pdf", "79387496")</f>
        <v>79387496</v>
      </c>
      <c r="F3336" s="10" t="s">
        <v>9274</v>
      </c>
      <c r="G3336" s="10" t="s">
        <v>9275</v>
      </c>
      <c r="H3336" s="10" t="s">
        <v>9276</v>
      </c>
      <c r="I3336" s="10" t="s">
        <v>9231</v>
      </c>
    </row>
    <row r="3337" spans="1:9" x14ac:dyDescent="0.15">
      <c r="A3337" s="9">
        <v>3336</v>
      </c>
      <c r="B3337" s="10" t="s">
        <v>9</v>
      </c>
      <c r="C3337" s="10" t="s">
        <v>363</v>
      </c>
      <c r="D3337" s="10" t="s">
        <v>364</v>
      </c>
      <c r="E3337" s="11" t="str">
        <f>+HYPERLINK("http://trademark.i-assist.jp/data/china/image_1902th/79388556.pdf", "79388556")</f>
        <v>79388556</v>
      </c>
      <c r="F3337" s="10" t="s">
        <v>12</v>
      </c>
      <c r="G3337" s="10" t="s">
        <v>8830</v>
      </c>
      <c r="H3337" s="10" t="s">
        <v>9277</v>
      </c>
      <c r="I3337" s="10" t="s">
        <v>9231</v>
      </c>
    </row>
    <row r="3338" spans="1:9" x14ac:dyDescent="0.15">
      <c r="A3338" s="9">
        <v>3337</v>
      </c>
      <c r="B3338" s="10" t="s">
        <v>9</v>
      </c>
      <c r="C3338" s="10" t="s">
        <v>363</v>
      </c>
      <c r="D3338" s="10" t="s">
        <v>364</v>
      </c>
      <c r="E3338" s="11" t="str">
        <f>+HYPERLINK("http://trademark.i-assist.jp/data/china/image_1902th/79388769.pdf", "79388769")</f>
        <v>79388769</v>
      </c>
      <c r="F3338" s="10" t="s">
        <v>9278</v>
      </c>
      <c r="G3338" s="10" t="s">
        <v>9279</v>
      </c>
      <c r="H3338" s="10" t="s">
        <v>9280</v>
      </c>
      <c r="I3338" s="10" t="s">
        <v>9231</v>
      </c>
    </row>
    <row r="3339" spans="1:9" x14ac:dyDescent="0.15">
      <c r="A3339" s="9">
        <v>3338</v>
      </c>
      <c r="B3339" s="10" t="s">
        <v>9</v>
      </c>
      <c r="C3339" s="10" t="s">
        <v>363</v>
      </c>
      <c r="D3339" s="10" t="s">
        <v>364</v>
      </c>
      <c r="E3339" s="11" t="str">
        <f>+HYPERLINK("http://trademark.i-assist.jp/data/china/image_1902th/79390026.pdf", "79390026")</f>
        <v>79390026</v>
      </c>
      <c r="F3339" s="10" t="s">
        <v>9281</v>
      </c>
      <c r="G3339" s="10" t="s">
        <v>9282</v>
      </c>
      <c r="H3339" s="10" t="s">
        <v>9283</v>
      </c>
      <c r="I3339" s="10" t="s">
        <v>9231</v>
      </c>
    </row>
    <row r="3340" spans="1:9" x14ac:dyDescent="0.15">
      <c r="A3340" s="9">
        <v>3339</v>
      </c>
      <c r="B3340" s="10" t="s">
        <v>9</v>
      </c>
      <c r="C3340" s="10" t="s">
        <v>363</v>
      </c>
      <c r="D3340" s="10" t="s">
        <v>364</v>
      </c>
      <c r="E3340" s="11" t="str">
        <f>+HYPERLINK("http://trademark.i-assist.jp/data/china/image_1902th/79390915.pdf", "79390915")</f>
        <v>79390915</v>
      </c>
      <c r="F3340" s="10" t="s">
        <v>12</v>
      </c>
      <c r="G3340" s="10" t="s">
        <v>9284</v>
      </c>
      <c r="H3340" s="10" t="s">
        <v>9285</v>
      </c>
      <c r="I3340" s="10" t="s">
        <v>9231</v>
      </c>
    </row>
    <row r="3341" spans="1:9" x14ac:dyDescent="0.15">
      <c r="A3341" s="9">
        <v>3340</v>
      </c>
      <c r="B3341" s="10" t="s">
        <v>9</v>
      </c>
      <c r="C3341" s="10" t="s">
        <v>363</v>
      </c>
      <c r="D3341" s="10" t="s">
        <v>364</v>
      </c>
      <c r="E3341" s="11" t="str">
        <f>+HYPERLINK("http://trademark.i-assist.jp/data/china/image_1902th/79390942.pdf", "79390942")</f>
        <v>79390942</v>
      </c>
      <c r="F3341" s="10" t="s">
        <v>9286</v>
      </c>
      <c r="G3341" s="10" t="s">
        <v>9287</v>
      </c>
      <c r="H3341" s="10" t="s">
        <v>9288</v>
      </c>
      <c r="I3341" s="10" t="s">
        <v>9231</v>
      </c>
    </row>
    <row r="3342" spans="1:9" x14ac:dyDescent="0.15">
      <c r="A3342" s="9">
        <v>3341</v>
      </c>
      <c r="B3342" s="10" t="s">
        <v>9</v>
      </c>
      <c r="C3342" s="10" t="s">
        <v>363</v>
      </c>
      <c r="D3342" s="10" t="s">
        <v>364</v>
      </c>
      <c r="E3342" s="11" t="str">
        <f>+HYPERLINK("http://trademark.i-assist.jp/data/china/image_1902th/79391291.pdf", "79391291")</f>
        <v>79391291</v>
      </c>
      <c r="F3342" s="10" t="s">
        <v>9289</v>
      </c>
      <c r="G3342" s="10" t="s">
        <v>9290</v>
      </c>
      <c r="H3342" s="10" t="s">
        <v>9291</v>
      </c>
      <c r="I3342" s="10" t="s">
        <v>9231</v>
      </c>
    </row>
    <row r="3343" spans="1:9" x14ac:dyDescent="0.15">
      <c r="A3343" s="9">
        <v>3342</v>
      </c>
      <c r="B3343" s="10" t="s">
        <v>9</v>
      </c>
      <c r="C3343" s="10" t="s">
        <v>363</v>
      </c>
      <c r="D3343" s="10" t="s">
        <v>364</v>
      </c>
      <c r="E3343" s="11" t="str">
        <f>+HYPERLINK("http://trademark.i-assist.jp/data/china/image_1902th/79391700.pdf", "79391700")</f>
        <v>79391700</v>
      </c>
      <c r="F3343" s="10" t="s">
        <v>9292</v>
      </c>
      <c r="G3343" s="10" t="s">
        <v>9293</v>
      </c>
      <c r="H3343" s="10" t="s">
        <v>9294</v>
      </c>
      <c r="I3343" s="10" t="s">
        <v>9231</v>
      </c>
    </row>
    <row r="3344" spans="1:9" x14ac:dyDescent="0.15">
      <c r="A3344" s="9">
        <v>3343</v>
      </c>
      <c r="B3344" s="10" t="s">
        <v>9</v>
      </c>
      <c r="C3344" s="10" t="s">
        <v>363</v>
      </c>
      <c r="D3344" s="10" t="s">
        <v>364</v>
      </c>
      <c r="E3344" s="11" t="str">
        <f>+HYPERLINK("http://trademark.i-assist.jp/data/china/image_1902th/79391969.pdf", "79391969")</f>
        <v>79391969</v>
      </c>
      <c r="F3344" s="10" t="s">
        <v>9295</v>
      </c>
      <c r="G3344" s="10" t="s">
        <v>9296</v>
      </c>
      <c r="H3344" s="10" t="s">
        <v>9297</v>
      </c>
      <c r="I3344" s="10" t="s">
        <v>9231</v>
      </c>
    </row>
    <row r="3345" spans="1:9" x14ac:dyDescent="0.15">
      <c r="A3345" s="9">
        <v>3344</v>
      </c>
      <c r="B3345" s="10" t="s">
        <v>9</v>
      </c>
      <c r="C3345" s="10" t="s">
        <v>363</v>
      </c>
      <c r="D3345" s="10" t="s">
        <v>364</v>
      </c>
      <c r="E3345" s="11" t="str">
        <f>+HYPERLINK("http://trademark.i-assist.jp/data/china/image_1902th/79392387.pdf", "79392387")</f>
        <v>79392387</v>
      </c>
      <c r="F3345" s="10" t="s">
        <v>9298</v>
      </c>
      <c r="G3345" s="10" t="s">
        <v>9299</v>
      </c>
      <c r="H3345" s="10" t="s">
        <v>15</v>
      </c>
      <c r="I3345" s="10" t="s">
        <v>9231</v>
      </c>
    </row>
    <row r="3346" spans="1:9" x14ac:dyDescent="0.15">
      <c r="A3346" s="9">
        <v>3345</v>
      </c>
      <c r="B3346" s="10" t="s">
        <v>9</v>
      </c>
      <c r="C3346" s="10" t="s">
        <v>363</v>
      </c>
      <c r="D3346" s="10" t="s">
        <v>364</v>
      </c>
      <c r="E3346" s="11" t="str">
        <f>+HYPERLINK("http://trademark.i-assist.jp/data/china/image_1902th/79393052.pdf", "79393052")</f>
        <v>79393052</v>
      </c>
      <c r="F3346" s="10" t="s">
        <v>9300</v>
      </c>
      <c r="G3346" s="10" t="s">
        <v>9301</v>
      </c>
      <c r="H3346" s="10" t="s">
        <v>9302</v>
      </c>
      <c r="I3346" s="10" t="s">
        <v>9231</v>
      </c>
    </row>
    <row r="3347" spans="1:9" x14ac:dyDescent="0.15">
      <c r="A3347" s="9">
        <v>3346</v>
      </c>
      <c r="B3347" s="10" t="s">
        <v>9</v>
      </c>
      <c r="C3347" s="10" t="s">
        <v>363</v>
      </c>
      <c r="D3347" s="10" t="s">
        <v>364</v>
      </c>
      <c r="E3347" s="11" t="str">
        <f>+HYPERLINK("http://trademark.i-assist.jp/data/china/image_1902th/79393540.pdf", "79393540")</f>
        <v>79393540</v>
      </c>
      <c r="F3347" s="10" t="s">
        <v>12</v>
      </c>
      <c r="G3347" s="10" t="s">
        <v>9303</v>
      </c>
      <c r="H3347" s="10" t="s">
        <v>9304</v>
      </c>
      <c r="I3347" s="10" t="s">
        <v>9231</v>
      </c>
    </row>
    <row r="3348" spans="1:9" x14ac:dyDescent="0.15">
      <c r="A3348" s="9">
        <v>3347</v>
      </c>
      <c r="B3348" s="10" t="s">
        <v>9</v>
      </c>
      <c r="C3348" s="10" t="s">
        <v>363</v>
      </c>
      <c r="D3348" s="10" t="s">
        <v>364</v>
      </c>
      <c r="E3348" s="11" t="str">
        <f>+HYPERLINK("http://trademark.i-assist.jp/data/china/image_1902th/79393734.pdf", "79393734")</f>
        <v>79393734</v>
      </c>
      <c r="F3348" s="10" t="s">
        <v>9305</v>
      </c>
      <c r="G3348" s="10" t="s">
        <v>9306</v>
      </c>
      <c r="H3348" s="10" t="s">
        <v>9307</v>
      </c>
      <c r="I3348" s="10" t="s">
        <v>9231</v>
      </c>
    </row>
    <row r="3349" spans="1:9" x14ac:dyDescent="0.15">
      <c r="A3349" s="9">
        <v>3348</v>
      </c>
      <c r="B3349" s="10" t="s">
        <v>9</v>
      </c>
      <c r="C3349" s="10" t="s">
        <v>363</v>
      </c>
      <c r="D3349" s="10" t="s">
        <v>364</v>
      </c>
      <c r="E3349" s="11" t="str">
        <f>+HYPERLINK("http://trademark.i-assist.jp/data/china/image_1902th/79393916.pdf", "79393916")</f>
        <v>79393916</v>
      </c>
      <c r="F3349" s="10" t="s">
        <v>9308</v>
      </c>
      <c r="G3349" s="10" t="s">
        <v>9309</v>
      </c>
      <c r="H3349" s="10" t="s">
        <v>9310</v>
      </c>
      <c r="I3349" s="10" t="s">
        <v>9231</v>
      </c>
    </row>
    <row r="3350" spans="1:9" x14ac:dyDescent="0.15">
      <c r="A3350" s="9">
        <v>3349</v>
      </c>
      <c r="B3350" s="10" t="s">
        <v>9</v>
      </c>
      <c r="C3350" s="10" t="s">
        <v>363</v>
      </c>
      <c r="D3350" s="10" t="s">
        <v>364</v>
      </c>
      <c r="E3350" s="11" t="str">
        <f>+HYPERLINK("http://trademark.i-assist.jp/data/china/image_1902th/79394384.pdf", "79394384")</f>
        <v>79394384</v>
      </c>
      <c r="F3350" s="10" t="s">
        <v>12</v>
      </c>
      <c r="G3350" s="10" t="s">
        <v>9311</v>
      </c>
      <c r="H3350" s="10" t="s">
        <v>9312</v>
      </c>
      <c r="I3350" s="10" t="s">
        <v>9231</v>
      </c>
    </row>
    <row r="3351" spans="1:9" x14ac:dyDescent="0.15">
      <c r="A3351" s="9">
        <v>3350</v>
      </c>
      <c r="B3351" s="10" t="s">
        <v>9</v>
      </c>
      <c r="C3351" s="10" t="s">
        <v>363</v>
      </c>
      <c r="D3351" s="10" t="s">
        <v>364</v>
      </c>
      <c r="E3351" s="11" t="str">
        <f>+HYPERLINK("http://trademark.i-assist.jp/data/china/image_1902th/79394519.pdf", "79394519")</f>
        <v>79394519</v>
      </c>
      <c r="F3351" s="10" t="s">
        <v>12</v>
      </c>
      <c r="G3351" s="10" t="s">
        <v>9287</v>
      </c>
      <c r="H3351" s="10" t="s">
        <v>9313</v>
      </c>
      <c r="I3351" s="10" t="s">
        <v>9231</v>
      </c>
    </row>
    <row r="3352" spans="1:9" x14ac:dyDescent="0.15">
      <c r="A3352" s="9">
        <v>3351</v>
      </c>
      <c r="B3352" s="10" t="s">
        <v>9</v>
      </c>
      <c r="C3352" s="10" t="s">
        <v>363</v>
      </c>
      <c r="D3352" s="10" t="s">
        <v>364</v>
      </c>
      <c r="E3352" s="11" t="str">
        <f>+HYPERLINK("http://trademark.i-assist.jp/data/china/image_1902th/79394564.pdf", "79394564")</f>
        <v>79394564</v>
      </c>
      <c r="F3352" s="10" t="s">
        <v>9314</v>
      </c>
      <c r="G3352" s="10" t="s">
        <v>9315</v>
      </c>
      <c r="H3352" s="10" t="s">
        <v>9316</v>
      </c>
      <c r="I3352" s="10" t="s">
        <v>9231</v>
      </c>
    </row>
    <row r="3353" spans="1:9" x14ac:dyDescent="0.15">
      <c r="A3353" s="9">
        <v>3352</v>
      </c>
      <c r="B3353" s="10" t="s">
        <v>9</v>
      </c>
      <c r="C3353" s="10" t="s">
        <v>363</v>
      </c>
      <c r="D3353" s="10" t="s">
        <v>364</v>
      </c>
      <c r="E3353" s="11" t="str">
        <f>+HYPERLINK("http://trademark.i-assist.jp/data/china/image_1902th/79394634.pdf", "79394634")</f>
        <v>79394634</v>
      </c>
      <c r="F3353" s="10" t="s">
        <v>9317</v>
      </c>
      <c r="G3353" s="10" t="s">
        <v>1120</v>
      </c>
      <c r="H3353" s="10" t="s">
        <v>9318</v>
      </c>
      <c r="I3353" s="10" t="s">
        <v>9231</v>
      </c>
    </row>
    <row r="3354" spans="1:9" x14ac:dyDescent="0.15">
      <c r="A3354" s="9">
        <v>3353</v>
      </c>
      <c r="B3354" s="10" t="s">
        <v>9</v>
      </c>
      <c r="C3354" s="10" t="s">
        <v>363</v>
      </c>
      <c r="D3354" s="10" t="s">
        <v>364</v>
      </c>
      <c r="E3354" s="11" t="str">
        <f>+HYPERLINK("http://trademark.i-assist.jp/data/china/image_1902th/79396149.pdf", "79396149")</f>
        <v>79396149</v>
      </c>
      <c r="F3354" s="10" t="s">
        <v>9319</v>
      </c>
      <c r="G3354" s="10" t="s">
        <v>9320</v>
      </c>
      <c r="H3354" s="10" t="s">
        <v>9321</v>
      </c>
      <c r="I3354" s="10" t="s">
        <v>9231</v>
      </c>
    </row>
    <row r="3355" spans="1:9" x14ac:dyDescent="0.15">
      <c r="A3355" s="9">
        <v>3354</v>
      </c>
      <c r="B3355" s="10" t="s">
        <v>9</v>
      </c>
      <c r="C3355" s="10" t="s">
        <v>363</v>
      </c>
      <c r="D3355" s="10" t="s">
        <v>364</v>
      </c>
      <c r="E3355" s="11" t="str">
        <f>+HYPERLINK("http://trademark.i-assist.jp/data/china/image_1902th/79396931.pdf", "79396931")</f>
        <v>79396931</v>
      </c>
      <c r="F3355" s="10" t="s">
        <v>9322</v>
      </c>
      <c r="G3355" s="10" t="s">
        <v>9323</v>
      </c>
      <c r="H3355" s="10" t="s">
        <v>9324</v>
      </c>
      <c r="I3355" s="10" t="s">
        <v>9231</v>
      </c>
    </row>
    <row r="3356" spans="1:9" x14ac:dyDescent="0.15">
      <c r="A3356" s="9">
        <v>3355</v>
      </c>
      <c r="B3356" s="10" t="s">
        <v>9</v>
      </c>
      <c r="C3356" s="10" t="s">
        <v>363</v>
      </c>
      <c r="D3356" s="10" t="s">
        <v>364</v>
      </c>
      <c r="E3356" s="11" t="str">
        <f>+HYPERLINK("http://trademark.i-assist.jp/data/china/image_1902th/79397199.pdf", "79397199")</f>
        <v>79397199</v>
      </c>
      <c r="F3356" s="10" t="s">
        <v>9325</v>
      </c>
      <c r="G3356" s="10" t="s">
        <v>9258</v>
      </c>
      <c r="H3356" s="10" t="s">
        <v>9326</v>
      </c>
      <c r="I3356" s="10" t="s">
        <v>9231</v>
      </c>
    </row>
    <row r="3357" spans="1:9" x14ac:dyDescent="0.15">
      <c r="A3357" s="9">
        <v>3356</v>
      </c>
      <c r="B3357" s="10" t="s">
        <v>9</v>
      </c>
      <c r="C3357" s="10" t="s">
        <v>363</v>
      </c>
      <c r="D3357" s="10" t="s">
        <v>364</v>
      </c>
      <c r="E3357" s="11" t="str">
        <f>+HYPERLINK("http://trademark.i-assist.jp/data/china/image_1902th/79397811.pdf", "79397811")</f>
        <v>79397811</v>
      </c>
      <c r="F3357" s="10" t="s">
        <v>9327</v>
      </c>
      <c r="G3357" s="10" t="s">
        <v>9328</v>
      </c>
      <c r="H3357" s="10" t="s">
        <v>9329</v>
      </c>
      <c r="I3357" s="10" t="s">
        <v>9231</v>
      </c>
    </row>
    <row r="3358" spans="1:9" x14ac:dyDescent="0.15">
      <c r="A3358" s="9">
        <v>3357</v>
      </c>
      <c r="B3358" s="10" t="s">
        <v>9</v>
      </c>
      <c r="C3358" s="10" t="s">
        <v>363</v>
      </c>
      <c r="D3358" s="10" t="s">
        <v>364</v>
      </c>
      <c r="E3358" s="11" t="str">
        <f>+HYPERLINK("http://trademark.i-assist.jp/data/china/image_1902th/79398154.pdf", "79398154")</f>
        <v>79398154</v>
      </c>
      <c r="F3358" s="10" t="s">
        <v>9330</v>
      </c>
      <c r="G3358" s="10" t="s">
        <v>9331</v>
      </c>
      <c r="H3358" s="10" t="s">
        <v>9332</v>
      </c>
      <c r="I3358" s="10" t="s">
        <v>9231</v>
      </c>
    </row>
    <row r="3359" spans="1:9" x14ac:dyDescent="0.15">
      <c r="A3359" s="9">
        <v>3358</v>
      </c>
      <c r="B3359" s="10" t="s">
        <v>9</v>
      </c>
      <c r="C3359" s="10" t="s">
        <v>363</v>
      </c>
      <c r="D3359" s="10" t="s">
        <v>364</v>
      </c>
      <c r="E3359" s="11" t="str">
        <f>+HYPERLINK("http://trademark.i-assist.jp/data/china/image_1902th/79398286.pdf", "79398286")</f>
        <v>79398286</v>
      </c>
      <c r="F3359" s="10" t="s">
        <v>9333</v>
      </c>
      <c r="G3359" s="10" t="s">
        <v>5037</v>
      </c>
      <c r="H3359" s="10" t="s">
        <v>9334</v>
      </c>
      <c r="I3359" s="10" t="s">
        <v>9231</v>
      </c>
    </row>
    <row r="3360" spans="1:9" x14ac:dyDescent="0.15">
      <c r="A3360" s="9">
        <v>3359</v>
      </c>
      <c r="B3360" s="10" t="s">
        <v>9</v>
      </c>
      <c r="C3360" s="10" t="s">
        <v>363</v>
      </c>
      <c r="D3360" s="10" t="s">
        <v>364</v>
      </c>
      <c r="E3360" s="11" t="str">
        <f>+HYPERLINK("http://trademark.i-assist.jp/data/china/image_1902th/79398534.pdf", "79398534")</f>
        <v>79398534</v>
      </c>
      <c r="F3360" s="10" t="s">
        <v>9335</v>
      </c>
      <c r="G3360" s="10" t="s">
        <v>9336</v>
      </c>
      <c r="H3360" s="10" t="s">
        <v>9337</v>
      </c>
      <c r="I3360" s="10" t="s">
        <v>9231</v>
      </c>
    </row>
    <row r="3361" spans="1:9" x14ac:dyDescent="0.15">
      <c r="A3361" s="9">
        <v>3360</v>
      </c>
      <c r="B3361" s="10" t="s">
        <v>9</v>
      </c>
      <c r="C3361" s="10" t="s">
        <v>363</v>
      </c>
      <c r="D3361" s="10" t="s">
        <v>364</v>
      </c>
      <c r="E3361" s="11" t="str">
        <f>+HYPERLINK("http://trademark.i-assist.jp/data/china/image_1902th/79398918.pdf", "79398918")</f>
        <v>79398918</v>
      </c>
      <c r="F3361" s="10" t="s">
        <v>9338</v>
      </c>
      <c r="G3361" s="10" t="s">
        <v>9339</v>
      </c>
      <c r="H3361" s="10" t="s">
        <v>9340</v>
      </c>
      <c r="I3361" s="10" t="s">
        <v>9231</v>
      </c>
    </row>
    <row r="3362" spans="1:9" x14ac:dyDescent="0.15">
      <c r="A3362" s="9">
        <v>3361</v>
      </c>
      <c r="B3362" s="10" t="s">
        <v>9</v>
      </c>
      <c r="C3362" s="10" t="s">
        <v>363</v>
      </c>
      <c r="D3362" s="10" t="s">
        <v>364</v>
      </c>
      <c r="E3362" s="11" t="str">
        <f>+HYPERLINK("http://trademark.i-assist.jp/data/china/image_1902th/79399213.pdf", "79399213")</f>
        <v>79399213</v>
      </c>
      <c r="F3362" s="10" t="s">
        <v>9341</v>
      </c>
      <c r="G3362" s="10" t="s">
        <v>9342</v>
      </c>
      <c r="H3362" s="10" t="s">
        <v>9343</v>
      </c>
      <c r="I3362" s="10" t="s">
        <v>9231</v>
      </c>
    </row>
    <row r="3363" spans="1:9" x14ac:dyDescent="0.15">
      <c r="A3363" s="9">
        <v>3362</v>
      </c>
      <c r="B3363" s="10" t="s">
        <v>9</v>
      </c>
      <c r="C3363" s="10" t="s">
        <v>363</v>
      </c>
      <c r="D3363" s="10" t="s">
        <v>364</v>
      </c>
      <c r="E3363" s="11" t="str">
        <f>+HYPERLINK("http://trademark.i-assist.jp/data/china/image_1902th/79399550.pdf", "79399550")</f>
        <v>79399550</v>
      </c>
      <c r="F3363" s="10" t="s">
        <v>9344</v>
      </c>
      <c r="G3363" s="10" t="s">
        <v>9345</v>
      </c>
      <c r="H3363" s="10" t="s">
        <v>9346</v>
      </c>
      <c r="I3363" s="10" t="s">
        <v>9231</v>
      </c>
    </row>
    <row r="3364" spans="1:9" x14ac:dyDescent="0.15">
      <c r="A3364" s="9">
        <v>3363</v>
      </c>
      <c r="B3364" s="10" t="s">
        <v>9</v>
      </c>
      <c r="C3364" s="10" t="s">
        <v>363</v>
      </c>
      <c r="D3364" s="10" t="s">
        <v>364</v>
      </c>
      <c r="E3364" s="11" t="str">
        <f>+HYPERLINK("http://trademark.i-assist.jp/data/china/image_1902th/79399915.pdf", "79399915")</f>
        <v>79399915</v>
      </c>
      <c r="F3364" s="10" t="s">
        <v>9347</v>
      </c>
      <c r="G3364" s="10" t="s">
        <v>9348</v>
      </c>
      <c r="H3364" s="10" t="s">
        <v>9349</v>
      </c>
      <c r="I3364" s="10" t="s">
        <v>9231</v>
      </c>
    </row>
    <row r="3365" spans="1:9" x14ac:dyDescent="0.15">
      <c r="A3365" s="9">
        <v>3364</v>
      </c>
      <c r="B3365" s="10" t="s">
        <v>9</v>
      </c>
      <c r="C3365" s="10" t="s">
        <v>363</v>
      </c>
      <c r="D3365" s="10" t="s">
        <v>364</v>
      </c>
      <c r="E3365" s="11" t="str">
        <f>+HYPERLINK("http://trademark.i-assist.jp/data/china/image_1902th/79400740.pdf", "79400740")</f>
        <v>79400740</v>
      </c>
      <c r="F3365" s="10" t="s">
        <v>9350</v>
      </c>
      <c r="G3365" s="10" t="s">
        <v>9351</v>
      </c>
      <c r="H3365" s="10" t="s">
        <v>9352</v>
      </c>
      <c r="I3365" s="10" t="s">
        <v>9231</v>
      </c>
    </row>
    <row r="3366" spans="1:9" x14ac:dyDescent="0.15">
      <c r="A3366" s="9">
        <v>3365</v>
      </c>
      <c r="B3366" s="10" t="s">
        <v>9</v>
      </c>
      <c r="C3366" s="10" t="s">
        <v>363</v>
      </c>
      <c r="D3366" s="10" t="s">
        <v>364</v>
      </c>
      <c r="E3366" s="11" t="str">
        <f>+HYPERLINK("http://trademark.i-assist.jp/data/china/image_1902th/79400756.pdf", "79400756")</f>
        <v>79400756</v>
      </c>
      <c r="F3366" s="10" t="s">
        <v>9353</v>
      </c>
      <c r="G3366" s="10" t="s">
        <v>5863</v>
      </c>
      <c r="H3366" s="10" t="s">
        <v>9354</v>
      </c>
      <c r="I3366" s="10" t="s">
        <v>9231</v>
      </c>
    </row>
    <row r="3367" spans="1:9" x14ac:dyDescent="0.15">
      <c r="A3367" s="9">
        <v>3366</v>
      </c>
      <c r="B3367" s="10" t="s">
        <v>9</v>
      </c>
      <c r="C3367" s="10" t="s">
        <v>363</v>
      </c>
      <c r="D3367" s="10" t="s">
        <v>364</v>
      </c>
      <c r="E3367" s="11" t="str">
        <f>+HYPERLINK("http://trademark.i-assist.jp/data/china/image_1902th/79401295.pdf", "79401295")</f>
        <v>79401295</v>
      </c>
      <c r="F3367" s="10" t="s">
        <v>9355</v>
      </c>
      <c r="G3367" s="10" t="s">
        <v>9356</v>
      </c>
      <c r="H3367" s="10" t="s">
        <v>9357</v>
      </c>
      <c r="I3367" s="10" t="s">
        <v>9231</v>
      </c>
    </row>
    <row r="3368" spans="1:9" x14ac:dyDescent="0.15">
      <c r="A3368" s="9">
        <v>3367</v>
      </c>
      <c r="B3368" s="10" t="s">
        <v>9</v>
      </c>
      <c r="C3368" s="10" t="s">
        <v>363</v>
      </c>
      <c r="D3368" s="10" t="s">
        <v>364</v>
      </c>
      <c r="E3368" s="11" t="str">
        <f>+HYPERLINK("http://trademark.i-assist.jp/data/china/image_1902th/79401915.pdf", "79401915")</f>
        <v>79401915</v>
      </c>
      <c r="F3368" s="10" t="s">
        <v>9358</v>
      </c>
      <c r="G3368" s="10" t="s">
        <v>9359</v>
      </c>
      <c r="H3368" s="10" t="s">
        <v>9360</v>
      </c>
      <c r="I3368" s="10" t="s">
        <v>9231</v>
      </c>
    </row>
    <row r="3369" spans="1:9" x14ac:dyDescent="0.15">
      <c r="A3369" s="9">
        <v>3368</v>
      </c>
      <c r="B3369" s="10" t="s">
        <v>9</v>
      </c>
      <c r="C3369" s="10" t="s">
        <v>363</v>
      </c>
      <c r="D3369" s="10" t="s">
        <v>364</v>
      </c>
      <c r="E3369" s="11" t="str">
        <f>+HYPERLINK("http://trademark.i-assist.jp/data/china/image_1902th/79402400.pdf", "79402400")</f>
        <v>79402400</v>
      </c>
      <c r="F3369" s="10" t="s">
        <v>9361</v>
      </c>
      <c r="G3369" s="10" t="s">
        <v>9362</v>
      </c>
      <c r="H3369" s="10" t="s">
        <v>9363</v>
      </c>
      <c r="I3369" s="10" t="s">
        <v>9231</v>
      </c>
    </row>
    <row r="3370" spans="1:9" x14ac:dyDescent="0.15">
      <c r="A3370" s="9">
        <v>3369</v>
      </c>
      <c r="B3370" s="10" t="s">
        <v>9</v>
      </c>
      <c r="C3370" s="10" t="s">
        <v>363</v>
      </c>
      <c r="D3370" s="10" t="s">
        <v>364</v>
      </c>
      <c r="E3370" s="11" t="str">
        <f>+HYPERLINK("http://trademark.i-assist.jp/data/china/image_1902th/79402790.pdf", "79402790")</f>
        <v>79402790</v>
      </c>
      <c r="F3370" s="10" t="s">
        <v>9364</v>
      </c>
      <c r="G3370" s="10" t="s">
        <v>5708</v>
      </c>
      <c r="H3370" s="10" t="s">
        <v>9365</v>
      </c>
      <c r="I3370" s="10" t="s">
        <v>9231</v>
      </c>
    </row>
    <row r="3371" spans="1:9" x14ac:dyDescent="0.15">
      <c r="A3371" s="9">
        <v>3370</v>
      </c>
      <c r="B3371" s="10" t="s">
        <v>9</v>
      </c>
      <c r="C3371" s="10" t="s">
        <v>363</v>
      </c>
      <c r="D3371" s="10" t="s">
        <v>364</v>
      </c>
      <c r="E3371" s="11" t="str">
        <f>+HYPERLINK("http://trademark.i-assist.jp/data/china/image_1902th/79403398.pdf", "79403398")</f>
        <v>79403398</v>
      </c>
      <c r="F3371" s="10" t="s">
        <v>9366</v>
      </c>
      <c r="G3371" s="10" t="s">
        <v>9356</v>
      </c>
      <c r="H3371" s="10" t="s">
        <v>9367</v>
      </c>
      <c r="I3371" s="10" t="s">
        <v>9231</v>
      </c>
    </row>
    <row r="3372" spans="1:9" x14ac:dyDescent="0.15">
      <c r="A3372" s="9">
        <v>3371</v>
      </c>
      <c r="B3372" s="10" t="s">
        <v>9</v>
      </c>
      <c r="C3372" s="10" t="s">
        <v>363</v>
      </c>
      <c r="D3372" s="10" t="s">
        <v>364</v>
      </c>
      <c r="E3372" s="11" t="str">
        <f>+HYPERLINK("http://trademark.i-assist.jp/data/china/image_1902th/79403894.pdf", "79403894")</f>
        <v>79403894</v>
      </c>
      <c r="F3372" s="10" t="s">
        <v>9368</v>
      </c>
      <c r="G3372" s="10" t="s">
        <v>346</v>
      </c>
      <c r="H3372" s="10" t="s">
        <v>9369</v>
      </c>
      <c r="I3372" s="10" t="s">
        <v>9231</v>
      </c>
    </row>
    <row r="3373" spans="1:9" x14ac:dyDescent="0.15">
      <c r="A3373" s="9">
        <v>3372</v>
      </c>
      <c r="B3373" s="10" t="s">
        <v>9</v>
      </c>
      <c r="C3373" s="10" t="s">
        <v>363</v>
      </c>
      <c r="D3373" s="10" t="s">
        <v>364</v>
      </c>
      <c r="E3373" s="11" t="str">
        <f>+HYPERLINK("http://trademark.i-assist.jp/data/china/image_1902th/79404296.pdf", "79404296")</f>
        <v>79404296</v>
      </c>
      <c r="F3373" s="10" t="s">
        <v>9370</v>
      </c>
      <c r="G3373" s="10" t="s">
        <v>9371</v>
      </c>
      <c r="H3373" s="10" t="s">
        <v>9372</v>
      </c>
      <c r="I3373" s="10" t="s">
        <v>9231</v>
      </c>
    </row>
    <row r="3374" spans="1:9" x14ac:dyDescent="0.15">
      <c r="A3374" s="9">
        <v>3373</v>
      </c>
      <c r="B3374" s="10" t="s">
        <v>9</v>
      </c>
      <c r="C3374" s="10" t="s">
        <v>363</v>
      </c>
      <c r="D3374" s="10" t="s">
        <v>364</v>
      </c>
      <c r="E3374" s="11" t="str">
        <f>+HYPERLINK("http://trademark.i-assist.jp/data/china/image_1902th/79404527.pdf", "79404527")</f>
        <v>79404527</v>
      </c>
      <c r="F3374" s="10" t="s">
        <v>9373</v>
      </c>
      <c r="G3374" s="10" t="s">
        <v>9374</v>
      </c>
      <c r="H3374" s="10" t="s">
        <v>9375</v>
      </c>
      <c r="I3374" s="10" t="s">
        <v>9231</v>
      </c>
    </row>
    <row r="3375" spans="1:9" x14ac:dyDescent="0.15">
      <c r="A3375" s="9">
        <v>3374</v>
      </c>
      <c r="B3375" s="10" t="s">
        <v>9</v>
      </c>
      <c r="C3375" s="10" t="s">
        <v>363</v>
      </c>
      <c r="D3375" s="10" t="s">
        <v>364</v>
      </c>
      <c r="E3375" s="11" t="str">
        <f>+HYPERLINK("http://trademark.i-assist.jp/data/china/image_1902th/79404570.pdf", "79404570")</f>
        <v>79404570</v>
      </c>
      <c r="F3375" s="10" t="s">
        <v>9376</v>
      </c>
      <c r="G3375" s="10" t="s">
        <v>9377</v>
      </c>
      <c r="H3375" s="10" t="s">
        <v>9378</v>
      </c>
      <c r="I3375" s="10" t="s">
        <v>9231</v>
      </c>
    </row>
    <row r="3376" spans="1:9" x14ac:dyDescent="0.15">
      <c r="A3376" s="9">
        <v>3375</v>
      </c>
      <c r="B3376" s="10" t="s">
        <v>9</v>
      </c>
      <c r="C3376" s="10" t="s">
        <v>363</v>
      </c>
      <c r="D3376" s="10" t="s">
        <v>364</v>
      </c>
      <c r="E3376" s="11" t="str">
        <f>+HYPERLINK("http://trademark.i-assist.jp/data/china/image_1902th/79405033.pdf", "79405033")</f>
        <v>79405033</v>
      </c>
      <c r="F3376" s="10" t="s">
        <v>9379</v>
      </c>
      <c r="G3376" s="10" t="s">
        <v>9380</v>
      </c>
      <c r="H3376" s="10" t="s">
        <v>9381</v>
      </c>
      <c r="I3376" s="10" t="s">
        <v>9231</v>
      </c>
    </row>
    <row r="3377" spans="1:9" x14ac:dyDescent="0.15">
      <c r="A3377" s="9">
        <v>3376</v>
      </c>
      <c r="B3377" s="10" t="s">
        <v>9</v>
      </c>
      <c r="C3377" s="10" t="s">
        <v>363</v>
      </c>
      <c r="D3377" s="10" t="s">
        <v>364</v>
      </c>
      <c r="E3377" s="11" t="str">
        <f>+HYPERLINK("http://trademark.i-assist.jp/data/china/image_1902th/79405526.pdf", "79405526")</f>
        <v>79405526</v>
      </c>
      <c r="F3377" s="10" t="s">
        <v>9382</v>
      </c>
      <c r="G3377" s="10" t="s">
        <v>9383</v>
      </c>
      <c r="H3377" s="10" t="s">
        <v>9384</v>
      </c>
      <c r="I3377" s="10" t="s">
        <v>9231</v>
      </c>
    </row>
    <row r="3378" spans="1:9" x14ac:dyDescent="0.15">
      <c r="A3378" s="9">
        <v>3377</v>
      </c>
      <c r="B3378" s="10" t="s">
        <v>9</v>
      </c>
      <c r="C3378" s="10" t="s">
        <v>363</v>
      </c>
      <c r="D3378" s="10" t="s">
        <v>364</v>
      </c>
      <c r="E3378" s="11" t="str">
        <f>+HYPERLINK("http://trademark.i-assist.jp/data/china/image_1902th/79405622.pdf", "79405622")</f>
        <v>79405622</v>
      </c>
      <c r="F3378" s="10" t="s">
        <v>12</v>
      </c>
      <c r="G3378" s="10" t="s">
        <v>9385</v>
      </c>
      <c r="H3378" s="10" t="s">
        <v>9386</v>
      </c>
      <c r="I3378" s="10" t="s">
        <v>9231</v>
      </c>
    </row>
    <row r="3379" spans="1:9" x14ac:dyDescent="0.15">
      <c r="A3379" s="9">
        <v>3378</v>
      </c>
      <c r="B3379" s="10" t="s">
        <v>9</v>
      </c>
      <c r="C3379" s="10" t="s">
        <v>363</v>
      </c>
      <c r="D3379" s="10" t="s">
        <v>364</v>
      </c>
      <c r="E3379" s="11" t="str">
        <f>+HYPERLINK("http://trademark.i-assist.jp/data/china/image_1902th/79405670.pdf", "79405670")</f>
        <v>79405670</v>
      </c>
      <c r="F3379" s="10" t="s">
        <v>9387</v>
      </c>
      <c r="G3379" s="10" t="s">
        <v>9388</v>
      </c>
      <c r="H3379" s="10" t="s">
        <v>9389</v>
      </c>
      <c r="I3379" s="10" t="s">
        <v>9231</v>
      </c>
    </row>
    <row r="3380" spans="1:9" x14ac:dyDescent="0.15">
      <c r="A3380" s="9">
        <v>3379</v>
      </c>
      <c r="B3380" s="10" t="s">
        <v>9</v>
      </c>
      <c r="C3380" s="10" t="s">
        <v>363</v>
      </c>
      <c r="D3380" s="10" t="s">
        <v>364</v>
      </c>
      <c r="E3380" s="11" t="str">
        <f>+HYPERLINK("http://trademark.i-assist.jp/data/china/image_1902th/79406113.pdf", "79406113")</f>
        <v>79406113</v>
      </c>
      <c r="F3380" s="10" t="s">
        <v>9390</v>
      </c>
      <c r="G3380" s="10" t="s">
        <v>9249</v>
      </c>
      <c r="H3380" s="10" t="s">
        <v>9391</v>
      </c>
      <c r="I3380" s="10" t="s">
        <v>9231</v>
      </c>
    </row>
    <row r="3381" spans="1:9" x14ac:dyDescent="0.15">
      <c r="A3381" s="9">
        <v>3380</v>
      </c>
      <c r="B3381" s="10" t="s">
        <v>9</v>
      </c>
      <c r="C3381" s="10" t="s">
        <v>363</v>
      </c>
      <c r="D3381" s="10" t="s">
        <v>364</v>
      </c>
      <c r="E3381" s="11" t="str">
        <f>+HYPERLINK("http://trademark.i-assist.jp/data/china/image_1902th/79406221.pdf", "79406221")</f>
        <v>79406221</v>
      </c>
      <c r="F3381" s="10" t="s">
        <v>9392</v>
      </c>
      <c r="G3381" s="10" t="s">
        <v>9393</v>
      </c>
      <c r="H3381" s="10" t="s">
        <v>9394</v>
      </c>
      <c r="I3381" s="10" t="s">
        <v>9231</v>
      </c>
    </row>
    <row r="3382" spans="1:9" x14ac:dyDescent="0.15">
      <c r="A3382" s="9">
        <v>3381</v>
      </c>
      <c r="B3382" s="10" t="s">
        <v>9</v>
      </c>
      <c r="C3382" s="10" t="s">
        <v>363</v>
      </c>
      <c r="D3382" s="10" t="s">
        <v>364</v>
      </c>
      <c r="E3382" s="11" t="str">
        <f>+HYPERLINK("http://trademark.i-assist.jp/data/china/image_1902th/79406225.pdf", "79406225")</f>
        <v>79406225</v>
      </c>
      <c r="F3382" s="10" t="s">
        <v>9395</v>
      </c>
      <c r="G3382" s="10" t="s">
        <v>9396</v>
      </c>
      <c r="H3382" s="10" t="s">
        <v>9397</v>
      </c>
      <c r="I3382" s="10" t="s">
        <v>9231</v>
      </c>
    </row>
    <row r="3383" spans="1:9" x14ac:dyDescent="0.15">
      <c r="A3383" s="9">
        <v>3382</v>
      </c>
      <c r="B3383" s="10" t="s">
        <v>9</v>
      </c>
      <c r="C3383" s="10" t="s">
        <v>363</v>
      </c>
      <c r="D3383" s="10" t="s">
        <v>364</v>
      </c>
      <c r="E3383" s="11" t="str">
        <f>+HYPERLINK("http://trademark.i-assist.jp/data/china/image_1902th/79406249.pdf", "79406249")</f>
        <v>79406249</v>
      </c>
      <c r="F3383" s="10" t="s">
        <v>9398</v>
      </c>
      <c r="G3383" s="10" t="s">
        <v>9255</v>
      </c>
      <c r="H3383" s="10" t="s">
        <v>9399</v>
      </c>
      <c r="I3383" s="10" t="s">
        <v>9231</v>
      </c>
    </row>
    <row r="3384" spans="1:9" x14ac:dyDescent="0.15">
      <c r="A3384" s="9">
        <v>3383</v>
      </c>
      <c r="B3384" s="10" t="s">
        <v>9</v>
      </c>
      <c r="C3384" s="10" t="s">
        <v>363</v>
      </c>
      <c r="D3384" s="10" t="s">
        <v>364</v>
      </c>
      <c r="E3384" s="11" t="str">
        <f>+HYPERLINK("http://trademark.i-assist.jp/data/china/image_1902th/79406327.pdf", "79406327")</f>
        <v>79406327</v>
      </c>
      <c r="F3384" s="10" t="s">
        <v>9400</v>
      </c>
      <c r="G3384" s="10" t="s">
        <v>9401</v>
      </c>
      <c r="H3384" s="10" t="s">
        <v>9402</v>
      </c>
      <c r="I3384" s="10" t="s">
        <v>9231</v>
      </c>
    </row>
    <row r="3385" spans="1:9" x14ac:dyDescent="0.15">
      <c r="A3385" s="9">
        <v>3384</v>
      </c>
      <c r="B3385" s="10" t="s">
        <v>9</v>
      </c>
      <c r="C3385" s="10" t="s">
        <v>363</v>
      </c>
      <c r="D3385" s="10" t="s">
        <v>364</v>
      </c>
      <c r="E3385" s="11" t="str">
        <f>+HYPERLINK("http://trademark.i-assist.jp/data/china/image_1902th/79406962.pdf", "79406962")</f>
        <v>79406962</v>
      </c>
      <c r="F3385" s="10" t="s">
        <v>9278</v>
      </c>
      <c r="G3385" s="10" t="s">
        <v>9279</v>
      </c>
      <c r="H3385" s="10" t="s">
        <v>9403</v>
      </c>
      <c r="I3385" s="10" t="s">
        <v>9231</v>
      </c>
    </row>
    <row r="3386" spans="1:9" x14ac:dyDescent="0.15">
      <c r="A3386" s="9">
        <v>3385</v>
      </c>
      <c r="B3386" s="10" t="s">
        <v>9</v>
      </c>
      <c r="C3386" s="10" t="s">
        <v>363</v>
      </c>
      <c r="D3386" s="10" t="s">
        <v>364</v>
      </c>
      <c r="E3386" s="11" t="str">
        <f>+HYPERLINK("http://trademark.i-assist.jp/data/china/image_1902th/79407041.pdf", "79407041")</f>
        <v>79407041</v>
      </c>
      <c r="F3386" s="10" t="s">
        <v>9404</v>
      </c>
      <c r="G3386" s="10" t="s">
        <v>9405</v>
      </c>
      <c r="H3386" s="10" t="s">
        <v>9406</v>
      </c>
      <c r="I3386" s="10" t="s">
        <v>9231</v>
      </c>
    </row>
    <row r="3387" spans="1:9" x14ac:dyDescent="0.15">
      <c r="A3387" s="9">
        <v>3386</v>
      </c>
      <c r="B3387" s="10" t="s">
        <v>9</v>
      </c>
      <c r="C3387" s="10" t="s">
        <v>363</v>
      </c>
      <c r="D3387" s="10" t="s">
        <v>364</v>
      </c>
      <c r="E3387" s="11" t="str">
        <f>+HYPERLINK("http://trademark.i-assist.jp/data/china/image_1902th/79407097.pdf", "79407097")</f>
        <v>79407097</v>
      </c>
      <c r="F3387" s="10" t="s">
        <v>9407</v>
      </c>
      <c r="G3387" s="10" t="s">
        <v>345</v>
      </c>
      <c r="H3387" s="10" t="s">
        <v>9408</v>
      </c>
      <c r="I3387" s="10" t="s">
        <v>9231</v>
      </c>
    </row>
    <row r="3388" spans="1:9" x14ac:dyDescent="0.15">
      <c r="A3388" s="9">
        <v>3387</v>
      </c>
      <c r="B3388" s="10" t="s">
        <v>9</v>
      </c>
      <c r="C3388" s="10" t="s">
        <v>363</v>
      </c>
      <c r="D3388" s="10" t="s">
        <v>364</v>
      </c>
      <c r="E3388" s="11" t="str">
        <f>+HYPERLINK("http://trademark.i-assist.jp/data/china/image_1902th/79407485.pdf", "79407485")</f>
        <v>79407485</v>
      </c>
      <c r="F3388" s="10" t="s">
        <v>9409</v>
      </c>
      <c r="G3388" s="10" t="s">
        <v>9235</v>
      </c>
      <c r="H3388" s="10" t="s">
        <v>9410</v>
      </c>
      <c r="I3388" s="10" t="s">
        <v>9231</v>
      </c>
    </row>
    <row r="3389" spans="1:9" x14ac:dyDescent="0.15">
      <c r="A3389" s="9">
        <v>3388</v>
      </c>
      <c r="B3389" s="10" t="s">
        <v>9</v>
      </c>
      <c r="C3389" s="10" t="s">
        <v>363</v>
      </c>
      <c r="D3389" s="10" t="s">
        <v>364</v>
      </c>
      <c r="E3389" s="11" t="str">
        <f>+HYPERLINK("http://trademark.i-assist.jp/data/china/image_1902th/79407583.pdf", "79407583")</f>
        <v>79407583</v>
      </c>
      <c r="F3389" s="10" t="s">
        <v>9411</v>
      </c>
      <c r="G3389" s="10" t="s">
        <v>9235</v>
      </c>
      <c r="H3389" s="10" t="s">
        <v>9412</v>
      </c>
      <c r="I3389" s="10" t="s">
        <v>9231</v>
      </c>
    </row>
    <row r="3390" spans="1:9" x14ac:dyDescent="0.15">
      <c r="A3390" s="9">
        <v>3389</v>
      </c>
      <c r="B3390" s="10" t="s">
        <v>9</v>
      </c>
      <c r="C3390" s="10" t="s">
        <v>363</v>
      </c>
      <c r="D3390" s="10" t="s">
        <v>364</v>
      </c>
      <c r="E3390" s="11" t="str">
        <f>+HYPERLINK("http://trademark.i-assist.jp/data/china/image_1902th/79407698.pdf", "79407698")</f>
        <v>79407698</v>
      </c>
      <c r="F3390" s="10" t="s">
        <v>9413</v>
      </c>
      <c r="G3390" s="10" t="s">
        <v>9275</v>
      </c>
      <c r="H3390" s="10" t="s">
        <v>9414</v>
      </c>
      <c r="I3390" s="10" t="s">
        <v>9231</v>
      </c>
    </row>
    <row r="3391" spans="1:9" x14ac:dyDescent="0.15">
      <c r="A3391" s="9">
        <v>3390</v>
      </c>
      <c r="B3391" s="10" t="s">
        <v>9</v>
      </c>
      <c r="C3391" s="10" t="s">
        <v>363</v>
      </c>
      <c r="D3391" s="10" t="s">
        <v>364</v>
      </c>
      <c r="E3391" s="11" t="str">
        <f>+HYPERLINK("http://trademark.i-assist.jp/data/china/image_1902th/79407809.pdf", "79407809")</f>
        <v>79407809</v>
      </c>
      <c r="F3391" s="10" t="s">
        <v>9415</v>
      </c>
      <c r="G3391" s="10" t="s">
        <v>9416</v>
      </c>
      <c r="H3391" s="10" t="s">
        <v>9417</v>
      </c>
      <c r="I3391" s="10" t="s">
        <v>9231</v>
      </c>
    </row>
    <row r="3392" spans="1:9" x14ac:dyDescent="0.15">
      <c r="A3392" s="9">
        <v>3391</v>
      </c>
      <c r="B3392" s="10" t="s">
        <v>9</v>
      </c>
      <c r="C3392" s="10" t="s">
        <v>363</v>
      </c>
      <c r="D3392" s="10" t="s">
        <v>364</v>
      </c>
      <c r="E3392" s="11" t="str">
        <f>+HYPERLINK("http://trademark.i-assist.jp/data/china/image_1902th/79408162.pdf", "79408162")</f>
        <v>79408162</v>
      </c>
      <c r="F3392" s="10" t="s">
        <v>9418</v>
      </c>
      <c r="G3392" s="10" t="s">
        <v>7888</v>
      </c>
      <c r="H3392" s="10" t="s">
        <v>9419</v>
      </c>
      <c r="I3392" s="10" t="s">
        <v>9231</v>
      </c>
    </row>
    <row r="3393" spans="1:9" x14ac:dyDescent="0.15">
      <c r="A3393" s="9">
        <v>3392</v>
      </c>
      <c r="B3393" s="10" t="s">
        <v>9</v>
      </c>
      <c r="C3393" s="10" t="s">
        <v>363</v>
      </c>
      <c r="D3393" s="10" t="s">
        <v>364</v>
      </c>
      <c r="E3393" s="11" t="str">
        <f>+HYPERLINK("http://trademark.i-assist.jp/data/china/image_1902th/79408985.pdf", "79408985")</f>
        <v>79408985</v>
      </c>
      <c r="F3393" s="10" t="s">
        <v>9420</v>
      </c>
      <c r="G3393" s="10" t="s">
        <v>3837</v>
      </c>
      <c r="H3393" s="10" t="s">
        <v>9421</v>
      </c>
      <c r="I3393" s="10" t="s">
        <v>9231</v>
      </c>
    </row>
    <row r="3394" spans="1:9" x14ac:dyDescent="0.15">
      <c r="A3394" s="9">
        <v>3393</v>
      </c>
      <c r="B3394" s="10" t="s">
        <v>9</v>
      </c>
      <c r="C3394" s="10" t="s">
        <v>363</v>
      </c>
      <c r="D3394" s="10" t="s">
        <v>364</v>
      </c>
      <c r="E3394" s="11" t="str">
        <f>+HYPERLINK("http://trademark.i-assist.jp/data/china/image_1902th/79409249.pdf", "79409249")</f>
        <v>79409249</v>
      </c>
      <c r="F3394" s="10" t="s">
        <v>9422</v>
      </c>
      <c r="G3394" s="10" t="s">
        <v>9423</v>
      </c>
      <c r="H3394" s="10" t="s">
        <v>9424</v>
      </c>
      <c r="I3394" s="10" t="s">
        <v>9231</v>
      </c>
    </row>
    <row r="3395" spans="1:9" x14ac:dyDescent="0.15">
      <c r="A3395" s="9">
        <v>3394</v>
      </c>
      <c r="B3395" s="10" t="s">
        <v>9</v>
      </c>
      <c r="C3395" s="10" t="s">
        <v>363</v>
      </c>
      <c r="D3395" s="10" t="s">
        <v>364</v>
      </c>
      <c r="E3395" s="11" t="str">
        <f>+HYPERLINK("http://trademark.i-assist.jp/data/china/image_1902th/79409313.pdf", "79409313")</f>
        <v>79409313</v>
      </c>
      <c r="F3395" s="10" t="s">
        <v>9425</v>
      </c>
      <c r="G3395" s="10" t="s">
        <v>9426</v>
      </c>
      <c r="H3395" s="10" t="s">
        <v>9427</v>
      </c>
      <c r="I3395" s="10" t="s">
        <v>9231</v>
      </c>
    </row>
    <row r="3396" spans="1:9" x14ac:dyDescent="0.15">
      <c r="A3396" s="9">
        <v>3395</v>
      </c>
      <c r="B3396" s="10" t="s">
        <v>9</v>
      </c>
      <c r="C3396" s="10" t="s">
        <v>363</v>
      </c>
      <c r="D3396" s="10" t="s">
        <v>364</v>
      </c>
      <c r="E3396" s="11" t="str">
        <f>+HYPERLINK("http://trademark.i-assist.jp/data/china/image_1902th/79409613.pdf", "79409613")</f>
        <v>79409613</v>
      </c>
      <c r="F3396" s="10" t="s">
        <v>9428</v>
      </c>
      <c r="G3396" s="10" t="s">
        <v>9429</v>
      </c>
      <c r="H3396" s="10" t="s">
        <v>9430</v>
      </c>
      <c r="I3396" s="10" t="s">
        <v>9231</v>
      </c>
    </row>
    <row r="3397" spans="1:9" x14ac:dyDescent="0.15">
      <c r="A3397" s="9">
        <v>3396</v>
      </c>
      <c r="B3397" s="10" t="s">
        <v>9</v>
      </c>
      <c r="C3397" s="10" t="s">
        <v>363</v>
      </c>
      <c r="D3397" s="10" t="s">
        <v>364</v>
      </c>
      <c r="E3397" s="11" t="str">
        <f>+HYPERLINK("http://trademark.i-assist.jp/data/china/image_1902th/79409730.pdf", "79409730")</f>
        <v>79409730</v>
      </c>
      <c r="F3397" s="10" t="s">
        <v>9431</v>
      </c>
      <c r="G3397" s="10" t="s">
        <v>9432</v>
      </c>
      <c r="H3397" s="10" t="s">
        <v>9433</v>
      </c>
      <c r="I3397" s="10" t="s">
        <v>9231</v>
      </c>
    </row>
    <row r="3398" spans="1:9" x14ac:dyDescent="0.15">
      <c r="A3398" s="9">
        <v>3397</v>
      </c>
      <c r="B3398" s="10" t="s">
        <v>9</v>
      </c>
      <c r="C3398" s="10" t="s">
        <v>363</v>
      </c>
      <c r="D3398" s="10" t="s">
        <v>364</v>
      </c>
      <c r="E3398" s="11" t="str">
        <f>+HYPERLINK("http://trademark.i-assist.jp/data/china/image_1902th/79409878.pdf", "79409878")</f>
        <v>79409878</v>
      </c>
      <c r="F3398" s="10" t="s">
        <v>9434</v>
      </c>
      <c r="G3398" s="10" t="s">
        <v>9429</v>
      </c>
      <c r="H3398" s="10" t="s">
        <v>9435</v>
      </c>
      <c r="I3398" s="10" t="s">
        <v>9231</v>
      </c>
    </row>
    <row r="3399" spans="1:9" x14ac:dyDescent="0.15">
      <c r="A3399" s="9">
        <v>3398</v>
      </c>
      <c r="B3399" s="10" t="s">
        <v>9</v>
      </c>
      <c r="C3399" s="10" t="s">
        <v>363</v>
      </c>
      <c r="D3399" s="10" t="s">
        <v>364</v>
      </c>
      <c r="E3399" s="11" t="str">
        <f>+HYPERLINK("http://trademark.i-assist.jp/data/china/image_1902th/79410123.pdf", "79410123")</f>
        <v>79410123</v>
      </c>
      <c r="F3399" s="10" t="s">
        <v>9436</v>
      </c>
      <c r="G3399" s="10" t="s">
        <v>9437</v>
      </c>
      <c r="H3399" s="10" t="s">
        <v>9438</v>
      </c>
      <c r="I3399" s="10" t="s">
        <v>9231</v>
      </c>
    </row>
    <row r="3400" spans="1:9" x14ac:dyDescent="0.15">
      <c r="A3400" s="9">
        <v>3399</v>
      </c>
      <c r="B3400" s="10" t="s">
        <v>9</v>
      </c>
      <c r="C3400" s="10" t="s">
        <v>363</v>
      </c>
      <c r="D3400" s="10" t="s">
        <v>364</v>
      </c>
      <c r="E3400" s="11" t="str">
        <f>+HYPERLINK("http://trademark.i-assist.jp/data/china/image_1902th/79410142.pdf", "79410142")</f>
        <v>79410142</v>
      </c>
      <c r="F3400" s="10" t="s">
        <v>9439</v>
      </c>
      <c r="G3400" s="10" t="s">
        <v>9440</v>
      </c>
      <c r="H3400" s="10" t="s">
        <v>9441</v>
      </c>
      <c r="I3400" s="10" t="s">
        <v>9231</v>
      </c>
    </row>
    <row r="3401" spans="1:9" x14ac:dyDescent="0.15">
      <c r="A3401" s="9">
        <v>3400</v>
      </c>
      <c r="B3401" s="10" t="s">
        <v>9</v>
      </c>
      <c r="C3401" s="10" t="s">
        <v>363</v>
      </c>
      <c r="D3401" s="10" t="s">
        <v>364</v>
      </c>
      <c r="E3401" s="11" t="str">
        <f>+HYPERLINK("http://trademark.i-assist.jp/data/china/image_1902th/79410282.pdf", "79410282")</f>
        <v>79410282</v>
      </c>
      <c r="F3401" s="10" t="s">
        <v>9442</v>
      </c>
      <c r="G3401" s="10" t="s">
        <v>7113</v>
      </c>
      <c r="H3401" s="10" t="s">
        <v>9443</v>
      </c>
      <c r="I3401" s="10" t="s">
        <v>9231</v>
      </c>
    </row>
    <row r="3402" spans="1:9" x14ac:dyDescent="0.15">
      <c r="A3402" s="9">
        <v>3401</v>
      </c>
      <c r="B3402" s="10" t="s">
        <v>9</v>
      </c>
      <c r="C3402" s="10" t="s">
        <v>363</v>
      </c>
      <c r="D3402" s="10" t="s">
        <v>364</v>
      </c>
      <c r="E3402" s="11" t="str">
        <f>+HYPERLINK("http://trademark.i-assist.jp/data/china/image_1902th/79412025.pdf", "79412025")</f>
        <v>79412025</v>
      </c>
      <c r="F3402" s="10" t="s">
        <v>9444</v>
      </c>
      <c r="G3402" s="10" t="s">
        <v>4344</v>
      </c>
      <c r="H3402" s="10" t="s">
        <v>9445</v>
      </c>
      <c r="I3402" s="10" t="s">
        <v>9446</v>
      </c>
    </row>
    <row r="3403" spans="1:9" x14ac:dyDescent="0.15">
      <c r="A3403" s="9">
        <v>3402</v>
      </c>
      <c r="B3403" s="10" t="s">
        <v>9</v>
      </c>
      <c r="C3403" s="10" t="s">
        <v>363</v>
      </c>
      <c r="D3403" s="10" t="s">
        <v>364</v>
      </c>
      <c r="E3403" s="11" t="str">
        <f>+HYPERLINK("http://trademark.i-assist.jp/data/china/image_1902th/79412079.pdf", "79412079")</f>
        <v>79412079</v>
      </c>
      <c r="F3403" s="10" t="s">
        <v>9447</v>
      </c>
      <c r="G3403" s="10" t="s">
        <v>9448</v>
      </c>
      <c r="H3403" s="10" t="s">
        <v>9449</v>
      </c>
      <c r="I3403" s="10" t="s">
        <v>9446</v>
      </c>
    </row>
    <row r="3404" spans="1:9" x14ac:dyDescent="0.15">
      <c r="A3404" s="9">
        <v>3403</v>
      </c>
      <c r="B3404" s="10" t="s">
        <v>9</v>
      </c>
      <c r="C3404" s="10" t="s">
        <v>363</v>
      </c>
      <c r="D3404" s="10" t="s">
        <v>364</v>
      </c>
      <c r="E3404" s="11" t="str">
        <f>+HYPERLINK("http://trademark.i-assist.jp/data/china/image_1902th/79412213.pdf", "79412213")</f>
        <v>79412213</v>
      </c>
      <c r="F3404" s="10" t="s">
        <v>9450</v>
      </c>
      <c r="G3404" s="10" t="s">
        <v>9451</v>
      </c>
      <c r="H3404" s="10" t="s">
        <v>9452</v>
      </c>
      <c r="I3404" s="10" t="s">
        <v>9446</v>
      </c>
    </row>
    <row r="3405" spans="1:9" x14ac:dyDescent="0.15">
      <c r="A3405" s="9">
        <v>3404</v>
      </c>
      <c r="B3405" s="10" t="s">
        <v>9</v>
      </c>
      <c r="C3405" s="10" t="s">
        <v>363</v>
      </c>
      <c r="D3405" s="10" t="s">
        <v>364</v>
      </c>
      <c r="E3405" s="11" t="str">
        <f>+HYPERLINK("http://trademark.i-assist.jp/data/china/image_1902th/79412437.pdf", "79412437")</f>
        <v>79412437</v>
      </c>
      <c r="F3405" s="10" t="s">
        <v>9453</v>
      </c>
      <c r="G3405" s="10" t="s">
        <v>9454</v>
      </c>
      <c r="H3405" s="10" t="s">
        <v>9455</v>
      </c>
      <c r="I3405" s="10" t="s">
        <v>9446</v>
      </c>
    </row>
    <row r="3406" spans="1:9" x14ac:dyDescent="0.15">
      <c r="A3406" s="9">
        <v>3405</v>
      </c>
      <c r="B3406" s="10" t="s">
        <v>9</v>
      </c>
      <c r="C3406" s="10" t="s">
        <v>363</v>
      </c>
      <c r="D3406" s="10" t="s">
        <v>364</v>
      </c>
      <c r="E3406" s="11" t="str">
        <f>+HYPERLINK("http://trademark.i-assist.jp/data/china/image_1902th/79412444.pdf", "79412444")</f>
        <v>79412444</v>
      </c>
      <c r="F3406" s="10" t="s">
        <v>9456</v>
      </c>
      <c r="G3406" s="10" t="s">
        <v>9457</v>
      </c>
      <c r="H3406" s="10" t="s">
        <v>9458</v>
      </c>
      <c r="I3406" s="10" t="s">
        <v>9446</v>
      </c>
    </row>
    <row r="3407" spans="1:9" x14ac:dyDescent="0.15">
      <c r="A3407" s="9">
        <v>3406</v>
      </c>
      <c r="B3407" s="10" t="s">
        <v>9</v>
      </c>
      <c r="C3407" s="10" t="s">
        <v>363</v>
      </c>
      <c r="D3407" s="10" t="s">
        <v>364</v>
      </c>
      <c r="E3407" s="11" t="str">
        <f>+HYPERLINK("http://trademark.i-assist.jp/data/china/image_1902th/79412779.pdf", "79412779")</f>
        <v>79412779</v>
      </c>
      <c r="F3407" s="10" t="s">
        <v>9459</v>
      </c>
      <c r="G3407" s="10" t="s">
        <v>9460</v>
      </c>
      <c r="H3407" s="10" t="s">
        <v>9461</v>
      </c>
      <c r="I3407" s="10" t="s">
        <v>9446</v>
      </c>
    </row>
    <row r="3408" spans="1:9" x14ac:dyDescent="0.15">
      <c r="A3408" s="9">
        <v>3407</v>
      </c>
      <c r="B3408" s="10" t="s">
        <v>9</v>
      </c>
      <c r="C3408" s="10" t="s">
        <v>363</v>
      </c>
      <c r="D3408" s="10" t="s">
        <v>364</v>
      </c>
      <c r="E3408" s="11" t="str">
        <f>+HYPERLINK("http://trademark.i-assist.jp/data/china/image_1902th/79412909.pdf", "79412909")</f>
        <v>79412909</v>
      </c>
      <c r="F3408" s="10" t="s">
        <v>9462</v>
      </c>
      <c r="G3408" s="10" t="s">
        <v>9463</v>
      </c>
      <c r="H3408" s="10" t="s">
        <v>9464</v>
      </c>
      <c r="I3408" s="10" t="s">
        <v>9446</v>
      </c>
    </row>
    <row r="3409" spans="1:9" x14ac:dyDescent="0.15">
      <c r="A3409" s="9">
        <v>3408</v>
      </c>
      <c r="B3409" s="10" t="s">
        <v>9</v>
      </c>
      <c r="C3409" s="10" t="s">
        <v>363</v>
      </c>
      <c r="D3409" s="10" t="s">
        <v>364</v>
      </c>
      <c r="E3409" s="11" t="str">
        <f>+HYPERLINK("http://trademark.i-assist.jp/data/china/image_1902th/79413099.pdf", "79413099")</f>
        <v>79413099</v>
      </c>
      <c r="F3409" s="10" t="s">
        <v>9465</v>
      </c>
      <c r="G3409" s="10" t="s">
        <v>9466</v>
      </c>
      <c r="H3409" s="10" t="s">
        <v>9467</v>
      </c>
      <c r="I3409" s="10" t="s">
        <v>9446</v>
      </c>
    </row>
    <row r="3410" spans="1:9" x14ac:dyDescent="0.15">
      <c r="A3410" s="9">
        <v>3409</v>
      </c>
      <c r="B3410" s="10" t="s">
        <v>9</v>
      </c>
      <c r="C3410" s="10" t="s">
        <v>363</v>
      </c>
      <c r="D3410" s="10" t="s">
        <v>364</v>
      </c>
      <c r="E3410" s="11" t="str">
        <f>+HYPERLINK("http://trademark.i-assist.jp/data/china/image_1902th/79413523.pdf", "79413523")</f>
        <v>79413523</v>
      </c>
      <c r="F3410" s="10" t="s">
        <v>9468</v>
      </c>
      <c r="G3410" s="10" t="s">
        <v>9469</v>
      </c>
      <c r="H3410" s="10" t="s">
        <v>9470</v>
      </c>
      <c r="I3410" s="10" t="s">
        <v>9446</v>
      </c>
    </row>
    <row r="3411" spans="1:9" x14ac:dyDescent="0.15">
      <c r="A3411" s="9">
        <v>3410</v>
      </c>
      <c r="B3411" s="10" t="s">
        <v>9</v>
      </c>
      <c r="C3411" s="10" t="s">
        <v>363</v>
      </c>
      <c r="D3411" s="10" t="s">
        <v>364</v>
      </c>
      <c r="E3411" s="11" t="str">
        <f>+HYPERLINK("http://trademark.i-assist.jp/data/china/image_1902th/79413755.pdf", "79413755")</f>
        <v>79413755</v>
      </c>
      <c r="F3411" s="10" t="s">
        <v>9471</v>
      </c>
      <c r="G3411" s="10" t="s">
        <v>9472</v>
      </c>
      <c r="H3411" s="10" t="s">
        <v>9473</v>
      </c>
      <c r="I3411" s="10" t="s">
        <v>9446</v>
      </c>
    </row>
    <row r="3412" spans="1:9" x14ac:dyDescent="0.15">
      <c r="A3412" s="9">
        <v>3411</v>
      </c>
      <c r="B3412" s="10" t="s">
        <v>9</v>
      </c>
      <c r="C3412" s="10" t="s">
        <v>363</v>
      </c>
      <c r="D3412" s="10" t="s">
        <v>364</v>
      </c>
      <c r="E3412" s="11" t="str">
        <f>+HYPERLINK("http://trademark.i-assist.jp/data/china/image_1902th/79414376.pdf", "79414376")</f>
        <v>79414376</v>
      </c>
      <c r="F3412" s="10" t="s">
        <v>9474</v>
      </c>
      <c r="G3412" s="10" t="s">
        <v>9475</v>
      </c>
      <c r="H3412" s="10" t="s">
        <v>9476</v>
      </c>
      <c r="I3412" s="10" t="s">
        <v>9446</v>
      </c>
    </row>
    <row r="3413" spans="1:9" x14ac:dyDescent="0.15">
      <c r="A3413" s="9">
        <v>3412</v>
      </c>
      <c r="B3413" s="10" t="s">
        <v>9</v>
      </c>
      <c r="C3413" s="10" t="s">
        <v>363</v>
      </c>
      <c r="D3413" s="10" t="s">
        <v>364</v>
      </c>
      <c r="E3413" s="11" t="str">
        <f>+HYPERLINK("http://trademark.i-assist.jp/data/china/image_1902th/79414541.pdf", "79414541")</f>
        <v>79414541</v>
      </c>
      <c r="F3413" s="10" t="s">
        <v>9477</v>
      </c>
      <c r="G3413" s="10" t="s">
        <v>9478</v>
      </c>
      <c r="H3413" s="10" t="s">
        <v>9479</v>
      </c>
      <c r="I3413" s="10" t="s">
        <v>9446</v>
      </c>
    </row>
    <row r="3414" spans="1:9" x14ac:dyDescent="0.15">
      <c r="A3414" s="9">
        <v>3413</v>
      </c>
      <c r="B3414" s="10" t="s">
        <v>9</v>
      </c>
      <c r="C3414" s="10" t="s">
        <v>363</v>
      </c>
      <c r="D3414" s="10" t="s">
        <v>364</v>
      </c>
      <c r="E3414" s="11" t="str">
        <f>+HYPERLINK("http://trademark.i-assist.jp/data/china/image_1902th/79414971.pdf", "79414971")</f>
        <v>79414971</v>
      </c>
      <c r="F3414" s="10" t="s">
        <v>9480</v>
      </c>
      <c r="G3414" s="10" t="s">
        <v>9481</v>
      </c>
      <c r="H3414" s="10" t="s">
        <v>9482</v>
      </c>
      <c r="I3414" s="10" t="s">
        <v>9446</v>
      </c>
    </row>
    <row r="3415" spans="1:9" x14ac:dyDescent="0.15">
      <c r="A3415" s="9">
        <v>3414</v>
      </c>
      <c r="B3415" s="10" t="s">
        <v>9</v>
      </c>
      <c r="C3415" s="10" t="s">
        <v>363</v>
      </c>
      <c r="D3415" s="10" t="s">
        <v>364</v>
      </c>
      <c r="E3415" s="11" t="str">
        <f>+HYPERLINK("http://trademark.i-assist.jp/data/china/image_1902th/79415334.pdf", "79415334")</f>
        <v>79415334</v>
      </c>
      <c r="F3415" s="10" t="s">
        <v>9483</v>
      </c>
      <c r="G3415" s="10" t="s">
        <v>9484</v>
      </c>
      <c r="H3415" s="10" t="s">
        <v>9485</v>
      </c>
      <c r="I3415" s="10" t="s">
        <v>9446</v>
      </c>
    </row>
    <row r="3416" spans="1:9" x14ac:dyDescent="0.15">
      <c r="A3416" s="9">
        <v>3415</v>
      </c>
      <c r="B3416" s="10" t="s">
        <v>9</v>
      </c>
      <c r="C3416" s="10" t="s">
        <v>363</v>
      </c>
      <c r="D3416" s="10" t="s">
        <v>364</v>
      </c>
      <c r="E3416" s="11" t="str">
        <f>+HYPERLINK("http://trademark.i-assist.jp/data/china/image_1902th/79415420.pdf", "79415420")</f>
        <v>79415420</v>
      </c>
      <c r="F3416" s="10" t="s">
        <v>9486</v>
      </c>
      <c r="G3416" s="10" t="s">
        <v>9487</v>
      </c>
      <c r="H3416" s="10" t="s">
        <v>9488</v>
      </c>
      <c r="I3416" s="10" t="s">
        <v>9446</v>
      </c>
    </row>
    <row r="3417" spans="1:9" x14ac:dyDescent="0.15">
      <c r="A3417" s="9">
        <v>3416</v>
      </c>
      <c r="B3417" s="10" t="s">
        <v>9</v>
      </c>
      <c r="C3417" s="10" t="s">
        <v>363</v>
      </c>
      <c r="D3417" s="10" t="s">
        <v>364</v>
      </c>
      <c r="E3417" s="11" t="str">
        <f>+HYPERLINK("http://trademark.i-assist.jp/data/china/image_1902th/79415979.pdf", "79415979")</f>
        <v>79415979</v>
      </c>
      <c r="F3417" s="10" t="s">
        <v>9489</v>
      </c>
      <c r="G3417" s="10" t="s">
        <v>9490</v>
      </c>
      <c r="H3417" s="10" t="s">
        <v>9491</v>
      </c>
      <c r="I3417" s="10" t="s">
        <v>9446</v>
      </c>
    </row>
    <row r="3418" spans="1:9" x14ac:dyDescent="0.15">
      <c r="A3418" s="9">
        <v>3417</v>
      </c>
      <c r="B3418" s="10" t="s">
        <v>9</v>
      </c>
      <c r="C3418" s="10" t="s">
        <v>363</v>
      </c>
      <c r="D3418" s="10" t="s">
        <v>364</v>
      </c>
      <c r="E3418" s="11" t="str">
        <f>+HYPERLINK("http://trademark.i-assist.jp/data/china/image_1902th/79416262.pdf", "79416262")</f>
        <v>79416262</v>
      </c>
      <c r="F3418" s="10" t="s">
        <v>9492</v>
      </c>
      <c r="G3418" s="10" t="s">
        <v>9493</v>
      </c>
      <c r="H3418" s="10" t="s">
        <v>9494</v>
      </c>
      <c r="I3418" s="10" t="s">
        <v>9446</v>
      </c>
    </row>
    <row r="3419" spans="1:9" x14ac:dyDescent="0.15">
      <c r="A3419" s="9">
        <v>3418</v>
      </c>
      <c r="B3419" s="10" t="s">
        <v>9</v>
      </c>
      <c r="C3419" s="10" t="s">
        <v>363</v>
      </c>
      <c r="D3419" s="10" t="s">
        <v>364</v>
      </c>
      <c r="E3419" s="11" t="str">
        <f>+HYPERLINK("http://trademark.i-assist.jp/data/china/image_1902th/79416733.pdf", "79416733")</f>
        <v>79416733</v>
      </c>
      <c r="F3419" s="10" t="s">
        <v>9495</v>
      </c>
      <c r="G3419" s="10" t="s">
        <v>9496</v>
      </c>
      <c r="H3419" s="10" t="s">
        <v>9497</v>
      </c>
      <c r="I3419" s="10" t="s">
        <v>9446</v>
      </c>
    </row>
    <row r="3420" spans="1:9" x14ac:dyDescent="0.15">
      <c r="A3420" s="9">
        <v>3419</v>
      </c>
      <c r="B3420" s="10" t="s">
        <v>9</v>
      </c>
      <c r="C3420" s="10" t="s">
        <v>363</v>
      </c>
      <c r="D3420" s="10" t="s">
        <v>364</v>
      </c>
      <c r="E3420" s="11" t="str">
        <f>+HYPERLINK("http://trademark.i-assist.jp/data/china/image_1902th/79416783.pdf", "79416783")</f>
        <v>79416783</v>
      </c>
      <c r="F3420" s="10" t="s">
        <v>9498</v>
      </c>
      <c r="G3420" s="10" t="s">
        <v>9499</v>
      </c>
      <c r="H3420" s="10" t="s">
        <v>9500</v>
      </c>
      <c r="I3420" s="10" t="s">
        <v>9446</v>
      </c>
    </row>
    <row r="3421" spans="1:9" x14ac:dyDescent="0.15">
      <c r="A3421" s="9">
        <v>3420</v>
      </c>
      <c r="B3421" s="10" t="s">
        <v>9</v>
      </c>
      <c r="C3421" s="10" t="s">
        <v>363</v>
      </c>
      <c r="D3421" s="10" t="s">
        <v>364</v>
      </c>
      <c r="E3421" s="11" t="str">
        <f>+HYPERLINK("http://trademark.i-assist.jp/data/china/image_1902th/79416872.pdf", "79416872")</f>
        <v>79416872</v>
      </c>
      <c r="F3421" s="10" t="s">
        <v>9501</v>
      </c>
      <c r="G3421" s="10" t="s">
        <v>297</v>
      </c>
      <c r="H3421" s="10" t="s">
        <v>9502</v>
      </c>
      <c r="I3421" s="10" t="s">
        <v>9446</v>
      </c>
    </row>
    <row r="3422" spans="1:9" x14ac:dyDescent="0.15">
      <c r="A3422" s="9">
        <v>3421</v>
      </c>
      <c r="B3422" s="10" t="s">
        <v>9</v>
      </c>
      <c r="C3422" s="10" t="s">
        <v>363</v>
      </c>
      <c r="D3422" s="10" t="s">
        <v>364</v>
      </c>
      <c r="E3422" s="11" t="str">
        <f>+HYPERLINK("http://trademark.i-assist.jp/data/china/image_1902th/79417008.pdf", "79417008")</f>
        <v>79417008</v>
      </c>
      <c r="F3422" s="10" t="s">
        <v>12</v>
      </c>
      <c r="G3422" s="10" t="s">
        <v>9503</v>
      </c>
      <c r="H3422" s="10" t="s">
        <v>9504</v>
      </c>
      <c r="I3422" s="10" t="s">
        <v>9446</v>
      </c>
    </row>
    <row r="3423" spans="1:9" x14ac:dyDescent="0.15">
      <c r="A3423" s="9">
        <v>3422</v>
      </c>
      <c r="B3423" s="10" t="s">
        <v>9</v>
      </c>
      <c r="C3423" s="10" t="s">
        <v>363</v>
      </c>
      <c r="D3423" s="10" t="s">
        <v>364</v>
      </c>
      <c r="E3423" s="11" t="str">
        <f>+HYPERLINK("http://trademark.i-assist.jp/data/china/image_1902th/79417205.pdf", "79417205")</f>
        <v>79417205</v>
      </c>
      <c r="F3423" s="10" t="s">
        <v>9505</v>
      </c>
      <c r="G3423" s="10" t="s">
        <v>9506</v>
      </c>
      <c r="H3423" s="10" t="s">
        <v>9507</v>
      </c>
      <c r="I3423" s="10" t="s">
        <v>9446</v>
      </c>
    </row>
    <row r="3424" spans="1:9" x14ac:dyDescent="0.15">
      <c r="A3424" s="9">
        <v>3423</v>
      </c>
      <c r="B3424" s="10" t="s">
        <v>9</v>
      </c>
      <c r="C3424" s="10" t="s">
        <v>363</v>
      </c>
      <c r="D3424" s="10" t="s">
        <v>364</v>
      </c>
      <c r="E3424" s="11" t="str">
        <f>+HYPERLINK("http://trademark.i-assist.jp/data/china/image_1902th/79417311.pdf", "79417311")</f>
        <v>79417311</v>
      </c>
      <c r="F3424" s="10" t="s">
        <v>9508</v>
      </c>
      <c r="G3424" s="10" t="s">
        <v>9509</v>
      </c>
      <c r="H3424" s="10" t="s">
        <v>9510</v>
      </c>
      <c r="I3424" s="10" t="s">
        <v>9446</v>
      </c>
    </row>
    <row r="3425" spans="1:9" x14ac:dyDescent="0.15">
      <c r="A3425" s="9">
        <v>3424</v>
      </c>
      <c r="B3425" s="10" t="s">
        <v>9</v>
      </c>
      <c r="C3425" s="10" t="s">
        <v>363</v>
      </c>
      <c r="D3425" s="10" t="s">
        <v>364</v>
      </c>
      <c r="E3425" s="11" t="str">
        <f>+HYPERLINK("http://trademark.i-assist.jp/data/china/image_1902th/79417407.pdf", "79417407")</f>
        <v>79417407</v>
      </c>
      <c r="F3425" s="10" t="s">
        <v>9511</v>
      </c>
      <c r="G3425" s="10" t="s">
        <v>9448</v>
      </c>
      <c r="H3425" s="10" t="s">
        <v>9512</v>
      </c>
      <c r="I3425" s="10" t="s">
        <v>9446</v>
      </c>
    </row>
    <row r="3426" spans="1:9" x14ac:dyDescent="0.15">
      <c r="A3426" s="9">
        <v>3425</v>
      </c>
      <c r="B3426" s="10" t="s">
        <v>9</v>
      </c>
      <c r="C3426" s="10" t="s">
        <v>363</v>
      </c>
      <c r="D3426" s="10" t="s">
        <v>364</v>
      </c>
      <c r="E3426" s="11" t="str">
        <f>+HYPERLINK("http://trademark.i-assist.jp/data/china/image_1902th/79417875.pdf", "79417875")</f>
        <v>79417875</v>
      </c>
      <c r="F3426" s="10" t="s">
        <v>9513</v>
      </c>
      <c r="G3426" s="10" t="s">
        <v>9514</v>
      </c>
      <c r="H3426" s="10" t="s">
        <v>9515</v>
      </c>
      <c r="I3426" s="10" t="s">
        <v>9446</v>
      </c>
    </row>
    <row r="3427" spans="1:9" x14ac:dyDescent="0.15">
      <c r="A3427" s="9">
        <v>3426</v>
      </c>
      <c r="B3427" s="10" t="s">
        <v>9</v>
      </c>
      <c r="C3427" s="10" t="s">
        <v>363</v>
      </c>
      <c r="D3427" s="10" t="s">
        <v>364</v>
      </c>
      <c r="E3427" s="11" t="str">
        <f>+HYPERLINK("http://trademark.i-assist.jp/data/china/image_1902th/79417953.pdf", "79417953")</f>
        <v>79417953</v>
      </c>
      <c r="F3427" s="10" t="s">
        <v>9516</v>
      </c>
      <c r="G3427" s="10" t="s">
        <v>9517</v>
      </c>
      <c r="H3427" s="10" t="s">
        <v>9518</v>
      </c>
      <c r="I3427" s="10" t="s">
        <v>9446</v>
      </c>
    </row>
    <row r="3428" spans="1:9" x14ac:dyDescent="0.15">
      <c r="A3428" s="9">
        <v>3427</v>
      </c>
      <c r="B3428" s="10" t="s">
        <v>9</v>
      </c>
      <c r="C3428" s="10" t="s">
        <v>363</v>
      </c>
      <c r="D3428" s="10" t="s">
        <v>364</v>
      </c>
      <c r="E3428" s="11" t="str">
        <f>+HYPERLINK("http://trademark.i-assist.jp/data/china/image_1902th/79418337.pdf", "79418337")</f>
        <v>79418337</v>
      </c>
      <c r="F3428" s="10" t="s">
        <v>9519</v>
      </c>
      <c r="G3428" s="10" t="s">
        <v>9520</v>
      </c>
      <c r="H3428" s="10" t="s">
        <v>9521</v>
      </c>
      <c r="I3428" s="10" t="s">
        <v>9446</v>
      </c>
    </row>
    <row r="3429" spans="1:9" x14ac:dyDescent="0.15">
      <c r="A3429" s="9">
        <v>3428</v>
      </c>
      <c r="B3429" s="10" t="s">
        <v>9</v>
      </c>
      <c r="C3429" s="10" t="s">
        <v>363</v>
      </c>
      <c r="D3429" s="10" t="s">
        <v>364</v>
      </c>
      <c r="E3429" s="11" t="str">
        <f>+HYPERLINK("http://trademark.i-assist.jp/data/china/image_1902th/79418627.pdf", "79418627")</f>
        <v>79418627</v>
      </c>
      <c r="F3429" s="10" t="s">
        <v>9522</v>
      </c>
      <c r="G3429" s="10" t="s">
        <v>9523</v>
      </c>
      <c r="H3429" s="10" t="s">
        <v>9524</v>
      </c>
      <c r="I3429" s="10" t="s">
        <v>9446</v>
      </c>
    </row>
    <row r="3430" spans="1:9" x14ac:dyDescent="0.15">
      <c r="A3430" s="9">
        <v>3429</v>
      </c>
      <c r="B3430" s="10" t="s">
        <v>9</v>
      </c>
      <c r="C3430" s="10" t="s">
        <v>363</v>
      </c>
      <c r="D3430" s="10" t="s">
        <v>364</v>
      </c>
      <c r="E3430" s="11" t="str">
        <f>+HYPERLINK("http://trademark.i-assist.jp/data/china/image_1902th/79419091.pdf", "79419091")</f>
        <v>79419091</v>
      </c>
      <c r="F3430" s="10" t="s">
        <v>9525</v>
      </c>
      <c r="G3430" s="10" t="s">
        <v>9526</v>
      </c>
      <c r="H3430" s="10" t="s">
        <v>9527</v>
      </c>
      <c r="I3430" s="10" t="s">
        <v>9446</v>
      </c>
    </row>
    <row r="3431" spans="1:9" x14ac:dyDescent="0.15">
      <c r="A3431" s="9">
        <v>3430</v>
      </c>
      <c r="B3431" s="10" t="s">
        <v>9</v>
      </c>
      <c r="C3431" s="10" t="s">
        <v>363</v>
      </c>
      <c r="D3431" s="10" t="s">
        <v>364</v>
      </c>
      <c r="E3431" s="11" t="str">
        <f>+HYPERLINK("http://trademark.i-assist.jp/data/china/image_1902th/79419405.pdf", "79419405")</f>
        <v>79419405</v>
      </c>
      <c r="F3431" s="10" t="s">
        <v>9528</v>
      </c>
      <c r="G3431" s="10" t="s">
        <v>9529</v>
      </c>
      <c r="H3431" s="10" t="s">
        <v>9530</v>
      </c>
      <c r="I3431" s="10" t="s">
        <v>9446</v>
      </c>
    </row>
    <row r="3432" spans="1:9" x14ac:dyDescent="0.15">
      <c r="A3432" s="9">
        <v>3431</v>
      </c>
      <c r="B3432" s="10" t="s">
        <v>9</v>
      </c>
      <c r="C3432" s="10" t="s">
        <v>363</v>
      </c>
      <c r="D3432" s="10" t="s">
        <v>364</v>
      </c>
      <c r="E3432" s="11" t="str">
        <f>+HYPERLINK("http://trademark.i-assist.jp/data/china/image_1902th/79419572.pdf", "79419572")</f>
        <v>79419572</v>
      </c>
      <c r="F3432" s="10" t="s">
        <v>9531</v>
      </c>
      <c r="G3432" s="10" t="s">
        <v>9532</v>
      </c>
      <c r="H3432" s="10" t="s">
        <v>9533</v>
      </c>
      <c r="I3432" s="10" t="s">
        <v>9446</v>
      </c>
    </row>
    <row r="3433" spans="1:9" x14ac:dyDescent="0.15">
      <c r="A3433" s="9">
        <v>3432</v>
      </c>
      <c r="B3433" s="10" t="s">
        <v>9</v>
      </c>
      <c r="C3433" s="10" t="s">
        <v>363</v>
      </c>
      <c r="D3433" s="10" t="s">
        <v>364</v>
      </c>
      <c r="E3433" s="11" t="str">
        <f>+HYPERLINK("http://trademark.i-assist.jp/data/china/image_1902th/79419791.pdf", "79419791")</f>
        <v>79419791</v>
      </c>
      <c r="F3433" s="10" t="s">
        <v>9534</v>
      </c>
      <c r="G3433" s="10" t="s">
        <v>9535</v>
      </c>
      <c r="H3433" s="10" t="s">
        <v>9536</v>
      </c>
      <c r="I3433" s="10" t="s">
        <v>9446</v>
      </c>
    </row>
    <row r="3434" spans="1:9" x14ac:dyDescent="0.15">
      <c r="A3434" s="9">
        <v>3433</v>
      </c>
      <c r="B3434" s="10" t="s">
        <v>9</v>
      </c>
      <c r="C3434" s="10" t="s">
        <v>363</v>
      </c>
      <c r="D3434" s="10" t="s">
        <v>364</v>
      </c>
      <c r="E3434" s="11" t="str">
        <f>+HYPERLINK("http://trademark.i-assist.jp/data/china/image_1902th/79420232.pdf", "79420232")</f>
        <v>79420232</v>
      </c>
      <c r="F3434" s="10" t="s">
        <v>9537</v>
      </c>
      <c r="G3434" s="10" t="s">
        <v>69</v>
      </c>
      <c r="H3434" s="10" t="s">
        <v>9538</v>
      </c>
      <c r="I3434" s="10" t="s">
        <v>9446</v>
      </c>
    </row>
    <row r="3435" spans="1:9" x14ac:dyDescent="0.15">
      <c r="A3435" s="9">
        <v>3434</v>
      </c>
      <c r="B3435" s="10" t="s">
        <v>9</v>
      </c>
      <c r="C3435" s="10" t="s">
        <v>363</v>
      </c>
      <c r="D3435" s="10" t="s">
        <v>364</v>
      </c>
      <c r="E3435" s="11" t="str">
        <f>+HYPERLINK("http://trademark.i-assist.jp/data/china/image_1902th/79420268.pdf", "79420268")</f>
        <v>79420268</v>
      </c>
      <c r="F3435" s="10" t="s">
        <v>9539</v>
      </c>
      <c r="G3435" s="10" t="s">
        <v>9540</v>
      </c>
      <c r="H3435" s="10" t="s">
        <v>9541</v>
      </c>
      <c r="I3435" s="10" t="s">
        <v>9446</v>
      </c>
    </row>
    <row r="3436" spans="1:9" x14ac:dyDescent="0.15">
      <c r="A3436" s="9">
        <v>3435</v>
      </c>
      <c r="B3436" s="10" t="s">
        <v>9</v>
      </c>
      <c r="C3436" s="10" t="s">
        <v>363</v>
      </c>
      <c r="D3436" s="10" t="s">
        <v>364</v>
      </c>
      <c r="E3436" s="11" t="str">
        <f>+HYPERLINK("http://trademark.i-assist.jp/data/china/image_1902th/79420278.pdf", "79420278")</f>
        <v>79420278</v>
      </c>
      <c r="F3436" s="10" t="s">
        <v>9542</v>
      </c>
      <c r="G3436" s="10" t="s">
        <v>9543</v>
      </c>
      <c r="H3436" s="10" t="s">
        <v>9544</v>
      </c>
      <c r="I3436" s="10" t="s">
        <v>9446</v>
      </c>
    </row>
    <row r="3437" spans="1:9" x14ac:dyDescent="0.15">
      <c r="A3437" s="9">
        <v>3436</v>
      </c>
      <c r="B3437" s="10" t="s">
        <v>9</v>
      </c>
      <c r="C3437" s="10" t="s">
        <v>363</v>
      </c>
      <c r="D3437" s="10" t="s">
        <v>364</v>
      </c>
      <c r="E3437" s="11" t="str">
        <f>+HYPERLINK("http://trademark.i-assist.jp/data/china/image_1902th/79420322.pdf", "79420322")</f>
        <v>79420322</v>
      </c>
      <c r="F3437" s="10" t="s">
        <v>9545</v>
      </c>
      <c r="G3437" s="10" t="s">
        <v>9546</v>
      </c>
      <c r="H3437" s="10" t="s">
        <v>9547</v>
      </c>
      <c r="I3437" s="10" t="s">
        <v>9446</v>
      </c>
    </row>
    <row r="3438" spans="1:9" x14ac:dyDescent="0.15">
      <c r="A3438" s="9">
        <v>3437</v>
      </c>
      <c r="B3438" s="10" t="s">
        <v>9</v>
      </c>
      <c r="C3438" s="10" t="s">
        <v>363</v>
      </c>
      <c r="D3438" s="10" t="s">
        <v>364</v>
      </c>
      <c r="E3438" s="11" t="str">
        <f>+HYPERLINK("http://trademark.i-assist.jp/data/china/image_1902th/79420835.pdf", "79420835")</f>
        <v>79420835</v>
      </c>
      <c r="F3438" s="10" t="s">
        <v>9548</v>
      </c>
      <c r="G3438" s="10" t="s">
        <v>9549</v>
      </c>
      <c r="H3438" s="10" t="s">
        <v>9550</v>
      </c>
      <c r="I3438" s="10" t="s">
        <v>9446</v>
      </c>
    </row>
    <row r="3439" spans="1:9" x14ac:dyDescent="0.15">
      <c r="A3439" s="9">
        <v>3438</v>
      </c>
      <c r="B3439" s="10" t="s">
        <v>9</v>
      </c>
      <c r="C3439" s="10" t="s">
        <v>363</v>
      </c>
      <c r="D3439" s="10" t="s">
        <v>364</v>
      </c>
      <c r="E3439" s="11" t="str">
        <f>+HYPERLINK("http://trademark.i-assist.jp/data/china/image_1902th/79420837.pdf", "79420837")</f>
        <v>79420837</v>
      </c>
      <c r="F3439" s="10" t="s">
        <v>9551</v>
      </c>
      <c r="G3439" s="10" t="s">
        <v>9523</v>
      </c>
      <c r="H3439" s="10" t="s">
        <v>9552</v>
      </c>
      <c r="I3439" s="10" t="s">
        <v>9446</v>
      </c>
    </row>
    <row r="3440" spans="1:9" x14ac:dyDescent="0.15">
      <c r="A3440" s="9">
        <v>3439</v>
      </c>
      <c r="B3440" s="10" t="s">
        <v>9</v>
      </c>
      <c r="C3440" s="10" t="s">
        <v>363</v>
      </c>
      <c r="D3440" s="10" t="s">
        <v>364</v>
      </c>
      <c r="E3440" s="11" t="str">
        <f>+HYPERLINK("http://trademark.i-assist.jp/data/china/image_1902th/79421025.pdf", "79421025")</f>
        <v>79421025</v>
      </c>
      <c r="F3440" s="10" t="s">
        <v>9553</v>
      </c>
      <c r="G3440" s="10" t="s">
        <v>9554</v>
      </c>
      <c r="H3440" s="10" t="s">
        <v>9555</v>
      </c>
      <c r="I3440" s="10" t="s">
        <v>9446</v>
      </c>
    </row>
    <row r="3441" spans="1:9" x14ac:dyDescent="0.15">
      <c r="A3441" s="9">
        <v>3440</v>
      </c>
      <c r="B3441" s="10" t="s">
        <v>9</v>
      </c>
      <c r="C3441" s="10" t="s">
        <v>363</v>
      </c>
      <c r="D3441" s="10" t="s">
        <v>364</v>
      </c>
      <c r="E3441" s="11" t="str">
        <f>+HYPERLINK("http://trademark.i-assist.jp/data/china/image_1902th/79421744.pdf", "79421744")</f>
        <v>79421744</v>
      </c>
      <c r="F3441" s="10" t="s">
        <v>9556</v>
      </c>
      <c r="G3441" s="10" t="s">
        <v>9557</v>
      </c>
      <c r="H3441" s="10" t="s">
        <v>9558</v>
      </c>
      <c r="I3441" s="10" t="s">
        <v>9446</v>
      </c>
    </row>
    <row r="3442" spans="1:9" x14ac:dyDescent="0.15">
      <c r="A3442" s="9">
        <v>3441</v>
      </c>
      <c r="B3442" s="10" t="s">
        <v>9</v>
      </c>
      <c r="C3442" s="10" t="s">
        <v>363</v>
      </c>
      <c r="D3442" s="10" t="s">
        <v>364</v>
      </c>
      <c r="E3442" s="11" t="str">
        <f>+HYPERLINK("http://trademark.i-assist.jp/data/china/image_1902th/79422185.pdf", "79422185")</f>
        <v>79422185</v>
      </c>
      <c r="F3442" s="10" t="s">
        <v>9559</v>
      </c>
      <c r="G3442" s="10" t="s">
        <v>9560</v>
      </c>
      <c r="H3442" s="10" t="s">
        <v>9561</v>
      </c>
      <c r="I3442" s="10" t="s">
        <v>9446</v>
      </c>
    </row>
    <row r="3443" spans="1:9" x14ac:dyDescent="0.15">
      <c r="A3443" s="9">
        <v>3442</v>
      </c>
      <c r="B3443" s="10" t="s">
        <v>9</v>
      </c>
      <c r="C3443" s="10" t="s">
        <v>363</v>
      </c>
      <c r="D3443" s="10" t="s">
        <v>364</v>
      </c>
      <c r="E3443" s="11" t="str">
        <f>+HYPERLINK("http://trademark.i-assist.jp/data/china/image_1902th/79422357.pdf", "79422357")</f>
        <v>79422357</v>
      </c>
      <c r="F3443" s="10" t="s">
        <v>9562</v>
      </c>
      <c r="G3443" s="10" t="s">
        <v>9563</v>
      </c>
      <c r="H3443" s="10" t="s">
        <v>9564</v>
      </c>
      <c r="I3443" s="10" t="s">
        <v>9446</v>
      </c>
    </row>
    <row r="3444" spans="1:9" x14ac:dyDescent="0.15">
      <c r="A3444" s="9">
        <v>3443</v>
      </c>
      <c r="B3444" s="10" t="s">
        <v>9</v>
      </c>
      <c r="C3444" s="10" t="s">
        <v>363</v>
      </c>
      <c r="D3444" s="10" t="s">
        <v>364</v>
      </c>
      <c r="E3444" s="11" t="str">
        <f>+HYPERLINK("http://trademark.i-assist.jp/data/china/image_1902th/79422446.pdf", "79422446")</f>
        <v>79422446</v>
      </c>
      <c r="F3444" s="10" t="s">
        <v>9565</v>
      </c>
      <c r="G3444" s="10" t="s">
        <v>9566</v>
      </c>
      <c r="H3444" s="10" t="s">
        <v>9567</v>
      </c>
      <c r="I3444" s="10" t="s">
        <v>9446</v>
      </c>
    </row>
    <row r="3445" spans="1:9" x14ac:dyDescent="0.15">
      <c r="A3445" s="9">
        <v>3444</v>
      </c>
      <c r="B3445" s="10" t="s">
        <v>9</v>
      </c>
      <c r="C3445" s="10" t="s">
        <v>363</v>
      </c>
      <c r="D3445" s="10" t="s">
        <v>364</v>
      </c>
      <c r="E3445" s="11" t="str">
        <f>+HYPERLINK("http://trademark.i-assist.jp/data/china/image_1902th/79423176.pdf", "79423176")</f>
        <v>79423176</v>
      </c>
      <c r="F3445" s="10" t="s">
        <v>12</v>
      </c>
      <c r="G3445" s="10" t="s">
        <v>9568</v>
      </c>
      <c r="H3445" s="10" t="s">
        <v>9569</v>
      </c>
      <c r="I3445" s="10" t="s">
        <v>9446</v>
      </c>
    </row>
    <row r="3446" spans="1:9" x14ac:dyDescent="0.15">
      <c r="A3446" s="9">
        <v>3445</v>
      </c>
      <c r="B3446" s="10" t="s">
        <v>9</v>
      </c>
      <c r="C3446" s="10" t="s">
        <v>363</v>
      </c>
      <c r="D3446" s="10" t="s">
        <v>364</v>
      </c>
      <c r="E3446" s="11" t="str">
        <f>+HYPERLINK("http://trademark.i-assist.jp/data/china/image_1902th/79423235.pdf", "79423235")</f>
        <v>79423235</v>
      </c>
      <c r="F3446" s="10" t="s">
        <v>9570</v>
      </c>
      <c r="G3446" s="10" t="s">
        <v>9571</v>
      </c>
      <c r="H3446" s="10" t="s">
        <v>9572</v>
      </c>
      <c r="I3446" s="10" t="s">
        <v>9446</v>
      </c>
    </row>
    <row r="3447" spans="1:9" x14ac:dyDescent="0.15">
      <c r="A3447" s="9">
        <v>3446</v>
      </c>
      <c r="B3447" s="10" t="s">
        <v>9</v>
      </c>
      <c r="C3447" s="10" t="s">
        <v>363</v>
      </c>
      <c r="D3447" s="10" t="s">
        <v>364</v>
      </c>
      <c r="E3447" s="11" t="str">
        <f>+HYPERLINK("http://trademark.i-assist.jp/data/china/image_1902th/79423860.pdf", "79423860")</f>
        <v>79423860</v>
      </c>
      <c r="F3447" s="10" t="s">
        <v>9573</v>
      </c>
      <c r="G3447" s="10" t="s">
        <v>9574</v>
      </c>
      <c r="H3447" s="10" t="s">
        <v>9575</v>
      </c>
      <c r="I3447" s="10" t="s">
        <v>9446</v>
      </c>
    </row>
    <row r="3448" spans="1:9" x14ac:dyDescent="0.15">
      <c r="A3448" s="9">
        <v>3447</v>
      </c>
      <c r="B3448" s="10" t="s">
        <v>9</v>
      </c>
      <c r="C3448" s="10" t="s">
        <v>363</v>
      </c>
      <c r="D3448" s="10" t="s">
        <v>364</v>
      </c>
      <c r="E3448" s="11" t="str">
        <f>+HYPERLINK("http://trademark.i-assist.jp/data/china/image_1902th/79424135.pdf", "79424135")</f>
        <v>79424135</v>
      </c>
      <c r="F3448" s="10" t="s">
        <v>9576</v>
      </c>
      <c r="G3448" s="10" t="s">
        <v>9577</v>
      </c>
      <c r="H3448" s="10" t="s">
        <v>9578</v>
      </c>
      <c r="I3448" s="10" t="s">
        <v>9446</v>
      </c>
    </row>
    <row r="3449" spans="1:9" x14ac:dyDescent="0.15">
      <c r="A3449" s="9">
        <v>3448</v>
      </c>
      <c r="B3449" s="10" t="s">
        <v>9</v>
      </c>
      <c r="C3449" s="10" t="s">
        <v>363</v>
      </c>
      <c r="D3449" s="10" t="s">
        <v>364</v>
      </c>
      <c r="E3449" s="11" t="str">
        <f>+HYPERLINK("http://trademark.i-assist.jp/data/china/image_1902th/79424149.pdf", "79424149")</f>
        <v>79424149</v>
      </c>
      <c r="F3449" s="10" t="s">
        <v>9579</v>
      </c>
      <c r="G3449" s="10" t="s">
        <v>9577</v>
      </c>
      <c r="H3449" s="10" t="s">
        <v>9580</v>
      </c>
      <c r="I3449" s="10" t="s">
        <v>9446</v>
      </c>
    </row>
    <row r="3450" spans="1:9" x14ac:dyDescent="0.15">
      <c r="A3450" s="9">
        <v>3449</v>
      </c>
      <c r="B3450" s="10" t="s">
        <v>9</v>
      </c>
      <c r="C3450" s="10" t="s">
        <v>363</v>
      </c>
      <c r="D3450" s="10" t="s">
        <v>364</v>
      </c>
      <c r="E3450" s="11" t="str">
        <f>+HYPERLINK("http://trademark.i-assist.jp/data/china/image_1902th/79424475.pdf", "79424475")</f>
        <v>79424475</v>
      </c>
      <c r="F3450" s="10" t="s">
        <v>9581</v>
      </c>
      <c r="G3450" s="10" t="s">
        <v>230</v>
      </c>
      <c r="H3450" s="10" t="s">
        <v>9582</v>
      </c>
      <c r="I3450" s="10" t="s">
        <v>9446</v>
      </c>
    </row>
    <row r="3451" spans="1:9" x14ac:dyDescent="0.15">
      <c r="A3451" s="9">
        <v>3450</v>
      </c>
      <c r="B3451" s="10" t="s">
        <v>9</v>
      </c>
      <c r="C3451" s="10" t="s">
        <v>363</v>
      </c>
      <c r="D3451" s="10" t="s">
        <v>364</v>
      </c>
      <c r="E3451" s="11" t="str">
        <f>+HYPERLINK("http://trademark.i-assist.jp/data/china/image_1902th/79424657.pdf", "79424657")</f>
        <v>79424657</v>
      </c>
      <c r="F3451" s="10" t="s">
        <v>9583</v>
      </c>
      <c r="G3451" s="10" t="s">
        <v>9517</v>
      </c>
      <c r="H3451" s="10" t="s">
        <v>9584</v>
      </c>
      <c r="I3451" s="10" t="s">
        <v>9446</v>
      </c>
    </row>
    <row r="3452" spans="1:9" x14ac:dyDescent="0.15">
      <c r="A3452" s="9">
        <v>3451</v>
      </c>
      <c r="B3452" s="10" t="s">
        <v>9</v>
      </c>
      <c r="C3452" s="10" t="s">
        <v>363</v>
      </c>
      <c r="D3452" s="10" t="s">
        <v>364</v>
      </c>
      <c r="E3452" s="11" t="str">
        <f>+HYPERLINK("http://trademark.i-assist.jp/data/china/image_1902th/79424904.pdf", "79424904")</f>
        <v>79424904</v>
      </c>
      <c r="F3452" s="10" t="s">
        <v>9585</v>
      </c>
      <c r="G3452" s="10" t="s">
        <v>9586</v>
      </c>
      <c r="H3452" s="10" t="s">
        <v>9587</v>
      </c>
      <c r="I3452" s="10" t="s">
        <v>9446</v>
      </c>
    </row>
    <row r="3453" spans="1:9" x14ac:dyDescent="0.15">
      <c r="A3453" s="9">
        <v>3452</v>
      </c>
      <c r="B3453" s="10" t="s">
        <v>9</v>
      </c>
      <c r="C3453" s="10" t="s">
        <v>363</v>
      </c>
      <c r="D3453" s="10" t="s">
        <v>364</v>
      </c>
      <c r="E3453" s="11" t="str">
        <f>+HYPERLINK("http://trademark.i-assist.jp/data/china/image_1902th/79424982.pdf", "79424982")</f>
        <v>79424982</v>
      </c>
      <c r="F3453" s="10" t="s">
        <v>9588</v>
      </c>
      <c r="G3453" s="10" t="s">
        <v>9589</v>
      </c>
      <c r="H3453" s="10" t="s">
        <v>9590</v>
      </c>
      <c r="I3453" s="10" t="s">
        <v>9446</v>
      </c>
    </row>
    <row r="3454" spans="1:9" x14ac:dyDescent="0.15">
      <c r="A3454" s="9">
        <v>3453</v>
      </c>
      <c r="B3454" s="10" t="s">
        <v>9</v>
      </c>
      <c r="C3454" s="10" t="s">
        <v>363</v>
      </c>
      <c r="D3454" s="10" t="s">
        <v>364</v>
      </c>
      <c r="E3454" s="11" t="str">
        <f>+HYPERLINK("http://trademark.i-assist.jp/data/china/image_1902th/79425875.pdf", "79425875")</f>
        <v>79425875</v>
      </c>
      <c r="F3454" s="10" t="s">
        <v>9591</v>
      </c>
      <c r="G3454" s="10" t="s">
        <v>9592</v>
      </c>
      <c r="H3454" s="10" t="s">
        <v>9593</v>
      </c>
      <c r="I3454" s="10" t="s">
        <v>9446</v>
      </c>
    </row>
    <row r="3455" spans="1:9" x14ac:dyDescent="0.15">
      <c r="A3455" s="9">
        <v>3454</v>
      </c>
      <c r="B3455" s="10" t="s">
        <v>9</v>
      </c>
      <c r="C3455" s="10" t="s">
        <v>363</v>
      </c>
      <c r="D3455" s="10" t="s">
        <v>364</v>
      </c>
      <c r="E3455" s="11" t="str">
        <f>+HYPERLINK("http://trademark.i-assist.jp/data/china/image_1902th/79425926.pdf", "79425926")</f>
        <v>79425926</v>
      </c>
      <c r="F3455" s="10" t="s">
        <v>9594</v>
      </c>
      <c r="G3455" s="10" t="s">
        <v>211</v>
      </c>
      <c r="H3455" s="10" t="s">
        <v>9595</v>
      </c>
      <c r="I3455" s="10" t="s">
        <v>9446</v>
      </c>
    </row>
    <row r="3456" spans="1:9" x14ac:dyDescent="0.15">
      <c r="A3456" s="9">
        <v>3455</v>
      </c>
      <c r="B3456" s="10" t="s">
        <v>9</v>
      </c>
      <c r="C3456" s="10" t="s">
        <v>363</v>
      </c>
      <c r="D3456" s="10" t="s">
        <v>364</v>
      </c>
      <c r="E3456" s="11" t="str">
        <f>+HYPERLINK("http://trademark.i-assist.jp/data/china/image_1902th/79426146.pdf", "79426146")</f>
        <v>79426146</v>
      </c>
      <c r="F3456" s="10" t="s">
        <v>9596</v>
      </c>
      <c r="G3456" s="10" t="s">
        <v>9597</v>
      </c>
      <c r="H3456" s="10" t="s">
        <v>9598</v>
      </c>
      <c r="I3456" s="10" t="s">
        <v>9446</v>
      </c>
    </row>
    <row r="3457" spans="1:9" x14ac:dyDescent="0.15">
      <c r="A3457" s="9">
        <v>3456</v>
      </c>
      <c r="B3457" s="10" t="s">
        <v>9</v>
      </c>
      <c r="C3457" s="10" t="s">
        <v>363</v>
      </c>
      <c r="D3457" s="10" t="s">
        <v>364</v>
      </c>
      <c r="E3457" s="11" t="str">
        <f>+HYPERLINK("http://trademark.i-assist.jp/data/china/image_1902th/79426243.pdf", "79426243")</f>
        <v>79426243</v>
      </c>
      <c r="F3457" s="10" t="s">
        <v>9599</v>
      </c>
      <c r="G3457" s="10" t="s">
        <v>9600</v>
      </c>
      <c r="H3457" s="10" t="s">
        <v>9601</v>
      </c>
      <c r="I3457" s="10" t="s">
        <v>9446</v>
      </c>
    </row>
    <row r="3458" spans="1:9" x14ac:dyDescent="0.15">
      <c r="A3458" s="9">
        <v>3457</v>
      </c>
      <c r="B3458" s="10" t="s">
        <v>9</v>
      </c>
      <c r="C3458" s="10" t="s">
        <v>363</v>
      </c>
      <c r="D3458" s="10" t="s">
        <v>364</v>
      </c>
      <c r="E3458" s="11" t="str">
        <f>+HYPERLINK("http://trademark.i-assist.jp/data/china/image_1902th/79426512.pdf", "79426512")</f>
        <v>79426512</v>
      </c>
      <c r="F3458" s="10" t="s">
        <v>9602</v>
      </c>
      <c r="G3458" s="10" t="s">
        <v>9514</v>
      </c>
      <c r="H3458" s="10" t="s">
        <v>9603</v>
      </c>
      <c r="I3458" s="10" t="s">
        <v>9446</v>
      </c>
    </row>
    <row r="3459" spans="1:9" x14ac:dyDescent="0.15">
      <c r="A3459" s="9">
        <v>3458</v>
      </c>
      <c r="B3459" s="10" t="s">
        <v>9</v>
      </c>
      <c r="C3459" s="10" t="s">
        <v>363</v>
      </c>
      <c r="D3459" s="10" t="s">
        <v>364</v>
      </c>
      <c r="E3459" s="11" t="str">
        <f>+HYPERLINK("http://trademark.i-assist.jp/data/china/image_1902th/79426529.pdf", "79426529")</f>
        <v>79426529</v>
      </c>
      <c r="F3459" s="10" t="s">
        <v>9604</v>
      </c>
      <c r="G3459" s="10" t="s">
        <v>9605</v>
      </c>
      <c r="H3459" s="10" t="s">
        <v>9606</v>
      </c>
      <c r="I3459" s="10" t="s">
        <v>9446</v>
      </c>
    </row>
    <row r="3460" spans="1:9" x14ac:dyDescent="0.15">
      <c r="A3460" s="9">
        <v>3459</v>
      </c>
      <c r="B3460" s="10" t="s">
        <v>9</v>
      </c>
      <c r="C3460" s="10" t="s">
        <v>363</v>
      </c>
      <c r="D3460" s="10" t="s">
        <v>364</v>
      </c>
      <c r="E3460" s="11" t="str">
        <f>+HYPERLINK("http://trademark.i-assist.jp/data/china/image_1902th/79426608.pdf", "79426608")</f>
        <v>79426608</v>
      </c>
      <c r="F3460" s="10" t="s">
        <v>9607</v>
      </c>
      <c r="G3460" s="10" t="s">
        <v>9608</v>
      </c>
      <c r="H3460" s="10" t="s">
        <v>9609</v>
      </c>
      <c r="I3460" s="10" t="s">
        <v>9446</v>
      </c>
    </row>
    <row r="3461" spans="1:9" x14ac:dyDescent="0.15">
      <c r="A3461" s="9">
        <v>3460</v>
      </c>
      <c r="B3461" s="10" t="s">
        <v>9</v>
      </c>
      <c r="C3461" s="10" t="s">
        <v>363</v>
      </c>
      <c r="D3461" s="10" t="s">
        <v>364</v>
      </c>
      <c r="E3461" s="11" t="str">
        <f>+HYPERLINK("http://trademark.i-assist.jp/data/china/image_1902th/79426727.pdf", "79426727")</f>
        <v>79426727</v>
      </c>
      <c r="F3461" s="10" t="s">
        <v>9610</v>
      </c>
      <c r="G3461" s="10" t="s">
        <v>9611</v>
      </c>
      <c r="H3461" s="10" t="s">
        <v>9612</v>
      </c>
      <c r="I3461" s="10" t="s">
        <v>9446</v>
      </c>
    </row>
    <row r="3462" spans="1:9" x14ac:dyDescent="0.15">
      <c r="A3462" s="9">
        <v>3461</v>
      </c>
      <c r="B3462" s="10" t="s">
        <v>9</v>
      </c>
      <c r="C3462" s="10" t="s">
        <v>363</v>
      </c>
      <c r="D3462" s="10" t="s">
        <v>364</v>
      </c>
      <c r="E3462" s="11" t="str">
        <f>+HYPERLINK("http://trademark.i-assist.jp/data/china/image_1902th/79427130.pdf", "79427130")</f>
        <v>79427130</v>
      </c>
      <c r="F3462" s="10" t="s">
        <v>9613</v>
      </c>
      <c r="G3462" s="10" t="s">
        <v>223</v>
      </c>
      <c r="H3462" s="10" t="s">
        <v>9614</v>
      </c>
      <c r="I3462" s="10" t="s">
        <v>9446</v>
      </c>
    </row>
    <row r="3463" spans="1:9" x14ac:dyDescent="0.15">
      <c r="A3463" s="9">
        <v>3462</v>
      </c>
      <c r="B3463" s="10" t="s">
        <v>9</v>
      </c>
      <c r="C3463" s="10" t="s">
        <v>363</v>
      </c>
      <c r="D3463" s="10" t="s">
        <v>364</v>
      </c>
      <c r="E3463" s="11" t="str">
        <f>+HYPERLINK("http://trademark.i-assist.jp/data/china/image_1902th/79427273.pdf", "79427273")</f>
        <v>79427273</v>
      </c>
      <c r="F3463" s="10" t="s">
        <v>9615</v>
      </c>
      <c r="G3463" s="10" t="s">
        <v>9554</v>
      </c>
      <c r="H3463" s="10" t="s">
        <v>9616</v>
      </c>
      <c r="I3463" s="10" t="s">
        <v>9446</v>
      </c>
    </row>
    <row r="3464" spans="1:9" x14ac:dyDescent="0.15">
      <c r="A3464" s="9">
        <v>3463</v>
      </c>
      <c r="B3464" s="10" t="s">
        <v>9</v>
      </c>
      <c r="C3464" s="10" t="s">
        <v>363</v>
      </c>
      <c r="D3464" s="10" t="s">
        <v>364</v>
      </c>
      <c r="E3464" s="11" t="str">
        <f>+HYPERLINK("http://trademark.i-assist.jp/data/china/image_1902th/79427786.pdf", "79427786")</f>
        <v>79427786</v>
      </c>
      <c r="F3464" s="10" t="s">
        <v>9617</v>
      </c>
      <c r="G3464" s="10" t="s">
        <v>9560</v>
      </c>
      <c r="H3464" s="10" t="s">
        <v>9618</v>
      </c>
      <c r="I3464" s="10" t="s">
        <v>9446</v>
      </c>
    </row>
    <row r="3465" spans="1:9" x14ac:dyDescent="0.15">
      <c r="A3465" s="9">
        <v>3464</v>
      </c>
      <c r="B3465" s="10" t="s">
        <v>9</v>
      </c>
      <c r="C3465" s="10" t="s">
        <v>363</v>
      </c>
      <c r="D3465" s="10" t="s">
        <v>364</v>
      </c>
      <c r="E3465" s="11" t="str">
        <f>+HYPERLINK("http://trademark.i-assist.jp/data/china/image_1902th/79428416.pdf", "79428416")</f>
        <v>79428416</v>
      </c>
      <c r="F3465" s="10" t="s">
        <v>9619</v>
      </c>
      <c r="G3465" s="10" t="s">
        <v>9620</v>
      </c>
      <c r="H3465" s="10" t="s">
        <v>9621</v>
      </c>
      <c r="I3465" s="10" t="s">
        <v>9446</v>
      </c>
    </row>
    <row r="3466" spans="1:9" x14ac:dyDescent="0.15">
      <c r="A3466" s="9">
        <v>3465</v>
      </c>
      <c r="B3466" s="10" t="s">
        <v>9</v>
      </c>
      <c r="C3466" s="10" t="s">
        <v>363</v>
      </c>
      <c r="D3466" s="10" t="s">
        <v>364</v>
      </c>
      <c r="E3466" s="11" t="str">
        <f>+HYPERLINK("http://trademark.i-assist.jp/data/china/image_1902th/79428826.pdf", "79428826")</f>
        <v>79428826</v>
      </c>
      <c r="F3466" s="10" t="s">
        <v>9622</v>
      </c>
      <c r="G3466" s="10" t="s">
        <v>9623</v>
      </c>
      <c r="H3466" s="10" t="s">
        <v>9624</v>
      </c>
      <c r="I3466" s="10" t="s">
        <v>9446</v>
      </c>
    </row>
    <row r="3467" spans="1:9" x14ac:dyDescent="0.15">
      <c r="A3467" s="9">
        <v>3466</v>
      </c>
      <c r="B3467" s="10" t="s">
        <v>9</v>
      </c>
      <c r="C3467" s="10" t="s">
        <v>363</v>
      </c>
      <c r="D3467" s="10" t="s">
        <v>364</v>
      </c>
      <c r="E3467" s="11" t="str">
        <f>+HYPERLINK("http://trademark.i-assist.jp/data/china/image_1902th/79430058.pdf", "79430058")</f>
        <v>79430058</v>
      </c>
      <c r="F3467" s="10" t="s">
        <v>9625</v>
      </c>
      <c r="G3467" s="10" t="s">
        <v>9472</v>
      </c>
      <c r="H3467" s="10" t="s">
        <v>9626</v>
      </c>
      <c r="I3467" s="10" t="s">
        <v>9446</v>
      </c>
    </row>
    <row r="3468" spans="1:9" x14ac:dyDescent="0.15">
      <c r="A3468" s="9">
        <v>3467</v>
      </c>
      <c r="B3468" s="10" t="s">
        <v>9</v>
      </c>
      <c r="C3468" s="10" t="s">
        <v>363</v>
      </c>
      <c r="D3468" s="10" t="s">
        <v>364</v>
      </c>
      <c r="E3468" s="11" t="str">
        <f>+HYPERLINK("http://trademark.i-assist.jp/data/china/image_1902th/79430603.pdf", "79430603")</f>
        <v>79430603</v>
      </c>
      <c r="F3468" s="10" t="s">
        <v>9627</v>
      </c>
      <c r="G3468" s="10" t="s">
        <v>7229</v>
      </c>
      <c r="H3468" s="10" t="s">
        <v>9628</v>
      </c>
      <c r="I3468" s="10" t="s">
        <v>9446</v>
      </c>
    </row>
    <row r="3469" spans="1:9" x14ac:dyDescent="0.15">
      <c r="A3469" s="9">
        <v>3468</v>
      </c>
      <c r="B3469" s="10" t="s">
        <v>9</v>
      </c>
      <c r="C3469" s="10" t="s">
        <v>363</v>
      </c>
      <c r="D3469" s="10" t="s">
        <v>364</v>
      </c>
      <c r="E3469" s="11" t="str">
        <f>+HYPERLINK("http://trademark.i-assist.jp/data/china/image_1902th/79430830.pdf", "79430830")</f>
        <v>79430830</v>
      </c>
      <c r="F3469" s="10" t="s">
        <v>9629</v>
      </c>
      <c r="G3469" s="10" t="s">
        <v>9630</v>
      </c>
      <c r="H3469" s="10" t="s">
        <v>9631</v>
      </c>
      <c r="I3469" s="10" t="s">
        <v>9446</v>
      </c>
    </row>
    <row r="3470" spans="1:9" x14ac:dyDescent="0.15">
      <c r="A3470" s="9">
        <v>3469</v>
      </c>
      <c r="B3470" s="10" t="s">
        <v>9</v>
      </c>
      <c r="C3470" s="10" t="s">
        <v>363</v>
      </c>
      <c r="D3470" s="10" t="s">
        <v>364</v>
      </c>
      <c r="E3470" s="11" t="str">
        <f>+HYPERLINK("http://trademark.i-assist.jp/data/china/image_1902th/79431105.pdf", "79431105")</f>
        <v>79431105</v>
      </c>
      <c r="F3470" s="10" t="s">
        <v>9632</v>
      </c>
      <c r="G3470" s="10" t="s">
        <v>219</v>
      </c>
      <c r="H3470" s="10" t="s">
        <v>9633</v>
      </c>
      <c r="I3470" s="10" t="s">
        <v>9446</v>
      </c>
    </row>
    <row r="3471" spans="1:9" x14ac:dyDescent="0.15">
      <c r="A3471" s="9">
        <v>3470</v>
      </c>
      <c r="B3471" s="10" t="s">
        <v>9</v>
      </c>
      <c r="C3471" s="10" t="s">
        <v>363</v>
      </c>
      <c r="D3471" s="10" t="s">
        <v>364</v>
      </c>
      <c r="E3471" s="11" t="str">
        <f>+HYPERLINK("http://trademark.i-assist.jp/data/china/image_1902th/79431697.pdf", "79431697")</f>
        <v>79431697</v>
      </c>
      <c r="F3471" s="10" t="s">
        <v>9634</v>
      </c>
      <c r="G3471" s="10" t="s">
        <v>9635</v>
      </c>
      <c r="H3471" s="10" t="s">
        <v>9636</v>
      </c>
      <c r="I3471" s="10" t="s">
        <v>9446</v>
      </c>
    </row>
    <row r="3472" spans="1:9" x14ac:dyDescent="0.15">
      <c r="A3472" s="9">
        <v>3471</v>
      </c>
      <c r="B3472" s="10" t="s">
        <v>9</v>
      </c>
      <c r="C3472" s="10" t="s">
        <v>363</v>
      </c>
      <c r="D3472" s="10" t="s">
        <v>364</v>
      </c>
      <c r="E3472" s="11" t="str">
        <f>+HYPERLINK("http://trademark.i-assist.jp/data/china/image_1902th/79431960.pdf", "79431960")</f>
        <v>79431960</v>
      </c>
      <c r="F3472" s="10" t="s">
        <v>12</v>
      </c>
      <c r="G3472" s="10" t="s">
        <v>9637</v>
      </c>
      <c r="H3472" s="10" t="s">
        <v>9638</v>
      </c>
      <c r="I3472" s="10" t="s">
        <v>9446</v>
      </c>
    </row>
    <row r="3473" spans="1:9" x14ac:dyDescent="0.15">
      <c r="A3473" s="9">
        <v>3472</v>
      </c>
      <c r="B3473" s="10" t="s">
        <v>9</v>
      </c>
      <c r="C3473" s="10" t="s">
        <v>363</v>
      </c>
      <c r="D3473" s="10" t="s">
        <v>364</v>
      </c>
      <c r="E3473" s="11" t="str">
        <f>+HYPERLINK("http://trademark.i-assist.jp/data/china/image_1902th/79432289.pdf", "79432289")</f>
        <v>79432289</v>
      </c>
      <c r="F3473" s="10" t="s">
        <v>9639</v>
      </c>
      <c r="G3473" s="10" t="s">
        <v>8935</v>
      </c>
      <c r="H3473" s="10" t="s">
        <v>9640</v>
      </c>
      <c r="I3473" s="10" t="s">
        <v>9446</v>
      </c>
    </row>
    <row r="3474" spans="1:9" x14ac:dyDescent="0.15">
      <c r="A3474" s="9">
        <v>3473</v>
      </c>
      <c r="B3474" s="10" t="s">
        <v>9</v>
      </c>
      <c r="C3474" s="10" t="s">
        <v>363</v>
      </c>
      <c r="D3474" s="10" t="s">
        <v>364</v>
      </c>
      <c r="E3474" s="11" t="str">
        <f>+HYPERLINK("http://trademark.i-assist.jp/data/china/image_1902th/79432476.pdf", "79432476")</f>
        <v>79432476</v>
      </c>
      <c r="F3474" s="10" t="s">
        <v>9641</v>
      </c>
      <c r="G3474" s="10" t="s">
        <v>9543</v>
      </c>
      <c r="H3474" s="10" t="s">
        <v>9642</v>
      </c>
      <c r="I3474" s="10" t="s">
        <v>9446</v>
      </c>
    </row>
    <row r="3475" spans="1:9" x14ac:dyDescent="0.15">
      <c r="A3475" s="9">
        <v>3474</v>
      </c>
      <c r="B3475" s="10" t="s">
        <v>9</v>
      </c>
      <c r="C3475" s="10" t="s">
        <v>363</v>
      </c>
      <c r="D3475" s="10" t="s">
        <v>364</v>
      </c>
      <c r="E3475" s="11" t="str">
        <f>+HYPERLINK("http://trademark.i-assist.jp/data/china/image_1902th/79433186.pdf", "79433186")</f>
        <v>79433186</v>
      </c>
      <c r="F3475" s="10" t="s">
        <v>9643</v>
      </c>
      <c r="G3475" s="10" t="s">
        <v>8446</v>
      </c>
      <c r="H3475" s="10" t="s">
        <v>9644</v>
      </c>
      <c r="I3475" s="10" t="s">
        <v>9446</v>
      </c>
    </row>
    <row r="3476" spans="1:9" x14ac:dyDescent="0.15">
      <c r="A3476" s="9">
        <v>3475</v>
      </c>
      <c r="B3476" s="10" t="s">
        <v>9</v>
      </c>
      <c r="C3476" s="10" t="s">
        <v>363</v>
      </c>
      <c r="D3476" s="10" t="s">
        <v>364</v>
      </c>
      <c r="E3476" s="11" t="str">
        <f>+HYPERLINK("http://trademark.i-assist.jp/data/china/image_1902th/79433191.pdf", "79433191")</f>
        <v>79433191</v>
      </c>
      <c r="F3476" s="10" t="s">
        <v>9645</v>
      </c>
      <c r="G3476" s="10" t="s">
        <v>9646</v>
      </c>
      <c r="H3476" s="10" t="s">
        <v>9647</v>
      </c>
      <c r="I3476" s="10" t="s">
        <v>9446</v>
      </c>
    </row>
    <row r="3477" spans="1:9" x14ac:dyDescent="0.15">
      <c r="A3477" s="9">
        <v>3476</v>
      </c>
      <c r="B3477" s="10" t="s">
        <v>9</v>
      </c>
      <c r="C3477" s="10" t="s">
        <v>363</v>
      </c>
      <c r="D3477" s="10" t="s">
        <v>364</v>
      </c>
      <c r="E3477" s="11" t="str">
        <f>+HYPERLINK("http://trademark.i-assist.jp/data/china/image_1902th/79433587.pdf", "79433587")</f>
        <v>79433587</v>
      </c>
      <c r="F3477" s="10" t="s">
        <v>9648</v>
      </c>
      <c r="G3477" s="10" t="s">
        <v>9649</v>
      </c>
      <c r="H3477" s="10" t="s">
        <v>9650</v>
      </c>
      <c r="I3477" s="10" t="s">
        <v>9446</v>
      </c>
    </row>
    <row r="3478" spans="1:9" x14ac:dyDescent="0.15">
      <c r="A3478" s="9">
        <v>3477</v>
      </c>
      <c r="B3478" s="10" t="s">
        <v>9</v>
      </c>
      <c r="C3478" s="10" t="s">
        <v>363</v>
      </c>
      <c r="D3478" s="10" t="s">
        <v>364</v>
      </c>
      <c r="E3478" s="11" t="str">
        <f>+HYPERLINK("http://trademark.i-assist.jp/data/china/image_1902th/79433839.pdf", "79433839")</f>
        <v>79433839</v>
      </c>
      <c r="F3478" s="10" t="s">
        <v>9651</v>
      </c>
      <c r="G3478" s="10" t="s">
        <v>230</v>
      </c>
      <c r="H3478" s="10" t="s">
        <v>9652</v>
      </c>
      <c r="I3478" s="10" t="s">
        <v>9446</v>
      </c>
    </row>
    <row r="3479" spans="1:9" x14ac:dyDescent="0.15">
      <c r="A3479" s="9">
        <v>3478</v>
      </c>
      <c r="B3479" s="10" t="s">
        <v>9</v>
      </c>
      <c r="C3479" s="10" t="s">
        <v>363</v>
      </c>
      <c r="D3479" s="10" t="s">
        <v>364</v>
      </c>
      <c r="E3479" s="11" t="str">
        <f>+HYPERLINK("http://trademark.i-assist.jp/data/china/image_1902th/79434557.pdf", "79434557")</f>
        <v>79434557</v>
      </c>
      <c r="F3479" s="10" t="s">
        <v>9653</v>
      </c>
      <c r="G3479" s="10" t="s">
        <v>9654</v>
      </c>
      <c r="H3479" s="10" t="s">
        <v>9655</v>
      </c>
      <c r="I3479" s="10" t="s">
        <v>9446</v>
      </c>
    </row>
    <row r="3480" spans="1:9" x14ac:dyDescent="0.15">
      <c r="A3480" s="9">
        <v>3479</v>
      </c>
      <c r="B3480" s="10" t="s">
        <v>9</v>
      </c>
      <c r="C3480" s="10" t="s">
        <v>363</v>
      </c>
      <c r="D3480" s="10" t="s">
        <v>364</v>
      </c>
      <c r="E3480" s="11" t="str">
        <f>+HYPERLINK("http://trademark.i-assist.jp/data/china/image_1902th/79435014.pdf", "79435014")</f>
        <v>79435014</v>
      </c>
      <c r="F3480" s="10" t="s">
        <v>9656</v>
      </c>
      <c r="G3480" s="10" t="s">
        <v>9657</v>
      </c>
      <c r="H3480" s="10" t="s">
        <v>9658</v>
      </c>
      <c r="I3480" s="10" t="s">
        <v>9446</v>
      </c>
    </row>
    <row r="3481" spans="1:9" x14ac:dyDescent="0.15">
      <c r="A3481" s="9">
        <v>3480</v>
      </c>
      <c r="B3481" s="10" t="s">
        <v>9</v>
      </c>
      <c r="C3481" s="10" t="s">
        <v>363</v>
      </c>
      <c r="D3481" s="10" t="s">
        <v>364</v>
      </c>
      <c r="E3481" s="11" t="str">
        <f>+HYPERLINK("http://trademark.i-assist.jp/data/china/image_1902th/79435078.pdf", "79435078")</f>
        <v>79435078</v>
      </c>
      <c r="F3481" s="10" t="s">
        <v>9659</v>
      </c>
      <c r="G3481" s="10" t="s">
        <v>9660</v>
      </c>
      <c r="H3481" s="10" t="s">
        <v>9661</v>
      </c>
      <c r="I3481" s="10" t="s">
        <v>9446</v>
      </c>
    </row>
    <row r="3482" spans="1:9" x14ac:dyDescent="0.15">
      <c r="A3482" s="9">
        <v>3481</v>
      </c>
      <c r="B3482" s="10" t="s">
        <v>9</v>
      </c>
      <c r="C3482" s="10" t="s">
        <v>363</v>
      </c>
      <c r="D3482" s="10" t="s">
        <v>364</v>
      </c>
      <c r="E3482" s="11" t="str">
        <f>+HYPERLINK("http://trademark.i-assist.jp/data/china/image_1902th/79435373.pdf", "79435373")</f>
        <v>79435373</v>
      </c>
      <c r="F3482" s="10" t="s">
        <v>9662</v>
      </c>
      <c r="G3482" s="10" t="s">
        <v>9663</v>
      </c>
      <c r="H3482" s="10" t="s">
        <v>9664</v>
      </c>
      <c r="I3482" s="10" t="s">
        <v>9446</v>
      </c>
    </row>
    <row r="3483" spans="1:9" x14ac:dyDescent="0.15">
      <c r="A3483" s="9">
        <v>3482</v>
      </c>
      <c r="B3483" s="10" t="s">
        <v>9</v>
      </c>
      <c r="C3483" s="10" t="s">
        <v>363</v>
      </c>
      <c r="D3483" s="10" t="s">
        <v>364</v>
      </c>
      <c r="E3483" s="11" t="str">
        <f>+HYPERLINK("http://trademark.i-assist.jp/data/china/image_1902th/79435375.pdf", "79435375")</f>
        <v>79435375</v>
      </c>
      <c r="F3483" s="10" t="s">
        <v>9665</v>
      </c>
      <c r="G3483" s="10" t="s">
        <v>9423</v>
      </c>
      <c r="H3483" s="10" t="s">
        <v>9666</v>
      </c>
      <c r="I3483" s="10" t="s">
        <v>9446</v>
      </c>
    </row>
    <row r="3484" spans="1:9" x14ac:dyDescent="0.15">
      <c r="A3484" s="9">
        <v>3483</v>
      </c>
      <c r="B3484" s="10" t="s">
        <v>9</v>
      </c>
      <c r="C3484" s="10" t="s">
        <v>363</v>
      </c>
      <c r="D3484" s="10" t="s">
        <v>364</v>
      </c>
      <c r="E3484" s="11" t="str">
        <f>+HYPERLINK("http://trademark.i-assist.jp/data/china/image_1902th/79435451.pdf", "79435451")</f>
        <v>79435451</v>
      </c>
      <c r="F3484" s="10" t="s">
        <v>9667</v>
      </c>
      <c r="G3484" s="10" t="s">
        <v>9668</v>
      </c>
      <c r="H3484" s="10" t="s">
        <v>9669</v>
      </c>
      <c r="I3484" s="10" t="s">
        <v>9446</v>
      </c>
    </row>
    <row r="3485" spans="1:9" x14ac:dyDescent="0.15">
      <c r="A3485" s="9">
        <v>3484</v>
      </c>
      <c r="B3485" s="10" t="s">
        <v>9</v>
      </c>
      <c r="C3485" s="10" t="s">
        <v>363</v>
      </c>
      <c r="D3485" s="10" t="s">
        <v>364</v>
      </c>
      <c r="E3485" s="11" t="str">
        <f>+HYPERLINK("http://trademark.i-assist.jp/data/china/image_1902th/79435546.pdf", "79435546")</f>
        <v>79435546</v>
      </c>
      <c r="F3485" s="10" t="s">
        <v>9670</v>
      </c>
      <c r="G3485" s="10" t="s">
        <v>9671</v>
      </c>
      <c r="H3485" s="10" t="s">
        <v>9672</v>
      </c>
      <c r="I3485" s="10" t="s">
        <v>9446</v>
      </c>
    </row>
    <row r="3486" spans="1:9" x14ac:dyDescent="0.15">
      <c r="A3486" s="9">
        <v>3485</v>
      </c>
      <c r="B3486" s="10" t="s">
        <v>9</v>
      </c>
      <c r="C3486" s="10" t="s">
        <v>363</v>
      </c>
      <c r="D3486" s="10" t="s">
        <v>364</v>
      </c>
      <c r="E3486" s="11" t="str">
        <f>+HYPERLINK("http://trademark.i-assist.jp/data/china/image_1902th/79435598.pdf", "79435598")</f>
        <v>79435598</v>
      </c>
      <c r="F3486" s="10" t="s">
        <v>9673</v>
      </c>
      <c r="G3486" s="10" t="s">
        <v>9674</v>
      </c>
      <c r="H3486" s="10" t="s">
        <v>9675</v>
      </c>
      <c r="I3486" s="10" t="s">
        <v>9446</v>
      </c>
    </row>
    <row r="3487" spans="1:9" x14ac:dyDescent="0.15">
      <c r="A3487" s="9">
        <v>3486</v>
      </c>
      <c r="B3487" s="10" t="s">
        <v>9</v>
      </c>
      <c r="C3487" s="10" t="s">
        <v>363</v>
      </c>
      <c r="D3487" s="10" t="s">
        <v>364</v>
      </c>
      <c r="E3487" s="11" t="str">
        <f>+HYPERLINK("http://trademark.i-assist.jp/data/china/image_1902th/79436386.pdf", "79436386")</f>
        <v>79436386</v>
      </c>
      <c r="F3487" s="10" t="s">
        <v>9676</v>
      </c>
      <c r="G3487" s="10" t="s">
        <v>9560</v>
      </c>
      <c r="H3487" s="10" t="s">
        <v>9677</v>
      </c>
      <c r="I3487" s="10" t="s">
        <v>9446</v>
      </c>
    </row>
    <row r="3488" spans="1:9" x14ac:dyDescent="0.15">
      <c r="A3488" s="9">
        <v>3487</v>
      </c>
      <c r="B3488" s="10" t="s">
        <v>9</v>
      </c>
      <c r="C3488" s="10" t="s">
        <v>363</v>
      </c>
      <c r="D3488" s="10" t="s">
        <v>364</v>
      </c>
      <c r="E3488" s="11" t="str">
        <f>+HYPERLINK("http://trademark.i-assist.jp/data/china/image_1902th/79436391.pdf", "79436391")</f>
        <v>79436391</v>
      </c>
      <c r="F3488" s="10" t="s">
        <v>9678</v>
      </c>
      <c r="G3488" s="10" t="s">
        <v>9560</v>
      </c>
      <c r="H3488" s="10" t="s">
        <v>9679</v>
      </c>
      <c r="I3488" s="10" t="s">
        <v>9446</v>
      </c>
    </row>
    <row r="3489" spans="1:9" x14ac:dyDescent="0.15">
      <c r="A3489" s="9">
        <v>3488</v>
      </c>
      <c r="B3489" s="10" t="s">
        <v>9</v>
      </c>
      <c r="C3489" s="10" t="s">
        <v>363</v>
      </c>
      <c r="D3489" s="10" t="s">
        <v>364</v>
      </c>
      <c r="E3489" s="11" t="str">
        <f>+HYPERLINK("http://trademark.i-assist.jp/data/china/image_1902th/79436911.pdf", "79436911")</f>
        <v>79436911</v>
      </c>
      <c r="F3489" s="10" t="s">
        <v>9680</v>
      </c>
      <c r="G3489" s="10" t="s">
        <v>9681</v>
      </c>
      <c r="H3489" s="10" t="s">
        <v>9682</v>
      </c>
      <c r="I3489" s="10" t="s">
        <v>9446</v>
      </c>
    </row>
    <row r="3490" spans="1:9" x14ac:dyDescent="0.15">
      <c r="A3490" s="9">
        <v>3489</v>
      </c>
      <c r="B3490" s="10" t="s">
        <v>9</v>
      </c>
      <c r="C3490" s="10" t="s">
        <v>363</v>
      </c>
      <c r="D3490" s="10" t="s">
        <v>364</v>
      </c>
      <c r="E3490" s="11" t="str">
        <f>+HYPERLINK("http://trademark.i-assist.jp/data/china/image_1902th/79436962.pdf", "79436962")</f>
        <v>79436962</v>
      </c>
      <c r="F3490" s="10" t="s">
        <v>9683</v>
      </c>
      <c r="G3490" s="10" t="s">
        <v>9684</v>
      </c>
      <c r="H3490" s="10" t="s">
        <v>9685</v>
      </c>
      <c r="I3490" s="10" t="s">
        <v>9446</v>
      </c>
    </row>
    <row r="3491" spans="1:9" x14ac:dyDescent="0.15">
      <c r="A3491" s="9">
        <v>3490</v>
      </c>
      <c r="B3491" s="10" t="s">
        <v>9</v>
      </c>
      <c r="C3491" s="10" t="s">
        <v>363</v>
      </c>
      <c r="D3491" s="10" t="s">
        <v>364</v>
      </c>
      <c r="E3491" s="11" t="str">
        <f>+HYPERLINK("http://trademark.i-assist.jp/data/china/image_1902th/79437026.pdf", "79437026")</f>
        <v>79437026</v>
      </c>
      <c r="F3491" s="10" t="s">
        <v>9686</v>
      </c>
      <c r="G3491" s="10" t="s">
        <v>9687</v>
      </c>
      <c r="H3491" s="10" t="s">
        <v>9688</v>
      </c>
      <c r="I3491" s="10" t="s">
        <v>9446</v>
      </c>
    </row>
    <row r="3492" spans="1:9" x14ac:dyDescent="0.15">
      <c r="A3492" s="9">
        <v>3491</v>
      </c>
      <c r="B3492" s="10" t="s">
        <v>9</v>
      </c>
      <c r="C3492" s="10" t="s">
        <v>363</v>
      </c>
      <c r="D3492" s="10" t="s">
        <v>364</v>
      </c>
      <c r="E3492" s="11" t="str">
        <f>+HYPERLINK("http://trademark.i-assist.jp/data/china/image_1902th/79437043.pdf", "79437043")</f>
        <v>79437043</v>
      </c>
      <c r="F3492" s="10" t="s">
        <v>9689</v>
      </c>
      <c r="G3492" s="10" t="s">
        <v>9546</v>
      </c>
      <c r="H3492" s="10" t="s">
        <v>9690</v>
      </c>
      <c r="I3492" s="10" t="s">
        <v>9446</v>
      </c>
    </row>
    <row r="3493" spans="1:9" x14ac:dyDescent="0.15">
      <c r="A3493" s="9">
        <v>3492</v>
      </c>
      <c r="B3493" s="10" t="s">
        <v>9</v>
      </c>
      <c r="C3493" s="10" t="s">
        <v>363</v>
      </c>
      <c r="D3493" s="10" t="s">
        <v>364</v>
      </c>
      <c r="E3493" s="11" t="str">
        <f>+HYPERLINK("http://trademark.i-assist.jp/data/china/image_1902th/79437175.pdf", "79437175")</f>
        <v>79437175</v>
      </c>
      <c r="F3493" s="10" t="s">
        <v>9691</v>
      </c>
      <c r="G3493" s="10" t="s">
        <v>9484</v>
      </c>
      <c r="H3493" s="10" t="s">
        <v>9692</v>
      </c>
      <c r="I3493" s="10" t="s">
        <v>9446</v>
      </c>
    </row>
    <row r="3494" spans="1:9" x14ac:dyDescent="0.15">
      <c r="A3494" s="9">
        <v>3493</v>
      </c>
      <c r="B3494" s="10" t="s">
        <v>9</v>
      </c>
      <c r="C3494" s="10" t="s">
        <v>363</v>
      </c>
      <c r="D3494" s="10" t="s">
        <v>364</v>
      </c>
      <c r="E3494" s="11" t="str">
        <f>+HYPERLINK("http://trademark.i-assist.jp/data/china/image_1902th/79437380.pdf", "79437380")</f>
        <v>79437380</v>
      </c>
      <c r="F3494" s="10" t="s">
        <v>9693</v>
      </c>
      <c r="G3494" s="10" t="s">
        <v>9597</v>
      </c>
      <c r="H3494" s="10" t="s">
        <v>9694</v>
      </c>
      <c r="I3494" s="10" t="s">
        <v>9446</v>
      </c>
    </row>
    <row r="3495" spans="1:9" x14ac:dyDescent="0.15">
      <c r="A3495" s="9">
        <v>3494</v>
      </c>
      <c r="B3495" s="10" t="s">
        <v>9</v>
      </c>
      <c r="C3495" s="10" t="s">
        <v>363</v>
      </c>
      <c r="D3495" s="10" t="s">
        <v>364</v>
      </c>
      <c r="E3495" s="11" t="str">
        <f>+HYPERLINK("http://trademark.i-assist.jp/data/china/image_1902th/79437492.pdf", "79437492")</f>
        <v>79437492</v>
      </c>
      <c r="F3495" s="10" t="s">
        <v>9695</v>
      </c>
      <c r="G3495" s="10" t="s">
        <v>9523</v>
      </c>
      <c r="H3495" s="10" t="s">
        <v>9696</v>
      </c>
      <c r="I3495" s="10" t="s">
        <v>9446</v>
      </c>
    </row>
    <row r="3496" spans="1:9" x14ac:dyDescent="0.15">
      <c r="A3496" s="9">
        <v>3495</v>
      </c>
      <c r="B3496" s="10" t="s">
        <v>9</v>
      </c>
      <c r="C3496" s="10" t="s">
        <v>363</v>
      </c>
      <c r="D3496" s="10" t="s">
        <v>364</v>
      </c>
      <c r="E3496" s="11" t="str">
        <f>+HYPERLINK("http://trademark.i-assist.jp/data/china/image_1902th/79437641.pdf", "79437641")</f>
        <v>79437641</v>
      </c>
      <c r="F3496" s="10" t="s">
        <v>9697</v>
      </c>
      <c r="G3496" s="10" t="s">
        <v>9469</v>
      </c>
      <c r="H3496" s="10" t="s">
        <v>9698</v>
      </c>
      <c r="I3496" s="10" t="s">
        <v>9446</v>
      </c>
    </row>
    <row r="3497" spans="1:9" x14ac:dyDescent="0.15">
      <c r="A3497" s="9">
        <v>3496</v>
      </c>
      <c r="B3497" s="10" t="s">
        <v>9</v>
      </c>
      <c r="C3497" s="10" t="s">
        <v>363</v>
      </c>
      <c r="D3497" s="10" t="s">
        <v>364</v>
      </c>
      <c r="E3497" s="11" t="str">
        <f>+HYPERLINK("http://trademark.i-assist.jp/data/china/image_1902th/79437780.pdf", "79437780")</f>
        <v>79437780</v>
      </c>
      <c r="F3497" s="10" t="s">
        <v>9699</v>
      </c>
      <c r="G3497" s="10" t="s">
        <v>9700</v>
      </c>
      <c r="H3497" s="10" t="s">
        <v>9701</v>
      </c>
      <c r="I3497" s="10" t="s">
        <v>9446</v>
      </c>
    </row>
    <row r="3498" spans="1:9" x14ac:dyDescent="0.15">
      <c r="A3498" s="9">
        <v>3497</v>
      </c>
      <c r="B3498" s="10" t="s">
        <v>9</v>
      </c>
      <c r="C3498" s="10" t="s">
        <v>363</v>
      </c>
      <c r="D3498" s="10" t="s">
        <v>364</v>
      </c>
      <c r="E3498" s="11" t="str">
        <f>+HYPERLINK("http://trademark.i-assist.jp/data/china/image_1902th/79437853.pdf", "79437853")</f>
        <v>79437853</v>
      </c>
      <c r="F3498" s="10" t="s">
        <v>9702</v>
      </c>
      <c r="G3498" s="10" t="s">
        <v>9703</v>
      </c>
      <c r="H3498" s="10" t="s">
        <v>9704</v>
      </c>
      <c r="I3498" s="10" t="s">
        <v>9705</v>
      </c>
    </row>
    <row r="3499" spans="1:9" x14ac:dyDescent="0.15">
      <c r="A3499" s="9">
        <v>3498</v>
      </c>
      <c r="B3499" s="10" t="s">
        <v>9</v>
      </c>
      <c r="C3499" s="10" t="s">
        <v>363</v>
      </c>
      <c r="D3499" s="10" t="s">
        <v>364</v>
      </c>
      <c r="E3499" s="11" t="str">
        <f>+HYPERLINK("http://trademark.i-assist.jp/data/china/image_1902th/79438257.pdf", "79438257")</f>
        <v>79438257</v>
      </c>
      <c r="F3499" s="10" t="s">
        <v>9706</v>
      </c>
      <c r="G3499" s="10" t="s">
        <v>9706</v>
      </c>
      <c r="H3499" s="10" t="s">
        <v>9707</v>
      </c>
      <c r="I3499" s="10" t="s">
        <v>9705</v>
      </c>
    </row>
    <row r="3500" spans="1:9" x14ac:dyDescent="0.15">
      <c r="A3500" s="9">
        <v>3499</v>
      </c>
      <c r="B3500" s="10" t="s">
        <v>9</v>
      </c>
      <c r="C3500" s="10" t="s">
        <v>363</v>
      </c>
      <c r="D3500" s="10" t="s">
        <v>364</v>
      </c>
      <c r="E3500" s="11" t="str">
        <f>+HYPERLINK("http://trademark.i-assist.jp/data/china/image_1902th/79438292.pdf", "79438292")</f>
        <v>79438292</v>
      </c>
      <c r="F3500" s="10" t="s">
        <v>9708</v>
      </c>
      <c r="G3500" s="10" t="s">
        <v>9709</v>
      </c>
      <c r="H3500" s="10" t="s">
        <v>9710</v>
      </c>
      <c r="I3500" s="10" t="s">
        <v>9705</v>
      </c>
    </row>
    <row r="3501" spans="1:9" x14ac:dyDescent="0.15">
      <c r="A3501" s="9">
        <v>3500</v>
      </c>
      <c r="B3501" s="10" t="s">
        <v>9</v>
      </c>
      <c r="C3501" s="10" t="s">
        <v>363</v>
      </c>
      <c r="D3501" s="10" t="s">
        <v>364</v>
      </c>
      <c r="E3501" s="11" t="str">
        <f>+HYPERLINK("http://trademark.i-assist.jp/data/china/image_1902th/79438504.pdf", "79438504")</f>
        <v>79438504</v>
      </c>
      <c r="F3501" s="10" t="s">
        <v>9711</v>
      </c>
      <c r="G3501" s="10" t="s">
        <v>9712</v>
      </c>
      <c r="H3501" s="10" t="s">
        <v>9713</v>
      </c>
      <c r="I3501" s="10" t="s">
        <v>9705</v>
      </c>
    </row>
    <row r="3502" spans="1:9" x14ac:dyDescent="0.15">
      <c r="A3502" s="9">
        <v>3501</v>
      </c>
      <c r="B3502" s="10" t="s">
        <v>9</v>
      </c>
      <c r="C3502" s="10" t="s">
        <v>363</v>
      </c>
      <c r="D3502" s="10" t="s">
        <v>364</v>
      </c>
      <c r="E3502" s="11" t="str">
        <f>+HYPERLINK("http://trademark.i-assist.jp/data/china/image_1902th/79438732.pdf", "79438732")</f>
        <v>79438732</v>
      </c>
      <c r="F3502" s="10" t="s">
        <v>9714</v>
      </c>
      <c r="G3502" s="10" t="s">
        <v>9715</v>
      </c>
      <c r="H3502" s="10" t="s">
        <v>9716</v>
      </c>
      <c r="I3502" s="10" t="s">
        <v>9705</v>
      </c>
    </row>
    <row r="3503" spans="1:9" x14ac:dyDescent="0.15">
      <c r="A3503" s="9">
        <v>3502</v>
      </c>
      <c r="B3503" s="10" t="s">
        <v>9</v>
      </c>
      <c r="C3503" s="10" t="s">
        <v>363</v>
      </c>
      <c r="D3503" s="10" t="s">
        <v>364</v>
      </c>
      <c r="E3503" s="11" t="str">
        <f>+HYPERLINK("http://trademark.i-assist.jp/data/china/image_1902th/79438792.pdf", "79438792")</f>
        <v>79438792</v>
      </c>
      <c r="F3503" s="10" t="s">
        <v>9717</v>
      </c>
      <c r="G3503" s="10" t="s">
        <v>9718</v>
      </c>
      <c r="H3503" s="10" t="s">
        <v>9719</v>
      </c>
      <c r="I3503" s="10" t="s">
        <v>9705</v>
      </c>
    </row>
    <row r="3504" spans="1:9" x14ac:dyDescent="0.15">
      <c r="A3504" s="9">
        <v>3503</v>
      </c>
      <c r="B3504" s="10" t="s">
        <v>9</v>
      </c>
      <c r="C3504" s="10" t="s">
        <v>363</v>
      </c>
      <c r="D3504" s="10" t="s">
        <v>364</v>
      </c>
      <c r="E3504" s="11" t="str">
        <f>+HYPERLINK("http://trademark.i-assist.jp/data/china/image_1902th/79439023.pdf", "79439023")</f>
        <v>79439023</v>
      </c>
      <c r="F3504" s="10" t="s">
        <v>9720</v>
      </c>
      <c r="G3504" s="10" t="s">
        <v>9721</v>
      </c>
      <c r="H3504" s="10" t="s">
        <v>9722</v>
      </c>
      <c r="I3504" s="10" t="s">
        <v>9705</v>
      </c>
    </row>
    <row r="3505" spans="1:9" x14ac:dyDescent="0.15">
      <c r="A3505" s="9">
        <v>3504</v>
      </c>
      <c r="B3505" s="10" t="s">
        <v>9</v>
      </c>
      <c r="C3505" s="10" t="s">
        <v>363</v>
      </c>
      <c r="D3505" s="10" t="s">
        <v>364</v>
      </c>
      <c r="E3505" s="11" t="str">
        <f>+HYPERLINK("http://trademark.i-assist.jp/data/china/image_1902th/79439121.pdf", "79439121")</f>
        <v>79439121</v>
      </c>
      <c r="F3505" s="10" t="s">
        <v>9723</v>
      </c>
      <c r="G3505" s="10" t="s">
        <v>9724</v>
      </c>
      <c r="H3505" s="10" t="s">
        <v>9725</v>
      </c>
      <c r="I3505" s="10" t="s">
        <v>9705</v>
      </c>
    </row>
    <row r="3506" spans="1:9" x14ac:dyDescent="0.15">
      <c r="A3506" s="9">
        <v>3505</v>
      </c>
      <c r="B3506" s="10" t="s">
        <v>9</v>
      </c>
      <c r="C3506" s="10" t="s">
        <v>363</v>
      </c>
      <c r="D3506" s="10" t="s">
        <v>364</v>
      </c>
      <c r="E3506" s="11" t="str">
        <f>+HYPERLINK("http://trademark.i-assist.jp/data/china/image_1902th/79439517.pdf", "79439517")</f>
        <v>79439517</v>
      </c>
      <c r="F3506" s="10" t="s">
        <v>9726</v>
      </c>
      <c r="G3506" s="10" t="s">
        <v>9727</v>
      </c>
      <c r="H3506" s="10" t="s">
        <v>9728</v>
      </c>
      <c r="I3506" s="10" t="s">
        <v>9705</v>
      </c>
    </row>
    <row r="3507" spans="1:9" x14ac:dyDescent="0.15">
      <c r="A3507" s="9">
        <v>3506</v>
      </c>
      <c r="B3507" s="10" t="s">
        <v>9</v>
      </c>
      <c r="C3507" s="10" t="s">
        <v>363</v>
      </c>
      <c r="D3507" s="10" t="s">
        <v>364</v>
      </c>
      <c r="E3507" s="11" t="str">
        <f>+HYPERLINK("http://trademark.i-assist.jp/data/china/image_1902th/79439907.pdf", "79439907")</f>
        <v>79439907</v>
      </c>
      <c r="F3507" s="10" t="s">
        <v>9729</v>
      </c>
      <c r="G3507" s="10" t="s">
        <v>9730</v>
      </c>
      <c r="H3507" s="10" t="s">
        <v>9731</v>
      </c>
      <c r="I3507" s="10" t="s">
        <v>9705</v>
      </c>
    </row>
    <row r="3508" spans="1:9" x14ac:dyDescent="0.15">
      <c r="A3508" s="9">
        <v>3507</v>
      </c>
      <c r="B3508" s="10" t="s">
        <v>9</v>
      </c>
      <c r="C3508" s="10" t="s">
        <v>363</v>
      </c>
      <c r="D3508" s="10" t="s">
        <v>364</v>
      </c>
      <c r="E3508" s="11" t="str">
        <f>+HYPERLINK("http://trademark.i-assist.jp/data/china/image_1902th/79440138.pdf", "79440138")</f>
        <v>79440138</v>
      </c>
      <c r="F3508" s="10" t="s">
        <v>9732</v>
      </c>
      <c r="G3508" s="10" t="s">
        <v>9733</v>
      </c>
      <c r="H3508" s="10" t="s">
        <v>9734</v>
      </c>
      <c r="I3508" s="10" t="s">
        <v>9705</v>
      </c>
    </row>
    <row r="3509" spans="1:9" x14ac:dyDescent="0.15">
      <c r="A3509" s="9">
        <v>3508</v>
      </c>
      <c r="B3509" s="10" t="s">
        <v>9</v>
      </c>
      <c r="C3509" s="10" t="s">
        <v>363</v>
      </c>
      <c r="D3509" s="10" t="s">
        <v>364</v>
      </c>
      <c r="E3509" s="11" t="str">
        <f>+HYPERLINK("http://trademark.i-assist.jp/data/china/image_1902th/79440342.pdf", "79440342")</f>
        <v>79440342</v>
      </c>
      <c r="F3509" s="10" t="s">
        <v>9735</v>
      </c>
      <c r="G3509" s="10" t="s">
        <v>9736</v>
      </c>
      <c r="H3509" s="10" t="s">
        <v>9737</v>
      </c>
      <c r="I3509" s="10" t="s">
        <v>9705</v>
      </c>
    </row>
    <row r="3510" spans="1:9" x14ac:dyDescent="0.15">
      <c r="A3510" s="9">
        <v>3509</v>
      </c>
      <c r="B3510" s="10" t="s">
        <v>9</v>
      </c>
      <c r="C3510" s="10" t="s">
        <v>363</v>
      </c>
      <c r="D3510" s="10" t="s">
        <v>364</v>
      </c>
      <c r="E3510" s="11" t="str">
        <f>+HYPERLINK("http://trademark.i-assist.jp/data/china/image_1902th/79440651.pdf", "79440651")</f>
        <v>79440651</v>
      </c>
      <c r="F3510" s="10" t="s">
        <v>9738</v>
      </c>
      <c r="G3510" s="10" t="s">
        <v>9739</v>
      </c>
      <c r="H3510" s="10" t="s">
        <v>9740</v>
      </c>
      <c r="I3510" s="10" t="s">
        <v>9705</v>
      </c>
    </row>
    <row r="3511" spans="1:9" x14ac:dyDescent="0.15">
      <c r="A3511" s="9">
        <v>3510</v>
      </c>
      <c r="B3511" s="10" t="s">
        <v>9</v>
      </c>
      <c r="C3511" s="10" t="s">
        <v>363</v>
      </c>
      <c r="D3511" s="10" t="s">
        <v>364</v>
      </c>
      <c r="E3511" s="11" t="str">
        <f>+HYPERLINK("http://trademark.i-assist.jp/data/china/image_1902th/79440794.pdf", "79440794")</f>
        <v>79440794</v>
      </c>
      <c r="F3511" s="10" t="s">
        <v>9741</v>
      </c>
      <c r="G3511" s="10" t="s">
        <v>9742</v>
      </c>
      <c r="H3511" s="10" t="s">
        <v>9743</v>
      </c>
      <c r="I3511" s="10" t="s">
        <v>9705</v>
      </c>
    </row>
    <row r="3512" spans="1:9" x14ac:dyDescent="0.15">
      <c r="A3512" s="9">
        <v>3511</v>
      </c>
      <c r="B3512" s="10" t="s">
        <v>9</v>
      </c>
      <c r="C3512" s="10" t="s">
        <v>363</v>
      </c>
      <c r="D3512" s="10" t="s">
        <v>364</v>
      </c>
      <c r="E3512" s="11" t="str">
        <f>+HYPERLINK("http://trademark.i-assist.jp/data/china/image_1902th/79440810.pdf", "79440810")</f>
        <v>79440810</v>
      </c>
      <c r="F3512" s="10" t="s">
        <v>9744</v>
      </c>
      <c r="G3512" s="10" t="s">
        <v>9745</v>
      </c>
      <c r="H3512" s="10" t="s">
        <v>9746</v>
      </c>
      <c r="I3512" s="10" t="s">
        <v>9705</v>
      </c>
    </row>
    <row r="3513" spans="1:9" x14ac:dyDescent="0.15">
      <c r="A3513" s="9">
        <v>3512</v>
      </c>
      <c r="B3513" s="10" t="s">
        <v>9</v>
      </c>
      <c r="C3513" s="10" t="s">
        <v>363</v>
      </c>
      <c r="D3513" s="10" t="s">
        <v>364</v>
      </c>
      <c r="E3513" s="11" t="str">
        <f>+HYPERLINK("http://trademark.i-assist.jp/data/china/image_1902th/79440972.pdf", "79440972")</f>
        <v>79440972</v>
      </c>
      <c r="F3513" s="10" t="s">
        <v>9747</v>
      </c>
      <c r="G3513" s="10" t="s">
        <v>9748</v>
      </c>
      <c r="H3513" s="10" t="s">
        <v>9749</v>
      </c>
      <c r="I3513" s="10" t="s">
        <v>9705</v>
      </c>
    </row>
    <row r="3514" spans="1:9" x14ac:dyDescent="0.15">
      <c r="A3514" s="9">
        <v>3513</v>
      </c>
      <c r="B3514" s="10" t="s">
        <v>9</v>
      </c>
      <c r="C3514" s="10" t="s">
        <v>363</v>
      </c>
      <c r="D3514" s="10" t="s">
        <v>364</v>
      </c>
      <c r="E3514" s="11" t="str">
        <f>+HYPERLINK("http://trademark.i-assist.jp/data/china/image_1902th/79441200.pdf", "79441200")</f>
        <v>79441200</v>
      </c>
      <c r="F3514" s="10" t="s">
        <v>9750</v>
      </c>
      <c r="G3514" s="10" t="s">
        <v>202</v>
      </c>
      <c r="H3514" s="10" t="s">
        <v>9751</v>
      </c>
      <c r="I3514" s="10" t="s">
        <v>9705</v>
      </c>
    </row>
    <row r="3515" spans="1:9" x14ac:dyDescent="0.15">
      <c r="A3515" s="9">
        <v>3514</v>
      </c>
      <c r="B3515" s="10" t="s">
        <v>9</v>
      </c>
      <c r="C3515" s="10" t="s">
        <v>363</v>
      </c>
      <c r="D3515" s="10" t="s">
        <v>364</v>
      </c>
      <c r="E3515" s="11" t="str">
        <f>+HYPERLINK("http://trademark.i-assist.jp/data/china/image_1902th/79441388.pdf", "79441388")</f>
        <v>79441388</v>
      </c>
      <c r="F3515" s="10" t="s">
        <v>9752</v>
      </c>
      <c r="G3515" s="10" t="s">
        <v>283</v>
      </c>
      <c r="H3515" s="10" t="s">
        <v>9753</v>
      </c>
      <c r="I3515" s="10" t="s">
        <v>9705</v>
      </c>
    </row>
    <row r="3516" spans="1:9" x14ac:dyDescent="0.15">
      <c r="A3516" s="9">
        <v>3515</v>
      </c>
      <c r="B3516" s="10" t="s">
        <v>9</v>
      </c>
      <c r="C3516" s="10" t="s">
        <v>363</v>
      </c>
      <c r="D3516" s="10" t="s">
        <v>364</v>
      </c>
      <c r="E3516" s="11" t="str">
        <f>+HYPERLINK("http://trademark.i-assist.jp/data/china/image_1902th/79441781.pdf", "79441781")</f>
        <v>79441781</v>
      </c>
      <c r="F3516" s="10" t="s">
        <v>9754</v>
      </c>
      <c r="G3516" s="10" t="s">
        <v>9755</v>
      </c>
      <c r="H3516" s="10" t="s">
        <v>9756</v>
      </c>
      <c r="I3516" s="10" t="s">
        <v>9705</v>
      </c>
    </row>
    <row r="3517" spans="1:9" x14ac:dyDescent="0.15">
      <c r="A3517" s="9">
        <v>3516</v>
      </c>
      <c r="B3517" s="10" t="s">
        <v>9</v>
      </c>
      <c r="C3517" s="10" t="s">
        <v>363</v>
      </c>
      <c r="D3517" s="10" t="s">
        <v>364</v>
      </c>
      <c r="E3517" s="11" t="str">
        <f>+HYPERLINK("http://trademark.i-assist.jp/data/china/image_1902th/79441848.pdf", "79441848")</f>
        <v>79441848</v>
      </c>
      <c r="F3517" s="10" t="s">
        <v>9757</v>
      </c>
      <c r="G3517" s="10" t="s">
        <v>9758</v>
      </c>
      <c r="H3517" s="10" t="s">
        <v>9759</v>
      </c>
      <c r="I3517" s="10" t="s">
        <v>9705</v>
      </c>
    </row>
    <row r="3518" spans="1:9" x14ac:dyDescent="0.15">
      <c r="A3518" s="9">
        <v>3517</v>
      </c>
      <c r="B3518" s="10" t="s">
        <v>9</v>
      </c>
      <c r="C3518" s="10" t="s">
        <v>363</v>
      </c>
      <c r="D3518" s="10" t="s">
        <v>364</v>
      </c>
      <c r="E3518" s="11" t="str">
        <f>+HYPERLINK("http://trademark.i-assist.jp/data/china/image_1902th/79442031.pdf", "79442031")</f>
        <v>79442031</v>
      </c>
      <c r="F3518" s="10" t="s">
        <v>9760</v>
      </c>
      <c r="G3518" s="10" t="s">
        <v>9761</v>
      </c>
      <c r="H3518" s="10" t="s">
        <v>9762</v>
      </c>
      <c r="I3518" s="10" t="s">
        <v>9705</v>
      </c>
    </row>
    <row r="3519" spans="1:9" x14ac:dyDescent="0.15">
      <c r="A3519" s="9">
        <v>3518</v>
      </c>
      <c r="B3519" s="10" t="s">
        <v>9</v>
      </c>
      <c r="C3519" s="10" t="s">
        <v>363</v>
      </c>
      <c r="D3519" s="10" t="s">
        <v>364</v>
      </c>
      <c r="E3519" s="11" t="str">
        <f>+HYPERLINK("http://trademark.i-assist.jp/data/china/image_1902th/79442429.pdf", "79442429")</f>
        <v>79442429</v>
      </c>
      <c r="F3519" s="10" t="s">
        <v>9763</v>
      </c>
      <c r="G3519" s="10" t="s">
        <v>9423</v>
      </c>
      <c r="H3519" s="10" t="s">
        <v>9764</v>
      </c>
      <c r="I3519" s="10" t="s">
        <v>9705</v>
      </c>
    </row>
    <row r="3520" spans="1:9" x14ac:dyDescent="0.15">
      <c r="A3520" s="9">
        <v>3519</v>
      </c>
      <c r="B3520" s="10" t="s">
        <v>9</v>
      </c>
      <c r="C3520" s="10" t="s">
        <v>363</v>
      </c>
      <c r="D3520" s="10" t="s">
        <v>364</v>
      </c>
      <c r="E3520" s="11" t="str">
        <f>+HYPERLINK("http://trademark.i-assist.jp/data/china/image_1902th/79442444.pdf", "79442444")</f>
        <v>79442444</v>
      </c>
      <c r="F3520" s="10" t="s">
        <v>9765</v>
      </c>
      <c r="G3520" s="10" t="s">
        <v>9703</v>
      </c>
      <c r="H3520" s="10" t="s">
        <v>9766</v>
      </c>
      <c r="I3520" s="10" t="s">
        <v>9705</v>
      </c>
    </row>
    <row r="3521" spans="1:9" x14ac:dyDescent="0.15">
      <c r="A3521" s="9">
        <v>3520</v>
      </c>
      <c r="B3521" s="10" t="s">
        <v>9</v>
      </c>
      <c r="C3521" s="10" t="s">
        <v>363</v>
      </c>
      <c r="D3521" s="10" t="s">
        <v>364</v>
      </c>
      <c r="E3521" s="11" t="str">
        <f>+HYPERLINK("http://trademark.i-assist.jp/data/china/image_1902th/79442456.pdf", "79442456")</f>
        <v>79442456</v>
      </c>
      <c r="F3521" s="10" t="s">
        <v>9767</v>
      </c>
      <c r="G3521" s="10" t="s">
        <v>9768</v>
      </c>
      <c r="H3521" s="10" t="s">
        <v>9769</v>
      </c>
      <c r="I3521" s="10" t="s">
        <v>9705</v>
      </c>
    </row>
    <row r="3522" spans="1:9" x14ac:dyDescent="0.15">
      <c r="A3522" s="9">
        <v>3521</v>
      </c>
      <c r="B3522" s="10" t="s">
        <v>9</v>
      </c>
      <c r="C3522" s="10" t="s">
        <v>363</v>
      </c>
      <c r="D3522" s="10" t="s">
        <v>364</v>
      </c>
      <c r="E3522" s="11" t="str">
        <f>+HYPERLINK("http://trademark.i-assist.jp/data/china/image_1902th/79442528.pdf", "79442528")</f>
        <v>79442528</v>
      </c>
      <c r="F3522" s="10" t="s">
        <v>9770</v>
      </c>
      <c r="G3522" s="10" t="s">
        <v>9771</v>
      </c>
      <c r="H3522" s="10" t="s">
        <v>9772</v>
      </c>
      <c r="I3522" s="10" t="s">
        <v>9705</v>
      </c>
    </row>
    <row r="3523" spans="1:9" x14ac:dyDescent="0.15">
      <c r="A3523" s="9">
        <v>3522</v>
      </c>
      <c r="B3523" s="10" t="s">
        <v>9</v>
      </c>
      <c r="C3523" s="10" t="s">
        <v>363</v>
      </c>
      <c r="D3523" s="10" t="s">
        <v>364</v>
      </c>
      <c r="E3523" s="11" t="str">
        <f>+HYPERLINK("http://trademark.i-assist.jp/data/china/image_1902th/79443036.pdf", "79443036")</f>
        <v>79443036</v>
      </c>
      <c r="F3523" s="10" t="s">
        <v>9773</v>
      </c>
      <c r="G3523" s="10" t="s">
        <v>9423</v>
      </c>
      <c r="H3523" s="10" t="s">
        <v>9774</v>
      </c>
      <c r="I3523" s="10" t="s">
        <v>9705</v>
      </c>
    </row>
    <row r="3524" spans="1:9" x14ac:dyDescent="0.15">
      <c r="A3524" s="9">
        <v>3523</v>
      </c>
      <c r="B3524" s="10" t="s">
        <v>9</v>
      </c>
      <c r="C3524" s="10" t="s">
        <v>363</v>
      </c>
      <c r="D3524" s="10" t="s">
        <v>364</v>
      </c>
      <c r="E3524" s="11" t="str">
        <f>+HYPERLINK("http://trademark.i-assist.jp/data/china/image_1902th/79443065.pdf", "79443065")</f>
        <v>79443065</v>
      </c>
      <c r="F3524" s="10" t="s">
        <v>9775</v>
      </c>
      <c r="G3524" s="10" t="s">
        <v>9703</v>
      </c>
      <c r="H3524" s="10" t="s">
        <v>9776</v>
      </c>
      <c r="I3524" s="10" t="s">
        <v>9705</v>
      </c>
    </row>
    <row r="3525" spans="1:9" x14ac:dyDescent="0.15">
      <c r="A3525" s="9">
        <v>3524</v>
      </c>
      <c r="B3525" s="10" t="s">
        <v>9</v>
      </c>
      <c r="C3525" s="10" t="s">
        <v>363</v>
      </c>
      <c r="D3525" s="10" t="s">
        <v>364</v>
      </c>
      <c r="E3525" s="11" t="str">
        <f>+HYPERLINK("http://trademark.i-assist.jp/data/china/image_1902th/79443289.pdf", "79443289")</f>
        <v>79443289</v>
      </c>
      <c r="F3525" s="10" t="s">
        <v>9777</v>
      </c>
      <c r="G3525" s="10" t="s">
        <v>232</v>
      </c>
      <c r="H3525" s="10" t="s">
        <v>9778</v>
      </c>
      <c r="I3525" s="10" t="s">
        <v>9705</v>
      </c>
    </row>
    <row r="3526" spans="1:9" x14ac:dyDescent="0.15">
      <c r="A3526" s="9">
        <v>3525</v>
      </c>
      <c r="B3526" s="10" t="s">
        <v>9</v>
      </c>
      <c r="C3526" s="10" t="s">
        <v>363</v>
      </c>
      <c r="D3526" s="10" t="s">
        <v>364</v>
      </c>
      <c r="E3526" s="11" t="str">
        <f>+HYPERLINK("http://trademark.i-assist.jp/data/china/image_1902th/79443355.pdf", "79443355")</f>
        <v>79443355</v>
      </c>
      <c r="F3526" s="10" t="s">
        <v>9779</v>
      </c>
      <c r="G3526" s="10" t="s">
        <v>9780</v>
      </c>
      <c r="H3526" s="10" t="s">
        <v>9781</v>
      </c>
      <c r="I3526" s="10" t="s">
        <v>9705</v>
      </c>
    </row>
    <row r="3527" spans="1:9" x14ac:dyDescent="0.15">
      <c r="A3527" s="9">
        <v>3526</v>
      </c>
      <c r="B3527" s="10" t="s">
        <v>9</v>
      </c>
      <c r="C3527" s="10" t="s">
        <v>363</v>
      </c>
      <c r="D3527" s="10" t="s">
        <v>364</v>
      </c>
      <c r="E3527" s="11" t="str">
        <f>+HYPERLINK("http://trademark.i-assist.jp/data/china/image_1902th/79444238.pdf", "79444238")</f>
        <v>79444238</v>
      </c>
      <c r="F3527" s="10" t="s">
        <v>9782</v>
      </c>
      <c r="G3527" s="10" t="s">
        <v>9783</v>
      </c>
      <c r="H3527" s="10" t="s">
        <v>9784</v>
      </c>
      <c r="I3527" s="10" t="s">
        <v>9705</v>
      </c>
    </row>
    <row r="3528" spans="1:9" x14ac:dyDescent="0.15">
      <c r="A3528" s="9">
        <v>3527</v>
      </c>
      <c r="B3528" s="10" t="s">
        <v>9</v>
      </c>
      <c r="C3528" s="10" t="s">
        <v>363</v>
      </c>
      <c r="D3528" s="10" t="s">
        <v>364</v>
      </c>
      <c r="E3528" s="11" t="str">
        <f>+HYPERLINK("http://trademark.i-assist.jp/data/china/image_1902th/79444438.pdf", "79444438")</f>
        <v>79444438</v>
      </c>
      <c r="F3528" s="10" t="s">
        <v>9785</v>
      </c>
      <c r="G3528" s="10" t="s">
        <v>9786</v>
      </c>
      <c r="H3528" s="10" t="s">
        <v>9787</v>
      </c>
      <c r="I3528" s="10" t="s">
        <v>9705</v>
      </c>
    </row>
    <row r="3529" spans="1:9" x14ac:dyDescent="0.15">
      <c r="A3529" s="9">
        <v>3528</v>
      </c>
      <c r="B3529" s="10" t="s">
        <v>9</v>
      </c>
      <c r="C3529" s="10" t="s">
        <v>363</v>
      </c>
      <c r="D3529" s="10" t="s">
        <v>364</v>
      </c>
      <c r="E3529" s="11" t="str">
        <f>+HYPERLINK("http://trademark.i-assist.jp/data/china/image_1902th/79444646.pdf", "79444646")</f>
        <v>79444646</v>
      </c>
      <c r="F3529" s="10" t="s">
        <v>9788</v>
      </c>
      <c r="G3529" s="10" t="s">
        <v>275</v>
      </c>
      <c r="H3529" s="10" t="s">
        <v>9789</v>
      </c>
      <c r="I3529" s="10" t="s">
        <v>9705</v>
      </c>
    </row>
    <row r="3530" spans="1:9" x14ac:dyDescent="0.15">
      <c r="A3530" s="9">
        <v>3529</v>
      </c>
      <c r="B3530" s="10" t="s">
        <v>9</v>
      </c>
      <c r="C3530" s="10" t="s">
        <v>363</v>
      </c>
      <c r="D3530" s="10" t="s">
        <v>364</v>
      </c>
      <c r="E3530" s="11" t="str">
        <f>+HYPERLINK("http://trademark.i-assist.jp/data/china/image_1902th/79444666.pdf", "79444666")</f>
        <v>79444666</v>
      </c>
      <c r="F3530" s="10" t="s">
        <v>9790</v>
      </c>
      <c r="G3530" s="10" t="s">
        <v>9703</v>
      </c>
      <c r="H3530" s="10" t="s">
        <v>9791</v>
      </c>
      <c r="I3530" s="10" t="s">
        <v>9705</v>
      </c>
    </row>
    <row r="3531" spans="1:9" x14ac:dyDescent="0.15">
      <c r="A3531" s="9">
        <v>3530</v>
      </c>
      <c r="B3531" s="10" t="s">
        <v>9</v>
      </c>
      <c r="C3531" s="10" t="s">
        <v>363</v>
      </c>
      <c r="D3531" s="10" t="s">
        <v>364</v>
      </c>
      <c r="E3531" s="11" t="str">
        <f>+HYPERLINK("http://trademark.i-assist.jp/data/china/image_1902th/79444681.pdf", "79444681")</f>
        <v>79444681</v>
      </c>
      <c r="F3531" s="10" t="s">
        <v>9792</v>
      </c>
      <c r="G3531" s="10" t="s">
        <v>9703</v>
      </c>
      <c r="H3531" s="10" t="s">
        <v>9793</v>
      </c>
      <c r="I3531" s="10" t="s">
        <v>9705</v>
      </c>
    </row>
    <row r="3532" spans="1:9" x14ac:dyDescent="0.15">
      <c r="A3532" s="9">
        <v>3531</v>
      </c>
      <c r="B3532" s="10" t="s">
        <v>9</v>
      </c>
      <c r="C3532" s="10" t="s">
        <v>363</v>
      </c>
      <c r="D3532" s="10" t="s">
        <v>364</v>
      </c>
      <c r="E3532" s="11" t="str">
        <f>+HYPERLINK("http://trademark.i-assist.jp/data/china/image_1902th/79444684.pdf", "79444684")</f>
        <v>79444684</v>
      </c>
      <c r="F3532" s="10" t="s">
        <v>9794</v>
      </c>
      <c r="G3532" s="10" t="s">
        <v>9703</v>
      </c>
      <c r="H3532" s="10" t="s">
        <v>9795</v>
      </c>
      <c r="I3532" s="10" t="s">
        <v>9705</v>
      </c>
    </row>
    <row r="3533" spans="1:9" x14ac:dyDescent="0.15">
      <c r="A3533" s="9">
        <v>3532</v>
      </c>
      <c r="B3533" s="10" t="s">
        <v>9</v>
      </c>
      <c r="C3533" s="10" t="s">
        <v>363</v>
      </c>
      <c r="D3533" s="10" t="s">
        <v>364</v>
      </c>
      <c r="E3533" s="11" t="str">
        <f>+HYPERLINK("http://trademark.i-assist.jp/data/china/image_1902th/79444845.pdf", "79444845")</f>
        <v>79444845</v>
      </c>
      <c r="F3533" s="10" t="s">
        <v>9796</v>
      </c>
      <c r="G3533" s="10" t="s">
        <v>9797</v>
      </c>
      <c r="H3533" s="10" t="s">
        <v>9798</v>
      </c>
      <c r="I3533" s="10" t="s">
        <v>9705</v>
      </c>
    </row>
    <row r="3534" spans="1:9" x14ac:dyDescent="0.15">
      <c r="A3534" s="9">
        <v>3533</v>
      </c>
      <c r="B3534" s="10" t="s">
        <v>9</v>
      </c>
      <c r="C3534" s="10" t="s">
        <v>363</v>
      </c>
      <c r="D3534" s="10" t="s">
        <v>364</v>
      </c>
      <c r="E3534" s="11" t="str">
        <f>+HYPERLINK("http://trademark.i-assist.jp/data/china/image_1902th/79444925.pdf", "79444925")</f>
        <v>79444925</v>
      </c>
      <c r="F3534" s="10" t="s">
        <v>9799</v>
      </c>
      <c r="G3534" s="10" t="s">
        <v>9800</v>
      </c>
      <c r="H3534" s="10" t="s">
        <v>9801</v>
      </c>
      <c r="I3534" s="10" t="s">
        <v>9705</v>
      </c>
    </row>
    <row r="3535" spans="1:9" x14ac:dyDescent="0.15">
      <c r="A3535" s="9">
        <v>3534</v>
      </c>
      <c r="B3535" s="10" t="s">
        <v>9</v>
      </c>
      <c r="C3535" s="10" t="s">
        <v>363</v>
      </c>
      <c r="D3535" s="10" t="s">
        <v>364</v>
      </c>
      <c r="E3535" s="11" t="str">
        <f>+HYPERLINK("http://trademark.i-assist.jp/data/china/image_1902th/79445493.pdf", "79445493")</f>
        <v>79445493</v>
      </c>
      <c r="F3535" s="10" t="s">
        <v>9802</v>
      </c>
      <c r="G3535" s="10" t="s">
        <v>9803</v>
      </c>
      <c r="H3535" s="10" t="s">
        <v>9804</v>
      </c>
      <c r="I3535" s="10" t="s">
        <v>9705</v>
      </c>
    </row>
    <row r="3536" spans="1:9" x14ac:dyDescent="0.15">
      <c r="A3536" s="9">
        <v>3535</v>
      </c>
      <c r="B3536" s="10" t="s">
        <v>9</v>
      </c>
      <c r="C3536" s="10" t="s">
        <v>363</v>
      </c>
      <c r="D3536" s="10" t="s">
        <v>364</v>
      </c>
      <c r="E3536" s="11" t="str">
        <f>+HYPERLINK("http://trademark.i-assist.jp/data/china/image_1902th/79445520.pdf", "79445520")</f>
        <v>79445520</v>
      </c>
      <c r="F3536" s="10" t="s">
        <v>9805</v>
      </c>
      <c r="G3536" s="10" t="s">
        <v>9755</v>
      </c>
      <c r="H3536" s="10" t="s">
        <v>9806</v>
      </c>
      <c r="I3536" s="10" t="s">
        <v>9705</v>
      </c>
    </row>
    <row r="3537" spans="1:9" x14ac:dyDescent="0.15">
      <c r="A3537" s="9">
        <v>3536</v>
      </c>
      <c r="B3537" s="10" t="s">
        <v>9</v>
      </c>
      <c r="C3537" s="10" t="s">
        <v>363</v>
      </c>
      <c r="D3537" s="10" t="s">
        <v>364</v>
      </c>
      <c r="E3537" s="11" t="str">
        <f>+HYPERLINK("http://trademark.i-assist.jp/data/china/image_1902th/79445677.pdf", "79445677")</f>
        <v>79445677</v>
      </c>
      <c r="F3537" s="10" t="s">
        <v>9807</v>
      </c>
      <c r="G3537" s="10" t="s">
        <v>9808</v>
      </c>
      <c r="H3537" s="10" t="s">
        <v>9809</v>
      </c>
      <c r="I3537" s="10" t="s">
        <v>9705</v>
      </c>
    </row>
    <row r="3538" spans="1:9" x14ac:dyDescent="0.15">
      <c r="A3538" s="9">
        <v>3537</v>
      </c>
      <c r="B3538" s="10" t="s">
        <v>9</v>
      </c>
      <c r="C3538" s="10" t="s">
        <v>363</v>
      </c>
      <c r="D3538" s="10" t="s">
        <v>364</v>
      </c>
      <c r="E3538" s="11" t="str">
        <f>+HYPERLINK("http://trademark.i-assist.jp/data/china/image_1902th/79445696.pdf", "79445696")</f>
        <v>79445696</v>
      </c>
      <c r="F3538" s="10" t="s">
        <v>9810</v>
      </c>
      <c r="G3538" s="10" t="s">
        <v>9811</v>
      </c>
      <c r="H3538" s="10" t="s">
        <v>9812</v>
      </c>
      <c r="I3538" s="10" t="s">
        <v>9705</v>
      </c>
    </row>
    <row r="3539" spans="1:9" x14ac:dyDescent="0.15">
      <c r="A3539" s="9">
        <v>3538</v>
      </c>
      <c r="B3539" s="10" t="s">
        <v>9</v>
      </c>
      <c r="C3539" s="10" t="s">
        <v>363</v>
      </c>
      <c r="D3539" s="10" t="s">
        <v>364</v>
      </c>
      <c r="E3539" s="11" t="str">
        <f>+HYPERLINK("http://trademark.i-assist.jp/data/china/image_1902th/79445742.pdf", "79445742")</f>
        <v>79445742</v>
      </c>
      <c r="F3539" s="10" t="s">
        <v>9813</v>
      </c>
      <c r="G3539" s="10" t="s">
        <v>9814</v>
      </c>
      <c r="H3539" s="10" t="s">
        <v>9815</v>
      </c>
      <c r="I3539" s="10" t="s">
        <v>9705</v>
      </c>
    </row>
    <row r="3540" spans="1:9" x14ac:dyDescent="0.15">
      <c r="A3540" s="9">
        <v>3539</v>
      </c>
      <c r="B3540" s="10" t="s">
        <v>9</v>
      </c>
      <c r="C3540" s="10" t="s">
        <v>363</v>
      </c>
      <c r="D3540" s="10" t="s">
        <v>364</v>
      </c>
      <c r="E3540" s="11" t="str">
        <f>+HYPERLINK("http://trademark.i-assist.jp/data/china/image_1902th/79445839.pdf", "79445839")</f>
        <v>79445839</v>
      </c>
      <c r="F3540" s="10" t="s">
        <v>12</v>
      </c>
      <c r="G3540" s="10" t="s">
        <v>5341</v>
      </c>
      <c r="H3540" s="10" t="s">
        <v>9816</v>
      </c>
      <c r="I3540" s="10" t="s">
        <v>9705</v>
      </c>
    </row>
    <row r="3541" spans="1:9" x14ac:dyDescent="0.15">
      <c r="A3541" s="9">
        <v>3540</v>
      </c>
      <c r="B3541" s="10" t="s">
        <v>9</v>
      </c>
      <c r="C3541" s="10" t="s">
        <v>363</v>
      </c>
      <c r="D3541" s="10" t="s">
        <v>364</v>
      </c>
      <c r="E3541" s="11" t="str">
        <f>+HYPERLINK("http://trademark.i-assist.jp/data/china/image_1902th/79446347.pdf", "79446347")</f>
        <v>79446347</v>
      </c>
      <c r="F3541" s="10" t="s">
        <v>9817</v>
      </c>
      <c r="G3541" s="10" t="s">
        <v>9818</v>
      </c>
      <c r="H3541" s="10" t="s">
        <v>9819</v>
      </c>
      <c r="I3541" s="10" t="s">
        <v>9705</v>
      </c>
    </row>
    <row r="3542" spans="1:9" x14ac:dyDescent="0.15">
      <c r="A3542" s="9">
        <v>3541</v>
      </c>
      <c r="B3542" s="10" t="s">
        <v>9</v>
      </c>
      <c r="C3542" s="10" t="s">
        <v>363</v>
      </c>
      <c r="D3542" s="10" t="s">
        <v>364</v>
      </c>
      <c r="E3542" s="11" t="str">
        <f>+HYPERLINK("http://trademark.i-assist.jp/data/china/image_1902th/79446440.pdf", "79446440")</f>
        <v>79446440</v>
      </c>
      <c r="F3542" s="10" t="s">
        <v>9820</v>
      </c>
      <c r="G3542" s="10" t="s">
        <v>9818</v>
      </c>
      <c r="H3542" s="10" t="s">
        <v>9821</v>
      </c>
      <c r="I3542" s="10" t="s">
        <v>9705</v>
      </c>
    </row>
    <row r="3543" spans="1:9" x14ac:dyDescent="0.15">
      <c r="A3543" s="9">
        <v>3542</v>
      </c>
      <c r="B3543" s="10" t="s">
        <v>9</v>
      </c>
      <c r="C3543" s="10" t="s">
        <v>363</v>
      </c>
      <c r="D3543" s="10" t="s">
        <v>364</v>
      </c>
      <c r="E3543" s="11" t="str">
        <f>+HYPERLINK("http://trademark.i-assist.jp/data/china/image_1902th/79446649.pdf", "79446649")</f>
        <v>79446649</v>
      </c>
      <c r="F3543" s="10" t="s">
        <v>9822</v>
      </c>
      <c r="G3543" s="10" t="s">
        <v>9823</v>
      </c>
      <c r="H3543" s="10" t="s">
        <v>9824</v>
      </c>
      <c r="I3543" s="10" t="s">
        <v>9705</v>
      </c>
    </row>
    <row r="3544" spans="1:9" x14ac:dyDescent="0.15">
      <c r="A3544" s="9">
        <v>3543</v>
      </c>
      <c r="B3544" s="10" t="s">
        <v>9</v>
      </c>
      <c r="C3544" s="10" t="s">
        <v>363</v>
      </c>
      <c r="D3544" s="10" t="s">
        <v>364</v>
      </c>
      <c r="E3544" s="11" t="str">
        <f>+HYPERLINK("http://trademark.i-assist.jp/data/china/image_1902th/79446963.pdf", "79446963")</f>
        <v>79446963</v>
      </c>
      <c r="F3544" s="10" t="s">
        <v>9825</v>
      </c>
      <c r="G3544" s="10" t="s">
        <v>9826</v>
      </c>
      <c r="H3544" s="10" t="s">
        <v>13</v>
      </c>
      <c r="I3544" s="10" t="s">
        <v>9705</v>
      </c>
    </row>
    <row r="3545" spans="1:9" x14ac:dyDescent="0.15">
      <c r="A3545" s="9">
        <v>3544</v>
      </c>
      <c r="B3545" s="10" t="s">
        <v>9</v>
      </c>
      <c r="C3545" s="10" t="s">
        <v>363</v>
      </c>
      <c r="D3545" s="10" t="s">
        <v>364</v>
      </c>
      <c r="E3545" s="11" t="str">
        <f>+HYPERLINK("http://trademark.i-assist.jp/data/china/image_1902th/79447629.pdf", "79447629")</f>
        <v>79447629</v>
      </c>
      <c r="F3545" s="10" t="s">
        <v>9827</v>
      </c>
      <c r="G3545" s="10" t="s">
        <v>9703</v>
      </c>
      <c r="H3545" s="10" t="s">
        <v>9828</v>
      </c>
      <c r="I3545" s="10" t="s">
        <v>9705</v>
      </c>
    </row>
    <row r="3546" spans="1:9" x14ac:dyDescent="0.15">
      <c r="A3546" s="9">
        <v>3545</v>
      </c>
      <c r="B3546" s="10" t="s">
        <v>9</v>
      </c>
      <c r="C3546" s="10" t="s">
        <v>363</v>
      </c>
      <c r="D3546" s="10" t="s">
        <v>364</v>
      </c>
      <c r="E3546" s="11" t="str">
        <f>+HYPERLINK("http://trademark.i-assist.jp/data/china/image_1902th/79447904.pdf", "79447904")</f>
        <v>79447904</v>
      </c>
      <c r="F3546" s="10" t="s">
        <v>9829</v>
      </c>
      <c r="G3546" s="10" t="s">
        <v>9830</v>
      </c>
      <c r="H3546" s="10" t="s">
        <v>9831</v>
      </c>
      <c r="I3546" s="10" t="s">
        <v>9705</v>
      </c>
    </row>
    <row r="3547" spans="1:9" x14ac:dyDescent="0.15">
      <c r="A3547" s="9">
        <v>3546</v>
      </c>
      <c r="B3547" s="10" t="s">
        <v>9</v>
      </c>
      <c r="C3547" s="10" t="s">
        <v>363</v>
      </c>
      <c r="D3547" s="10" t="s">
        <v>364</v>
      </c>
      <c r="E3547" s="11" t="str">
        <f>+HYPERLINK("http://trademark.i-assist.jp/data/china/image_1902th/79447964.pdf", "79447964")</f>
        <v>79447964</v>
      </c>
      <c r="F3547" s="10" t="s">
        <v>9832</v>
      </c>
      <c r="G3547" s="10" t="s">
        <v>1608</v>
      </c>
      <c r="H3547" s="10" t="s">
        <v>9833</v>
      </c>
      <c r="I3547" s="10" t="s">
        <v>9705</v>
      </c>
    </row>
    <row r="3548" spans="1:9" x14ac:dyDescent="0.15">
      <c r="A3548" s="9">
        <v>3547</v>
      </c>
      <c r="B3548" s="10" t="s">
        <v>9</v>
      </c>
      <c r="C3548" s="10" t="s">
        <v>363</v>
      </c>
      <c r="D3548" s="10" t="s">
        <v>364</v>
      </c>
      <c r="E3548" s="11" t="str">
        <f>+HYPERLINK("http://trademark.i-assist.jp/data/china/image_1902th/79448298.pdf", "79448298")</f>
        <v>79448298</v>
      </c>
      <c r="F3548" s="10" t="s">
        <v>9834</v>
      </c>
      <c r="G3548" s="10" t="s">
        <v>9835</v>
      </c>
      <c r="H3548" s="10" t="s">
        <v>9836</v>
      </c>
      <c r="I3548" s="10" t="s">
        <v>9705</v>
      </c>
    </row>
    <row r="3549" spans="1:9" x14ac:dyDescent="0.15">
      <c r="A3549" s="9">
        <v>3548</v>
      </c>
      <c r="B3549" s="10" t="s">
        <v>9</v>
      </c>
      <c r="C3549" s="10" t="s">
        <v>363</v>
      </c>
      <c r="D3549" s="10" t="s">
        <v>364</v>
      </c>
      <c r="E3549" s="11" t="str">
        <f>+HYPERLINK("http://trademark.i-assist.jp/data/china/image_1902th/79448989.pdf", "79448989")</f>
        <v>79448989</v>
      </c>
      <c r="F3549" s="10" t="s">
        <v>9837</v>
      </c>
      <c r="G3549" s="10" t="s">
        <v>9838</v>
      </c>
      <c r="H3549" s="10" t="s">
        <v>9839</v>
      </c>
      <c r="I3549" s="10" t="s">
        <v>9705</v>
      </c>
    </row>
    <row r="3550" spans="1:9" x14ac:dyDescent="0.15">
      <c r="A3550" s="9">
        <v>3549</v>
      </c>
      <c r="B3550" s="10" t="s">
        <v>9</v>
      </c>
      <c r="C3550" s="10" t="s">
        <v>363</v>
      </c>
      <c r="D3550" s="10" t="s">
        <v>364</v>
      </c>
      <c r="E3550" s="11" t="str">
        <f>+HYPERLINK("http://trademark.i-assist.jp/data/china/image_1902th/79449399.pdf", "79449399")</f>
        <v>79449399</v>
      </c>
      <c r="F3550" s="10" t="s">
        <v>9840</v>
      </c>
      <c r="G3550" s="10" t="s">
        <v>9703</v>
      </c>
      <c r="H3550" s="10" t="s">
        <v>9841</v>
      </c>
      <c r="I3550" s="10" t="s">
        <v>9705</v>
      </c>
    </row>
    <row r="3551" spans="1:9" x14ac:dyDescent="0.15">
      <c r="A3551" s="9">
        <v>3550</v>
      </c>
      <c r="B3551" s="10" t="s">
        <v>9</v>
      </c>
      <c r="C3551" s="10" t="s">
        <v>363</v>
      </c>
      <c r="D3551" s="10" t="s">
        <v>364</v>
      </c>
      <c r="E3551" s="11" t="str">
        <f>+HYPERLINK("http://trademark.i-assist.jp/data/china/image_1902th/79449411.pdf", "79449411")</f>
        <v>79449411</v>
      </c>
      <c r="F3551" s="10" t="s">
        <v>9842</v>
      </c>
      <c r="G3551" s="10" t="s">
        <v>9703</v>
      </c>
      <c r="H3551" s="10" t="s">
        <v>9843</v>
      </c>
      <c r="I3551" s="10" t="s">
        <v>9705</v>
      </c>
    </row>
    <row r="3552" spans="1:9" x14ac:dyDescent="0.15">
      <c r="A3552" s="9">
        <v>3551</v>
      </c>
      <c r="B3552" s="10" t="s">
        <v>9</v>
      </c>
      <c r="C3552" s="10" t="s">
        <v>363</v>
      </c>
      <c r="D3552" s="10" t="s">
        <v>364</v>
      </c>
      <c r="E3552" s="11" t="str">
        <f>+HYPERLINK("http://trademark.i-assist.jp/data/china/image_1902th/79449542.pdf", "79449542")</f>
        <v>79449542</v>
      </c>
      <c r="F3552" s="10" t="s">
        <v>9844</v>
      </c>
      <c r="G3552" s="10" t="s">
        <v>9845</v>
      </c>
      <c r="H3552" s="10" t="s">
        <v>9846</v>
      </c>
      <c r="I3552" s="10" t="s">
        <v>9705</v>
      </c>
    </row>
    <row r="3553" spans="1:9" x14ac:dyDescent="0.15">
      <c r="A3553" s="9">
        <v>3552</v>
      </c>
      <c r="B3553" s="10" t="s">
        <v>9</v>
      </c>
      <c r="C3553" s="10" t="s">
        <v>363</v>
      </c>
      <c r="D3553" s="10" t="s">
        <v>364</v>
      </c>
      <c r="E3553" s="11" t="str">
        <f>+HYPERLINK("http://trademark.i-assist.jp/data/china/image_1902th/79449608.pdf", "79449608")</f>
        <v>79449608</v>
      </c>
      <c r="F3553" s="10" t="s">
        <v>9847</v>
      </c>
      <c r="G3553" s="10" t="s">
        <v>9826</v>
      </c>
      <c r="H3553" s="10" t="s">
        <v>13</v>
      </c>
      <c r="I3553" s="10" t="s">
        <v>9705</v>
      </c>
    </row>
    <row r="3554" spans="1:9" x14ac:dyDescent="0.15">
      <c r="A3554" s="9">
        <v>3553</v>
      </c>
      <c r="B3554" s="10" t="s">
        <v>9</v>
      </c>
      <c r="C3554" s="10" t="s">
        <v>363</v>
      </c>
      <c r="D3554" s="10" t="s">
        <v>364</v>
      </c>
      <c r="E3554" s="11" t="str">
        <f>+HYPERLINK("http://trademark.i-assist.jp/data/china/image_1902th/79449789.pdf", "79449789")</f>
        <v>79449789</v>
      </c>
      <c r="F3554" s="10" t="s">
        <v>9848</v>
      </c>
      <c r="G3554" s="10" t="s">
        <v>9755</v>
      </c>
      <c r="H3554" s="10" t="s">
        <v>9849</v>
      </c>
      <c r="I3554" s="10" t="s">
        <v>9705</v>
      </c>
    </row>
    <row r="3555" spans="1:9" x14ac:dyDescent="0.15">
      <c r="A3555" s="9">
        <v>3554</v>
      </c>
      <c r="B3555" s="10" t="s">
        <v>9</v>
      </c>
      <c r="C3555" s="10" t="s">
        <v>363</v>
      </c>
      <c r="D3555" s="10" t="s">
        <v>364</v>
      </c>
      <c r="E3555" s="11" t="str">
        <f>+HYPERLINK("http://trademark.i-assist.jp/data/china/image_1902th/79449843.pdf", "79449843")</f>
        <v>79449843</v>
      </c>
      <c r="F3555" s="10" t="s">
        <v>9850</v>
      </c>
      <c r="G3555" s="10" t="s">
        <v>9851</v>
      </c>
      <c r="H3555" s="10" t="s">
        <v>9852</v>
      </c>
      <c r="I3555" s="10" t="s">
        <v>9705</v>
      </c>
    </row>
    <row r="3556" spans="1:9" x14ac:dyDescent="0.15">
      <c r="A3556" s="9">
        <v>3555</v>
      </c>
      <c r="B3556" s="10" t="s">
        <v>9</v>
      </c>
      <c r="C3556" s="10" t="s">
        <v>363</v>
      </c>
      <c r="D3556" s="10" t="s">
        <v>364</v>
      </c>
      <c r="E3556" s="11" t="str">
        <f>+HYPERLINK("http://trademark.i-assist.jp/data/china/image_1902th/79452666.pdf", "79452666")</f>
        <v>79452666</v>
      </c>
      <c r="F3556" s="10" t="s">
        <v>9853</v>
      </c>
      <c r="G3556" s="10" t="s">
        <v>9854</v>
      </c>
      <c r="H3556" s="10" t="s">
        <v>9855</v>
      </c>
      <c r="I3556" s="10" t="s">
        <v>9705</v>
      </c>
    </row>
    <row r="3557" spans="1:9" x14ac:dyDescent="0.15">
      <c r="A3557" s="9">
        <v>3556</v>
      </c>
      <c r="B3557" s="10" t="s">
        <v>9</v>
      </c>
      <c r="C3557" s="10" t="s">
        <v>363</v>
      </c>
      <c r="D3557" s="10" t="s">
        <v>364</v>
      </c>
      <c r="E3557" s="11" t="str">
        <f>+HYPERLINK("http://trademark.i-assist.jp/data/china/image_1902th/79452977.pdf", "79452977")</f>
        <v>79452977</v>
      </c>
      <c r="F3557" s="10" t="s">
        <v>9856</v>
      </c>
      <c r="G3557" s="10" t="s">
        <v>9857</v>
      </c>
      <c r="H3557" s="10" t="s">
        <v>9858</v>
      </c>
      <c r="I3557" s="10" t="s">
        <v>9705</v>
      </c>
    </row>
    <row r="3558" spans="1:9" x14ac:dyDescent="0.15">
      <c r="A3558" s="9">
        <v>3557</v>
      </c>
      <c r="B3558" s="10" t="s">
        <v>9</v>
      </c>
      <c r="C3558" s="10" t="s">
        <v>363</v>
      </c>
      <c r="D3558" s="10" t="s">
        <v>364</v>
      </c>
      <c r="E3558" s="11" t="str">
        <f>+HYPERLINK("http://trademark.i-assist.jp/data/china/image_1902th/79453370.pdf", "79453370")</f>
        <v>79453370</v>
      </c>
      <c r="F3558" s="10" t="s">
        <v>9859</v>
      </c>
      <c r="G3558" s="10" t="s">
        <v>9860</v>
      </c>
      <c r="H3558" s="10" t="s">
        <v>9861</v>
      </c>
      <c r="I3558" s="10" t="s">
        <v>9705</v>
      </c>
    </row>
    <row r="3559" spans="1:9" x14ac:dyDescent="0.15">
      <c r="A3559" s="9">
        <v>3558</v>
      </c>
      <c r="B3559" s="10" t="s">
        <v>9</v>
      </c>
      <c r="C3559" s="10" t="s">
        <v>363</v>
      </c>
      <c r="D3559" s="10" t="s">
        <v>364</v>
      </c>
      <c r="E3559" s="11" t="str">
        <f>+HYPERLINK("http://trademark.i-assist.jp/data/china/image_1902th/79453394.pdf", "79453394")</f>
        <v>79453394</v>
      </c>
      <c r="F3559" s="10" t="s">
        <v>9862</v>
      </c>
      <c r="G3559" s="10" t="s">
        <v>9745</v>
      </c>
      <c r="H3559" s="10" t="s">
        <v>9863</v>
      </c>
      <c r="I3559" s="10" t="s">
        <v>9705</v>
      </c>
    </row>
    <row r="3560" spans="1:9" x14ac:dyDescent="0.15">
      <c r="A3560" s="9">
        <v>3559</v>
      </c>
      <c r="B3560" s="10" t="s">
        <v>9</v>
      </c>
      <c r="C3560" s="10" t="s">
        <v>363</v>
      </c>
      <c r="D3560" s="10" t="s">
        <v>364</v>
      </c>
      <c r="E3560" s="11" t="str">
        <f>+HYPERLINK("http://trademark.i-assist.jp/data/china/image_1902th/79453477.pdf", "79453477")</f>
        <v>79453477</v>
      </c>
      <c r="F3560" s="10" t="s">
        <v>9864</v>
      </c>
      <c r="G3560" s="10" t="s">
        <v>9865</v>
      </c>
      <c r="H3560" s="10" t="s">
        <v>9866</v>
      </c>
      <c r="I3560" s="10" t="s">
        <v>9705</v>
      </c>
    </row>
    <row r="3561" spans="1:9" x14ac:dyDescent="0.15">
      <c r="A3561" s="9">
        <v>3560</v>
      </c>
      <c r="B3561" s="10" t="s">
        <v>9</v>
      </c>
      <c r="C3561" s="10" t="s">
        <v>363</v>
      </c>
      <c r="D3561" s="10" t="s">
        <v>364</v>
      </c>
      <c r="E3561" s="11" t="str">
        <f>+HYPERLINK("http://trademark.i-assist.jp/data/china/image_1902th/79453933.pdf", "79453933")</f>
        <v>79453933</v>
      </c>
      <c r="F3561" s="10" t="s">
        <v>9867</v>
      </c>
      <c r="G3561" s="10" t="s">
        <v>9868</v>
      </c>
      <c r="H3561" s="10" t="s">
        <v>9869</v>
      </c>
      <c r="I3561" s="10" t="s">
        <v>9705</v>
      </c>
    </row>
    <row r="3562" spans="1:9" x14ac:dyDescent="0.15">
      <c r="A3562" s="9">
        <v>3561</v>
      </c>
      <c r="B3562" s="10" t="s">
        <v>9</v>
      </c>
      <c r="C3562" s="10" t="s">
        <v>363</v>
      </c>
      <c r="D3562" s="10" t="s">
        <v>364</v>
      </c>
      <c r="E3562" s="11" t="str">
        <f>+HYPERLINK("http://trademark.i-assist.jp/data/china/image_1902th/79454724.pdf", "79454724")</f>
        <v>79454724</v>
      </c>
      <c r="F3562" s="10" t="s">
        <v>9870</v>
      </c>
      <c r="G3562" s="10" t="s">
        <v>9703</v>
      </c>
      <c r="H3562" s="10" t="s">
        <v>9871</v>
      </c>
      <c r="I3562" s="10" t="s">
        <v>9705</v>
      </c>
    </row>
    <row r="3563" spans="1:9" x14ac:dyDescent="0.15">
      <c r="A3563" s="9">
        <v>3562</v>
      </c>
      <c r="B3563" s="10" t="s">
        <v>9</v>
      </c>
      <c r="C3563" s="10" t="s">
        <v>363</v>
      </c>
      <c r="D3563" s="10" t="s">
        <v>364</v>
      </c>
      <c r="E3563" s="11" t="str">
        <f>+HYPERLINK("http://trademark.i-assist.jp/data/china/image_1902th/79454926.pdf", "79454926")</f>
        <v>79454926</v>
      </c>
      <c r="F3563" s="10" t="s">
        <v>9872</v>
      </c>
      <c r="G3563" s="10" t="s">
        <v>9873</v>
      </c>
      <c r="H3563" s="10" t="s">
        <v>9874</v>
      </c>
      <c r="I3563" s="10" t="s">
        <v>9705</v>
      </c>
    </row>
    <row r="3564" spans="1:9" x14ac:dyDescent="0.15">
      <c r="A3564" s="9">
        <v>3563</v>
      </c>
      <c r="B3564" s="10" t="s">
        <v>9</v>
      </c>
      <c r="C3564" s="10" t="s">
        <v>363</v>
      </c>
      <c r="D3564" s="10" t="s">
        <v>364</v>
      </c>
      <c r="E3564" s="11" t="str">
        <f>+HYPERLINK("http://trademark.i-assist.jp/data/china/image_1902th/79455205.pdf", "79455205")</f>
        <v>79455205</v>
      </c>
      <c r="F3564" s="10" t="s">
        <v>9875</v>
      </c>
      <c r="G3564" s="10" t="s">
        <v>9876</v>
      </c>
      <c r="H3564" s="10" t="s">
        <v>9877</v>
      </c>
      <c r="I3564" s="10" t="s">
        <v>9705</v>
      </c>
    </row>
    <row r="3565" spans="1:9" x14ac:dyDescent="0.15">
      <c r="A3565" s="9">
        <v>3564</v>
      </c>
      <c r="B3565" s="10" t="s">
        <v>9</v>
      </c>
      <c r="C3565" s="10" t="s">
        <v>363</v>
      </c>
      <c r="D3565" s="10" t="s">
        <v>364</v>
      </c>
      <c r="E3565" s="11" t="str">
        <f>+HYPERLINK("http://trademark.i-assist.jp/data/china/image_1902th/79455604.pdf", "79455604")</f>
        <v>79455604</v>
      </c>
      <c r="F3565" s="10" t="s">
        <v>9878</v>
      </c>
      <c r="G3565" s="10" t="s">
        <v>9879</v>
      </c>
      <c r="H3565" s="10" t="s">
        <v>9880</v>
      </c>
      <c r="I3565" s="10" t="s">
        <v>9705</v>
      </c>
    </row>
    <row r="3566" spans="1:9" x14ac:dyDescent="0.15">
      <c r="A3566" s="9">
        <v>3565</v>
      </c>
      <c r="B3566" s="10" t="s">
        <v>9</v>
      </c>
      <c r="C3566" s="10" t="s">
        <v>363</v>
      </c>
      <c r="D3566" s="10" t="s">
        <v>364</v>
      </c>
      <c r="E3566" s="11" t="str">
        <f>+HYPERLINK("http://trademark.i-assist.jp/data/china/image_1902th/79455647.pdf", "79455647")</f>
        <v>79455647</v>
      </c>
      <c r="F3566" s="10" t="s">
        <v>9881</v>
      </c>
      <c r="G3566" s="10" t="s">
        <v>9786</v>
      </c>
      <c r="H3566" s="10" t="s">
        <v>9882</v>
      </c>
      <c r="I3566" s="10" t="s">
        <v>9705</v>
      </c>
    </row>
    <row r="3567" spans="1:9" x14ac:dyDescent="0.15">
      <c r="A3567" s="9">
        <v>3566</v>
      </c>
      <c r="B3567" s="10" t="s">
        <v>9</v>
      </c>
      <c r="C3567" s="10" t="s">
        <v>363</v>
      </c>
      <c r="D3567" s="10" t="s">
        <v>364</v>
      </c>
      <c r="E3567" s="11" t="str">
        <f>+HYPERLINK("http://trademark.i-assist.jp/data/china/image_1902th/79455850.pdf", "79455850")</f>
        <v>79455850</v>
      </c>
      <c r="F3567" s="10" t="s">
        <v>9883</v>
      </c>
      <c r="G3567" s="10" t="s">
        <v>9703</v>
      </c>
      <c r="H3567" s="10" t="s">
        <v>9884</v>
      </c>
      <c r="I3567" s="10" t="s">
        <v>9705</v>
      </c>
    </row>
    <row r="3568" spans="1:9" x14ac:dyDescent="0.15">
      <c r="A3568" s="9">
        <v>3567</v>
      </c>
      <c r="B3568" s="10" t="s">
        <v>9</v>
      </c>
      <c r="C3568" s="10" t="s">
        <v>363</v>
      </c>
      <c r="D3568" s="10" t="s">
        <v>364</v>
      </c>
      <c r="E3568" s="11" t="str">
        <f>+HYPERLINK("http://trademark.i-assist.jp/data/china/image_1902th/79455879.pdf", "79455879")</f>
        <v>79455879</v>
      </c>
      <c r="F3568" s="10" t="s">
        <v>9885</v>
      </c>
      <c r="G3568" s="10" t="s">
        <v>9886</v>
      </c>
      <c r="H3568" s="10" t="s">
        <v>9887</v>
      </c>
      <c r="I3568" s="10" t="s">
        <v>9705</v>
      </c>
    </row>
    <row r="3569" spans="1:9" x14ac:dyDescent="0.15">
      <c r="A3569" s="9">
        <v>3568</v>
      </c>
      <c r="B3569" s="10" t="s">
        <v>9</v>
      </c>
      <c r="C3569" s="10" t="s">
        <v>363</v>
      </c>
      <c r="D3569" s="10" t="s">
        <v>364</v>
      </c>
      <c r="E3569" s="11" t="str">
        <f>+HYPERLINK("http://trademark.i-assist.jp/data/china/image_1902th/79456115.pdf", "79456115")</f>
        <v>79456115</v>
      </c>
      <c r="F3569" s="10" t="s">
        <v>9888</v>
      </c>
      <c r="G3569" s="10" t="s">
        <v>275</v>
      </c>
      <c r="H3569" s="10" t="s">
        <v>9889</v>
      </c>
      <c r="I3569" s="10" t="s">
        <v>9705</v>
      </c>
    </row>
    <row r="3570" spans="1:9" x14ac:dyDescent="0.15">
      <c r="A3570" s="9">
        <v>3569</v>
      </c>
      <c r="B3570" s="10" t="s">
        <v>9</v>
      </c>
      <c r="C3570" s="10" t="s">
        <v>363</v>
      </c>
      <c r="D3570" s="10" t="s">
        <v>364</v>
      </c>
      <c r="E3570" s="11" t="str">
        <f>+HYPERLINK("http://trademark.i-assist.jp/data/china/image_1902th/79456446.pdf", "79456446")</f>
        <v>79456446</v>
      </c>
      <c r="F3570" s="10" t="s">
        <v>9890</v>
      </c>
      <c r="G3570" s="10" t="s">
        <v>9891</v>
      </c>
      <c r="H3570" s="10" t="s">
        <v>9892</v>
      </c>
      <c r="I3570" s="10" t="s">
        <v>9705</v>
      </c>
    </row>
    <row r="3571" spans="1:9" x14ac:dyDescent="0.15">
      <c r="A3571" s="9">
        <v>3570</v>
      </c>
      <c r="B3571" s="10" t="s">
        <v>9</v>
      </c>
      <c r="C3571" s="10" t="s">
        <v>363</v>
      </c>
      <c r="D3571" s="10" t="s">
        <v>364</v>
      </c>
      <c r="E3571" s="11" t="str">
        <f>+HYPERLINK("http://trademark.i-assist.jp/data/china/image_1902th/79456478.pdf", "79456478")</f>
        <v>79456478</v>
      </c>
      <c r="F3571" s="10" t="s">
        <v>9893</v>
      </c>
      <c r="G3571" s="10" t="s">
        <v>9894</v>
      </c>
      <c r="H3571" s="10" t="s">
        <v>9895</v>
      </c>
      <c r="I3571" s="10" t="s">
        <v>9705</v>
      </c>
    </row>
    <row r="3572" spans="1:9" x14ac:dyDescent="0.15">
      <c r="A3572" s="9">
        <v>3571</v>
      </c>
      <c r="B3572" s="10" t="s">
        <v>9</v>
      </c>
      <c r="C3572" s="10" t="s">
        <v>363</v>
      </c>
      <c r="D3572" s="10" t="s">
        <v>364</v>
      </c>
      <c r="E3572" s="11" t="str">
        <f>+HYPERLINK("http://trademark.i-assist.jp/data/china/image_1902th/79456584.pdf", "79456584")</f>
        <v>79456584</v>
      </c>
      <c r="F3572" s="10" t="s">
        <v>9896</v>
      </c>
      <c r="G3572" s="10" t="s">
        <v>9897</v>
      </c>
      <c r="H3572" s="10" t="s">
        <v>9898</v>
      </c>
      <c r="I3572" s="10" t="s">
        <v>9705</v>
      </c>
    </row>
    <row r="3573" spans="1:9" x14ac:dyDescent="0.15">
      <c r="A3573" s="9">
        <v>3572</v>
      </c>
      <c r="B3573" s="10" t="s">
        <v>9</v>
      </c>
      <c r="C3573" s="10" t="s">
        <v>363</v>
      </c>
      <c r="D3573" s="10" t="s">
        <v>364</v>
      </c>
      <c r="E3573" s="11" t="str">
        <f>+HYPERLINK("http://trademark.i-assist.jp/data/china/image_1902th/79456691.pdf", "79456691")</f>
        <v>79456691</v>
      </c>
      <c r="F3573" s="10" t="s">
        <v>9899</v>
      </c>
      <c r="G3573" s="10" t="s">
        <v>9900</v>
      </c>
      <c r="H3573" s="10" t="s">
        <v>9901</v>
      </c>
      <c r="I3573" s="10" t="s">
        <v>9705</v>
      </c>
    </row>
    <row r="3574" spans="1:9" x14ac:dyDescent="0.15">
      <c r="A3574" s="9">
        <v>3573</v>
      </c>
      <c r="B3574" s="10" t="s">
        <v>9</v>
      </c>
      <c r="C3574" s="10" t="s">
        <v>363</v>
      </c>
      <c r="D3574" s="10" t="s">
        <v>364</v>
      </c>
      <c r="E3574" s="11" t="str">
        <f>+HYPERLINK("http://trademark.i-assist.jp/data/china/image_1902th/79456966.pdf", "79456966")</f>
        <v>79456966</v>
      </c>
      <c r="F3574" s="10" t="s">
        <v>9902</v>
      </c>
      <c r="G3574" s="10" t="s">
        <v>9903</v>
      </c>
      <c r="H3574" s="10" t="s">
        <v>9904</v>
      </c>
      <c r="I3574" s="10" t="s">
        <v>9705</v>
      </c>
    </row>
    <row r="3575" spans="1:9" x14ac:dyDescent="0.15">
      <c r="A3575" s="9">
        <v>3574</v>
      </c>
      <c r="B3575" s="10" t="s">
        <v>9</v>
      </c>
      <c r="C3575" s="10" t="s">
        <v>363</v>
      </c>
      <c r="D3575" s="10" t="s">
        <v>364</v>
      </c>
      <c r="E3575" s="11" t="str">
        <f>+HYPERLINK("http://trademark.i-assist.jp/data/china/image_1902th/79457388.pdf", "79457388")</f>
        <v>79457388</v>
      </c>
      <c r="F3575" s="10" t="s">
        <v>9905</v>
      </c>
      <c r="G3575" s="10" t="s">
        <v>9906</v>
      </c>
      <c r="H3575" s="10" t="s">
        <v>9907</v>
      </c>
      <c r="I3575" s="10" t="s">
        <v>9705</v>
      </c>
    </row>
    <row r="3576" spans="1:9" x14ac:dyDescent="0.15">
      <c r="A3576" s="9">
        <v>3575</v>
      </c>
      <c r="B3576" s="10" t="s">
        <v>9</v>
      </c>
      <c r="C3576" s="10" t="s">
        <v>363</v>
      </c>
      <c r="D3576" s="10" t="s">
        <v>364</v>
      </c>
      <c r="E3576" s="11" t="str">
        <f>+HYPERLINK("http://trademark.i-assist.jp/data/china/image_1902th/79457530.pdf", "79457530")</f>
        <v>79457530</v>
      </c>
      <c r="F3576" s="10" t="s">
        <v>9908</v>
      </c>
      <c r="G3576" s="10" t="s">
        <v>9818</v>
      </c>
      <c r="H3576" s="10" t="s">
        <v>9909</v>
      </c>
      <c r="I3576" s="10" t="s">
        <v>9705</v>
      </c>
    </row>
    <row r="3577" spans="1:9" x14ac:dyDescent="0.15">
      <c r="A3577" s="9">
        <v>3576</v>
      </c>
      <c r="B3577" s="10" t="s">
        <v>9</v>
      </c>
      <c r="C3577" s="10" t="s">
        <v>363</v>
      </c>
      <c r="D3577" s="10" t="s">
        <v>364</v>
      </c>
      <c r="E3577" s="11" t="str">
        <f>+HYPERLINK("http://trademark.i-assist.jp/data/china/image_1902th/79458103.pdf", "79458103")</f>
        <v>79458103</v>
      </c>
      <c r="F3577" s="10" t="s">
        <v>9910</v>
      </c>
      <c r="G3577" s="10" t="s">
        <v>9911</v>
      </c>
      <c r="H3577" s="10" t="s">
        <v>9912</v>
      </c>
      <c r="I3577" s="10" t="s">
        <v>9705</v>
      </c>
    </row>
    <row r="3578" spans="1:9" x14ac:dyDescent="0.15">
      <c r="A3578" s="9">
        <v>3577</v>
      </c>
      <c r="B3578" s="10" t="s">
        <v>9</v>
      </c>
      <c r="C3578" s="10" t="s">
        <v>363</v>
      </c>
      <c r="D3578" s="10" t="s">
        <v>364</v>
      </c>
      <c r="E3578" s="11" t="str">
        <f>+HYPERLINK("http://trademark.i-assist.jp/data/china/image_1902th/79458478.pdf", "79458478")</f>
        <v>79458478</v>
      </c>
      <c r="F3578" s="10" t="s">
        <v>9913</v>
      </c>
      <c r="G3578" s="10" t="s">
        <v>9838</v>
      </c>
      <c r="H3578" s="10" t="s">
        <v>9914</v>
      </c>
      <c r="I3578" s="10" t="s">
        <v>9705</v>
      </c>
    </row>
    <row r="3579" spans="1:9" x14ac:dyDescent="0.15">
      <c r="A3579" s="9">
        <v>3578</v>
      </c>
      <c r="B3579" s="10" t="s">
        <v>9</v>
      </c>
      <c r="C3579" s="10" t="s">
        <v>363</v>
      </c>
      <c r="D3579" s="10" t="s">
        <v>364</v>
      </c>
      <c r="E3579" s="11" t="str">
        <f>+HYPERLINK("http://trademark.i-assist.jp/data/china/image_1902th/79458594.pdf", "79458594")</f>
        <v>79458594</v>
      </c>
      <c r="F3579" s="10" t="s">
        <v>9915</v>
      </c>
      <c r="G3579" s="10" t="s">
        <v>177</v>
      </c>
      <c r="H3579" s="10" t="s">
        <v>9916</v>
      </c>
      <c r="I3579" s="10" t="s">
        <v>9705</v>
      </c>
    </row>
    <row r="3580" spans="1:9" x14ac:dyDescent="0.15">
      <c r="A3580" s="9">
        <v>3579</v>
      </c>
      <c r="B3580" s="10" t="s">
        <v>9</v>
      </c>
      <c r="C3580" s="10" t="s">
        <v>363</v>
      </c>
      <c r="D3580" s="10" t="s">
        <v>364</v>
      </c>
      <c r="E3580" s="11" t="str">
        <f>+HYPERLINK("http://trademark.i-assist.jp/data/china/image_1902th/79458685.pdf", "79458685")</f>
        <v>79458685</v>
      </c>
      <c r="F3580" s="10" t="s">
        <v>9917</v>
      </c>
      <c r="G3580" s="10" t="s">
        <v>9918</v>
      </c>
      <c r="H3580" s="10" t="s">
        <v>9919</v>
      </c>
      <c r="I3580" s="10" t="s">
        <v>9705</v>
      </c>
    </row>
    <row r="3581" spans="1:9" x14ac:dyDescent="0.15">
      <c r="A3581" s="9">
        <v>3580</v>
      </c>
      <c r="B3581" s="10" t="s">
        <v>9</v>
      </c>
      <c r="C3581" s="10" t="s">
        <v>363</v>
      </c>
      <c r="D3581" s="10" t="s">
        <v>364</v>
      </c>
      <c r="E3581" s="11" t="str">
        <f>+HYPERLINK("http://trademark.i-assist.jp/data/china/image_1902th/79458966.pdf", "79458966")</f>
        <v>79458966</v>
      </c>
      <c r="F3581" s="10" t="s">
        <v>9920</v>
      </c>
      <c r="G3581" s="10" t="s">
        <v>9921</v>
      </c>
      <c r="H3581" s="10" t="s">
        <v>9922</v>
      </c>
      <c r="I3581" s="10" t="s">
        <v>9705</v>
      </c>
    </row>
    <row r="3582" spans="1:9" x14ac:dyDescent="0.15">
      <c r="A3582" s="9">
        <v>3581</v>
      </c>
      <c r="B3582" s="10" t="s">
        <v>9</v>
      </c>
      <c r="C3582" s="10" t="s">
        <v>363</v>
      </c>
      <c r="D3582" s="10" t="s">
        <v>364</v>
      </c>
      <c r="E3582" s="11" t="str">
        <f>+HYPERLINK("http://trademark.i-assist.jp/data/china/image_1902th/79459215.pdf", "79459215")</f>
        <v>79459215</v>
      </c>
      <c r="F3582" s="10" t="s">
        <v>9923</v>
      </c>
      <c r="G3582" s="10" t="s">
        <v>9924</v>
      </c>
      <c r="H3582" s="10" t="s">
        <v>9925</v>
      </c>
      <c r="I3582" s="10" t="s">
        <v>9705</v>
      </c>
    </row>
    <row r="3583" spans="1:9" x14ac:dyDescent="0.15">
      <c r="A3583" s="9">
        <v>3582</v>
      </c>
      <c r="B3583" s="10" t="s">
        <v>9</v>
      </c>
      <c r="C3583" s="10" t="s">
        <v>363</v>
      </c>
      <c r="D3583" s="10" t="s">
        <v>364</v>
      </c>
      <c r="E3583" s="11" t="str">
        <f>+HYPERLINK("http://trademark.i-assist.jp/data/china/image_1902th/79460023.pdf", "79460023")</f>
        <v>79460023</v>
      </c>
      <c r="F3583" s="10" t="s">
        <v>9926</v>
      </c>
      <c r="G3583" s="10" t="s">
        <v>9927</v>
      </c>
      <c r="H3583" s="10" t="s">
        <v>9928</v>
      </c>
      <c r="I3583" s="10" t="s">
        <v>9705</v>
      </c>
    </row>
    <row r="3584" spans="1:9" x14ac:dyDescent="0.15">
      <c r="A3584" s="9">
        <v>3583</v>
      </c>
      <c r="B3584" s="10" t="s">
        <v>9</v>
      </c>
      <c r="C3584" s="10" t="s">
        <v>363</v>
      </c>
      <c r="D3584" s="10" t="s">
        <v>364</v>
      </c>
      <c r="E3584" s="11" t="str">
        <f>+HYPERLINK("http://trademark.i-assist.jp/data/china/image_1902th/79460634.pdf", "79460634")</f>
        <v>79460634</v>
      </c>
      <c r="F3584" s="10" t="s">
        <v>9929</v>
      </c>
      <c r="G3584" s="10" t="s">
        <v>9823</v>
      </c>
      <c r="H3584" s="10" t="s">
        <v>9930</v>
      </c>
      <c r="I3584" s="10" t="s">
        <v>9705</v>
      </c>
    </row>
    <row r="3585" spans="1:9" x14ac:dyDescent="0.15">
      <c r="A3585" s="9">
        <v>3584</v>
      </c>
      <c r="B3585" s="10" t="s">
        <v>9</v>
      </c>
      <c r="C3585" s="10" t="s">
        <v>363</v>
      </c>
      <c r="D3585" s="10" t="s">
        <v>364</v>
      </c>
      <c r="E3585" s="11" t="str">
        <f>+HYPERLINK("http://trademark.i-assist.jp/data/china/image_1902th/79460698.pdf", "79460698")</f>
        <v>79460698</v>
      </c>
      <c r="F3585" s="10" t="s">
        <v>9931</v>
      </c>
      <c r="G3585" s="10" t="s">
        <v>9932</v>
      </c>
      <c r="H3585" s="10" t="s">
        <v>9933</v>
      </c>
      <c r="I3585" s="10" t="s">
        <v>9705</v>
      </c>
    </row>
    <row r="3586" spans="1:9" x14ac:dyDescent="0.15">
      <c r="A3586" s="9">
        <v>3585</v>
      </c>
      <c r="B3586" s="10" t="s">
        <v>9</v>
      </c>
      <c r="C3586" s="10" t="s">
        <v>363</v>
      </c>
      <c r="D3586" s="10" t="s">
        <v>364</v>
      </c>
      <c r="E3586" s="11" t="str">
        <f>+HYPERLINK("http://trademark.i-assist.jp/data/china/image_1902th/79460833.pdf", "79460833")</f>
        <v>79460833</v>
      </c>
      <c r="F3586" s="10" t="s">
        <v>9934</v>
      </c>
      <c r="G3586" s="10" t="s">
        <v>9739</v>
      </c>
      <c r="H3586" s="10" t="s">
        <v>9935</v>
      </c>
      <c r="I3586" s="10" t="s">
        <v>9705</v>
      </c>
    </row>
    <row r="3587" spans="1:9" x14ac:dyDescent="0.15">
      <c r="A3587" s="9">
        <v>3586</v>
      </c>
      <c r="B3587" s="10" t="s">
        <v>9</v>
      </c>
      <c r="C3587" s="10" t="s">
        <v>363</v>
      </c>
      <c r="D3587" s="10" t="s">
        <v>364</v>
      </c>
      <c r="E3587" s="11" t="str">
        <f>+HYPERLINK("http://trademark.i-assist.jp/data/china/image_1902th/79461452.pdf", "79461452")</f>
        <v>79461452</v>
      </c>
      <c r="F3587" s="10" t="s">
        <v>9936</v>
      </c>
      <c r="G3587" s="10" t="s">
        <v>9703</v>
      </c>
      <c r="H3587" s="10" t="s">
        <v>9937</v>
      </c>
      <c r="I3587" s="10" t="s">
        <v>9705</v>
      </c>
    </row>
    <row r="3588" spans="1:9" x14ac:dyDescent="0.15">
      <c r="A3588" s="9">
        <v>3587</v>
      </c>
      <c r="B3588" s="10" t="s">
        <v>9</v>
      </c>
      <c r="C3588" s="10" t="s">
        <v>363</v>
      </c>
      <c r="D3588" s="10" t="s">
        <v>364</v>
      </c>
      <c r="E3588" s="11" t="str">
        <f>+HYPERLINK("http://trademark.i-assist.jp/data/china/image_1902th/79462048.pdf", "79462048")</f>
        <v>79462048</v>
      </c>
      <c r="F3588" s="10" t="s">
        <v>9938</v>
      </c>
      <c r="G3588" s="10" t="s">
        <v>9939</v>
      </c>
      <c r="H3588" s="10" t="s">
        <v>9940</v>
      </c>
      <c r="I3588" s="10" t="s">
        <v>9705</v>
      </c>
    </row>
    <row r="3589" spans="1:9" x14ac:dyDescent="0.15">
      <c r="A3589" s="9">
        <v>3588</v>
      </c>
      <c r="B3589" s="10" t="s">
        <v>9</v>
      </c>
      <c r="C3589" s="10" t="s">
        <v>363</v>
      </c>
      <c r="D3589" s="10" t="s">
        <v>364</v>
      </c>
      <c r="E3589" s="11" t="str">
        <f>+HYPERLINK("http://trademark.i-assist.jp/data/china/image_1902th/79462838.pdf", "79462838")</f>
        <v>79462838</v>
      </c>
      <c r="F3589" s="10" t="s">
        <v>9941</v>
      </c>
      <c r="G3589" s="10" t="s">
        <v>8280</v>
      </c>
      <c r="H3589" s="10" t="s">
        <v>9942</v>
      </c>
      <c r="I3589" s="10" t="s">
        <v>9705</v>
      </c>
    </row>
    <row r="3590" spans="1:9" x14ac:dyDescent="0.15">
      <c r="A3590" s="9">
        <v>3589</v>
      </c>
      <c r="B3590" s="10" t="s">
        <v>9</v>
      </c>
      <c r="C3590" s="10" t="s">
        <v>363</v>
      </c>
      <c r="D3590" s="10" t="s">
        <v>364</v>
      </c>
      <c r="E3590" s="11" t="str">
        <f>+HYPERLINK("http://trademark.i-assist.jp/data/china/image_1902th/79463595.pdf", "79463595")</f>
        <v>79463595</v>
      </c>
      <c r="F3590" s="10" t="s">
        <v>9943</v>
      </c>
      <c r="G3590" s="10" t="s">
        <v>9944</v>
      </c>
      <c r="H3590" s="10" t="s">
        <v>9945</v>
      </c>
      <c r="I3590" s="10" t="s">
        <v>9946</v>
      </c>
    </row>
    <row r="3591" spans="1:9" x14ac:dyDescent="0.15">
      <c r="A3591" s="9">
        <v>3590</v>
      </c>
      <c r="B3591" s="10" t="s">
        <v>9</v>
      </c>
      <c r="C3591" s="10" t="s">
        <v>363</v>
      </c>
      <c r="D3591" s="10" t="s">
        <v>364</v>
      </c>
      <c r="E3591" s="11" t="str">
        <f>+HYPERLINK("http://trademark.i-assist.jp/data/china/image_1902th/79463776.pdf", "79463776")</f>
        <v>79463776</v>
      </c>
      <c r="F3591" s="10" t="s">
        <v>9947</v>
      </c>
      <c r="G3591" s="10" t="s">
        <v>9948</v>
      </c>
      <c r="H3591" s="10" t="s">
        <v>9949</v>
      </c>
      <c r="I3591" s="10" t="s">
        <v>9946</v>
      </c>
    </row>
    <row r="3592" spans="1:9" x14ac:dyDescent="0.15">
      <c r="A3592" s="9">
        <v>3591</v>
      </c>
      <c r="B3592" s="10" t="s">
        <v>9</v>
      </c>
      <c r="C3592" s="10" t="s">
        <v>363</v>
      </c>
      <c r="D3592" s="10" t="s">
        <v>364</v>
      </c>
      <c r="E3592" s="11" t="str">
        <f>+HYPERLINK("http://trademark.i-assist.jp/data/china/image_1902th/79463858.pdf", "79463858")</f>
        <v>79463858</v>
      </c>
      <c r="F3592" s="10" t="s">
        <v>9950</v>
      </c>
      <c r="G3592" s="10" t="s">
        <v>9951</v>
      </c>
      <c r="H3592" s="10" t="s">
        <v>9952</v>
      </c>
      <c r="I3592" s="10" t="s">
        <v>9946</v>
      </c>
    </row>
    <row r="3593" spans="1:9" x14ac:dyDescent="0.15">
      <c r="A3593" s="9">
        <v>3592</v>
      </c>
      <c r="B3593" s="10" t="s">
        <v>9</v>
      </c>
      <c r="C3593" s="10" t="s">
        <v>363</v>
      </c>
      <c r="D3593" s="10" t="s">
        <v>364</v>
      </c>
      <c r="E3593" s="11" t="str">
        <f>+HYPERLINK("http://trademark.i-assist.jp/data/china/image_1902th/79464246.pdf", "79464246")</f>
        <v>79464246</v>
      </c>
      <c r="F3593" s="10" t="s">
        <v>9953</v>
      </c>
      <c r="G3593" s="10" t="s">
        <v>9944</v>
      </c>
      <c r="H3593" s="10" t="s">
        <v>9954</v>
      </c>
      <c r="I3593" s="10" t="s">
        <v>9946</v>
      </c>
    </row>
    <row r="3594" spans="1:9" x14ac:dyDescent="0.15">
      <c r="A3594" s="9">
        <v>3593</v>
      </c>
      <c r="B3594" s="10" t="s">
        <v>9</v>
      </c>
      <c r="C3594" s="10" t="s">
        <v>363</v>
      </c>
      <c r="D3594" s="10" t="s">
        <v>364</v>
      </c>
      <c r="E3594" s="11" t="str">
        <f>+HYPERLINK("http://trademark.i-assist.jp/data/china/image_1902th/79464409.pdf", "79464409")</f>
        <v>79464409</v>
      </c>
      <c r="F3594" s="10" t="s">
        <v>9955</v>
      </c>
      <c r="G3594" s="10" t="s">
        <v>9951</v>
      </c>
      <c r="H3594" s="10" t="s">
        <v>9956</v>
      </c>
      <c r="I3594" s="10" t="s">
        <v>9946</v>
      </c>
    </row>
    <row r="3595" spans="1:9" x14ac:dyDescent="0.15">
      <c r="A3595" s="9">
        <v>3594</v>
      </c>
      <c r="B3595" s="10" t="s">
        <v>9</v>
      </c>
      <c r="C3595" s="10" t="s">
        <v>363</v>
      </c>
      <c r="D3595" s="10" t="s">
        <v>364</v>
      </c>
      <c r="E3595" s="11" t="str">
        <f>+HYPERLINK("http://trademark.i-assist.jp/data/china/image_1902th/79465148.pdf", "79465148")</f>
        <v>79465148</v>
      </c>
      <c r="F3595" s="10" t="s">
        <v>9957</v>
      </c>
      <c r="G3595" s="10" t="s">
        <v>9958</v>
      </c>
      <c r="H3595" s="10" t="s">
        <v>9959</v>
      </c>
      <c r="I3595" s="10" t="s">
        <v>9946</v>
      </c>
    </row>
    <row r="3596" spans="1:9" x14ac:dyDescent="0.15">
      <c r="A3596" s="9">
        <v>3595</v>
      </c>
      <c r="B3596" s="10" t="s">
        <v>9</v>
      </c>
      <c r="C3596" s="10" t="s">
        <v>363</v>
      </c>
      <c r="D3596" s="10" t="s">
        <v>364</v>
      </c>
      <c r="E3596" s="11" t="str">
        <f>+HYPERLINK("http://trademark.i-assist.jp/data/china/image_1902th/79465442.pdf", "79465442")</f>
        <v>79465442</v>
      </c>
      <c r="F3596" s="10" t="s">
        <v>9960</v>
      </c>
      <c r="G3596" s="10" t="s">
        <v>9961</v>
      </c>
      <c r="H3596" s="10" t="s">
        <v>9962</v>
      </c>
      <c r="I3596" s="10" t="s">
        <v>9946</v>
      </c>
    </row>
    <row r="3597" spans="1:9" x14ac:dyDescent="0.15">
      <c r="A3597" s="9">
        <v>3596</v>
      </c>
      <c r="B3597" s="10" t="s">
        <v>9</v>
      </c>
      <c r="C3597" s="10" t="s">
        <v>363</v>
      </c>
      <c r="D3597" s="10" t="s">
        <v>364</v>
      </c>
      <c r="E3597" s="11" t="str">
        <f>+HYPERLINK("http://trademark.i-assist.jp/data/china/image_1902th/79466666.pdf", "79466666")</f>
        <v>79466666</v>
      </c>
      <c r="F3597" s="10" t="s">
        <v>9963</v>
      </c>
      <c r="G3597" s="10" t="s">
        <v>9964</v>
      </c>
      <c r="H3597" s="10" t="s">
        <v>9965</v>
      </c>
      <c r="I3597" s="10" t="s">
        <v>9946</v>
      </c>
    </row>
    <row r="3598" spans="1:9" x14ac:dyDescent="0.15">
      <c r="A3598" s="9">
        <v>3597</v>
      </c>
      <c r="B3598" s="10" t="s">
        <v>9</v>
      </c>
      <c r="C3598" s="10" t="s">
        <v>363</v>
      </c>
      <c r="D3598" s="10" t="s">
        <v>364</v>
      </c>
      <c r="E3598" s="11" t="str">
        <f>+HYPERLINK("http://trademark.i-assist.jp/data/china/image_1902th/79466989.pdf", "79466989")</f>
        <v>79466989</v>
      </c>
      <c r="F3598" s="10" t="s">
        <v>9966</v>
      </c>
      <c r="G3598" s="10" t="s">
        <v>9958</v>
      </c>
      <c r="H3598" s="10" t="s">
        <v>9967</v>
      </c>
      <c r="I3598" s="10" t="s">
        <v>9946</v>
      </c>
    </row>
    <row r="3599" spans="1:9" x14ac:dyDescent="0.15">
      <c r="A3599" s="9">
        <v>3598</v>
      </c>
      <c r="B3599" s="10" t="s">
        <v>9</v>
      </c>
      <c r="C3599" s="10" t="s">
        <v>363</v>
      </c>
      <c r="D3599" s="10" t="s">
        <v>364</v>
      </c>
      <c r="E3599" s="11" t="str">
        <f>+HYPERLINK("http://trademark.i-assist.jp/data/china/image_1902th/79469190.pdf", "79469190")</f>
        <v>79469190</v>
      </c>
      <c r="F3599" s="10" t="s">
        <v>9968</v>
      </c>
      <c r="G3599" s="10" t="s">
        <v>9969</v>
      </c>
      <c r="H3599" s="10" t="s">
        <v>9970</v>
      </c>
      <c r="I3599" s="10" t="s">
        <v>9946</v>
      </c>
    </row>
    <row r="3600" spans="1:9" x14ac:dyDescent="0.15">
      <c r="A3600" s="9">
        <v>3599</v>
      </c>
      <c r="B3600" s="10" t="s">
        <v>9</v>
      </c>
      <c r="C3600" s="10" t="s">
        <v>363</v>
      </c>
      <c r="D3600" s="10" t="s">
        <v>364</v>
      </c>
      <c r="E3600" s="11" t="str">
        <f>+HYPERLINK("http://trademark.i-assist.jp/data/china/image_1902th/79469366.pdf", "79469366")</f>
        <v>79469366</v>
      </c>
      <c r="F3600" s="10" t="s">
        <v>9971</v>
      </c>
      <c r="G3600" s="10" t="s">
        <v>9972</v>
      </c>
      <c r="H3600" s="10" t="s">
        <v>9973</v>
      </c>
      <c r="I3600" s="10" t="s">
        <v>9946</v>
      </c>
    </row>
    <row r="3601" spans="1:9" x14ac:dyDescent="0.15">
      <c r="A3601" s="9">
        <v>3600</v>
      </c>
      <c r="B3601" s="10" t="s">
        <v>9</v>
      </c>
      <c r="C3601" s="10" t="s">
        <v>363</v>
      </c>
      <c r="D3601" s="10" t="s">
        <v>364</v>
      </c>
      <c r="E3601" s="11" t="str">
        <f>+HYPERLINK("http://trademark.i-assist.jp/data/china/image_1902th/79470621.pdf", "79470621")</f>
        <v>79470621</v>
      </c>
      <c r="F3601" s="10" t="s">
        <v>9974</v>
      </c>
      <c r="G3601" s="10" t="s">
        <v>9975</v>
      </c>
      <c r="H3601" s="10" t="s">
        <v>9976</v>
      </c>
      <c r="I3601" s="10" t="s">
        <v>9946</v>
      </c>
    </row>
    <row r="3602" spans="1:9" x14ac:dyDescent="0.15">
      <c r="A3602" s="9">
        <v>3601</v>
      </c>
      <c r="B3602" s="10" t="s">
        <v>9</v>
      </c>
      <c r="C3602" s="10" t="s">
        <v>363</v>
      </c>
      <c r="D3602" s="10" t="s">
        <v>364</v>
      </c>
      <c r="E3602" s="11" t="str">
        <f>+HYPERLINK("http://trademark.i-assist.jp/data/china/image_1902th/79471079.pdf", "79471079")</f>
        <v>79471079</v>
      </c>
      <c r="F3602" s="10" t="s">
        <v>9977</v>
      </c>
      <c r="G3602" s="10" t="s">
        <v>9978</v>
      </c>
      <c r="H3602" s="10" t="s">
        <v>9979</v>
      </c>
      <c r="I3602" s="10" t="s">
        <v>9946</v>
      </c>
    </row>
    <row r="3603" spans="1:9" x14ac:dyDescent="0.15">
      <c r="A3603" s="9">
        <v>3602</v>
      </c>
      <c r="B3603" s="10" t="s">
        <v>9</v>
      </c>
      <c r="C3603" s="10" t="s">
        <v>363</v>
      </c>
      <c r="D3603" s="10" t="s">
        <v>364</v>
      </c>
      <c r="E3603" s="11" t="str">
        <f>+HYPERLINK("http://trademark.i-assist.jp/data/china/image_1902th/79472019.pdf", "79472019")</f>
        <v>79472019</v>
      </c>
      <c r="F3603" s="10" t="s">
        <v>9980</v>
      </c>
      <c r="G3603" s="10" t="s">
        <v>9981</v>
      </c>
      <c r="H3603" s="10" t="s">
        <v>9982</v>
      </c>
      <c r="I3603" s="10" t="s">
        <v>9946</v>
      </c>
    </row>
    <row r="3604" spans="1:9" x14ac:dyDescent="0.15">
      <c r="A3604" s="9">
        <v>3603</v>
      </c>
      <c r="B3604" s="10" t="s">
        <v>9</v>
      </c>
      <c r="C3604" s="10" t="s">
        <v>363</v>
      </c>
      <c r="D3604" s="10" t="s">
        <v>364</v>
      </c>
      <c r="E3604" s="11" t="str">
        <f>+HYPERLINK("http://trademark.i-assist.jp/data/china/image_1902th/79472027.pdf", "79472027")</f>
        <v>79472027</v>
      </c>
      <c r="F3604" s="10" t="s">
        <v>9983</v>
      </c>
      <c r="G3604" s="10" t="s">
        <v>9981</v>
      </c>
      <c r="H3604" s="10" t="s">
        <v>9984</v>
      </c>
      <c r="I3604" s="10" t="s">
        <v>9946</v>
      </c>
    </row>
    <row r="3605" spans="1:9" x14ac:dyDescent="0.15">
      <c r="A3605" s="9">
        <v>3604</v>
      </c>
      <c r="B3605" s="10" t="s">
        <v>9</v>
      </c>
      <c r="C3605" s="10" t="s">
        <v>363</v>
      </c>
      <c r="D3605" s="10" t="s">
        <v>364</v>
      </c>
      <c r="E3605" s="11" t="str">
        <f>+HYPERLINK("http://trademark.i-assist.jp/data/china/image_1902th/79472800.pdf", "79472800")</f>
        <v>79472800</v>
      </c>
      <c r="F3605" s="10" t="s">
        <v>9985</v>
      </c>
      <c r="G3605" s="10" t="s">
        <v>9986</v>
      </c>
      <c r="H3605" s="10" t="s">
        <v>9987</v>
      </c>
      <c r="I3605" s="10" t="s">
        <v>9946</v>
      </c>
    </row>
    <row r="3606" spans="1:9" x14ac:dyDescent="0.15">
      <c r="A3606" s="9">
        <v>3605</v>
      </c>
      <c r="B3606" s="10" t="s">
        <v>9</v>
      </c>
      <c r="C3606" s="10" t="s">
        <v>363</v>
      </c>
      <c r="D3606" s="10" t="s">
        <v>364</v>
      </c>
      <c r="E3606" s="11" t="str">
        <f>+HYPERLINK("http://trademark.i-assist.jp/data/china/image_1902th/79473021.pdf", "79473021")</f>
        <v>79473021</v>
      </c>
      <c r="F3606" s="10" t="s">
        <v>9988</v>
      </c>
      <c r="G3606" s="10" t="s">
        <v>9964</v>
      </c>
      <c r="H3606" s="10" t="s">
        <v>9989</v>
      </c>
      <c r="I3606" s="10" t="s">
        <v>9946</v>
      </c>
    </row>
    <row r="3607" spans="1:9" x14ac:dyDescent="0.15">
      <c r="A3607" s="9">
        <v>3606</v>
      </c>
      <c r="B3607" s="10" t="s">
        <v>9</v>
      </c>
      <c r="C3607" s="10" t="s">
        <v>363</v>
      </c>
      <c r="D3607" s="10" t="s">
        <v>364</v>
      </c>
      <c r="E3607" s="11" t="str">
        <f>+HYPERLINK("http://trademark.i-assist.jp/data/china/image_1902th/79473270.pdf", "79473270")</f>
        <v>79473270</v>
      </c>
      <c r="F3607" s="10" t="s">
        <v>9990</v>
      </c>
      <c r="G3607" s="10" t="s">
        <v>9991</v>
      </c>
      <c r="H3607" s="10" t="s">
        <v>9992</v>
      </c>
      <c r="I3607" s="10" t="s">
        <v>9946</v>
      </c>
    </row>
    <row r="3608" spans="1:9" x14ac:dyDescent="0.15">
      <c r="A3608" s="9">
        <v>3607</v>
      </c>
      <c r="B3608" s="10" t="s">
        <v>9</v>
      </c>
      <c r="C3608" s="10" t="s">
        <v>363</v>
      </c>
      <c r="D3608" s="10" t="s">
        <v>364</v>
      </c>
      <c r="E3608" s="11" t="str">
        <f>+HYPERLINK("http://trademark.i-assist.jp/data/china/image_1902th/79473529.pdf", "79473529")</f>
        <v>79473529</v>
      </c>
      <c r="F3608" s="10" t="s">
        <v>9993</v>
      </c>
      <c r="G3608" s="10" t="s">
        <v>9944</v>
      </c>
      <c r="H3608" s="10" t="s">
        <v>9994</v>
      </c>
      <c r="I3608" s="10" t="s">
        <v>9946</v>
      </c>
    </row>
    <row r="3609" spans="1:9" x14ac:dyDescent="0.15">
      <c r="A3609" s="9">
        <v>3608</v>
      </c>
      <c r="B3609" s="10" t="s">
        <v>9</v>
      </c>
      <c r="C3609" s="10" t="s">
        <v>363</v>
      </c>
      <c r="D3609" s="10" t="s">
        <v>364</v>
      </c>
      <c r="E3609" s="11" t="str">
        <f>+HYPERLINK("http://trademark.i-assist.jp/data/china/image_1902th/79473607.pdf", "79473607")</f>
        <v>79473607</v>
      </c>
      <c r="F3609" s="10" t="s">
        <v>9995</v>
      </c>
      <c r="G3609" s="10" t="s">
        <v>9996</v>
      </c>
      <c r="H3609" s="10" t="s">
        <v>9997</v>
      </c>
      <c r="I3609" s="10" t="s">
        <v>9946</v>
      </c>
    </row>
    <row r="3610" spans="1:9" x14ac:dyDescent="0.15">
      <c r="A3610" s="9">
        <v>3609</v>
      </c>
      <c r="B3610" s="10" t="s">
        <v>9</v>
      </c>
      <c r="C3610" s="10" t="s">
        <v>363</v>
      </c>
      <c r="D3610" s="10" t="s">
        <v>364</v>
      </c>
      <c r="E3610" s="11" t="str">
        <f>+HYPERLINK("http://trademark.i-assist.jp/data/china/image_1902th/79473612.pdf", "79473612")</f>
        <v>79473612</v>
      </c>
      <c r="F3610" s="10" t="s">
        <v>9998</v>
      </c>
      <c r="G3610" s="10" t="s">
        <v>9996</v>
      </c>
      <c r="H3610" s="10" t="s">
        <v>9999</v>
      </c>
      <c r="I3610" s="10" t="s">
        <v>9946</v>
      </c>
    </row>
    <row r="3611" spans="1:9" x14ac:dyDescent="0.15">
      <c r="A3611" s="9">
        <v>3610</v>
      </c>
      <c r="B3611" s="10" t="s">
        <v>9</v>
      </c>
      <c r="C3611" s="10" t="s">
        <v>363</v>
      </c>
      <c r="D3611" s="10" t="s">
        <v>364</v>
      </c>
      <c r="E3611" s="11" t="str">
        <f>+HYPERLINK("http://trademark.i-assist.jp/data/china/image_1902th/79474785.pdf", "79474785")</f>
        <v>79474785</v>
      </c>
      <c r="F3611" s="10" t="s">
        <v>10000</v>
      </c>
      <c r="G3611" s="10" t="s">
        <v>10001</v>
      </c>
      <c r="H3611" s="10" t="s">
        <v>10002</v>
      </c>
      <c r="I3611" s="10" t="s">
        <v>9946</v>
      </c>
    </row>
    <row r="3612" spans="1:9" x14ac:dyDescent="0.15">
      <c r="A3612" s="9">
        <v>3611</v>
      </c>
      <c r="B3612" s="10" t="s">
        <v>9</v>
      </c>
      <c r="C3612" s="10" t="s">
        <v>363</v>
      </c>
      <c r="D3612" s="10" t="s">
        <v>364</v>
      </c>
      <c r="E3612" s="11" t="str">
        <f>+HYPERLINK("http://trademark.i-assist.jp/data/china/image_1902th/79475219.pdf", "79475219")</f>
        <v>79475219</v>
      </c>
      <c r="F3612" s="10" t="s">
        <v>10003</v>
      </c>
      <c r="G3612" s="10" t="s">
        <v>9951</v>
      </c>
      <c r="H3612" s="10" t="s">
        <v>10004</v>
      </c>
      <c r="I3612" s="10" t="s">
        <v>9946</v>
      </c>
    </row>
    <row r="3613" spans="1:9" x14ac:dyDescent="0.15">
      <c r="A3613" s="9">
        <v>3612</v>
      </c>
      <c r="B3613" s="10" t="s">
        <v>9</v>
      </c>
      <c r="C3613" s="10" t="s">
        <v>363</v>
      </c>
      <c r="D3613" s="10" t="s">
        <v>364</v>
      </c>
      <c r="E3613" s="11" t="str">
        <f>+HYPERLINK("http://trademark.i-assist.jp/data/china/image_1902th/79475229.pdf", "79475229")</f>
        <v>79475229</v>
      </c>
      <c r="F3613" s="10" t="s">
        <v>10005</v>
      </c>
      <c r="G3613" s="10" t="s">
        <v>9951</v>
      </c>
      <c r="H3613" s="10" t="s">
        <v>10006</v>
      </c>
      <c r="I3613" s="10" t="s">
        <v>9946</v>
      </c>
    </row>
    <row r="3614" spans="1:9" x14ac:dyDescent="0.15">
      <c r="A3614" s="9">
        <v>3613</v>
      </c>
      <c r="B3614" s="10" t="s">
        <v>9</v>
      </c>
      <c r="C3614" s="10" t="s">
        <v>363</v>
      </c>
      <c r="D3614" s="10" t="s">
        <v>364</v>
      </c>
      <c r="E3614" s="11" t="str">
        <f>+HYPERLINK("http://trademark.i-assist.jp/data/china/image_1902th/79475426.pdf", "79475426")</f>
        <v>79475426</v>
      </c>
      <c r="F3614" s="10" t="s">
        <v>10007</v>
      </c>
      <c r="G3614" s="10" t="s">
        <v>9964</v>
      </c>
      <c r="H3614" s="10" t="s">
        <v>10008</v>
      </c>
      <c r="I3614" s="10" t="s">
        <v>9946</v>
      </c>
    </row>
    <row r="3615" spans="1:9" x14ac:dyDescent="0.15">
      <c r="A3615" s="9">
        <v>3614</v>
      </c>
      <c r="B3615" s="10" t="s">
        <v>9</v>
      </c>
      <c r="C3615" s="10" t="s">
        <v>363</v>
      </c>
      <c r="D3615" s="10" t="s">
        <v>364</v>
      </c>
      <c r="E3615" s="11" t="str">
        <f>+HYPERLINK("http://trademark.i-assist.jp/data/china/image_1902th/79476381.pdf", "79476381")</f>
        <v>79476381</v>
      </c>
      <c r="F3615" s="10" t="s">
        <v>10009</v>
      </c>
      <c r="G3615" s="10" t="s">
        <v>10010</v>
      </c>
      <c r="H3615" s="10" t="s">
        <v>10011</v>
      </c>
      <c r="I3615" s="10" t="s">
        <v>9946</v>
      </c>
    </row>
    <row r="3616" spans="1:9" x14ac:dyDescent="0.15">
      <c r="A3616" s="9">
        <v>3615</v>
      </c>
      <c r="B3616" s="10" t="s">
        <v>9</v>
      </c>
      <c r="C3616" s="10" t="s">
        <v>363</v>
      </c>
      <c r="D3616" s="10" t="s">
        <v>364</v>
      </c>
      <c r="E3616" s="11" t="str">
        <f>+HYPERLINK("http://trademark.i-assist.jp/data/china/image_1902th/79476473.pdf", "79476473")</f>
        <v>79476473</v>
      </c>
      <c r="F3616" s="10" t="s">
        <v>12</v>
      </c>
      <c r="G3616" s="10" t="s">
        <v>10012</v>
      </c>
      <c r="H3616" s="10" t="s">
        <v>10013</v>
      </c>
      <c r="I3616" s="10" t="s">
        <v>9946</v>
      </c>
    </row>
    <row r="3617" spans="1:9" x14ac:dyDescent="0.15">
      <c r="A3617" s="9">
        <v>3616</v>
      </c>
      <c r="B3617" s="10" t="s">
        <v>9</v>
      </c>
      <c r="C3617" s="10" t="s">
        <v>363</v>
      </c>
      <c r="D3617" s="10" t="s">
        <v>364</v>
      </c>
      <c r="E3617" s="11" t="str">
        <f>+HYPERLINK("http://trademark.i-assist.jp/data/china/image_1902th/79476705.pdf", "79476705")</f>
        <v>79476705</v>
      </c>
      <c r="F3617" s="10" t="s">
        <v>10014</v>
      </c>
      <c r="G3617" s="10" t="s">
        <v>10015</v>
      </c>
      <c r="H3617" s="10" t="s">
        <v>10016</v>
      </c>
      <c r="I3617" s="10" t="s">
        <v>9946</v>
      </c>
    </row>
    <row r="3618" spans="1:9" x14ac:dyDescent="0.15">
      <c r="A3618" s="9">
        <v>3617</v>
      </c>
      <c r="B3618" s="10" t="s">
        <v>9</v>
      </c>
      <c r="C3618" s="10" t="s">
        <v>363</v>
      </c>
      <c r="D3618" s="10" t="s">
        <v>364</v>
      </c>
      <c r="E3618" s="11" t="str">
        <f>+HYPERLINK("http://trademark.i-assist.jp/data/china/image_1902th/79476794.pdf", "79476794")</f>
        <v>79476794</v>
      </c>
      <c r="F3618" s="10" t="s">
        <v>10017</v>
      </c>
      <c r="G3618" s="10" t="s">
        <v>9951</v>
      </c>
      <c r="H3618" s="10" t="s">
        <v>10018</v>
      </c>
      <c r="I3618" s="10" t="s">
        <v>9946</v>
      </c>
    </row>
    <row r="3619" spans="1:9" x14ac:dyDescent="0.15">
      <c r="A3619" s="9">
        <v>3618</v>
      </c>
      <c r="B3619" s="10" t="s">
        <v>9</v>
      </c>
      <c r="C3619" s="10" t="s">
        <v>363</v>
      </c>
      <c r="D3619" s="10" t="s">
        <v>364</v>
      </c>
      <c r="E3619" s="11" t="str">
        <f>+HYPERLINK("http://trademark.i-assist.jp/data/china/image_1902th/79476814.pdf", "79476814")</f>
        <v>79476814</v>
      </c>
      <c r="F3619" s="10" t="s">
        <v>10019</v>
      </c>
      <c r="G3619" s="10" t="s">
        <v>9951</v>
      </c>
      <c r="H3619" s="10" t="s">
        <v>10020</v>
      </c>
      <c r="I3619" s="10" t="s">
        <v>9946</v>
      </c>
    </row>
    <row r="3620" spans="1:9" x14ac:dyDescent="0.15">
      <c r="A3620" s="9">
        <v>3619</v>
      </c>
      <c r="B3620" s="10" t="s">
        <v>9</v>
      </c>
      <c r="C3620" s="10" t="s">
        <v>363</v>
      </c>
      <c r="D3620" s="10" t="s">
        <v>364</v>
      </c>
      <c r="E3620" s="11" t="str">
        <f>+HYPERLINK("http://trademark.i-assist.jp/data/china/image_1902th/79477230.pdf", "79477230")</f>
        <v>79477230</v>
      </c>
      <c r="F3620" s="10" t="s">
        <v>10021</v>
      </c>
      <c r="G3620" s="10" t="s">
        <v>10022</v>
      </c>
      <c r="H3620" s="10" t="s">
        <v>10023</v>
      </c>
      <c r="I3620" s="10" t="s">
        <v>9946</v>
      </c>
    </row>
    <row r="3621" spans="1:9" x14ac:dyDescent="0.15">
      <c r="A3621" s="9">
        <v>3620</v>
      </c>
      <c r="B3621" s="10" t="s">
        <v>9</v>
      </c>
      <c r="C3621" s="10" t="s">
        <v>363</v>
      </c>
      <c r="D3621" s="10" t="s">
        <v>364</v>
      </c>
      <c r="E3621" s="11" t="str">
        <f>+HYPERLINK("http://trademark.i-assist.jp/data/china/image_1902th/79477523.pdf", "79477523")</f>
        <v>79477523</v>
      </c>
      <c r="F3621" s="10" t="s">
        <v>10024</v>
      </c>
      <c r="G3621" s="10" t="s">
        <v>10025</v>
      </c>
      <c r="H3621" s="10" t="s">
        <v>10026</v>
      </c>
      <c r="I3621" s="10" t="s">
        <v>9946</v>
      </c>
    </row>
    <row r="3622" spans="1:9" x14ac:dyDescent="0.15">
      <c r="A3622" s="9">
        <v>3621</v>
      </c>
      <c r="B3622" s="10" t="s">
        <v>9</v>
      </c>
      <c r="C3622" s="10" t="s">
        <v>363</v>
      </c>
      <c r="D3622" s="10" t="s">
        <v>364</v>
      </c>
      <c r="E3622" s="11" t="str">
        <f>+HYPERLINK("http://trademark.i-assist.jp/data/china/image_1902th/79477590.pdf", "79477590")</f>
        <v>79477590</v>
      </c>
      <c r="F3622" s="10" t="s">
        <v>10027</v>
      </c>
      <c r="G3622" s="10" t="s">
        <v>9964</v>
      </c>
      <c r="H3622" s="10" t="s">
        <v>10028</v>
      </c>
      <c r="I3622" s="10" t="s">
        <v>9946</v>
      </c>
    </row>
    <row r="3623" spans="1:9" x14ac:dyDescent="0.15">
      <c r="A3623" s="9">
        <v>3622</v>
      </c>
      <c r="B3623" s="10" t="s">
        <v>9</v>
      </c>
      <c r="C3623" s="10" t="s">
        <v>363</v>
      </c>
      <c r="D3623" s="10" t="s">
        <v>364</v>
      </c>
      <c r="E3623" s="11" t="str">
        <f>+HYPERLINK("http://trademark.i-assist.jp/data/china/image_1902th/79479489.pdf", "79479489")</f>
        <v>79479489</v>
      </c>
      <c r="F3623" s="10" t="s">
        <v>10029</v>
      </c>
      <c r="G3623" s="10" t="s">
        <v>9964</v>
      </c>
      <c r="H3623" s="10" t="s">
        <v>10030</v>
      </c>
      <c r="I3623" s="10" t="s">
        <v>9946</v>
      </c>
    </row>
    <row r="3624" spans="1:9" x14ac:dyDescent="0.15">
      <c r="A3624" s="9">
        <v>3623</v>
      </c>
      <c r="B3624" s="10" t="s">
        <v>9</v>
      </c>
      <c r="C3624" s="10" t="s">
        <v>363</v>
      </c>
      <c r="D3624" s="10" t="s">
        <v>364</v>
      </c>
      <c r="E3624" s="11" t="str">
        <f>+HYPERLINK("http://trademark.i-assist.jp/data/china/image_1902th/79480616.pdf", "79480616")</f>
        <v>79480616</v>
      </c>
      <c r="F3624" s="10" t="s">
        <v>10031</v>
      </c>
      <c r="G3624" s="10" t="s">
        <v>10032</v>
      </c>
      <c r="H3624" s="10" t="s">
        <v>10033</v>
      </c>
      <c r="I3624" s="10" t="s">
        <v>9946</v>
      </c>
    </row>
    <row r="3625" spans="1:9" x14ac:dyDescent="0.15">
      <c r="A3625" s="9">
        <v>3624</v>
      </c>
      <c r="B3625" s="10" t="s">
        <v>9</v>
      </c>
      <c r="C3625" s="10" t="s">
        <v>363</v>
      </c>
      <c r="D3625" s="10" t="s">
        <v>364</v>
      </c>
      <c r="E3625" s="11" t="str">
        <f>+HYPERLINK("http://trademark.i-assist.jp/data/china/image_1902th/79480787.pdf", "79480787")</f>
        <v>79480787</v>
      </c>
      <c r="F3625" s="10" t="s">
        <v>10034</v>
      </c>
      <c r="G3625" s="10" t="s">
        <v>10035</v>
      </c>
      <c r="H3625" s="10" t="s">
        <v>10036</v>
      </c>
      <c r="I3625" s="10" t="s">
        <v>9946</v>
      </c>
    </row>
    <row r="3626" spans="1:9" x14ac:dyDescent="0.15">
      <c r="A3626" s="9">
        <v>3625</v>
      </c>
      <c r="B3626" s="10" t="s">
        <v>9</v>
      </c>
      <c r="C3626" s="10" t="s">
        <v>363</v>
      </c>
      <c r="D3626" s="10" t="s">
        <v>364</v>
      </c>
      <c r="E3626" s="11" t="str">
        <f>+HYPERLINK("http://trademark.i-assist.jp/data/china/image_1902th/79480977.pdf", "79480977")</f>
        <v>79480977</v>
      </c>
      <c r="F3626" s="10" t="s">
        <v>10037</v>
      </c>
      <c r="G3626" s="10" t="s">
        <v>10038</v>
      </c>
      <c r="H3626" s="10" t="s">
        <v>10039</v>
      </c>
      <c r="I3626" s="10" t="s">
        <v>9946</v>
      </c>
    </row>
    <row r="3627" spans="1:9" x14ac:dyDescent="0.15">
      <c r="A3627" s="9">
        <v>3626</v>
      </c>
      <c r="B3627" s="10" t="s">
        <v>9</v>
      </c>
      <c r="C3627" s="10" t="s">
        <v>363</v>
      </c>
      <c r="D3627" s="10" t="s">
        <v>364</v>
      </c>
      <c r="E3627" s="11" t="str">
        <f>+HYPERLINK("http://trademark.i-assist.jp/data/china/image_1902th/79481806.pdf", "79481806")</f>
        <v>79481806</v>
      </c>
      <c r="F3627" s="10" t="s">
        <v>12</v>
      </c>
      <c r="G3627" s="10" t="s">
        <v>10040</v>
      </c>
      <c r="H3627" s="10" t="s">
        <v>10041</v>
      </c>
      <c r="I3627" s="10" t="s">
        <v>9946</v>
      </c>
    </row>
    <row r="3628" spans="1:9" x14ac:dyDescent="0.15">
      <c r="A3628" s="9">
        <v>3627</v>
      </c>
      <c r="B3628" s="10" t="s">
        <v>9</v>
      </c>
      <c r="C3628" s="10" t="s">
        <v>363</v>
      </c>
      <c r="D3628" s="10" t="s">
        <v>364</v>
      </c>
      <c r="E3628" s="11" t="str">
        <f>+HYPERLINK("http://trademark.i-assist.jp/data/china/image_1902th/79482464.pdf", "79482464")</f>
        <v>79482464</v>
      </c>
      <c r="F3628" s="10" t="s">
        <v>10042</v>
      </c>
      <c r="G3628" s="10" t="s">
        <v>9944</v>
      </c>
      <c r="H3628" s="10" t="s">
        <v>10043</v>
      </c>
      <c r="I3628" s="10" t="s">
        <v>9946</v>
      </c>
    </row>
    <row r="3629" spans="1:9" x14ac:dyDescent="0.15">
      <c r="A3629" s="9">
        <v>3628</v>
      </c>
      <c r="B3629" s="10" t="s">
        <v>9</v>
      </c>
      <c r="C3629" s="10" t="s">
        <v>363</v>
      </c>
      <c r="D3629" s="10" t="s">
        <v>364</v>
      </c>
      <c r="E3629" s="11" t="str">
        <f>+HYPERLINK("http://trademark.i-assist.jp/data/china/image_1902th/79482470.pdf", "79482470")</f>
        <v>79482470</v>
      </c>
      <c r="F3629" s="10" t="s">
        <v>10044</v>
      </c>
      <c r="G3629" s="10" t="s">
        <v>9944</v>
      </c>
      <c r="H3629" s="10" t="s">
        <v>10045</v>
      </c>
      <c r="I3629" s="10" t="s">
        <v>9946</v>
      </c>
    </row>
    <row r="3630" spans="1:9" x14ac:dyDescent="0.15">
      <c r="A3630" s="9">
        <v>3629</v>
      </c>
      <c r="B3630" s="10" t="s">
        <v>9</v>
      </c>
      <c r="C3630" s="10" t="s">
        <v>363</v>
      </c>
      <c r="D3630" s="10" t="s">
        <v>364</v>
      </c>
      <c r="E3630" s="11" t="str">
        <f>+HYPERLINK("http://trademark.i-assist.jp/data/china/image_1902th/79483737.pdf", "79483737")</f>
        <v>79483737</v>
      </c>
      <c r="F3630" s="10" t="s">
        <v>10046</v>
      </c>
      <c r="G3630" s="10" t="s">
        <v>10047</v>
      </c>
      <c r="H3630" s="10" t="s">
        <v>10048</v>
      </c>
      <c r="I3630" s="10" t="s">
        <v>9946</v>
      </c>
    </row>
    <row r="3631" spans="1:9" x14ac:dyDescent="0.15">
      <c r="A3631" s="9">
        <v>3630</v>
      </c>
      <c r="B3631" s="10" t="s">
        <v>9</v>
      </c>
      <c r="C3631" s="10" t="s">
        <v>363</v>
      </c>
      <c r="D3631" s="10" t="s">
        <v>364</v>
      </c>
      <c r="E3631" s="11" t="str">
        <f>+HYPERLINK("http://trademark.i-assist.jp/data/china/image_1902th/79485558.pdf", "79485558")</f>
        <v>79485558</v>
      </c>
      <c r="F3631" s="10" t="s">
        <v>10049</v>
      </c>
      <c r="G3631" s="10" t="s">
        <v>10050</v>
      </c>
      <c r="H3631" s="10" t="s">
        <v>10051</v>
      </c>
      <c r="I3631" s="10" t="s">
        <v>9946</v>
      </c>
    </row>
    <row r="3632" spans="1:9" x14ac:dyDescent="0.15">
      <c r="A3632" s="9">
        <v>3631</v>
      </c>
      <c r="B3632" s="10" t="s">
        <v>9</v>
      </c>
      <c r="C3632" s="10" t="s">
        <v>363</v>
      </c>
      <c r="D3632" s="10" t="s">
        <v>364</v>
      </c>
      <c r="E3632" s="11" t="str">
        <f>+HYPERLINK("http://trademark.i-assist.jp/data/china/image_1902th/79485635.pdf", "79485635")</f>
        <v>79485635</v>
      </c>
      <c r="F3632" s="10" t="s">
        <v>10052</v>
      </c>
      <c r="G3632" s="10" t="s">
        <v>9944</v>
      </c>
      <c r="H3632" s="10" t="s">
        <v>10053</v>
      </c>
      <c r="I3632" s="10" t="s">
        <v>9946</v>
      </c>
    </row>
    <row r="3633" spans="1:9" x14ac:dyDescent="0.15">
      <c r="A3633" s="9">
        <v>3632</v>
      </c>
      <c r="B3633" s="10" t="s">
        <v>9</v>
      </c>
      <c r="C3633" s="10" t="s">
        <v>363</v>
      </c>
      <c r="D3633" s="10" t="s">
        <v>364</v>
      </c>
      <c r="E3633" s="11" t="str">
        <f>+HYPERLINK("http://trademark.i-assist.jp/data/china/image_1902th/79487020.pdf", "79487020")</f>
        <v>79487020</v>
      </c>
      <c r="F3633" s="10" t="s">
        <v>10054</v>
      </c>
      <c r="G3633" s="10" t="s">
        <v>9964</v>
      </c>
      <c r="H3633" s="10" t="s">
        <v>10055</v>
      </c>
      <c r="I3633" s="10" t="s">
        <v>9946</v>
      </c>
    </row>
    <row r="3634" spans="1:9" x14ac:dyDescent="0.15">
      <c r="A3634" s="9">
        <v>3633</v>
      </c>
      <c r="B3634" s="10" t="s">
        <v>9</v>
      </c>
      <c r="C3634" s="10" t="s">
        <v>363</v>
      </c>
      <c r="D3634" s="10" t="s">
        <v>364</v>
      </c>
      <c r="E3634" s="11" t="str">
        <f>+HYPERLINK("http://trademark.i-assist.jp/data/china/image_1902th/79487030.pdf", "79487030")</f>
        <v>79487030</v>
      </c>
      <c r="F3634" s="10" t="s">
        <v>10056</v>
      </c>
      <c r="G3634" s="10" t="s">
        <v>9964</v>
      </c>
      <c r="H3634" s="10" t="s">
        <v>10057</v>
      </c>
      <c r="I3634" s="10" t="s">
        <v>9946</v>
      </c>
    </row>
    <row r="3635" spans="1:9" x14ac:dyDescent="0.15">
      <c r="A3635" s="9">
        <v>3634</v>
      </c>
      <c r="B3635" s="10" t="s">
        <v>9</v>
      </c>
      <c r="C3635" s="10" t="s">
        <v>363</v>
      </c>
      <c r="D3635" s="10" t="s">
        <v>364</v>
      </c>
      <c r="E3635" s="11" t="str">
        <f>+HYPERLINK("http://trademark.i-assist.jp/data/china/image_1902th/79661814.pdf", "79661814")</f>
        <v>79661814</v>
      </c>
      <c r="F3635" s="10" t="s">
        <v>10058</v>
      </c>
      <c r="G3635" s="10" t="s">
        <v>110</v>
      </c>
      <c r="H3635" s="10" t="s">
        <v>10059</v>
      </c>
      <c r="I3635" s="10" t="s">
        <v>10060</v>
      </c>
    </row>
    <row r="3636" spans="1:9" x14ac:dyDescent="0.15">
      <c r="A3636" s="9">
        <v>3635</v>
      </c>
      <c r="B3636" s="10" t="s">
        <v>9</v>
      </c>
      <c r="C3636" s="10" t="s">
        <v>363</v>
      </c>
      <c r="D3636" s="10" t="s">
        <v>364</v>
      </c>
      <c r="E3636" s="11" t="str">
        <f>+HYPERLINK("http://trademark.i-assist.jp/data/china/image_1902th/79673301.pdf", "79673301")</f>
        <v>79673301</v>
      </c>
      <c r="F3636" s="10" t="s">
        <v>10061</v>
      </c>
      <c r="G3636" s="10" t="s">
        <v>110</v>
      </c>
      <c r="H3636" s="10" t="s">
        <v>10062</v>
      </c>
      <c r="I3636" s="10" t="s">
        <v>10060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1902th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2025-03-05T05:31:55Z</dcterms:modified>
</cp:coreProperties>
</file>